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0" i="1" l="1"/>
  <c r="C118" i="1"/>
  <c r="C119" i="1"/>
  <c r="C117" i="1"/>
  <c r="C116" i="1"/>
  <c r="C91" i="1"/>
  <c r="C90" i="1"/>
  <c r="C89" i="1"/>
  <c r="C88" i="1"/>
  <c r="C131" i="1" l="1"/>
  <c r="C133" i="1" s="1"/>
  <c r="C132" i="1" l="1"/>
  <c r="E43" i="1"/>
  <c r="D341" i="1" l="1"/>
  <c r="F341" i="1" s="1"/>
  <c r="H341" i="1" s="1"/>
  <c r="D340" i="1"/>
  <c r="F340" i="1" s="1"/>
  <c r="H340" i="1" s="1"/>
  <c r="D337" i="1"/>
  <c r="D336" i="1"/>
  <c r="F336" i="1" s="1"/>
  <c r="H336" i="1" s="1"/>
  <c r="F337" i="1"/>
  <c r="H337" i="1" s="1"/>
  <c r="D334" i="1"/>
  <c r="F334" i="1" s="1"/>
  <c r="H334" i="1" s="1"/>
  <c r="D333" i="1"/>
  <c r="F333" i="1" s="1"/>
  <c r="H333" i="1" s="1"/>
  <c r="D332" i="1"/>
  <c r="F332" i="1" s="1"/>
  <c r="H332" i="1" s="1"/>
  <c r="D329" i="1"/>
  <c r="F329" i="1" s="1"/>
  <c r="H329" i="1" s="1"/>
  <c r="D327" i="1"/>
  <c r="F327" i="1" s="1"/>
  <c r="H327" i="1" s="1"/>
  <c r="D326" i="1"/>
  <c r="F326" i="1" s="1"/>
  <c r="H326" i="1" s="1"/>
  <c r="D324" i="1"/>
  <c r="F324" i="1" s="1"/>
  <c r="H324" i="1" s="1"/>
  <c r="D323" i="1"/>
  <c r="F323" i="1" s="1"/>
  <c r="H323" i="1" s="1"/>
  <c r="D322" i="1"/>
  <c r="F322" i="1" s="1"/>
  <c r="H322" i="1" s="1"/>
  <c r="D321" i="1"/>
  <c r="A329" i="1"/>
  <c r="A324" i="1"/>
  <c r="D318" i="1"/>
  <c r="F318" i="1" s="1"/>
  <c r="H318" i="1" s="1"/>
  <c r="D316" i="1"/>
  <c r="F316" i="1" s="1"/>
  <c r="H316" i="1" s="1"/>
  <c r="D315" i="1"/>
  <c r="F315" i="1" s="1"/>
  <c r="H315" i="1" s="1"/>
  <c r="A318" i="1"/>
  <c r="D313" i="1"/>
  <c r="F313" i="1" s="1"/>
  <c r="H313" i="1" s="1"/>
  <c r="D312" i="1"/>
  <c r="F312" i="1" s="1"/>
  <c r="H312" i="1" s="1"/>
  <c r="D311" i="1"/>
  <c r="F311" i="1" s="1"/>
  <c r="H311" i="1" s="1"/>
  <c r="D310" i="1"/>
  <c r="F310" i="1" s="1"/>
  <c r="H310" i="1" s="1"/>
  <c r="A313" i="1"/>
  <c r="D307" i="1"/>
  <c r="F307" i="1" s="1"/>
  <c r="H307" i="1" s="1"/>
  <c r="D306" i="1"/>
  <c r="F306" i="1" s="1"/>
  <c r="H306" i="1" s="1"/>
  <c r="E305" i="1"/>
  <c r="D305" i="1"/>
  <c r="E304" i="1"/>
  <c r="D304" i="1"/>
  <c r="A307" i="1"/>
  <c r="D302" i="1"/>
  <c r="F302" i="1" s="1"/>
  <c r="H302" i="1" s="1"/>
  <c r="D301" i="1"/>
  <c r="F301" i="1" s="1"/>
  <c r="H301" i="1" s="1"/>
  <c r="E300" i="1"/>
  <c r="D300" i="1"/>
  <c r="E299" i="1"/>
  <c r="D299" i="1"/>
  <c r="A302" i="1"/>
  <c r="A292" i="1"/>
  <c r="A297" i="1"/>
  <c r="D297" i="1"/>
  <c r="F297" i="1" s="1"/>
  <c r="H297" i="1" s="1"/>
  <c r="D296" i="1"/>
  <c r="F296" i="1" s="1"/>
  <c r="H296" i="1" s="1"/>
  <c r="D295" i="1"/>
  <c r="F295" i="1" s="1"/>
  <c r="H295" i="1" s="1"/>
  <c r="D294" i="1"/>
  <c r="F294" i="1" s="1"/>
  <c r="H294" i="1" s="1"/>
  <c r="D292" i="1"/>
  <c r="F292" i="1" s="1"/>
  <c r="H292" i="1" s="1"/>
  <c r="D291" i="1"/>
  <c r="F291" i="1" s="1"/>
  <c r="H291" i="1" s="1"/>
  <c r="D290" i="1"/>
  <c r="F290" i="1" s="1"/>
  <c r="H290" i="1" s="1"/>
  <c r="D289" i="1"/>
  <c r="F289" i="1" s="1"/>
  <c r="H289" i="1" s="1"/>
  <c r="E286" i="1"/>
  <c r="D286" i="1"/>
  <c r="D285" i="1"/>
  <c r="F285" i="1" s="1"/>
  <c r="H285" i="1" s="1"/>
  <c r="D284" i="1"/>
  <c r="F284" i="1" s="1"/>
  <c r="H284" i="1" s="1"/>
  <c r="E253" i="1"/>
  <c r="D253" i="1"/>
  <c r="D252" i="1"/>
  <c r="F252" i="1" s="1"/>
  <c r="H252" i="1" s="1"/>
  <c r="D251" i="1"/>
  <c r="F282" i="1"/>
  <c r="H282" i="1" s="1"/>
  <c r="F281" i="1"/>
  <c r="H281" i="1" s="1"/>
  <c r="F280" i="1"/>
  <c r="H280" i="1" s="1"/>
  <c r="F279" i="1"/>
  <c r="H279" i="1" s="1"/>
  <c r="F278" i="1"/>
  <c r="H278" i="1" s="1"/>
  <c r="F276" i="1"/>
  <c r="H276" i="1" s="1"/>
  <c r="F275" i="1"/>
  <c r="H275" i="1" s="1"/>
  <c r="F274" i="1"/>
  <c r="H274" i="1" s="1"/>
  <c r="F273" i="1"/>
  <c r="H273" i="1" s="1"/>
  <c r="F272" i="1"/>
  <c r="H272" i="1" s="1"/>
  <c r="F270" i="1"/>
  <c r="H270" i="1" s="1"/>
  <c r="F269" i="1"/>
  <c r="H269" i="1" s="1"/>
  <c r="F268" i="1"/>
  <c r="H268" i="1" s="1"/>
  <c r="F267" i="1"/>
  <c r="H267" i="1" s="1"/>
  <c r="F266" i="1"/>
  <c r="H266" i="1" s="1"/>
  <c r="F264" i="1"/>
  <c r="H264" i="1" s="1"/>
  <c r="F263" i="1"/>
  <c r="H263" i="1" s="1"/>
  <c r="F262" i="1"/>
  <c r="H262" i="1" s="1"/>
  <c r="F261" i="1"/>
  <c r="H261" i="1" s="1"/>
  <c r="F260" i="1"/>
  <c r="H260" i="1" s="1"/>
  <c r="A260" i="1"/>
  <c r="A261" i="1" s="1"/>
  <c r="A262" i="1" s="1"/>
  <c r="A263" i="1" s="1"/>
  <c r="A264" i="1" s="1"/>
  <c r="F258" i="1"/>
  <c r="H258" i="1" s="1"/>
  <c r="F257" i="1"/>
  <c r="H257" i="1" s="1"/>
  <c r="F256" i="1"/>
  <c r="H256" i="1" s="1"/>
  <c r="A256" i="1"/>
  <c r="A257" i="1" s="1"/>
  <c r="A258" i="1" s="1"/>
  <c r="F255" i="1"/>
  <c r="H255" i="1" s="1"/>
  <c r="D248" i="1"/>
  <c r="F248" i="1" s="1"/>
  <c r="H248" i="1" s="1"/>
  <c r="D247" i="1"/>
  <c r="F247" i="1" s="1"/>
  <c r="H247" i="1" s="1"/>
  <c r="E246" i="1"/>
  <c r="D246" i="1"/>
  <c r="E213" i="1"/>
  <c r="D215" i="1"/>
  <c r="D214" i="1"/>
  <c r="D213" i="1"/>
  <c r="A266" i="1"/>
  <c r="A278" i="1"/>
  <c r="A272" i="1"/>
  <c r="F253" i="1" l="1"/>
  <c r="H253" i="1" s="1"/>
  <c r="C186" i="1"/>
  <c r="F305" i="1"/>
  <c r="H305" i="1" s="1"/>
  <c r="C190" i="1"/>
  <c r="C191" i="1"/>
  <c r="C187" i="1"/>
  <c r="F321" i="1"/>
  <c r="H321" i="1" s="1"/>
  <c r="G190" i="1" s="1"/>
  <c r="F246" i="1"/>
  <c r="H246" i="1" s="1"/>
  <c r="G191" i="1"/>
  <c r="G189" i="1"/>
  <c r="F251" i="1"/>
  <c r="E189" i="1"/>
  <c r="C188" i="1"/>
  <c r="C189" i="1"/>
  <c r="F286" i="1"/>
  <c r="H286" i="1" s="1"/>
  <c r="F300" i="1"/>
  <c r="H300" i="1" s="1"/>
  <c r="E191" i="1"/>
  <c r="F304" i="1"/>
  <c r="H304" i="1" s="1"/>
  <c r="F299" i="1"/>
  <c r="H299" i="1" s="1"/>
  <c r="A267" i="1"/>
  <c r="A279" i="1"/>
  <c r="A273" i="1"/>
  <c r="E190" i="1" l="1"/>
  <c r="C192" i="1"/>
  <c r="E188" i="1"/>
  <c r="G188" i="1"/>
  <c r="H251" i="1"/>
  <c r="G187" i="1" s="1"/>
  <c r="E187" i="1"/>
  <c r="A280" i="1"/>
  <c r="A268" i="1"/>
  <c r="A274" i="1"/>
  <c r="G51" i="1" l="1"/>
  <c r="A281" i="1"/>
  <c r="A275" i="1"/>
  <c r="A269" i="1"/>
  <c r="F215" i="1" l="1"/>
  <c r="H215" i="1" s="1"/>
  <c r="F214" i="1"/>
  <c r="H214" i="1" s="1"/>
  <c r="F213" i="1"/>
  <c r="H213" i="1" s="1"/>
  <c r="A276" i="1"/>
  <c r="A270" i="1"/>
  <c r="A282" i="1"/>
  <c r="G186" i="1" l="1"/>
  <c r="G192" i="1" s="1"/>
  <c r="E186" i="1"/>
  <c r="E192" i="1" s="1"/>
  <c r="C138" i="1"/>
  <c r="B139" i="1" s="1"/>
  <c r="C124" i="1"/>
  <c r="B125" i="1" s="1"/>
  <c r="C110" i="1"/>
  <c r="B111" i="1" s="1"/>
  <c r="J149" i="1" l="1"/>
  <c r="J148" i="1"/>
  <c r="J147" i="1"/>
  <c r="J135" i="1"/>
  <c r="J134" i="1"/>
  <c r="J133" i="1"/>
  <c r="J121" i="1"/>
  <c r="J120" i="1"/>
  <c r="J119" i="1"/>
  <c r="B345" i="1"/>
  <c r="H111" i="1"/>
  <c r="H139" i="1"/>
  <c r="H125" i="1"/>
  <c r="J143" i="1" l="1"/>
  <c r="C142" i="1" s="1"/>
  <c r="J142" i="1"/>
  <c r="D151" i="1"/>
  <c r="D150" i="1"/>
  <c r="D149" i="1"/>
  <c r="D148" i="1"/>
  <c r="D147" i="1"/>
  <c r="D146" i="1"/>
  <c r="D145" i="1"/>
  <c r="D144" i="1"/>
  <c r="J141" i="1"/>
  <c r="J138" i="1"/>
  <c r="J140" i="1" s="1"/>
  <c r="J144" i="1"/>
  <c r="J129" i="1"/>
  <c r="C128" i="1" s="1"/>
  <c r="J128" i="1"/>
  <c r="D137" i="1"/>
  <c r="D136" i="1"/>
  <c r="D135" i="1"/>
  <c r="D134" i="1"/>
  <c r="D133" i="1"/>
  <c r="D132" i="1"/>
  <c r="D131" i="1"/>
  <c r="D130" i="1"/>
  <c r="J127" i="1"/>
  <c r="J124" i="1"/>
  <c r="J126" i="1" s="1"/>
  <c r="J130" i="1"/>
  <c r="J131" i="1" s="1"/>
  <c r="J136" i="1" s="1"/>
  <c r="J115" i="1"/>
  <c r="C114" i="1" s="1"/>
  <c r="D114" i="1" s="1"/>
  <c r="J114" i="1"/>
  <c r="D123" i="1"/>
  <c r="D122" i="1"/>
  <c r="D121" i="1"/>
  <c r="D120" i="1"/>
  <c r="D119" i="1"/>
  <c r="D118" i="1"/>
  <c r="D117" i="1"/>
  <c r="D116" i="1"/>
  <c r="J113" i="1"/>
  <c r="J110" i="1"/>
  <c r="J112" i="1" s="1"/>
  <c r="J116" i="1"/>
  <c r="J117" i="1" s="1"/>
  <c r="J122" i="1" s="1"/>
  <c r="F199" i="1"/>
  <c r="H199" i="1" s="1"/>
  <c r="F200" i="1"/>
  <c r="H200" i="1" s="1"/>
  <c r="F201" i="1"/>
  <c r="H201" i="1" s="1"/>
  <c r="F198" i="1"/>
  <c r="H198" i="1" s="1"/>
  <c r="J145" i="1" l="1"/>
  <c r="J150" i="1" s="1"/>
  <c r="D142" i="1"/>
  <c r="D128" i="1"/>
  <c r="J118" i="1"/>
  <c r="J123" i="1" s="1"/>
  <c r="C115" i="1" s="1"/>
  <c r="E114" i="1" s="1"/>
  <c r="J132" i="1"/>
  <c r="J137" i="1" s="1"/>
  <c r="G62" i="1"/>
  <c r="C62" i="1"/>
  <c r="G60" i="1"/>
  <c r="C60" i="1"/>
  <c r="J146" i="1" l="1"/>
  <c r="J151" i="1" s="1"/>
  <c r="C129" i="1"/>
  <c r="J111" i="1"/>
  <c r="G114" i="1"/>
  <c r="D115" i="1"/>
  <c r="I111" i="1" s="1"/>
  <c r="I112" i="1" s="1"/>
  <c r="S33" i="1"/>
  <c r="C143" i="1" l="1"/>
  <c r="D129" i="1"/>
  <c r="I125" i="1" s="1"/>
  <c r="E128" i="1"/>
  <c r="G128" i="1"/>
  <c r="J125" i="1"/>
  <c r="I110" i="1"/>
  <c r="C112" i="1" s="1"/>
  <c r="F11" i="5"/>
  <c r="G11" i="5" s="1"/>
  <c r="G10" i="5"/>
  <c r="F10" i="5"/>
  <c r="F9" i="5"/>
  <c r="G9" i="5" s="1"/>
  <c r="G8" i="5"/>
  <c r="F8" i="5"/>
  <c r="G7" i="5"/>
  <c r="F7" i="5"/>
  <c r="F6" i="5"/>
  <c r="G6" i="5" s="1"/>
  <c r="F5" i="5"/>
  <c r="G5" i="5" s="1"/>
  <c r="G12" i="5" s="1"/>
  <c r="D372" i="1"/>
  <c r="B346" i="1"/>
  <c r="F244" i="1"/>
  <c r="H244" i="1" s="1"/>
  <c r="F243" i="1"/>
  <c r="H243" i="1" s="1"/>
  <c r="F242" i="1"/>
  <c r="H242" i="1" s="1"/>
  <c r="F241" i="1"/>
  <c r="H241" i="1" s="1"/>
  <c r="F240" i="1"/>
  <c r="H240" i="1" s="1"/>
  <c r="F238" i="1"/>
  <c r="H238" i="1" s="1"/>
  <c r="F237" i="1"/>
  <c r="H237" i="1" s="1"/>
  <c r="F236" i="1"/>
  <c r="H236" i="1" s="1"/>
  <c r="F235" i="1"/>
  <c r="H235" i="1" s="1"/>
  <c r="F234" i="1"/>
  <c r="H234" i="1" s="1"/>
  <c r="F232" i="1"/>
  <c r="H232" i="1" s="1"/>
  <c r="F231" i="1"/>
  <c r="H231" i="1" s="1"/>
  <c r="F230" i="1"/>
  <c r="H230" i="1" s="1"/>
  <c r="F229" i="1"/>
  <c r="H229" i="1" s="1"/>
  <c r="F228" i="1"/>
  <c r="H228" i="1" s="1"/>
  <c r="F226" i="1"/>
  <c r="H226" i="1" s="1"/>
  <c r="F225" i="1"/>
  <c r="H225" i="1" s="1"/>
  <c r="F224" i="1"/>
  <c r="H224" i="1" s="1"/>
  <c r="F223" i="1"/>
  <c r="H223" i="1" s="1"/>
  <c r="F222" i="1"/>
  <c r="H222" i="1" s="1"/>
  <c r="A222" i="1"/>
  <c r="A223" i="1" s="1"/>
  <c r="A224" i="1" s="1"/>
  <c r="A225" i="1" s="1"/>
  <c r="A226" i="1" s="1"/>
  <c r="F220" i="1"/>
  <c r="H220" i="1" s="1"/>
  <c r="F219" i="1"/>
  <c r="H219" i="1" s="1"/>
  <c r="F218" i="1"/>
  <c r="H218" i="1" s="1"/>
  <c r="A218" i="1"/>
  <c r="A219" i="1" s="1"/>
  <c r="A220" i="1" s="1"/>
  <c r="F217" i="1"/>
  <c r="H217" i="1" s="1"/>
  <c r="A199" i="1"/>
  <c r="A200" i="1" s="1"/>
  <c r="A201" i="1" s="1"/>
  <c r="F178" i="1"/>
  <c r="C152" i="1"/>
  <c r="C96" i="1"/>
  <c r="D76" i="1"/>
  <c r="D66" i="1"/>
  <c r="C51" i="1"/>
  <c r="E44" i="1"/>
  <c r="E45" i="1" s="1"/>
  <c r="E31" i="1"/>
  <c r="E28" i="1"/>
  <c r="E26" i="1"/>
  <c r="C16" i="1"/>
  <c r="I15" i="1"/>
  <c r="Z13" i="1"/>
  <c r="E8" i="1"/>
  <c r="E3" i="1"/>
  <c r="H97" i="1"/>
  <c r="A234" i="1"/>
  <c r="A228" i="1"/>
  <c r="A240" i="1"/>
  <c r="H83" i="1"/>
  <c r="H153" i="1"/>
  <c r="E142" i="1" l="1"/>
  <c r="D143" i="1"/>
  <c r="I139" i="1" s="1"/>
  <c r="G142" i="1"/>
  <c r="J139" i="1"/>
  <c r="I126" i="1"/>
  <c r="I124" i="1" s="1"/>
  <c r="C126" i="1" s="1"/>
  <c r="J82" i="1"/>
  <c r="J84" i="1" s="1"/>
  <c r="J85" i="1"/>
  <c r="J86" i="1"/>
  <c r="J87" i="1"/>
  <c r="C86" i="1" s="1"/>
  <c r="J101" i="1"/>
  <c r="D105" i="1"/>
  <c r="D107" i="1"/>
  <c r="J100" i="1"/>
  <c r="D106" i="1"/>
  <c r="J96" i="1"/>
  <c r="J98" i="1" s="1"/>
  <c r="D104" i="1"/>
  <c r="J99" i="1"/>
  <c r="D103" i="1"/>
  <c r="D109" i="1"/>
  <c r="D108" i="1"/>
  <c r="D102" i="1"/>
  <c r="D90" i="1"/>
  <c r="D92" i="1"/>
  <c r="D91" i="1"/>
  <c r="D95" i="1"/>
  <c r="D89" i="1"/>
  <c r="D94" i="1"/>
  <c r="D88" i="1"/>
  <c r="D93" i="1"/>
  <c r="J152" i="1"/>
  <c r="J154" i="1" s="1"/>
  <c r="D161" i="1"/>
  <c r="D163" i="1"/>
  <c r="J157" i="1"/>
  <c r="C156" i="1" s="1"/>
  <c r="D162" i="1"/>
  <c r="J156" i="1"/>
  <c r="D160" i="1"/>
  <c r="J155" i="1"/>
  <c r="D159" i="1"/>
  <c r="D165" i="1"/>
  <c r="D164" i="1"/>
  <c r="B153" i="1"/>
  <c r="B97" i="1"/>
  <c r="B83" i="1"/>
  <c r="J88" i="1" s="1"/>
  <c r="A241" i="1"/>
  <c r="A229" i="1"/>
  <c r="A235" i="1"/>
  <c r="I140" i="1" l="1"/>
  <c r="I138" i="1" s="1"/>
  <c r="C140" i="1" s="1"/>
  <c r="D156" i="1"/>
  <c r="D100" i="1"/>
  <c r="D86" i="1"/>
  <c r="D158" i="1"/>
  <c r="J163" i="1"/>
  <c r="J160" i="1"/>
  <c r="J162" i="1"/>
  <c r="J161" i="1"/>
  <c r="J158" i="1"/>
  <c r="J159" i="1" s="1"/>
  <c r="J164" i="1" s="1"/>
  <c r="J165" i="1" s="1"/>
  <c r="J107" i="1"/>
  <c r="J106" i="1"/>
  <c r="J105" i="1"/>
  <c r="C101" i="1" s="1"/>
  <c r="J102" i="1"/>
  <c r="J103" i="1" s="1"/>
  <c r="J104" i="1" s="1"/>
  <c r="J92" i="1"/>
  <c r="J91" i="1"/>
  <c r="J89" i="1"/>
  <c r="J94" i="1" s="1"/>
  <c r="J93" i="1"/>
  <c r="A236" i="1"/>
  <c r="A230" i="1"/>
  <c r="A242" i="1"/>
  <c r="C157" i="1" l="1"/>
  <c r="E156" i="1" s="1"/>
  <c r="D101" i="1"/>
  <c r="I97" i="1" s="1"/>
  <c r="I98" i="1" s="1"/>
  <c r="E100" i="1"/>
  <c r="J90" i="1"/>
  <c r="J95" i="1" s="1"/>
  <c r="C87" i="1" s="1"/>
  <c r="G100" i="1"/>
  <c r="J108" i="1"/>
  <c r="J109" i="1" s="1"/>
  <c r="J97" i="1" s="1"/>
  <c r="A231" i="1"/>
  <c r="A243" i="1"/>
  <c r="A237" i="1"/>
  <c r="G156" i="1" l="1"/>
  <c r="D157" i="1"/>
  <c r="I153" i="1" s="1"/>
  <c r="I154" i="1" s="1"/>
  <c r="J153" i="1"/>
  <c r="I96" i="1"/>
  <c r="C98" i="1" s="1"/>
  <c r="G86" i="1"/>
  <c r="D80" i="1" s="1"/>
  <c r="D81" i="1" s="1"/>
  <c r="J83" i="1"/>
  <c r="D87" i="1"/>
  <c r="I83" i="1" s="1"/>
  <c r="I84" i="1" s="1"/>
  <c r="E86" i="1"/>
  <c r="A232" i="1"/>
  <c r="A244" i="1"/>
  <c r="A238" i="1"/>
  <c r="I152" i="1" l="1"/>
  <c r="C154" i="1" s="1"/>
  <c r="F81" i="1"/>
  <c r="I82" i="1"/>
  <c r="C8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Floor with height</t>
        </r>
      </text>
    </comment>
    <comment ref="C61" authorId="1" shapeId="0">
      <text>
        <r>
          <rPr>
            <b/>
            <sz val="9"/>
            <color indexed="81"/>
            <rFont val="Tahoma"/>
            <family val="2"/>
          </rPr>
          <t>SACHIN:</t>
        </r>
        <r>
          <rPr>
            <sz val="9"/>
            <color indexed="81"/>
            <rFont val="Tahoma"/>
            <family val="2"/>
          </rPr>
          <t xml:space="preserve">
Survey Nos.</t>
        </r>
      </text>
    </comment>
    <comment ref="C63" authorId="1" shapeId="0">
      <text>
        <r>
          <rPr>
            <b/>
            <sz val="9"/>
            <color indexed="81"/>
            <rFont val="Tahoma"/>
            <family val="2"/>
          </rPr>
          <t>SACHIN:</t>
        </r>
        <r>
          <rPr>
            <sz val="9"/>
            <color indexed="81"/>
            <rFont val="Tahoma"/>
            <family val="2"/>
          </rPr>
          <t xml:space="preserve">
Height from AMSL</t>
        </r>
      </text>
    </comment>
    <comment ref="D6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7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<sst xmlns="http://schemas.openxmlformats.org/spreadsheetml/2006/main" count="838" uniqueCount="386">
  <si>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</si>
  <si>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</si>
  <si>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</si>
  <si>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</si>
  <si>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</si>
  <si>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</si>
  <si>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</si>
  <si>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</si>
  <si>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</si>
  <si>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</si>
  <si>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</si>
  <si>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</si>
  <si>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</si>
  <si>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</si>
  <si>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</si>
  <si>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</si>
  <si>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</si>
  <si>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</si>
  <si>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</si>
  <si>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</si>
  <si>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</si>
  <si>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</si>
  <si>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</si>
  <si>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</si>
  <si>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</si>
  <si>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</si>
  <si>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</si>
  <si>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</si>
  <si>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</si>
  <si>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</si>
  <si>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</si>
  <si>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</si>
  <si>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</si>
  <si>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</si>
  <si>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</si>
  <si>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</si>
  <si>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</si>
  <si>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</si>
  <si>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</si>
  <si>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</si>
  <si>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</si>
  <si>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</si>
  <si>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</si>
  <si>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</si>
  <si>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</si>
  <si>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</si>
  <si>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</si>
  <si>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</si>
  <si>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</si>
  <si>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</si>
  <si>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</si>
  <si>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</si>
  <si>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</si>
  <si>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</si>
  <si>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</si>
  <si>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</si>
  <si>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</si>
  <si>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</si>
  <si>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</si>
  <si>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</si>
  <si>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</si>
  <si>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</si>
  <si>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</si>
  <si>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</si>
  <si>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</si>
  <si>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</si>
  <si>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</si>
  <si>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</si>
  <si>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</si>
  <si>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</si>
  <si>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</si>
  <si>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</si>
  <si>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</si>
  <si>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</si>
  <si>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</si>
  <si>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</si>
  <si>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</si>
  <si>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</si>
  <si>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</si>
  <si>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</si>
  <si>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</si>
  <si>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</si>
  <si>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</si>
  <si>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</si>
  <si>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</si>
  <si>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</si>
  <si>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</si>
  <si>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</si>
  <si>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</si>
  <si>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</si>
  <si>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</si>
  <si>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</si>
  <si>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</si>
  <si>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</si>
  <si>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</si>
  <si>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</si>
  <si>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</si>
  <si>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</si>
  <si>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</si>
  <si>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</si>
  <si>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</si>
  <si>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</si>
  <si>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</si>
  <si>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</si>
  <si>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</si>
  <si>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</si>
  <si>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</si>
  <si>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</si>
  <si>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</si>
  <si>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</si>
  <si>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</si>
  <si>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</si>
  <si>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</si>
  <si>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</si>
  <si>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</si>
  <si>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</si>
  <si>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</si>
  <si>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</si>
  <si>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</si>
  <si>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</si>
  <si>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</si>
  <si>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</si>
  <si>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</si>
  <si>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</si>
  <si>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</si>
  <si>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</si>
  <si>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</si>
  <si>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</si>
  <si>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</si>
  <si>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</si>
  <si>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</si>
  <si>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</si>
  <si>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</si>
  <si>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</si>
  <si>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</si>
  <si>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</si>
  <si>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</si>
  <si>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</si>
  <si>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</si>
  <si>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</si>
  <si>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</si>
  <si>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</si>
  <si>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</si>
  <si>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</si>
  <si>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</si>
  <si>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</si>
  <si>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</si>
  <si>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</si>
  <si>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</si>
  <si>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</si>
  <si>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</si>
  <si>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</si>
  <si>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</si>
  <si>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</si>
  <si>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</si>
  <si>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</si>
  <si>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</si>
  <si>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</si>
  <si>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</si>
  <si>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</si>
  <si>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</si>
  <si>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</si>
  <si>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</si>
  <si>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</si>
  <si>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</si>
  <si>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</si>
  <si>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</si>
  <si>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</si>
  <si>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</si>
  <si>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</si>
  <si>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</si>
  <si>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</si>
  <si>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</si>
  <si>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</si>
  <si>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</si>
  <si>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</si>
  <si>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</si>
  <si>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</si>
  <si>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</si>
  <si>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</si>
  <si>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</si>
  <si>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</si>
  <si>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</si>
  <si>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</si>
  <si>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</si>
  <si>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</si>
  <si>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</si>
  <si>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</si>
  <si>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</si>
  <si>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</si>
  <si>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</si>
  <si>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</si>
  <si>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</si>
  <si>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</si>
  <si>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</si>
  <si>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</si>
  <si>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</si>
  <si>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</si>
  <si>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</si>
  <si>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</si>
  <si>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</si>
  <si>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</si>
  <si>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</si>
  <si>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</si>
  <si>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</si>
  <si>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</si>
  <si>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</si>
  <si>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</si>
  <si>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</si>
  <si>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</si>
  <si>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</si>
  <si>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</si>
  <si>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</si>
  <si>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</si>
  <si>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</si>
  <si>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</si>
  <si>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</si>
  <si>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</si>
  <si>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</si>
  <si>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</si>
  <si>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</si>
  <si>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</si>
  <si>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</si>
  <si>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</si>
  <si>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</si>
  <si>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</si>
  <si>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</si>
  <si>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</si>
  <si>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</si>
  <si>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</si>
  <si>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</si>
  <si>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</si>
  <si>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</si>
  <si>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</si>
  <si>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</si>
  <si>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</si>
  <si>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</si>
  <si>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</si>
  <si>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</si>
  <si>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</si>
  <si>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</si>
  <si>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</si>
  <si>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</si>
  <si>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</si>
  <si>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</si>
  <si>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</si>
  <si>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</si>
  <si>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</si>
  <si>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</si>
  <si>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</si>
  <si>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</si>
  <si>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</si>
  <si>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</si>
  <si>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</si>
  <si>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</si>
  <si>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</si>
  <si>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</si>
  <si>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</si>
  <si>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</si>
  <si>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</si>
  <si>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</si>
  <si>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</si>
  <si>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</si>
  <si>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</si>
  <si>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</si>
  <si>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</si>
  <si>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</si>
  <si>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</si>
  <si>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</si>
  <si>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</si>
  <si>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</si>
  <si>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</si>
  <si>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</si>
  <si>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</si>
  <si>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</si>
  <si>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</si>
  <si>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</si>
  <si>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</si>
  <si>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</si>
  <si>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</si>
  <si>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</si>
  <si>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</si>
  <si>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</si>
  <si>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</si>
  <si>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</si>
  <si>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</si>
  <si>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</si>
  <si>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</si>
  <si>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</si>
  <si>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</si>
  <si>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</si>
  <si>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</si>
  <si>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</si>
  <si>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</si>
  <si>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</si>
  <si>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</si>
  <si>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</si>
  <si>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</si>
  <si>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</si>
  <si>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</si>
  <si>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</si>
  <si>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</si>
  <si>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</si>
  <si>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</si>
  <si>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</si>
  <si>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Arkade Developers Pvt. Ltd.</t>
  </si>
  <si>
    <t>Arkade Nest</t>
  </si>
  <si>
    <t>28863787/28863785</t>
  </si>
  <si>
    <t>Wing A, B, C, D, E &amp; F</t>
  </si>
  <si>
    <t>P51800050953</t>
  </si>
  <si>
    <t>Nahur</t>
  </si>
  <si>
    <t>Asha Nagar</t>
  </si>
  <si>
    <t>K.Kamarajar Road</t>
  </si>
  <si>
    <t>Mangla Tower</t>
  </si>
  <si>
    <t>Mulund West</t>
  </si>
  <si>
    <t>Other Plot</t>
  </si>
  <si>
    <t>Battlefield Turf</t>
  </si>
  <si>
    <t>Open Space</t>
  </si>
  <si>
    <t>https://maps.app.goo.gl/JXP9Y4U7CamS6cqx8</t>
  </si>
  <si>
    <t xml:space="preserve">As per RERA - 30/06/2027
</t>
  </si>
  <si>
    <t>Swimming Pool, Gymnasium, Indoor Games, Food Court, Mini Theatre, Jogging Track, Club House, Cafeteria, Laundromat, Multipurpose Hall, Landscaping &amp; Tree Planting, etc.</t>
  </si>
  <si>
    <t>Wing E</t>
  </si>
  <si>
    <t>2BHK</t>
  </si>
  <si>
    <t>8th Floor (Part Refuge Area)</t>
  </si>
  <si>
    <t>Refuge Area</t>
  </si>
  <si>
    <t>15th Floor (Part Refuge Area)</t>
  </si>
  <si>
    <t>Wing F</t>
  </si>
  <si>
    <t>3BHK</t>
  </si>
  <si>
    <t xml:space="preserve">Details of Residential in Building   </t>
  </si>
  <si>
    <t>B Wing = 2B + G + 1st to 22nd Floor</t>
  </si>
  <si>
    <t>D Wing = 2B + G + 1st to 22nd Floor</t>
  </si>
  <si>
    <t>E Wing = 2B + G + 1st to 22nd Floor</t>
  </si>
  <si>
    <t>F Wing = 1B + G + 1st to 22nd Floor</t>
  </si>
  <si>
    <t>Approved Plans, CC, Fire Noc</t>
  </si>
  <si>
    <t>2 KM from Mulund Railway Station</t>
  </si>
  <si>
    <t>Wing D</t>
  </si>
  <si>
    <t>06 Wings</t>
  </si>
  <si>
    <t>19.166562, 72.9418045</t>
  </si>
  <si>
    <r>
      <t xml:space="preserve">Proposed Amenities :                                                                                                                                                                                                                         </t>
    </r>
    <r>
      <rPr>
        <b/>
        <sz val="12"/>
        <rFont val="Times New Roman"/>
        <family val="1"/>
      </rPr>
      <t xml:space="preserve">                                               </t>
    </r>
  </si>
  <si>
    <t>Wing C</t>
  </si>
  <si>
    <t xml:space="preserve">P-10674/2022/(704)/T Ward/NAHUR - T/337/4/Amend </t>
  </si>
  <si>
    <t>P-10674/2022/(704)/T Ward/NAHUR -T/FCC/1/Amend</t>
  </si>
  <si>
    <t>C.C. is re endorsed and further extended up to top of 5th Podium level for wing- A, B ,C ,D, E, F and top of stilt floor level for IH Wing-G as per approved plans dated 06.10. 2023 subject to timely renewal of B.G, SWM NOC, Workmen’s compensation policy and taking all sorts of precautions during construction and for air pollution.</t>
  </si>
  <si>
    <t>SNCR/WEST/B/041822/666906</t>
  </si>
  <si>
    <t>Airport Authority Clearance Details
Valid Up to:</t>
  </si>
  <si>
    <t>Site Elevation = 13.59M (ASML)
 Permissible Top Elevation = 299.75M (ASML)</t>
  </si>
  <si>
    <t>C Wing = 2B + G + 1st to 22nd Floor</t>
  </si>
  <si>
    <t>Wing A to F</t>
  </si>
  <si>
    <t>2nd Basement For Tank Area</t>
  </si>
  <si>
    <t>1st Basement For Parking &amp; Tank Area</t>
  </si>
  <si>
    <t>Ground Floor for Entrance Lobby &amp; Parking</t>
  </si>
  <si>
    <t>1st to 4th Podium Floor For Parking</t>
  </si>
  <si>
    <t>5th Podium Floor For Society Office, Swimming Pool, Fitness Centre, Letter Box Area.</t>
  </si>
  <si>
    <t xml:space="preserve"> Wing A</t>
  </si>
  <si>
    <t>6th, 8th, 10th, 12th, 14th, 16th, 18th, 20th &amp; 22nd Floor For Residential</t>
  </si>
  <si>
    <t>Balcony Area</t>
  </si>
  <si>
    <t>RERA Carpet area</t>
  </si>
  <si>
    <t>7th, 9th, 11th, 13th, 15th, 17th, 19th, 21st Floor (Refuge Balcony At Mid landing of Staircase)</t>
  </si>
  <si>
    <t>Wing B</t>
  </si>
  <si>
    <t>6th, 8th, 10th, 12th, 14th, 16th, 18th, 20th Floor For Residential</t>
  </si>
  <si>
    <t>7th, 9th, 11th, 13th, 15th, 17th, 19th Floor (Refuge Balcony At Mid landing of Staircase)</t>
  </si>
  <si>
    <t>21st Floor (Refuge Balcony At Mid landing of Staircase)</t>
  </si>
  <si>
    <t>22nd Floor</t>
  </si>
  <si>
    <t>6th, 7th, 9th to 14th, 16th to 22nd Floor For Residential</t>
  </si>
  <si>
    <t>8th &amp; 15th Floor (Part Refuge Area)</t>
  </si>
  <si>
    <t>Wing A</t>
  </si>
  <si>
    <t>Flats - 351</t>
  </si>
  <si>
    <t>We considered Gross carpet area = Net carpet + Balcony.</t>
  </si>
  <si>
    <t>Validity of CC is expired on 14/02/2024. Please provide revised CC.</t>
  </si>
  <si>
    <t>Construction work of Wing A to D &amp; F goes beyond approved CC permission.</t>
  </si>
  <si>
    <t>A to F Wing = 2B + G + 1st to 22nd Floor</t>
  </si>
  <si>
    <t>We have updated Revised approved plans &amp; CC (On 20/01/2025).</t>
  </si>
  <si>
    <t>We have refered Airport NOC from MCGM Site.</t>
  </si>
  <si>
    <t>P-10674/2022/(704)/T Ward/NAHUR -
TCFO/1/New</t>
  </si>
  <si>
    <t>Wing A, B, D &amp; E 2nd Level Part Basement + 1st Level Basement + Ground Floor + 1st to 4th Podium Floor + 5th Podium (Eco-deck) Floor + 6th to 22nd Floors.
Wing F 1st Level Basement + Ground Floor + 1st to 4th Podium Floor + 5th Podium (Eco-deck) Floor + 6th to 22nd Floors.
Wing C Ground Floor + 1st to 4th Podium Floor + 5th Podium (Eco-deck) Floor + 6th to 22nd Floors (Total Height = 69.95 mtrs.)</t>
  </si>
  <si>
    <t>Mr. Saudeep 8591080134</t>
  </si>
  <si>
    <t>P-10674/2022/(704)/T Ward/NAHUR -
T/FCC/2/Amend</t>
  </si>
  <si>
    <t>C.C. is re – endorsed for wing A, B, C, D, E, F &amp; G and upto top podium and full C.C. is granted for wing A, B, C, F &amp; G as per amended approved plans dated 16.01.2025 by restricting C.C. of BUA of I.H. building and TDR benefit, FSI benefit of Amenity open space, area of road set back and BUA of Temporary structure subject to timely renewal of B.G, SWM NOC, Workmen’s compensation policy and taking all sorts of precautions during construction and for air pollution.</t>
  </si>
  <si>
    <t>We have updated CC from MCGM Site on 10/04/2025.</t>
  </si>
  <si>
    <t>As per site visit dtd. 08/04/2025, wing D is named as wing G. Please provide the building nomenclature.</t>
  </si>
  <si>
    <t>Construction work of Wing D goes beyond permissible floor. Please provide revised CC for Wing D.</t>
  </si>
  <si>
    <t xml:space="preserve">Wing A to F = Construction work is in process at the time of Visit.
</t>
  </si>
  <si>
    <t xml:space="preserve">We have already given EXTARA  stage for Wing D
</t>
  </si>
  <si>
    <t>Pranita Mhatre</t>
  </si>
  <si>
    <t>Nainesh Tambe</t>
  </si>
  <si>
    <t>A &amp; B Wing = 2B + G + 1st to 22nd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</si>
</sst>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5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0" xfId="1" applyFont="1" applyAlignment="1">
      <alignment wrapText="1"/>
    </xf>
    <xf numFmtId="1" fontId="7" fillId="0" borderId="1" xfId="1" applyNumberFormat="1" applyFont="1" applyBorder="1" applyAlignment="1">
      <alignment horizontal="center" vertical="center"/>
    </xf>
    <xf numFmtId="0" fontId="7"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left" vertical="center"/>
    </xf>
    <xf numFmtId="0" fontId="12" fillId="0" borderId="1" xfId="1" applyFont="1" applyFill="1" applyBorder="1" applyAlignment="1" applyProtection="1">
      <alignment horizontal="center" vertical="top"/>
      <protection locked="0"/>
    </xf>
    <xf numFmtId="0" fontId="6" fillId="0" borderId="1" xfId="1" applyFont="1" applyFill="1" applyBorder="1" applyAlignment="1" applyProtection="1">
      <alignment horizontal="center" vertical="top"/>
      <protection locked="0"/>
    </xf>
    <xf numFmtId="0" fontId="12" fillId="0" borderId="5" xfId="1" applyFont="1" applyFill="1" applyBorder="1" applyAlignment="1" applyProtection="1">
      <alignment horizontal="center" vertical="top"/>
      <protection locked="0"/>
    </xf>
    <xf numFmtId="0" fontId="7"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wrapText="1"/>
      <protection locked="0"/>
    </xf>
    <xf numFmtId="1" fontId="12" fillId="0" borderId="1" xfId="1" applyNumberFormat="1" applyFont="1" applyFill="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top" wrapText="1"/>
      <protection locked="0"/>
    </xf>
    <xf numFmtId="0" fontId="7" fillId="0" borderId="7" xfId="1" applyFont="1" applyFill="1" applyBorder="1" applyAlignment="1" applyProtection="1">
      <alignment horizontal="center"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top" wrapText="1"/>
      <protection locked="0"/>
    </xf>
    <xf numFmtId="1" fontId="8" fillId="3" borderId="21" xfId="1" applyNumberFormat="1" applyFont="1" applyFill="1" applyBorder="1" applyAlignment="1" applyProtection="1">
      <alignment horizontal="center" vertical="top" wrapText="1"/>
      <protection locked="0"/>
    </xf>
    <xf numFmtId="1" fontId="8" fillId="3" borderId="9" xfId="1" applyNumberFormat="1" applyFont="1" applyFill="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9" xfId="1" applyNumberFormat="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0" fillId="0" borderId="33"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Border="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8" fillId="0" borderId="13" xfId="1" applyFont="1" applyFill="1" applyBorder="1" applyAlignment="1" applyProtection="1">
      <alignment horizontal="left" vertical="top" wrapText="1"/>
      <protection locked="0"/>
    </xf>
    <xf numFmtId="0" fontId="8" fillId="0" borderId="14" xfId="1" applyFont="1" applyFill="1" applyBorder="1" applyAlignment="1" applyProtection="1">
      <alignment horizontal="left" vertical="top" wrapText="1"/>
      <protection locked="0"/>
    </xf>
    <xf numFmtId="0" fontId="8" fillId="0" borderId="23" xfId="1" applyFont="1" applyFill="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13" fillId="0" borderId="5" xfId="1" applyFont="1" applyFill="1" applyBorder="1" applyAlignment="1" applyProtection="1">
      <alignment horizontal="left" vertical="top" wrapText="1"/>
      <protection locked="0"/>
    </xf>
    <xf numFmtId="0" fontId="7" fillId="0" borderId="1" xfId="1" applyFont="1" applyFill="1" applyBorder="1" applyAlignment="1" applyProtection="1">
      <alignment horizontal="center" vertical="top" wrapText="1"/>
      <protection locked="0"/>
    </xf>
    <xf numFmtId="0" fontId="7" fillId="0" borderId="5" xfId="1" applyFont="1" applyFill="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89647</xdr:colOff>
      <xdr:row>458</xdr:row>
      <xdr:rowOff>134470</xdr:rowOff>
    </xdr:from>
    <xdr:to>
      <xdr:col>6</xdr:col>
      <xdr:colOff>651123</xdr:colOff>
      <xdr:row>477</xdr:row>
      <xdr:rowOff>82058</xdr:rowOff>
    </xdr:to>
    <xdr:pic>
      <xdr:nvPicPr>
        <xdr:cNvPr id="3" name="Picture 2"/>
        <xdr:cNvPicPr>
          <a:picLocks noChangeAspect="1"/>
        </xdr:cNvPicPr>
      </xdr:nvPicPr>
      <xdr:blipFill>
        <a:blip xmlns:r="http://schemas.openxmlformats.org/officeDocument/2006/relationships" r:embed="rId1"/>
        <a:stretch>
          <a:fillRect/>
        </a:stretch>
      </xdr:blipFill>
      <xdr:spPr>
        <a:xfrm>
          <a:off x="851647" y="76300852"/>
          <a:ext cx="4651623" cy="3780000"/>
        </a:xfrm>
        <a:prstGeom prst="rect">
          <a:avLst/>
        </a:prstGeom>
        <a:ln>
          <a:solidFill>
            <a:schemeClr val="tx1"/>
          </a:solidFill>
        </a:ln>
      </xdr:spPr>
    </xdr:pic>
    <xdr:clientData/>
  </xdr:twoCellAnchor>
  <xdr:twoCellAnchor>
    <xdr:from>
      <xdr:col>1</xdr:col>
      <xdr:colOff>72441</xdr:colOff>
      <xdr:row>478</xdr:row>
      <xdr:rowOff>39221</xdr:rowOff>
    </xdr:from>
    <xdr:to>
      <xdr:col>7</xdr:col>
      <xdr:colOff>1700</xdr:colOff>
      <xdr:row>498</xdr:row>
      <xdr:rowOff>145103</xdr:rowOff>
    </xdr:to>
    <xdr:grpSp>
      <xdr:nvGrpSpPr>
        <xdr:cNvPr id="6" name="Group 5"/>
        <xdr:cNvGrpSpPr/>
      </xdr:nvGrpSpPr>
      <xdr:grpSpPr>
        <a:xfrm>
          <a:off x="834441" y="83001971"/>
          <a:ext cx="4746188" cy="4188025"/>
          <a:chOff x="800823" y="80239721"/>
          <a:chExt cx="4747788" cy="4140000"/>
        </a:xfrm>
      </xdr:grpSpPr>
      <xdr:pic>
        <xdr:nvPicPr>
          <xdr:cNvPr id="4" name="Picture 3"/>
          <xdr:cNvPicPr>
            <a:picLocks noChangeAspect="1"/>
          </xdr:cNvPicPr>
        </xdr:nvPicPr>
        <xdr:blipFill>
          <a:blip xmlns:r="http://schemas.openxmlformats.org/officeDocument/2006/relationships" r:embed="rId2"/>
          <a:stretch>
            <a:fillRect/>
          </a:stretch>
        </xdr:blipFill>
        <xdr:spPr>
          <a:xfrm>
            <a:off x="800823" y="80239721"/>
            <a:ext cx="4747788" cy="4140000"/>
          </a:xfrm>
          <a:prstGeom prst="rect">
            <a:avLst/>
          </a:prstGeom>
          <a:ln>
            <a:solidFill>
              <a:schemeClr val="tx1"/>
            </a:solidFill>
          </a:ln>
        </xdr:spPr>
      </xdr:pic>
      <xdr:sp macro="" textlink="">
        <xdr:nvSpPr>
          <xdr:cNvPr id="5" name="Rectangle 4"/>
          <xdr:cNvSpPr/>
        </xdr:nvSpPr>
        <xdr:spPr>
          <a:xfrm rot="1720786">
            <a:off x="3145906" y="81535964"/>
            <a:ext cx="888173" cy="82186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2</xdr:col>
      <xdr:colOff>438150</xdr:colOff>
      <xdr:row>443</xdr:row>
      <xdr:rowOff>8381</xdr:rowOff>
    </xdr:from>
    <xdr:to>
      <xdr:col>5</xdr:col>
      <xdr:colOff>136381</xdr:colOff>
      <xdr:row>456</xdr:row>
      <xdr:rowOff>160936</xdr:rowOff>
    </xdr:to>
    <xdr:pic>
      <xdr:nvPicPr>
        <xdr:cNvPr id="10" name="Picture 9"/>
        <xdr:cNvPicPr>
          <a:picLocks noChangeAspect="1"/>
        </xdr:cNvPicPr>
      </xdr:nvPicPr>
      <xdr:blipFill>
        <a:blip xmlns:r="http://schemas.openxmlformats.org/officeDocument/2006/relationships" r:embed="rId3"/>
        <a:stretch>
          <a:fillRect/>
        </a:stretch>
      </xdr:blipFill>
      <xdr:spPr>
        <a:xfrm>
          <a:off x="2000250" y="70560056"/>
          <a:ext cx="2241406" cy="2752880"/>
        </a:xfrm>
        <a:prstGeom prst="rect">
          <a:avLst/>
        </a:prstGeom>
        <a:ln>
          <a:solidFill>
            <a:schemeClr val="tx1"/>
          </a:solidFill>
        </a:ln>
      </xdr:spPr>
    </xdr:pic>
    <xdr:clientData/>
  </xdr:twoCellAnchor>
  <xdr:twoCellAnchor>
    <xdr:from>
      <xdr:col>9</xdr:col>
      <xdr:colOff>257737</xdr:colOff>
      <xdr:row>373</xdr:row>
      <xdr:rowOff>67236</xdr:rowOff>
    </xdr:from>
    <xdr:to>
      <xdr:col>10</xdr:col>
      <xdr:colOff>515471</xdr:colOff>
      <xdr:row>375</xdr:row>
      <xdr:rowOff>112062</xdr:rowOff>
    </xdr:to>
    <xdr:sp macro="" textlink="">
      <xdr:nvSpPr>
        <xdr:cNvPr id="17" name="TextBox 16"/>
        <xdr:cNvSpPr txBox="1"/>
      </xdr:nvSpPr>
      <xdr:spPr>
        <a:xfrm>
          <a:off x="7732061" y="55166560"/>
          <a:ext cx="1019734" cy="448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A</a:t>
          </a:r>
        </a:p>
      </xdr:txBody>
    </xdr:sp>
    <xdr:clientData/>
  </xdr:twoCellAnchor>
  <xdr:twoCellAnchor>
    <xdr:from>
      <xdr:col>11</xdr:col>
      <xdr:colOff>553570</xdr:colOff>
      <xdr:row>393</xdr:row>
      <xdr:rowOff>71719</xdr:rowOff>
    </xdr:from>
    <xdr:to>
      <xdr:col>12</xdr:col>
      <xdr:colOff>311150</xdr:colOff>
      <xdr:row>395</xdr:row>
      <xdr:rowOff>12700</xdr:rowOff>
    </xdr:to>
    <xdr:sp macro="" textlink="">
      <xdr:nvSpPr>
        <xdr:cNvPr id="22" name="TextBox 21"/>
        <xdr:cNvSpPr txBox="1"/>
      </xdr:nvSpPr>
      <xdr:spPr>
        <a:xfrm>
          <a:off x="10142070" y="61641319"/>
          <a:ext cx="722780" cy="33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E</a:t>
          </a:r>
        </a:p>
      </xdr:txBody>
    </xdr:sp>
    <xdr:clientData/>
  </xdr:twoCellAnchor>
  <xdr:twoCellAnchor>
    <xdr:from>
      <xdr:col>14</xdr:col>
      <xdr:colOff>224118</xdr:colOff>
      <xdr:row>374</xdr:row>
      <xdr:rowOff>123265</xdr:rowOff>
    </xdr:from>
    <xdr:to>
      <xdr:col>15</xdr:col>
      <xdr:colOff>437028</xdr:colOff>
      <xdr:row>376</xdr:row>
      <xdr:rowOff>168090</xdr:rowOff>
    </xdr:to>
    <xdr:sp macro="" textlink="">
      <xdr:nvSpPr>
        <xdr:cNvPr id="23" name="TextBox 22"/>
        <xdr:cNvSpPr txBox="1"/>
      </xdr:nvSpPr>
      <xdr:spPr>
        <a:xfrm>
          <a:off x="11721353" y="58248177"/>
          <a:ext cx="1019734" cy="448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F</a:t>
          </a:r>
        </a:p>
      </xdr:txBody>
    </xdr:sp>
    <xdr:clientData/>
  </xdr:twoCellAnchor>
  <xdr:twoCellAnchor editAs="oneCell">
    <xdr:from>
      <xdr:col>8</xdr:col>
      <xdr:colOff>280147</xdr:colOff>
      <xdr:row>64</xdr:row>
      <xdr:rowOff>145676</xdr:rowOff>
    </xdr:from>
    <xdr:to>
      <xdr:col>14</xdr:col>
      <xdr:colOff>501348</xdr:colOff>
      <xdr:row>77</xdr:row>
      <xdr:rowOff>498416</xdr:rowOff>
    </xdr:to>
    <xdr:pic>
      <xdr:nvPicPr>
        <xdr:cNvPr id="7" name="Picture 6"/>
        <xdr:cNvPicPr>
          <a:picLocks noChangeAspect="1"/>
        </xdr:cNvPicPr>
      </xdr:nvPicPr>
      <xdr:blipFill>
        <a:blip xmlns:r="http://schemas.openxmlformats.org/officeDocument/2006/relationships" r:embed="rId4"/>
        <a:stretch>
          <a:fillRect/>
        </a:stretch>
      </xdr:blipFill>
      <xdr:spPr>
        <a:xfrm>
          <a:off x="6589059" y="15374470"/>
          <a:ext cx="5409524" cy="1961905"/>
        </a:xfrm>
        <a:prstGeom prst="rect">
          <a:avLst/>
        </a:prstGeom>
      </xdr:spPr>
    </xdr:pic>
    <xdr:clientData/>
  </xdr:twoCellAnchor>
  <xdr:twoCellAnchor editAs="oneCell">
    <xdr:from>
      <xdr:col>8</xdr:col>
      <xdr:colOff>209551</xdr:colOff>
      <xdr:row>52</xdr:row>
      <xdr:rowOff>1450602</xdr:rowOff>
    </xdr:from>
    <xdr:to>
      <xdr:col>14</xdr:col>
      <xdr:colOff>111128</xdr:colOff>
      <xdr:row>54</xdr:row>
      <xdr:rowOff>1044432</xdr:rowOff>
    </xdr:to>
    <xdr:pic>
      <xdr:nvPicPr>
        <xdr:cNvPr id="18" name="Picture 17"/>
        <xdr:cNvPicPr>
          <a:picLocks noChangeAspect="1"/>
        </xdr:cNvPicPr>
      </xdr:nvPicPr>
      <xdr:blipFill>
        <a:blip xmlns:r="http://schemas.openxmlformats.org/officeDocument/2006/relationships" r:embed="rId5"/>
        <a:stretch>
          <a:fillRect/>
        </a:stretch>
      </xdr:blipFill>
      <xdr:spPr>
        <a:xfrm>
          <a:off x="6724651" y="13490202"/>
          <a:ext cx="5083177" cy="1434957"/>
        </a:xfrm>
        <a:prstGeom prst="rect">
          <a:avLst/>
        </a:prstGeom>
      </xdr:spPr>
    </xdr:pic>
    <xdr:clientData/>
  </xdr:twoCellAnchor>
  <xdr:twoCellAnchor>
    <xdr:from>
      <xdr:col>10</xdr:col>
      <xdr:colOff>168088</xdr:colOff>
      <xdr:row>395</xdr:row>
      <xdr:rowOff>56029</xdr:rowOff>
    </xdr:from>
    <xdr:to>
      <xdr:col>11</xdr:col>
      <xdr:colOff>481852</xdr:colOff>
      <xdr:row>397</xdr:row>
      <xdr:rowOff>100854</xdr:rowOff>
    </xdr:to>
    <xdr:sp macro="" textlink="">
      <xdr:nvSpPr>
        <xdr:cNvPr id="34" name="TextBox 33"/>
        <xdr:cNvSpPr txBox="1"/>
      </xdr:nvSpPr>
      <xdr:spPr>
        <a:xfrm>
          <a:off x="8404412" y="59592882"/>
          <a:ext cx="1019734" cy="448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000" b="1">
              <a:solidFill>
                <a:srgbClr val="FF0000"/>
              </a:solidFill>
            </a:rPr>
            <a:t>Wing D</a:t>
          </a:r>
        </a:p>
      </xdr:txBody>
    </xdr:sp>
    <xdr:clientData/>
  </xdr:twoCellAnchor>
  <xdr:twoCellAnchor>
    <xdr:from>
      <xdr:col>1</xdr:col>
      <xdr:colOff>66675</xdr:colOff>
      <xdr:row>416</xdr:row>
      <xdr:rowOff>38100</xdr:rowOff>
    </xdr:from>
    <xdr:to>
      <xdr:col>6</xdr:col>
      <xdr:colOff>695325</xdr:colOff>
      <xdr:row>442</xdr:row>
      <xdr:rowOff>104775</xdr:rowOff>
    </xdr:to>
    <xdr:grpSp>
      <xdr:nvGrpSpPr>
        <xdr:cNvPr id="54" name="Group 53"/>
        <xdr:cNvGrpSpPr/>
      </xdr:nvGrpSpPr>
      <xdr:grpSpPr>
        <a:xfrm>
          <a:off x="828675" y="70346207"/>
          <a:ext cx="4710793" cy="5373461"/>
          <a:chOff x="2178743" y="89244448"/>
          <a:chExt cx="5000917" cy="5830505"/>
        </a:xfrm>
      </xdr:grpSpPr>
      <xdr:pic>
        <xdr:nvPicPr>
          <xdr:cNvPr id="55" name="Picture 54"/>
          <xdr:cNvPicPr>
            <a:picLocks noChangeAspect="1"/>
          </xdr:cNvPicPr>
        </xdr:nvPicPr>
        <xdr:blipFill>
          <a:blip xmlns:r="http://schemas.openxmlformats.org/officeDocument/2006/relationships" r:embed="rId6"/>
          <a:stretch>
            <a:fillRect/>
          </a:stretch>
        </xdr:blipFill>
        <xdr:spPr>
          <a:xfrm rot="10800000">
            <a:off x="2178743" y="89244448"/>
            <a:ext cx="5000917" cy="5830505"/>
          </a:xfrm>
          <a:prstGeom prst="rect">
            <a:avLst/>
          </a:prstGeom>
          <a:ln>
            <a:solidFill>
              <a:schemeClr val="tx1"/>
            </a:solidFill>
          </a:ln>
        </xdr:spPr>
      </xdr:pic>
      <xdr:sp macro="" textlink="">
        <xdr:nvSpPr>
          <xdr:cNvPr id="56" name="Rectangle 55"/>
          <xdr:cNvSpPr/>
        </xdr:nvSpPr>
        <xdr:spPr>
          <a:xfrm rot="20416116">
            <a:off x="2947519" y="91610038"/>
            <a:ext cx="905850" cy="135034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57" name="Rectangle 56"/>
          <xdr:cNvSpPr/>
        </xdr:nvSpPr>
        <xdr:spPr>
          <a:xfrm rot="4002872">
            <a:off x="2758826" y="93523463"/>
            <a:ext cx="1000827" cy="39683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A Wing </a:t>
            </a:r>
          </a:p>
        </xdr:txBody>
      </xdr:sp>
      <xdr:sp macro="" textlink="">
        <xdr:nvSpPr>
          <xdr:cNvPr id="58" name="Rectangle 57"/>
          <xdr:cNvSpPr/>
        </xdr:nvSpPr>
        <xdr:spPr>
          <a:xfrm rot="20416116">
            <a:off x="3526540" y="92960296"/>
            <a:ext cx="912254" cy="135034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59" name="Rectangle 58"/>
          <xdr:cNvSpPr/>
        </xdr:nvSpPr>
        <xdr:spPr>
          <a:xfrm rot="20416116">
            <a:off x="2862850" y="90506265"/>
            <a:ext cx="903301" cy="108894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60" name="Rectangle 59"/>
          <xdr:cNvSpPr/>
        </xdr:nvSpPr>
        <xdr:spPr>
          <a:xfrm rot="16200000">
            <a:off x="4585375" y="93515406"/>
            <a:ext cx="745961" cy="108339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61" name="Rectangle 60"/>
          <xdr:cNvSpPr/>
        </xdr:nvSpPr>
        <xdr:spPr>
          <a:xfrm rot="16200000">
            <a:off x="5759445" y="93604691"/>
            <a:ext cx="797907" cy="117416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62" name="Rectangle 61"/>
          <xdr:cNvSpPr/>
        </xdr:nvSpPr>
        <xdr:spPr>
          <a:xfrm>
            <a:off x="5856367" y="92327469"/>
            <a:ext cx="764684" cy="135034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sp macro="" textlink="">
        <xdr:nvSpPr>
          <xdr:cNvPr id="63" name="Rectangle 62"/>
          <xdr:cNvSpPr/>
        </xdr:nvSpPr>
        <xdr:spPr>
          <a:xfrm rot="4229888">
            <a:off x="3526967" y="91996143"/>
            <a:ext cx="1024089" cy="39683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B Wing </a:t>
            </a:r>
          </a:p>
        </xdr:txBody>
      </xdr:sp>
      <xdr:sp macro="" textlink="">
        <xdr:nvSpPr>
          <xdr:cNvPr id="64" name="Rectangle 63"/>
          <xdr:cNvSpPr/>
        </xdr:nvSpPr>
        <xdr:spPr>
          <a:xfrm rot="20252277">
            <a:off x="2818740" y="90095491"/>
            <a:ext cx="1044944" cy="373775"/>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C Wing </a:t>
            </a:r>
          </a:p>
        </xdr:txBody>
      </xdr:sp>
      <xdr:sp macro="" textlink="">
        <xdr:nvSpPr>
          <xdr:cNvPr id="65" name="Rectangle 64"/>
          <xdr:cNvSpPr/>
        </xdr:nvSpPr>
        <xdr:spPr>
          <a:xfrm>
            <a:off x="5025798" y="92304258"/>
            <a:ext cx="1026979" cy="3757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D Wing </a:t>
            </a:r>
          </a:p>
        </xdr:txBody>
      </xdr:sp>
      <xdr:sp macro="" textlink="">
        <xdr:nvSpPr>
          <xdr:cNvPr id="66" name="Rectangle 65"/>
          <xdr:cNvSpPr/>
        </xdr:nvSpPr>
        <xdr:spPr>
          <a:xfrm>
            <a:off x="5731827" y="94590489"/>
            <a:ext cx="892450" cy="37574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E Wing </a:t>
            </a:r>
          </a:p>
        </xdr:txBody>
      </xdr:sp>
      <xdr:sp macro="" textlink="">
        <xdr:nvSpPr>
          <xdr:cNvPr id="67" name="Rectangle 66"/>
          <xdr:cNvSpPr/>
        </xdr:nvSpPr>
        <xdr:spPr>
          <a:xfrm>
            <a:off x="4681275" y="93314380"/>
            <a:ext cx="907257" cy="374575"/>
          </a:xfrm>
          <a:prstGeom prst="rect">
            <a:avLst/>
          </a:prstGeom>
          <a:ln>
            <a:noFill/>
          </a:ln>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bg2">
                    <a:lumMod val="10000"/>
                  </a:schemeClr>
                </a:solidFill>
              </a:rPr>
              <a:t>F Wing </a:t>
            </a:r>
          </a:p>
        </xdr:txBody>
      </xdr:sp>
    </xdr:grpSp>
    <xdr:clientData/>
  </xdr:twoCellAnchor>
  <xdr:twoCellAnchor>
    <xdr:from>
      <xdr:col>9</xdr:col>
      <xdr:colOff>626184</xdr:colOff>
      <xdr:row>368</xdr:row>
      <xdr:rowOff>180485</xdr:rowOff>
    </xdr:from>
    <xdr:to>
      <xdr:col>17</xdr:col>
      <xdr:colOff>543848</xdr:colOff>
      <xdr:row>409</xdr:row>
      <xdr:rowOff>33101</xdr:rowOff>
    </xdr:to>
    <xdr:grpSp>
      <xdr:nvGrpSpPr>
        <xdr:cNvPr id="2" name="Group 1"/>
        <xdr:cNvGrpSpPr/>
      </xdr:nvGrpSpPr>
      <xdr:grpSpPr>
        <a:xfrm>
          <a:off x="8300613" y="60705056"/>
          <a:ext cx="6149735" cy="8207402"/>
          <a:chOff x="7546975" y="56908700"/>
          <a:chExt cx="6135382" cy="8045797"/>
        </a:xfrm>
      </xdr:grpSpPr>
      <xdr:grpSp>
        <xdr:nvGrpSpPr>
          <xdr:cNvPr id="9" name="Group 8"/>
          <xdr:cNvGrpSpPr/>
        </xdr:nvGrpSpPr>
        <xdr:grpSpPr>
          <a:xfrm>
            <a:off x="7546975" y="56908700"/>
            <a:ext cx="6135382" cy="8045797"/>
            <a:chOff x="184150" y="57524650"/>
            <a:chExt cx="6408432" cy="7921972"/>
          </a:xfrm>
        </xdr:grpSpPr>
        <xdr:pic>
          <xdr:nvPicPr>
            <xdr:cNvPr id="43" name="Picture 42" descr="https://vsjcllp.vsjadon.com/upload/insp-237869-152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361586" y="63286622"/>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7869-843.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84150" y="5752465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7869-86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359504" y="5752465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37869-93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534858" y="57524650"/>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37869-86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84150" y="60405636"/>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37869-86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359504" y="60405636"/>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37869-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534858" y="60405636"/>
              <a:ext cx="2057724" cy="273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37869-88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619437" y="63286622"/>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73" name="TextBox 72"/>
          <xdr:cNvSpPr txBox="1"/>
        </xdr:nvSpPr>
        <xdr:spPr>
          <a:xfrm>
            <a:off x="8207375" y="58473975"/>
            <a:ext cx="713255" cy="337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74" name="TextBox 73"/>
          <xdr:cNvSpPr txBox="1"/>
        </xdr:nvSpPr>
        <xdr:spPr>
          <a:xfrm>
            <a:off x="10223500" y="58531125"/>
            <a:ext cx="678330" cy="341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75" name="TextBox 74"/>
          <xdr:cNvSpPr txBox="1"/>
        </xdr:nvSpPr>
        <xdr:spPr>
          <a:xfrm>
            <a:off x="12211050" y="58369200"/>
            <a:ext cx="684680" cy="341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76" name="TextBox 75"/>
          <xdr:cNvSpPr txBox="1"/>
        </xdr:nvSpPr>
        <xdr:spPr>
          <a:xfrm>
            <a:off x="8258175" y="61255275"/>
            <a:ext cx="948198" cy="337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D</a:t>
            </a:r>
          </a:p>
        </xdr:txBody>
      </xdr:sp>
      <xdr:sp macro="" textlink="">
        <xdr:nvSpPr>
          <xdr:cNvPr id="77" name="TextBox 76"/>
          <xdr:cNvSpPr txBox="1"/>
        </xdr:nvSpPr>
        <xdr:spPr>
          <a:xfrm>
            <a:off x="10483850" y="61023500"/>
            <a:ext cx="678330" cy="337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E</a:t>
            </a:r>
          </a:p>
        </xdr:txBody>
      </xdr:sp>
      <xdr:sp macro="" textlink="">
        <xdr:nvSpPr>
          <xdr:cNvPr id="78" name="TextBox 77"/>
          <xdr:cNvSpPr txBox="1"/>
        </xdr:nvSpPr>
        <xdr:spPr>
          <a:xfrm>
            <a:off x="12211050" y="61017150"/>
            <a:ext cx="684680" cy="337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cap="none" spc="0">
                <a:ln w="0"/>
                <a:solidFill>
                  <a:srgbClr val="FFFF00"/>
                </a:solidFill>
                <a:effectLst>
                  <a:outerShdw blurRad="38100" dist="25400" dir="5400000" algn="ctr" rotWithShape="0">
                    <a:srgbClr val="6E747A">
                      <a:alpha val="43000"/>
                    </a:srgbClr>
                  </a:outerShdw>
                </a:effectLst>
              </a:rPr>
              <a:t>Wing F</a:t>
            </a:r>
          </a:p>
        </xdr:txBody>
      </xdr:sp>
    </xdr:grpSp>
    <xdr:clientData/>
  </xdr:twoCellAnchor>
  <xdr:twoCellAnchor>
    <xdr:from>
      <xdr:col>0</xdr:col>
      <xdr:colOff>47624</xdr:colOff>
      <xdr:row>372</xdr:row>
      <xdr:rowOff>47624</xdr:rowOff>
    </xdr:from>
    <xdr:to>
      <xdr:col>7</xdr:col>
      <xdr:colOff>685799</xdr:colOff>
      <xdr:row>412</xdr:row>
      <xdr:rowOff>28574</xdr:rowOff>
    </xdr:to>
    <xdr:grpSp>
      <xdr:nvGrpSpPr>
        <xdr:cNvPr id="44" name="Group 43"/>
        <xdr:cNvGrpSpPr/>
      </xdr:nvGrpSpPr>
      <xdr:grpSpPr>
        <a:xfrm>
          <a:off x="47624" y="61388624"/>
          <a:ext cx="6217104" cy="8131629"/>
          <a:chOff x="466263" y="2161469"/>
          <a:chExt cx="5124140" cy="6213274"/>
        </a:xfrm>
      </xdr:grpSpPr>
      <xdr:pic>
        <xdr:nvPicPr>
          <xdr:cNvPr id="45" name="Picture 44" descr="https://vsjcllp.vsjadon.com/upload/insp-246816-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899929" y="6719011"/>
            <a:ext cx="1245263" cy="1655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816-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66263" y="2161469"/>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816-844.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22106" y="4440240"/>
            <a:ext cx="286538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6816-85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221019" y="2161469"/>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816-87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576970" y="6719011"/>
            <a:ext cx="1245263" cy="16557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6816-874.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965884" y="2161469"/>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6816-880.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707839" y="4440240"/>
            <a:ext cx="162451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XP9Y4U7CamS6cqx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58"/>
  <sheetViews>
    <sheetView tabSelected="1" view="pageBreakPreview" zoomScale="70" zoomScaleNormal="100" zoomScaleSheetLayoutView="70" zoomScalePageLayoutView="85" workbookViewId="0">
      <selection activeCell="J13" sqref="J13"/>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7" width="11" style="39" customWidth="1"/>
    <col min="8" max="8" width="14"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00" t="s">
        <v>168</v>
      </c>
      <c r="B1" s="200"/>
      <c r="C1" s="200"/>
      <c r="D1" s="200"/>
      <c r="E1" s="200"/>
      <c r="F1" s="200"/>
      <c r="G1" s="200"/>
      <c r="H1" s="200"/>
    </row>
    <row r="2" spans="1:26" ht="16.5" customHeight="1" x14ac:dyDescent="0.25">
      <c r="A2" s="201" t="s">
        <v>0</v>
      </c>
      <c r="B2" s="201"/>
      <c r="C2" s="201"/>
      <c r="D2" s="201"/>
      <c r="E2" s="201"/>
      <c r="F2" s="201"/>
      <c r="G2" s="201"/>
      <c r="H2" s="201"/>
    </row>
    <row r="3" spans="1:26" x14ac:dyDescent="0.25">
      <c r="A3" s="174" t="s">
        <v>1</v>
      </c>
      <c r="B3" s="174"/>
      <c r="C3" s="174"/>
      <c r="D3" s="174"/>
      <c r="E3" s="174" t="str">
        <f ca="1">TEXT(TODAY(),"DD/MM/YYYY")</f>
        <v>15/09/2025</v>
      </c>
      <c r="F3" s="174"/>
      <c r="G3" s="174"/>
      <c r="H3" s="174"/>
      <c r="K3" s="58" t="s">
        <v>239</v>
      </c>
      <c r="L3" s="55" t="s">
        <v>237</v>
      </c>
      <c r="M3" s="55" t="s">
        <v>242</v>
      </c>
      <c r="N3" s="55" t="s">
        <v>240</v>
      </c>
      <c r="O3" s="55" t="s">
        <v>241</v>
      </c>
      <c r="P3" s="55" t="s">
        <v>243</v>
      </c>
    </row>
    <row r="4" spans="1:26" ht="15" customHeight="1" x14ac:dyDescent="0.25">
      <c r="A4" s="174" t="s">
        <v>236</v>
      </c>
      <c r="B4" s="174"/>
      <c r="C4" s="174"/>
      <c r="D4" s="174"/>
      <c r="E4" s="174" t="s">
        <v>237</v>
      </c>
      <c r="F4" s="174"/>
      <c r="G4" s="174"/>
      <c r="H4" s="174"/>
      <c r="K4" s="54" t="s">
        <v>238</v>
      </c>
      <c r="L4" s="55" t="s">
        <v>174</v>
      </c>
      <c r="M4" s="55" t="s">
        <v>247</v>
      </c>
      <c r="N4" s="55" t="s">
        <v>249</v>
      </c>
      <c r="O4" s="55" t="s">
        <v>251</v>
      </c>
      <c r="P4" s="55"/>
    </row>
    <row r="5" spans="1:26" ht="15" customHeight="1" x14ac:dyDescent="0.25">
      <c r="A5" s="174" t="s">
        <v>2</v>
      </c>
      <c r="B5" s="174"/>
      <c r="C5" s="174"/>
      <c r="D5" s="174"/>
      <c r="E5" s="174" t="s">
        <v>174</v>
      </c>
      <c r="F5" s="174"/>
      <c r="G5" s="174"/>
      <c r="H5" s="174"/>
      <c r="K5" s="54"/>
      <c r="L5" s="55" t="s">
        <v>244</v>
      </c>
      <c r="M5" s="55" t="s">
        <v>248</v>
      </c>
      <c r="N5" s="55" t="s">
        <v>250</v>
      </c>
      <c r="O5" s="55" t="s">
        <v>252</v>
      </c>
      <c r="P5" s="55"/>
    </row>
    <row r="6" spans="1:26" x14ac:dyDescent="0.25">
      <c r="A6" s="174" t="s">
        <v>3</v>
      </c>
      <c r="B6" s="174"/>
      <c r="C6" s="174"/>
      <c r="D6" s="174"/>
      <c r="E6" s="202">
        <v>45909</v>
      </c>
      <c r="F6" s="174"/>
      <c r="G6" s="174"/>
      <c r="H6" s="174"/>
      <c r="K6" s="54"/>
      <c r="L6" s="55" t="s">
        <v>245</v>
      </c>
      <c r="M6" s="55"/>
      <c r="N6" s="55"/>
      <c r="O6" s="55" t="s">
        <v>253</v>
      </c>
      <c r="P6" s="55"/>
    </row>
    <row r="7" spans="1:26" ht="16.5" customHeight="1" x14ac:dyDescent="0.25">
      <c r="A7" s="174" t="s">
        <v>4</v>
      </c>
      <c r="B7" s="174"/>
      <c r="C7" s="174"/>
      <c r="D7" s="174"/>
      <c r="E7" s="174" t="s">
        <v>305</v>
      </c>
      <c r="F7" s="174"/>
      <c r="G7" s="174"/>
      <c r="H7" s="174"/>
      <c r="K7" s="54"/>
      <c r="L7" s="55" t="s">
        <v>246</v>
      </c>
      <c r="M7" s="55"/>
      <c r="N7" s="55"/>
      <c r="O7" s="55" t="s">
        <v>253</v>
      </c>
      <c r="P7" s="55"/>
    </row>
    <row r="8" spans="1:26" ht="15" customHeight="1" x14ac:dyDescent="0.25">
      <c r="A8" s="174" t="s">
        <v>5</v>
      </c>
      <c r="B8" s="174"/>
      <c r="C8" s="174"/>
      <c r="D8" s="174"/>
      <c r="E8" s="174" t="str">
        <f>E7</f>
        <v>Arkade Developers Pvt. Ltd.</v>
      </c>
      <c r="F8" s="174"/>
      <c r="G8" s="174"/>
      <c r="H8" s="174"/>
      <c r="K8" s="54"/>
      <c r="L8" s="55"/>
      <c r="M8" s="55"/>
      <c r="N8" s="55"/>
      <c r="O8" s="55" t="s">
        <v>254</v>
      </c>
      <c r="P8" s="55"/>
    </row>
    <row r="9" spans="1:26" x14ac:dyDescent="0.25">
      <c r="A9" s="174" t="s">
        <v>6</v>
      </c>
      <c r="B9" s="174"/>
      <c r="C9" s="174"/>
      <c r="D9" s="174"/>
      <c r="E9" s="163" t="s">
        <v>306</v>
      </c>
      <c r="F9" s="163"/>
      <c r="G9" s="163"/>
      <c r="H9" s="163"/>
      <c r="K9" s="54"/>
      <c r="L9" s="55"/>
      <c r="M9" s="55"/>
      <c r="N9" s="55"/>
      <c r="O9" s="55" t="s">
        <v>255</v>
      </c>
      <c r="P9" s="55"/>
    </row>
    <row r="10" spans="1:26" x14ac:dyDescent="0.25">
      <c r="A10" s="174" t="s">
        <v>171</v>
      </c>
      <c r="B10" s="174"/>
      <c r="C10" s="174"/>
      <c r="D10" s="174"/>
      <c r="E10" s="174" t="s">
        <v>307</v>
      </c>
      <c r="F10" s="174"/>
      <c r="G10" s="174"/>
      <c r="H10" s="174"/>
      <c r="K10" s="54"/>
      <c r="L10" s="55"/>
      <c r="M10" s="55"/>
      <c r="N10" s="55"/>
      <c r="O10" s="55"/>
      <c r="P10" s="55"/>
    </row>
    <row r="11" spans="1:26" x14ac:dyDescent="0.25">
      <c r="A11" s="174" t="s">
        <v>172</v>
      </c>
      <c r="B11" s="174"/>
      <c r="C11" s="174"/>
      <c r="D11" s="174"/>
      <c r="E11" s="174" t="s">
        <v>375</v>
      </c>
      <c r="F11" s="174"/>
      <c r="G11" s="174"/>
      <c r="H11" s="174"/>
    </row>
    <row r="12" spans="1:26" x14ac:dyDescent="0.25">
      <c r="A12" s="174" t="s">
        <v>7</v>
      </c>
      <c r="B12" s="174"/>
      <c r="C12" s="174"/>
      <c r="D12" s="174"/>
      <c r="E12" s="174" t="s">
        <v>308</v>
      </c>
      <c r="F12" s="174"/>
      <c r="G12" s="174"/>
      <c r="H12" s="174"/>
    </row>
    <row r="13" spans="1:26" x14ac:dyDescent="0.25">
      <c r="A13" s="174" t="s">
        <v>175</v>
      </c>
      <c r="B13" s="174"/>
      <c r="C13" s="174"/>
      <c r="D13" s="174"/>
      <c r="E13" s="174" t="s">
        <v>28</v>
      </c>
      <c r="F13" s="174"/>
      <c r="G13" s="174"/>
      <c r="H13" s="174"/>
      <c r="S13" s="55" t="s">
        <v>182</v>
      </c>
      <c r="T13" s="55" t="s">
        <v>192</v>
      </c>
      <c r="U13" s="55" t="s">
        <v>176</v>
      </c>
      <c r="V13" s="55" t="s">
        <v>197</v>
      </c>
      <c r="W13" s="55" t="s">
        <v>215</v>
      </c>
      <c r="X13"/>
      <c r="Y13" t="s">
        <v>197</v>
      </c>
      <c r="Z13" t="e">
        <f ca="1">OFFSET($S$13,1,MATCH($G20,$S$13:$W$13,0)-1,15,1)</f>
        <v>#VALUE!</v>
      </c>
    </row>
    <row r="14" spans="1:26" x14ac:dyDescent="0.25">
      <c r="A14" s="134" t="s">
        <v>282</v>
      </c>
      <c r="B14" s="134"/>
      <c r="C14" s="134"/>
      <c r="D14" s="134"/>
      <c r="E14" s="166" t="s">
        <v>333</v>
      </c>
      <c r="F14" s="166"/>
      <c r="G14" s="166"/>
      <c r="H14" s="166"/>
      <c r="S14" s="55" t="s">
        <v>183</v>
      </c>
      <c r="T14" s="55" t="s">
        <v>190</v>
      </c>
      <c r="U14" s="55" t="s">
        <v>212</v>
      </c>
      <c r="V14" s="55" t="s">
        <v>198</v>
      </c>
      <c r="W14" s="55" t="s">
        <v>216</v>
      </c>
      <c r="X14"/>
      <c r="Y14"/>
      <c r="Z14"/>
    </row>
    <row r="15" spans="1:26" x14ac:dyDescent="0.25">
      <c r="A15" s="134" t="s">
        <v>8</v>
      </c>
      <c r="B15" s="134"/>
      <c r="C15" s="134"/>
      <c r="D15" s="134"/>
      <c r="E15" s="166" t="s">
        <v>309</v>
      </c>
      <c r="F15" s="174"/>
      <c r="G15" s="174"/>
      <c r="H15" s="174"/>
      <c r="I15" s="222" t="e">
        <f ca="1">OFFSET($D$5,1,MATCH($J13,$D$5:$H$5,0)-1,15,1)</f>
        <v>#N/A</v>
      </c>
      <c r="J15" s="223"/>
      <c r="K15" s="223"/>
      <c r="L15" s="223"/>
      <c r="M15" s="223"/>
      <c r="N15" s="223"/>
      <c r="O15" s="223"/>
      <c r="P15" s="223"/>
      <c r="S15" s="55" t="s">
        <v>184</v>
      </c>
      <c r="T15" s="55" t="s">
        <v>191</v>
      </c>
      <c r="U15" s="55" t="s">
        <v>213</v>
      </c>
      <c r="V15" s="55" t="s">
        <v>199</v>
      </c>
      <c r="W15" s="55" t="s">
        <v>229</v>
      </c>
      <c r="X15"/>
      <c r="Y15"/>
      <c r="Z15"/>
    </row>
    <row r="16" spans="1:26" ht="33" customHeight="1" x14ac:dyDescent="0.25">
      <c r="A16" s="175" t="s">
        <v>9</v>
      </c>
      <c r="B16" s="175"/>
      <c r="C16" s="175" t="str">
        <f>CONCATENATE((IF(OR(E9="",E9="NA"),"",E9)),", ",(IF(OR(A17="",A17="NA"),"",A17)),".",(IF(OR(C17="",C17="NA"),"",C17)),", near ",(IF(OR(C22="",C22="NA"),"",C22)),", ",(IF(OR(C19="",C19="NA"),"",C19)),", ",(IF(OR(C18="",C18="NA"),"",C18)),", ",(IF(OR(G19="",G19="NA"),"",G19)),", ",(IF(OR(C20="",C20="NA"),"",C20)),", ",(IF(OR(C21="",C21="NA"),"",C21)),", ",(IF(OR(G20="",G20="NA"),"",G20))," - ",(IF(OR(G21="",G21="NA"),"",G21)),".")</f>
        <v>Arkade Nest, CTS No.704, near Mangla Tower, K.Kamarajar Road, Asha Nagar, Nahur, Mulund West, Kurla, Mumbai - 400080.</v>
      </c>
      <c r="D16" s="175"/>
      <c r="E16" s="175"/>
      <c r="F16" s="175"/>
      <c r="G16" s="175"/>
      <c r="H16" s="175"/>
      <c r="S16" s="55" t="s">
        <v>185</v>
      </c>
      <c r="T16" s="55" t="s">
        <v>193</v>
      </c>
      <c r="U16" s="55" t="s">
        <v>214</v>
      </c>
      <c r="V16" s="55" t="s">
        <v>200</v>
      </c>
      <c r="W16" s="55" t="s">
        <v>217</v>
      </c>
      <c r="X16"/>
      <c r="Y16"/>
      <c r="Z16"/>
    </row>
    <row r="17" spans="1:26" x14ac:dyDescent="0.25">
      <c r="A17" s="166" t="s">
        <v>179</v>
      </c>
      <c r="B17" s="166"/>
      <c r="C17" s="166">
        <v>704</v>
      </c>
      <c r="D17" s="166"/>
      <c r="E17" s="166"/>
      <c r="F17" s="166"/>
      <c r="G17" s="166"/>
      <c r="H17" s="166"/>
      <c r="S17" s="55" t="s">
        <v>186</v>
      </c>
      <c r="T17" s="55" t="s">
        <v>194</v>
      </c>
      <c r="U17" s="55" t="s">
        <v>176</v>
      </c>
      <c r="V17" s="55" t="s">
        <v>201</v>
      </c>
      <c r="W17" s="55" t="s">
        <v>218</v>
      </c>
      <c r="X17"/>
      <c r="Y17"/>
      <c r="Z17"/>
    </row>
    <row r="18" spans="1:26" ht="15.75" customHeight="1" x14ac:dyDescent="0.25">
      <c r="A18" s="166" t="s">
        <v>166</v>
      </c>
      <c r="B18" s="166"/>
      <c r="C18" s="166" t="s">
        <v>311</v>
      </c>
      <c r="D18" s="166"/>
      <c r="E18" s="166"/>
      <c r="F18" s="166"/>
      <c r="G18" s="166"/>
      <c r="H18" s="166"/>
      <c r="S18" s="55" t="s">
        <v>187</v>
      </c>
      <c r="T18" s="55" t="s">
        <v>192</v>
      </c>
      <c r="U18" s="55"/>
      <c r="V18" s="55" t="s">
        <v>202</v>
      </c>
      <c r="W18" s="55" t="s">
        <v>219</v>
      </c>
      <c r="X18"/>
      <c r="Y18"/>
      <c r="Z18"/>
    </row>
    <row r="19" spans="1:26" ht="15.75" customHeight="1" x14ac:dyDescent="0.25">
      <c r="A19" s="175" t="s">
        <v>10</v>
      </c>
      <c r="B19" s="175"/>
      <c r="C19" s="174" t="s">
        <v>312</v>
      </c>
      <c r="D19" s="174"/>
      <c r="E19" s="166" t="s">
        <v>70</v>
      </c>
      <c r="F19" s="166"/>
      <c r="G19" s="166" t="s">
        <v>310</v>
      </c>
      <c r="H19" s="166"/>
      <c r="S19" s="55" t="s">
        <v>188</v>
      </c>
      <c r="T19" s="55" t="s">
        <v>195</v>
      </c>
      <c r="U19" s="55"/>
      <c r="V19" s="55" t="s">
        <v>203</v>
      </c>
      <c r="W19" s="55" t="s">
        <v>220</v>
      </c>
      <c r="X19"/>
      <c r="Y19"/>
      <c r="Z19"/>
    </row>
    <row r="20" spans="1:26" x14ac:dyDescent="0.25">
      <c r="A20" s="134" t="s">
        <v>12</v>
      </c>
      <c r="B20" s="134"/>
      <c r="C20" s="166" t="s">
        <v>314</v>
      </c>
      <c r="D20" s="166"/>
      <c r="E20" s="166" t="s">
        <v>11</v>
      </c>
      <c r="F20" s="166"/>
      <c r="G20" s="199" t="s">
        <v>176</v>
      </c>
      <c r="H20" s="199"/>
      <c r="S20" s="55" t="s">
        <v>189</v>
      </c>
      <c r="T20" s="55" t="s">
        <v>196</v>
      </c>
      <c r="U20" s="55"/>
      <c r="V20" s="55" t="s">
        <v>204</v>
      </c>
      <c r="W20" s="55" t="s">
        <v>221</v>
      </c>
      <c r="X20"/>
      <c r="Y20"/>
      <c r="Z20"/>
    </row>
    <row r="21" spans="1:26" x14ac:dyDescent="0.25">
      <c r="A21" s="134" t="s">
        <v>71</v>
      </c>
      <c r="B21" s="134"/>
      <c r="C21" s="166" t="s">
        <v>214</v>
      </c>
      <c r="D21" s="166"/>
      <c r="E21" s="166" t="s">
        <v>13</v>
      </c>
      <c r="F21" s="166"/>
      <c r="G21" s="166">
        <v>400080</v>
      </c>
      <c r="H21" s="166"/>
      <c r="S21" s="55"/>
      <c r="T21" s="55"/>
      <c r="U21" s="55"/>
      <c r="V21" s="55" t="s">
        <v>205</v>
      </c>
      <c r="W21" s="55" t="s">
        <v>222</v>
      </c>
      <c r="X21"/>
      <c r="Y21"/>
      <c r="Z21"/>
    </row>
    <row r="22" spans="1:26" ht="32.25" customHeight="1" x14ac:dyDescent="0.25">
      <c r="A22" s="134" t="s">
        <v>122</v>
      </c>
      <c r="B22" s="134"/>
      <c r="C22" s="166" t="s">
        <v>313</v>
      </c>
      <c r="D22" s="166"/>
      <c r="E22" s="175" t="s">
        <v>14</v>
      </c>
      <c r="F22" s="175"/>
      <c r="G22" s="166" t="s">
        <v>334</v>
      </c>
      <c r="H22" s="166"/>
      <c r="S22" s="55"/>
      <c r="T22" s="55"/>
      <c r="U22" s="55"/>
      <c r="V22" s="55" t="s">
        <v>206</v>
      </c>
      <c r="W22" s="55" t="s">
        <v>223</v>
      </c>
      <c r="X22"/>
      <c r="Y22"/>
      <c r="Z22"/>
    </row>
    <row r="23" spans="1:26" ht="15" customHeight="1" x14ac:dyDescent="0.25">
      <c r="A23" s="175" t="s">
        <v>73</v>
      </c>
      <c r="B23" s="175"/>
      <c r="C23" s="175"/>
      <c r="D23" s="175"/>
      <c r="E23" s="174" t="s">
        <v>15</v>
      </c>
      <c r="F23" s="174"/>
      <c r="G23" s="174"/>
      <c r="H23" s="174"/>
      <c r="S23" s="55"/>
      <c r="T23" s="55"/>
      <c r="U23" s="55"/>
      <c r="V23" s="55" t="s">
        <v>207</v>
      </c>
      <c r="W23" s="55" t="s">
        <v>224</v>
      </c>
      <c r="X23"/>
      <c r="Y23"/>
      <c r="Z23"/>
    </row>
    <row r="24" spans="1:26" ht="18.75" customHeight="1" x14ac:dyDescent="0.25">
      <c r="A24" s="175"/>
      <c r="B24" s="175"/>
      <c r="C24" s="175"/>
      <c r="D24" s="175"/>
      <c r="E24" s="174"/>
      <c r="F24" s="174"/>
      <c r="G24" s="174"/>
      <c r="H24" s="174"/>
      <c r="S24" s="55"/>
      <c r="T24" s="55"/>
      <c r="U24" s="55"/>
      <c r="V24" s="55" t="s">
        <v>208</v>
      </c>
      <c r="W24" s="55" t="s">
        <v>225</v>
      </c>
      <c r="X24"/>
      <c r="Y24"/>
      <c r="Z24"/>
    </row>
    <row r="25" spans="1:26" ht="15" customHeight="1" x14ac:dyDescent="0.25">
      <c r="A25" s="175" t="s">
        <v>16</v>
      </c>
      <c r="B25" s="175"/>
      <c r="C25" s="175"/>
      <c r="D25" s="175"/>
      <c r="E25" s="166" t="s">
        <v>17</v>
      </c>
      <c r="F25" s="166"/>
      <c r="G25" s="166"/>
      <c r="H25" s="166"/>
      <c r="S25" s="55"/>
      <c r="T25" s="55"/>
      <c r="U25" s="55"/>
      <c r="V25" s="55" t="s">
        <v>209</v>
      </c>
      <c r="W25" s="55" t="s">
        <v>226</v>
      </c>
      <c r="X25"/>
      <c r="Y25"/>
      <c r="Z25"/>
    </row>
    <row r="26" spans="1:26" ht="15" customHeight="1" x14ac:dyDescent="0.25">
      <c r="A26" s="134" t="s">
        <v>18</v>
      </c>
      <c r="B26" s="134"/>
      <c r="C26" s="134"/>
      <c r="D26" s="134"/>
      <c r="E26" s="166" t="str">
        <f>IF(AND(G20="Mumbai"),"Upper Class","Middle Class")</f>
        <v>Upper Class</v>
      </c>
      <c r="F26" s="166"/>
      <c r="G26" s="166"/>
      <c r="H26" s="166"/>
      <c r="S26" s="55"/>
      <c r="T26" s="55"/>
      <c r="U26" s="55"/>
      <c r="V26" s="55" t="s">
        <v>210</v>
      </c>
      <c r="W26" s="55" t="s">
        <v>227</v>
      </c>
      <c r="X26"/>
      <c r="Y26"/>
      <c r="Z26"/>
    </row>
    <row r="27" spans="1:26" x14ac:dyDescent="0.25">
      <c r="A27" s="134" t="s">
        <v>19</v>
      </c>
      <c r="B27" s="134"/>
      <c r="C27" s="134"/>
      <c r="D27" s="134"/>
      <c r="E27" s="166" t="s">
        <v>20</v>
      </c>
      <c r="F27" s="166"/>
      <c r="G27" s="166"/>
      <c r="H27" s="166"/>
      <c r="S27" s="55"/>
      <c r="T27" s="55"/>
      <c r="U27" s="55"/>
      <c r="V27" s="55" t="s">
        <v>211</v>
      </c>
      <c r="W27" s="55" t="s">
        <v>228</v>
      </c>
      <c r="X27"/>
      <c r="Y27"/>
      <c r="Z27"/>
    </row>
    <row r="28" spans="1:26" ht="15.75" customHeight="1" x14ac:dyDescent="0.25">
      <c r="A28" s="134" t="s">
        <v>21</v>
      </c>
      <c r="B28" s="134"/>
      <c r="C28" s="134"/>
      <c r="D28" s="134"/>
      <c r="E28" s="166" t="str">
        <f>IF(AND(G20="Mumbai"),"Developed","Developing")</f>
        <v>Developed</v>
      </c>
      <c r="F28" s="166"/>
      <c r="G28" s="166"/>
      <c r="H28" s="166"/>
    </row>
    <row r="29" spans="1:26" x14ac:dyDescent="0.25">
      <c r="A29" s="134" t="s">
        <v>22</v>
      </c>
      <c r="B29" s="134"/>
      <c r="C29" s="134"/>
      <c r="D29" s="134"/>
      <c r="E29" s="166" t="s">
        <v>23</v>
      </c>
      <c r="F29" s="166"/>
      <c r="G29" s="166"/>
      <c r="H29" s="166"/>
    </row>
    <row r="30" spans="1:26" ht="15.75" customHeight="1" x14ac:dyDescent="0.25">
      <c r="A30" s="134" t="s">
        <v>78</v>
      </c>
      <c r="B30" s="134"/>
      <c r="C30" s="134"/>
      <c r="D30" s="134"/>
      <c r="E30" s="166" t="s">
        <v>79</v>
      </c>
      <c r="F30" s="166"/>
      <c r="G30" s="166"/>
      <c r="H30" s="166"/>
    </row>
    <row r="31" spans="1:26" ht="15" customHeight="1" x14ac:dyDescent="0.25">
      <c r="A31" s="134" t="s">
        <v>30</v>
      </c>
      <c r="B31" s="134"/>
      <c r="C31" s="134"/>
      <c r="D31" s="134"/>
      <c r="E31" s="166" t="str">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Residential</v>
      </c>
      <c r="F31" s="166"/>
      <c r="G31" s="166"/>
      <c r="H31" s="166"/>
    </row>
    <row r="32" spans="1:26" ht="15.75" customHeight="1" x14ac:dyDescent="0.25">
      <c r="A32" s="134" t="s">
        <v>90</v>
      </c>
      <c r="B32" s="134"/>
      <c r="C32" s="134"/>
      <c r="D32" s="134"/>
      <c r="E32" s="166" t="s">
        <v>31</v>
      </c>
      <c r="F32" s="166"/>
      <c r="G32" s="166"/>
      <c r="H32" s="166"/>
    </row>
    <row r="33" spans="1:19" s="21" customFormat="1" x14ac:dyDescent="0.25">
      <c r="A33" s="198" t="s">
        <v>91</v>
      </c>
      <c r="B33" s="198"/>
      <c r="C33" s="195" t="s">
        <v>177</v>
      </c>
      <c r="D33" s="196"/>
      <c r="E33" s="197"/>
      <c r="F33" s="195" t="s">
        <v>29</v>
      </c>
      <c r="G33" s="196"/>
      <c r="H33" s="197"/>
      <c r="S33" s="21" t="e">
        <f ca="1">OFFSET($S$13,1,MATCH($G20,$S$13:$W$13,0)-1,15,1)</f>
        <v>#VALUE!</v>
      </c>
    </row>
    <row r="34" spans="1:19" s="21" customFormat="1" x14ac:dyDescent="0.25">
      <c r="A34" s="186" t="s">
        <v>24</v>
      </c>
      <c r="B34" s="186" t="s">
        <v>28</v>
      </c>
      <c r="C34" s="187" t="s">
        <v>10</v>
      </c>
      <c r="D34" s="188"/>
      <c r="E34" s="189"/>
      <c r="F34" s="187" t="s">
        <v>10</v>
      </c>
      <c r="G34" s="188"/>
      <c r="H34" s="189"/>
    </row>
    <row r="35" spans="1:19" x14ac:dyDescent="0.25">
      <c r="A35" s="186" t="s">
        <v>25</v>
      </c>
      <c r="B35" s="186" t="s">
        <v>28</v>
      </c>
      <c r="C35" s="187" t="s">
        <v>317</v>
      </c>
      <c r="D35" s="188"/>
      <c r="E35" s="189"/>
      <c r="F35" s="187" t="s">
        <v>317</v>
      </c>
      <c r="G35" s="188"/>
      <c r="H35" s="189"/>
    </row>
    <row r="36" spans="1:19" s="21" customFormat="1" x14ac:dyDescent="0.25">
      <c r="A36" s="186" t="s">
        <v>27</v>
      </c>
      <c r="B36" s="186" t="s">
        <v>28</v>
      </c>
      <c r="C36" s="187" t="s">
        <v>315</v>
      </c>
      <c r="D36" s="188"/>
      <c r="E36" s="189"/>
      <c r="F36" s="187" t="s">
        <v>316</v>
      </c>
      <c r="G36" s="188"/>
      <c r="H36" s="189"/>
    </row>
    <row r="37" spans="1:19" x14ac:dyDescent="0.25">
      <c r="A37" s="186" t="s">
        <v>26</v>
      </c>
      <c r="B37" s="186" t="s">
        <v>28</v>
      </c>
      <c r="C37" s="187" t="s">
        <v>10</v>
      </c>
      <c r="D37" s="188"/>
      <c r="E37" s="189"/>
      <c r="F37" s="187" t="s">
        <v>10</v>
      </c>
      <c r="G37" s="188"/>
      <c r="H37" s="189"/>
    </row>
    <row r="38" spans="1:19" x14ac:dyDescent="0.25">
      <c r="A38" s="134" t="s">
        <v>283</v>
      </c>
      <c r="B38" s="134"/>
      <c r="C38" s="134"/>
      <c r="D38" s="134"/>
      <c r="E38" s="134"/>
      <c r="F38" s="134"/>
      <c r="G38" s="134"/>
      <c r="H38" s="134"/>
    </row>
    <row r="39" spans="1:19" ht="15.75" customHeight="1" x14ac:dyDescent="0.25">
      <c r="A39" s="134" t="s">
        <v>169</v>
      </c>
      <c r="B39" s="134"/>
      <c r="C39" s="178" t="s">
        <v>337</v>
      </c>
      <c r="D39" s="178"/>
      <c r="E39" s="178"/>
      <c r="F39" s="178"/>
      <c r="G39" s="178"/>
      <c r="H39" s="178"/>
    </row>
    <row r="40" spans="1:19" x14ac:dyDescent="0.25">
      <c r="A40" s="134" t="s">
        <v>165</v>
      </c>
      <c r="B40" s="134"/>
      <c r="C40" s="165" t="s">
        <v>318</v>
      </c>
      <c r="D40" s="166"/>
      <c r="E40" s="166"/>
      <c r="F40" s="166"/>
      <c r="G40" s="166"/>
      <c r="H40" s="166"/>
    </row>
    <row r="41" spans="1:19" x14ac:dyDescent="0.25">
      <c r="A41" s="178" t="s">
        <v>32</v>
      </c>
      <c r="B41" s="178"/>
      <c r="C41" s="178"/>
      <c r="D41" s="178"/>
      <c r="E41" s="178"/>
      <c r="F41" s="178"/>
      <c r="G41" s="178"/>
      <c r="H41" s="178"/>
    </row>
    <row r="42" spans="1:19" x14ac:dyDescent="0.25">
      <c r="A42" s="134" t="s">
        <v>33</v>
      </c>
      <c r="B42" s="134"/>
      <c r="C42" s="134"/>
      <c r="D42" s="134"/>
      <c r="E42" s="190">
        <v>7860.2</v>
      </c>
      <c r="F42" s="190"/>
      <c r="G42" s="190"/>
      <c r="H42" s="190"/>
    </row>
    <row r="43" spans="1:19" x14ac:dyDescent="0.25">
      <c r="A43" s="134" t="s">
        <v>34</v>
      </c>
      <c r="B43" s="134"/>
      <c r="C43" s="134"/>
      <c r="D43" s="134"/>
      <c r="E43" s="193">
        <f>1</f>
        <v>1</v>
      </c>
      <c r="F43" s="193"/>
      <c r="G43" s="193"/>
      <c r="H43" s="193"/>
    </row>
    <row r="44" spans="1:19" x14ac:dyDescent="0.25">
      <c r="A44" s="134" t="s">
        <v>35</v>
      </c>
      <c r="B44" s="134"/>
      <c r="C44" s="134"/>
      <c r="D44" s="134"/>
      <c r="E44" s="193">
        <f>E46/E42-E43</f>
        <v>1.4090824660950103</v>
      </c>
      <c r="F44" s="193"/>
      <c r="G44" s="193"/>
      <c r="H44" s="193"/>
    </row>
    <row r="45" spans="1:19" x14ac:dyDescent="0.25">
      <c r="A45" s="134" t="s">
        <v>36</v>
      </c>
      <c r="B45" s="134"/>
      <c r="C45" s="134"/>
      <c r="D45" s="134"/>
      <c r="E45" s="193">
        <f>E43+E44</f>
        <v>2.4090824660950103</v>
      </c>
      <c r="F45" s="193"/>
      <c r="G45" s="193"/>
      <c r="H45" s="193"/>
    </row>
    <row r="46" spans="1:19" x14ac:dyDescent="0.25">
      <c r="A46" s="134" t="s">
        <v>89</v>
      </c>
      <c r="B46" s="134"/>
      <c r="C46" s="134"/>
      <c r="D46" s="134"/>
      <c r="E46" s="194">
        <v>18935.87</v>
      </c>
      <c r="F46" s="194"/>
      <c r="G46" s="194"/>
      <c r="H46" s="194"/>
    </row>
    <row r="47" spans="1:19" x14ac:dyDescent="0.25">
      <c r="A47" s="174" t="s">
        <v>37</v>
      </c>
      <c r="B47" s="174"/>
      <c r="C47" s="174"/>
      <c r="D47" s="174"/>
      <c r="E47" s="174" t="s">
        <v>336</v>
      </c>
      <c r="F47" s="174"/>
      <c r="G47" s="174"/>
      <c r="H47" s="174"/>
    </row>
    <row r="48" spans="1:19" x14ac:dyDescent="0.25">
      <c r="A48" s="178" t="s">
        <v>38</v>
      </c>
      <c r="B48" s="178"/>
      <c r="C48" s="178"/>
      <c r="D48" s="178"/>
      <c r="E48" s="178"/>
      <c r="F48" s="178"/>
      <c r="G48" s="178"/>
      <c r="H48" s="178"/>
    </row>
    <row r="49" spans="1:24" ht="33.75" customHeight="1" x14ac:dyDescent="0.25">
      <c r="A49" s="101" t="s">
        <v>154</v>
      </c>
      <c r="B49" s="103"/>
      <c r="C49" s="151" t="s">
        <v>258</v>
      </c>
      <c r="D49" s="152"/>
      <c r="E49" s="152"/>
      <c r="F49" s="152"/>
      <c r="G49" s="152"/>
      <c r="H49" s="153"/>
      <c r="R49" t="s">
        <v>256</v>
      </c>
      <c r="S49" t="s">
        <v>176</v>
      </c>
      <c r="T49" t="s">
        <v>182</v>
      </c>
      <c r="U49" t="s">
        <v>197</v>
      </c>
      <c r="V49" t="s">
        <v>192</v>
      </c>
    </row>
    <row r="50" spans="1:24" ht="33" customHeight="1" x14ac:dyDescent="0.25">
      <c r="A50" s="101" t="s">
        <v>39</v>
      </c>
      <c r="B50" s="103"/>
      <c r="C50" s="101" t="s">
        <v>340</v>
      </c>
      <c r="D50" s="102"/>
      <c r="E50" s="103"/>
      <c r="F50" s="17" t="s">
        <v>40</v>
      </c>
      <c r="G50" s="104">
        <v>45673</v>
      </c>
      <c r="H50" s="103"/>
      <c r="R50"/>
      <c r="S50" t="s">
        <v>257</v>
      </c>
      <c r="T50" t="s">
        <v>262</v>
      </c>
      <c r="U50" t="s">
        <v>273</v>
      </c>
      <c r="V50" t="s">
        <v>278</v>
      </c>
    </row>
    <row r="51" spans="1:24" ht="30.75" customHeight="1" x14ac:dyDescent="0.25">
      <c r="A51" s="101" t="s">
        <v>41</v>
      </c>
      <c r="B51" s="103"/>
      <c r="C51" s="101" t="str">
        <f>C50</f>
        <v xml:space="preserve">P-10674/2022/(704)/T Ward/NAHUR - T/337/4/Amend </v>
      </c>
      <c r="D51" s="102"/>
      <c r="E51" s="103"/>
      <c r="F51" s="17" t="s">
        <v>40</v>
      </c>
      <c r="G51" s="104">
        <f>G50</f>
        <v>45673</v>
      </c>
      <c r="H51" s="103"/>
      <c r="R51"/>
      <c r="S51" t="s">
        <v>258</v>
      </c>
      <c r="T51" t="s">
        <v>263</v>
      </c>
      <c r="U51" t="s">
        <v>271</v>
      </c>
      <c r="V51" t="s">
        <v>279</v>
      </c>
    </row>
    <row r="52" spans="1:24" s="22" customFormat="1" ht="30.75" hidden="1" customHeight="1" x14ac:dyDescent="0.25">
      <c r="A52" s="97" t="s">
        <v>158</v>
      </c>
      <c r="B52" s="98"/>
      <c r="C52" s="101" t="s">
        <v>341</v>
      </c>
      <c r="D52" s="102"/>
      <c r="E52" s="103"/>
      <c r="F52" s="17" t="s">
        <v>40</v>
      </c>
      <c r="G52" s="104">
        <v>45331</v>
      </c>
      <c r="H52" s="103"/>
      <c r="R52"/>
      <c r="S52" t="s">
        <v>259</v>
      </c>
      <c r="T52" t="s">
        <v>264</v>
      </c>
      <c r="U52" t="s">
        <v>261</v>
      </c>
      <c r="V52" t="s">
        <v>280</v>
      </c>
    </row>
    <row r="53" spans="1:24" s="22" customFormat="1" ht="129" hidden="1" customHeight="1" x14ac:dyDescent="0.25">
      <c r="A53" s="99"/>
      <c r="B53" s="100"/>
      <c r="C53" s="101" t="s">
        <v>342</v>
      </c>
      <c r="D53" s="102"/>
      <c r="E53" s="103"/>
      <c r="F53" s="17" t="s">
        <v>121</v>
      </c>
      <c r="G53" s="104">
        <v>45702</v>
      </c>
      <c r="H53" s="103"/>
      <c r="J53" s="76"/>
      <c r="R53"/>
      <c r="S53" t="s">
        <v>260</v>
      </c>
      <c r="T53" t="s">
        <v>267</v>
      </c>
      <c r="U53" t="s">
        <v>274</v>
      </c>
    </row>
    <row r="54" spans="1:24" s="22" customFormat="1" ht="30.75" customHeight="1" x14ac:dyDescent="0.25">
      <c r="A54" s="97" t="s">
        <v>158</v>
      </c>
      <c r="B54" s="98"/>
      <c r="C54" s="101" t="s">
        <v>376</v>
      </c>
      <c r="D54" s="102"/>
      <c r="E54" s="103"/>
      <c r="F54" s="17" t="s">
        <v>40</v>
      </c>
      <c r="G54" s="104">
        <v>45695</v>
      </c>
      <c r="H54" s="103"/>
      <c r="R54"/>
      <c r="S54" t="s">
        <v>259</v>
      </c>
      <c r="T54" t="s">
        <v>264</v>
      </c>
      <c r="U54" t="s">
        <v>261</v>
      </c>
      <c r="V54" t="s">
        <v>280</v>
      </c>
    </row>
    <row r="55" spans="1:24" s="22" customFormat="1" ht="190.5" customHeight="1" x14ac:dyDescent="0.25">
      <c r="A55" s="99"/>
      <c r="B55" s="100"/>
      <c r="C55" s="101" t="s">
        <v>377</v>
      </c>
      <c r="D55" s="102"/>
      <c r="E55" s="103"/>
      <c r="F55" s="17" t="s">
        <v>121</v>
      </c>
      <c r="G55" s="104">
        <v>46067</v>
      </c>
      <c r="H55" s="103"/>
      <c r="J55" s="76"/>
      <c r="R55"/>
      <c r="S55" t="s">
        <v>260</v>
      </c>
      <c r="T55" t="s">
        <v>267</v>
      </c>
      <c r="U55" t="s">
        <v>274</v>
      </c>
    </row>
    <row r="56" spans="1:24" s="22" customFormat="1" ht="32.25" customHeight="1" x14ac:dyDescent="0.25">
      <c r="A56" s="119" t="s">
        <v>344</v>
      </c>
      <c r="B56" s="120"/>
      <c r="C56" s="101" t="s">
        <v>343</v>
      </c>
      <c r="D56" s="102"/>
      <c r="E56" s="103"/>
      <c r="F56" s="17" t="s">
        <v>40</v>
      </c>
      <c r="G56" s="104">
        <v>44704</v>
      </c>
      <c r="H56" s="103"/>
      <c r="R56"/>
      <c r="S56" t="s">
        <v>259</v>
      </c>
      <c r="T56" t="s">
        <v>264</v>
      </c>
      <c r="U56" t="s">
        <v>261</v>
      </c>
      <c r="V56" t="s">
        <v>280</v>
      </c>
    </row>
    <row r="57" spans="1:24" s="22" customFormat="1" ht="47.25" customHeight="1" x14ac:dyDescent="0.25">
      <c r="A57" s="121"/>
      <c r="B57" s="122"/>
      <c r="C57" s="101" t="s">
        <v>345</v>
      </c>
      <c r="D57" s="102"/>
      <c r="E57" s="103"/>
      <c r="F57" s="17" t="s">
        <v>121</v>
      </c>
      <c r="G57" s="104">
        <v>47625</v>
      </c>
      <c r="H57" s="103"/>
      <c r="R57"/>
      <c r="S57" t="s">
        <v>261</v>
      </c>
      <c r="T57" t="s">
        <v>265</v>
      </c>
      <c r="U57" t="s">
        <v>275</v>
      </c>
      <c r="V57" s="20"/>
      <c r="W57" s="20"/>
      <c r="X57" s="20"/>
    </row>
    <row r="58" spans="1:24" s="22" customFormat="1" ht="32.25" customHeight="1" x14ac:dyDescent="0.25">
      <c r="A58" s="119" t="s">
        <v>284</v>
      </c>
      <c r="B58" s="120"/>
      <c r="C58" s="101" t="s">
        <v>373</v>
      </c>
      <c r="D58" s="102"/>
      <c r="E58" s="103"/>
      <c r="F58" s="17" t="s">
        <v>40</v>
      </c>
      <c r="G58" s="104">
        <v>44711</v>
      </c>
      <c r="H58" s="103"/>
      <c r="R58"/>
      <c r="S58" t="s">
        <v>259</v>
      </c>
      <c r="T58" t="s">
        <v>264</v>
      </c>
      <c r="U58" t="s">
        <v>261</v>
      </c>
      <c r="V58" t="s">
        <v>280</v>
      </c>
    </row>
    <row r="59" spans="1:24" s="22" customFormat="1" ht="95.25" customHeight="1" x14ac:dyDescent="0.25">
      <c r="A59" s="121"/>
      <c r="B59" s="122"/>
      <c r="C59" s="171" t="s">
        <v>374</v>
      </c>
      <c r="D59" s="172"/>
      <c r="E59" s="172"/>
      <c r="F59" s="172"/>
      <c r="G59" s="172"/>
      <c r="H59" s="173"/>
      <c r="R59"/>
      <c r="S59" t="s">
        <v>261</v>
      </c>
      <c r="T59" t="s">
        <v>265</v>
      </c>
      <c r="U59" t="s">
        <v>275</v>
      </c>
      <c r="V59" s="20"/>
      <c r="W59" s="20"/>
      <c r="X59" s="20"/>
    </row>
    <row r="60" spans="1:24" s="22" customFormat="1" ht="34.5" hidden="1" customHeight="1" x14ac:dyDescent="0.25">
      <c r="A60" s="218" t="s">
        <v>285</v>
      </c>
      <c r="B60" s="219"/>
      <c r="C60" s="101" t="str">
        <f>C59</f>
        <v>Wing A, B, D &amp; E 2nd Level Part Basement + 1st Level Basement + Ground Floor + 1st to 4th Podium Floor + 5th Podium (Eco-deck) Floor + 6th to 22nd Floors.
Wing F 1st Level Basement + Ground Floor + 1st to 4th Podium Floor + 5th Podium (Eco-deck) Floor + 6th to 22nd Floors.
Wing C Ground Floor + 1st to 4th Podium Floor + 5th Podium (Eco-deck) Floor + 6th to 22nd Floors (Total Height = 69.95 mtrs.)</v>
      </c>
      <c r="D60" s="102"/>
      <c r="E60" s="103"/>
      <c r="F60" s="17" t="s">
        <v>40</v>
      </c>
      <c r="G60" s="101">
        <f>G59</f>
        <v>0</v>
      </c>
      <c r="H60" s="103"/>
      <c r="R60"/>
      <c r="S60" s="20"/>
      <c r="T60" t="s">
        <v>266</v>
      </c>
      <c r="U60" t="s">
        <v>276</v>
      </c>
      <c r="V60" s="20"/>
      <c r="W60" s="20"/>
      <c r="X60" s="20"/>
    </row>
    <row r="61" spans="1:24" s="22" customFormat="1" ht="41.25" hidden="1" customHeight="1" x14ac:dyDescent="0.25">
      <c r="A61" s="220"/>
      <c r="B61" s="221"/>
      <c r="C61" s="101"/>
      <c r="D61" s="102"/>
      <c r="E61" s="102"/>
      <c r="F61" s="102"/>
      <c r="G61" s="102"/>
      <c r="H61" s="103"/>
      <c r="R61"/>
      <c r="S61" s="20"/>
      <c r="T61" t="s">
        <v>268</v>
      </c>
      <c r="U61" t="s">
        <v>277</v>
      </c>
      <c r="V61" s="20"/>
      <c r="W61" s="20"/>
      <c r="X61" s="20"/>
    </row>
    <row r="62" spans="1:24" s="22" customFormat="1" ht="15.75" hidden="1" customHeight="1" x14ac:dyDescent="0.25">
      <c r="A62" s="218" t="s">
        <v>286</v>
      </c>
      <c r="B62" s="219"/>
      <c r="C62" s="101">
        <f>C61</f>
        <v>0</v>
      </c>
      <c r="D62" s="102"/>
      <c r="E62" s="103"/>
      <c r="F62" s="17" t="s">
        <v>40</v>
      </c>
      <c r="G62" s="101">
        <f>G61</f>
        <v>0</v>
      </c>
      <c r="H62" s="103"/>
      <c r="R62"/>
      <c r="S62" s="20"/>
      <c r="T62" t="s">
        <v>269</v>
      </c>
      <c r="U62" s="20" t="s">
        <v>300</v>
      </c>
      <c r="V62" s="20"/>
      <c r="W62" s="20"/>
      <c r="X62" s="20"/>
    </row>
    <row r="63" spans="1:24" s="22" customFormat="1" ht="33.75" hidden="1" customHeight="1" x14ac:dyDescent="0.25">
      <c r="A63" s="220"/>
      <c r="B63" s="221"/>
      <c r="C63" s="101"/>
      <c r="D63" s="102"/>
      <c r="E63" s="102"/>
      <c r="F63" s="102"/>
      <c r="G63" s="102"/>
      <c r="H63" s="103"/>
      <c r="R63"/>
      <c r="S63" s="20"/>
      <c r="T63" t="s">
        <v>270</v>
      </c>
      <c r="U63" s="20"/>
      <c r="V63" s="20"/>
      <c r="W63" s="20"/>
      <c r="X63" s="20"/>
    </row>
    <row r="64" spans="1:24" x14ac:dyDescent="0.25">
      <c r="A64" s="225" t="s">
        <v>42</v>
      </c>
      <c r="B64" s="226"/>
      <c r="C64" s="225" t="s">
        <v>103</v>
      </c>
      <c r="D64" s="227"/>
      <c r="E64" s="226"/>
      <c r="F64" s="44" t="s">
        <v>40</v>
      </c>
      <c r="G64" s="216" t="s">
        <v>28</v>
      </c>
      <c r="H64" s="217"/>
      <c r="R64"/>
      <c r="T64" t="s">
        <v>272</v>
      </c>
    </row>
    <row r="65" spans="1:20" x14ac:dyDescent="0.25">
      <c r="A65" s="205" t="s">
        <v>44</v>
      </c>
      <c r="B65" s="205"/>
      <c r="C65" s="205"/>
      <c r="D65" s="205"/>
      <c r="E65" s="205"/>
      <c r="F65" s="205"/>
      <c r="G65" s="205"/>
      <c r="H65" s="205"/>
      <c r="T65" t="s">
        <v>281</v>
      </c>
    </row>
    <row r="66" spans="1:20" x14ac:dyDescent="0.25">
      <c r="A66" s="175" t="s">
        <v>88</v>
      </c>
      <c r="B66" s="175"/>
      <c r="C66" s="175"/>
      <c r="D66" s="134">
        <f>E46</f>
        <v>18935.87</v>
      </c>
      <c r="E66" s="134"/>
      <c r="F66" s="134"/>
      <c r="G66" s="134"/>
      <c r="H66" s="134"/>
      <c r="R66"/>
    </row>
    <row r="67" spans="1:20" x14ac:dyDescent="0.25">
      <c r="A67" s="166" t="s">
        <v>45</v>
      </c>
      <c r="B67" s="174"/>
      <c r="C67" s="174"/>
      <c r="D67" s="174" t="s">
        <v>366</v>
      </c>
      <c r="E67" s="174"/>
      <c r="F67" s="174"/>
      <c r="G67" s="174"/>
      <c r="H67" s="174"/>
      <c r="I67" s="23"/>
      <c r="R67"/>
    </row>
    <row r="68" spans="1:20" x14ac:dyDescent="0.25">
      <c r="A68" s="119" t="s">
        <v>46</v>
      </c>
      <c r="B68" s="185"/>
      <c r="C68" s="120"/>
      <c r="D68" s="177" t="s">
        <v>370</v>
      </c>
      <c r="E68" s="184"/>
      <c r="F68" s="184"/>
      <c r="G68" s="184"/>
      <c r="H68" s="184"/>
      <c r="R68"/>
    </row>
    <row r="69" spans="1:20" ht="15.75" customHeight="1" x14ac:dyDescent="0.25">
      <c r="A69" s="119" t="s">
        <v>86</v>
      </c>
      <c r="B69" s="185"/>
      <c r="C69" s="185"/>
      <c r="D69" s="238" t="s">
        <v>370</v>
      </c>
      <c r="E69" s="239"/>
      <c r="F69" s="239"/>
      <c r="G69" s="239"/>
      <c r="H69" s="240"/>
      <c r="R69"/>
    </row>
    <row r="70" spans="1:20" ht="15.75" hidden="1" customHeight="1" x14ac:dyDescent="0.25">
      <c r="A70" s="235"/>
      <c r="B70" s="236"/>
      <c r="C70" s="236"/>
      <c r="D70" s="229" t="s">
        <v>329</v>
      </c>
      <c r="E70" s="241"/>
      <c r="F70" s="241"/>
      <c r="G70" s="241"/>
      <c r="H70" s="231"/>
      <c r="R70"/>
    </row>
    <row r="71" spans="1:20" ht="15.75" hidden="1" customHeight="1" x14ac:dyDescent="0.25">
      <c r="A71" s="235"/>
      <c r="B71" s="236"/>
      <c r="C71" s="236"/>
      <c r="D71" s="229" t="s">
        <v>346</v>
      </c>
      <c r="E71" s="230"/>
      <c r="F71" s="230"/>
      <c r="G71" s="230"/>
      <c r="H71" s="231"/>
      <c r="R71"/>
    </row>
    <row r="72" spans="1:20" ht="15.75" hidden="1" customHeight="1" x14ac:dyDescent="0.25">
      <c r="A72" s="235"/>
      <c r="B72" s="236"/>
      <c r="C72" s="236"/>
      <c r="D72" s="229" t="s">
        <v>330</v>
      </c>
      <c r="E72" s="230"/>
      <c r="F72" s="230"/>
      <c r="G72" s="230"/>
      <c r="H72" s="231"/>
      <c r="R72"/>
    </row>
    <row r="73" spans="1:20" ht="15.75" hidden="1" customHeight="1" x14ac:dyDescent="0.25">
      <c r="A73" s="235"/>
      <c r="B73" s="236"/>
      <c r="C73" s="236"/>
      <c r="D73" s="229" t="s">
        <v>331</v>
      </c>
      <c r="E73" s="230"/>
      <c r="F73" s="230"/>
      <c r="G73" s="230"/>
      <c r="H73" s="231"/>
      <c r="R73"/>
    </row>
    <row r="74" spans="1:20" ht="15.75" hidden="1" customHeight="1" x14ac:dyDescent="0.25">
      <c r="A74" s="121"/>
      <c r="B74" s="237"/>
      <c r="C74" s="237"/>
      <c r="D74" s="232" t="s">
        <v>332</v>
      </c>
      <c r="E74" s="233"/>
      <c r="F74" s="233"/>
      <c r="G74" s="233"/>
      <c r="H74" s="234"/>
      <c r="S74"/>
    </row>
    <row r="75" spans="1:20" ht="15.75" customHeight="1" x14ac:dyDescent="0.25">
      <c r="A75" s="134" t="s">
        <v>43</v>
      </c>
      <c r="B75" s="134"/>
      <c r="C75" s="134"/>
      <c r="D75" s="191" t="s">
        <v>319</v>
      </c>
      <c r="E75" s="191"/>
      <c r="F75" s="191"/>
      <c r="G75" s="191"/>
      <c r="H75" s="191"/>
      <c r="J75" s="24"/>
      <c r="K75" s="23"/>
      <c r="N75" s="23"/>
      <c r="S75"/>
    </row>
    <row r="76" spans="1:20" ht="15.75" customHeight="1" x14ac:dyDescent="0.25">
      <c r="A76" s="134" t="s">
        <v>84</v>
      </c>
      <c r="B76" s="134"/>
      <c r="C76" s="134"/>
      <c r="D76" s="192" t="str">
        <f>(IF(G64="NA","60 Years After Completion",IF(G64&lt;&gt;"NA",""&amp;60-ROUNDDOWN((E3-G64)/360,0)&amp;" Years"," ")))</f>
        <v>60 Years After Completion</v>
      </c>
      <c r="E76" s="192"/>
      <c r="F76" s="192"/>
      <c r="G76" s="192"/>
      <c r="H76" s="192"/>
      <c r="N76" s="23"/>
      <c r="S76"/>
    </row>
    <row r="77" spans="1:20" ht="15.75" customHeight="1" x14ac:dyDescent="0.25">
      <c r="A77" s="134" t="s">
        <v>85</v>
      </c>
      <c r="B77" s="134"/>
      <c r="C77" s="134"/>
      <c r="D77" s="175" t="s">
        <v>23</v>
      </c>
      <c r="E77" s="175"/>
      <c r="F77" s="175"/>
      <c r="G77" s="175"/>
      <c r="H77" s="175"/>
      <c r="J77" s="25"/>
      <c r="K77" s="25"/>
      <c r="S77"/>
    </row>
    <row r="78" spans="1:20" ht="48" customHeight="1" x14ac:dyDescent="0.25">
      <c r="A78" s="174" t="s">
        <v>338</v>
      </c>
      <c r="B78" s="174"/>
      <c r="C78" s="174"/>
      <c r="D78" s="166" t="s">
        <v>320</v>
      </c>
      <c r="E78" s="175"/>
      <c r="F78" s="175"/>
      <c r="G78" s="175"/>
      <c r="H78" s="175"/>
      <c r="S78"/>
    </row>
    <row r="79" spans="1:20" x14ac:dyDescent="0.25">
      <c r="A79" s="175" t="s">
        <v>150</v>
      </c>
      <c r="B79" s="175"/>
      <c r="C79" s="175"/>
      <c r="D79" s="175" t="s">
        <v>28</v>
      </c>
      <c r="E79" s="175"/>
      <c r="F79" s="175"/>
      <c r="G79" s="175"/>
      <c r="H79" s="175"/>
      <c r="I79" s="26"/>
      <c r="J79" s="26"/>
      <c r="K79" s="26"/>
      <c r="L79" s="26"/>
      <c r="M79" s="26"/>
      <c r="N79" s="26"/>
    </row>
    <row r="80" spans="1:20" ht="15.75" customHeight="1" x14ac:dyDescent="0.25">
      <c r="A80" s="228" t="s">
        <v>83</v>
      </c>
      <c r="B80" s="228"/>
      <c r="C80" s="228"/>
      <c r="D80" s="177" t="str">
        <f ca="1">(IF(G86&gt;95%,"Nothing",IF(G86&gt;0%,"Cement, Aggregate, Steel, etc",IF(G86=0%,"Work not yet Started"))))</f>
        <v>Cement, Aggregate, Steel, etc</v>
      </c>
      <c r="E80" s="177"/>
      <c r="F80" s="177"/>
      <c r="G80" s="177"/>
      <c r="H80" s="177"/>
      <c r="J80" s="25"/>
      <c r="S80"/>
    </row>
    <row r="81" spans="1:19" ht="33.75" customHeight="1" thickBot="1" x14ac:dyDescent="0.3">
      <c r="A81" s="176" t="s">
        <v>116</v>
      </c>
      <c r="B81" s="176"/>
      <c r="C81" s="176"/>
      <c r="D81" s="177" t="str">
        <f ca="1">(IF(D80="Nothing","Yes",IF(D80="Cement, Aggregate, Steel, etc","Under Construction",IF(D80="Work not yet Started","Work not yet Started"))))</f>
        <v>Under Construction</v>
      </c>
      <c r="E81" s="177"/>
      <c r="F81" s="177" t="str">
        <f ca="1">(IF(D80="Nothing","Yes",IF(D80="Cement, Aggregate, Steel, etc","Under Construction",IF(D80="Work not yet Started","Work not yet Started"))))</f>
        <v>Under Construction</v>
      </c>
      <c r="G81" s="177"/>
      <c r="H81" s="177"/>
      <c r="S81"/>
    </row>
    <row r="82" spans="1:19" ht="15.75" customHeight="1" x14ac:dyDescent="0.25">
      <c r="A82" s="179" t="s">
        <v>140</v>
      </c>
      <c r="B82" s="180"/>
      <c r="C82" s="181" t="s">
        <v>385</v>
      </c>
      <c r="D82" s="182"/>
      <c r="E82" s="182"/>
      <c r="F82" s="182"/>
      <c r="G82" s="182"/>
      <c r="H82" s="183"/>
      <c r="I82" s="48" t="str">
        <f ca="1">IF(D95=100%,"All work Completed. Possession granted to the Building.",IF(D94=100%,"All work Completed, Waiting for OC",I83&amp;""&amp;I84&amp;""&amp;J83&amp;""&amp;J82&amp;" "&amp;J84))</f>
        <v>Excavation, Plinth Completed, RCC upto 14 Slab, Brickwork upto 13 Floor, Internal Plaster upto 9.75 Floor, External Plaster upto 7.8 Floor Completed</v>
      </c>
      <c r="J82" s="49" t="str">
        <f ca="1">(IF(C88=(D83+F83+H83),"",IF(C88&gt;0,", RCC upto "&amp;C88&amp;" Slab","")))&amp;(IF(C89=H83,"",IF(C89&gt;0,", Brickwork upto "&amp;C89&amp;" Floor","")))&amp;(IF(C90=H83,"",IF(C90&gt;0,", Internal Plaster upto "&amp;C90&amp;" Floor","")))&amp;(IF(C91=H83,"",IF(C91&gt;0,", External Plaster upto "&amp;C91&amp;" Floor","")))&amp;(IF(C92=H83,"",IF(C92&gt;0,", Flooring upto "&amp;C92&amp;" Floor","")))&amp;(IF(C93=H83,"",IF(C93&gt;0,", Painting upto "&amp;C93&amp;" Floor","")))&amp;(IF(C94=H83,"",IF(C94&gt;0,", Finishing upto "&amp;C94&amp;" Floor","")))&amp;(IF(C95=H83,"",IF(C95&gt;0,", Possession upto "&amp;C95&amp;" Floor","")))</f>
        <v>, RCC upto 14 Slab, Brickwork upto 13 Floor, Internal Plaster upto 9.75 Floor, External Plaster upto 7.8 Floor</v>
      </c>
      <c r="S82"/>
    </row>
    <row r="83" spans="1:19" x14ac:dyDescent="0.25">
      <c r="A83" s="15" t="s">
        <v>142</v>
      </c>
      <c r="B83" s="52">
        <f>IF(AND(ISNUMBER(SEARCH("1B",C82))),1,IF(AND(ISNUMBER(SEARCH("2B",C82))),2,IF(AND(ISNUMBER(SEARCH("3B",C82))),3,IF(AND(ISNUMBER(SEARCH("4B",C82))),4,IF(ISNUMBER(SEARCH("5B",C82)),5,0)))))</f>
        <v>2</v>
      </c>
      <c r="C83" s="46" t="s">
        <v>69</v>
      </c>
      <c r="D83" s="46">
        <v>1</v>
      </c>
      <c r="E83" s="46" t="s">
        <v>68</v>
      </c>
      <c r="F83" s="53">
        <v>0</v>
      </c>
      <c r="G83" s="47" t="s">
        <v>77</v>
      </c>
      <c r="H83" s="16">
        <f ca="1">--TRIM(RIGHT(SUBSTITUTE(LEFT(C82,_xlfn.AGGREGATE(16,6,FIND({0,1,2,3,4,5,6,7,8,9},C82,ROW(INDIRECT("1:"&amp;LEN(C82)))),1))," ",REPT(" ",LEN(C82))),LEN(C82)))</f>
        <v>22</v>
      </c>
      <c r="I83" s="50" t="str">
        <f ca="1">IF(D86=100%,"Excavation","")&amp;IF(D87=100%,", Plinth","")&amp;IF(D88=100%,", RCC Slab","")&amp;IF(D89=100%,", Brickwork","")&amp;IF(D90=100%,", Internal Plaster","")&amp;IF(D91=100%,", External Plaster","")&amp;IF(D92=100%,", Flooring","")&amp;IF(D93=100%,", Painting","")&amp;IF(D94=100%,", Building common Amenities","")</f>
        <v>Excavation, Plinth</v>
      </c>
      <c r="J83" s="51" t="str">
        <f ca="1">(IF(C86=0,"Work not yet Started.",IF(D86=25%,"Piling work in process",IF(D86=50%,"Excavation work in process",IF(D86=100%,"","0")))))&amp;(IF(C87=0%,"",IF(C87=J88,", Footing work is process",IF(C87=J89,", Footing work Completed",IF(C87=J90,", 1st Basement Completed",IF(C87=J91,", 1st &amp; 2nd Basement Completed",IF(C87=J92,", 1st to 3rd Basement Completed",IF(C87=J93,", 1st to 4th Basement Completed",IF(C87=J94,", Plinth work is process",IF(C87=J95,"","0"))))))))))</f>
        <v/>
      </c>
      <c r="S83"/>
    </row>
    <row r="84" spans="1:19" ht="33.75" customHeight="1" x14ac:dyDescent="0.25">
      <c r="A84" s="162" t="s">
        <v>87</v>
      </c>
      <c r="B84" s="163"/>
      <c r="C84" s="132" t="str">
        <f ca="1">I82</f>
        <v>Excavation, Plinth Completed, RCC upto 14 Slab, Brickwork upto 13 Floor, Internal Plaster upto 9.75 Floor, External Plaster upto 7.8 Floor Completed</v>
      </c>
      <c r="D84" s="132"/>
      <c r="E84" s="132"/>
      <c r="F84" s="132"/>
      <c r="G84" s="132"/>
      <c r="H84" s="133"/>
      <c r="I84" s="50" t="str">
        <f ca="1">IF(I83&lt;&gt;""," Completed","")</f>
        <v xml:space="preserve"> Completed</v>
      </c>
      <c r="J84" s="51" t="str">
        <f ca="1">IF(J82&lt;&gt;"","Completed","")</f>
        <v>Completed</v>
      </c>
      <c r="S84"/>
    </row>
    <row r="85" spans="1:19" ht="15.75" customHeight="1" x14ac:dyDescent="0.25">
      <c r="A85" s="130" t="s">
        <v>47</v>
      </c>
      <c r="B85" s="131"/>
      <c r="C85" s="42" t="s">
        <v>139</v>
      </c>
      <c r="D85" s="42" t="s">
        <v>80</v>
      </c>
      <c r="E85" s="131" t="s">
        <v>82</v>
      </c>
      <c r="F85" s="131"/>
      <c r="G85" s="131" t="s">
        <v>81</v>
      </c>
      <c r="H85" s="161"/>
      <c r="I85" s="13" t="s">
        <v>141</v>
      </c>
      <c r="J85" s="27">
        <f ca="1">H83*25%</f>
        <v>5.5</v>
      </c>
      <c r="S85"/>
    </row>
    <row r="86" spans="1:19" x14ac:dyDescent="0.25">
      <c r="A86" s="130" t="s">
        <v>128</v>
      </c>
      <c r="B86" s="131"/>
      <c r="C86" s="80">
        <f ca="1">J87</f>
        <v>22</v>
      </c>
      <c r="D86" s="18">
        <f ca="1">((100/H83)*C86)/100</f>
        <v>1.0000000000000002</v>
      </c>
      <c r="E86" s="142">
        <f ca="1">(((C87/H83*10)+(40/(D83+F83+H83)*C88)+(7.5/(H83)*C89)+(7.5/(H83)*C90)+(10/H83*C91)+(10/H83*C92)+(5/H83*C93)+(5/H83*C94)+(5/H83*C95))/100)</f>
        <v>0.45648962450592878</v>
      </c>
      <c r="F86" s="143"/>
      <c r="G86" s="142">
        <f ca="1">((((C86/H83)*20)+((C87/H83)*25)+(30/(H83+F83+D83)*C88)+(5/H83*C89)+(5/H83*C90)+(5/H83*C91)+(5/H83*C92)+(0/H83*C93)+(0/H83*C94)+(5/H83*C95))/100)</f>
        <v>0.70204051383399202</v>
      </c>
      <c r="H86" s="154"/>
      <c r="I86" s="13" t="s">
        <v>98</v>
      </c>
      <c r="J86" s="28">
        <f ca="1">H83*50%</f>
        <v>11</v>
      </c>
    </row>
    <row r="87" spans="1:19" x14ac:dyDescent="0.25">
      <c r="A87" s="130" t="s">
        <v>48</v>
      </c>
      <c r="B87" s="131"/>
      <c r="C87" s="84">
        <f ca="1">J95</f>
        <v>22</v>
      </c>
      <c r="D87" s="18">
        <f ca="1">((100/H83)*C87)/100</f>
        <v>1.0000000000000002</v>
      </c>
      <c r="E87" s="144"/>
      <c r="F87" s="145"/>
      <c r="G87" s="144"/>
      <c r="H87" s="155"/>
      <c r="I87" s="13" t="s">
        <v>99</v>
      </c>
      <c r="J87" s="28">
        <f ca="1">H83</f>
        <v>22</v>
      </c>
      <c r="S87"/>
    </row>
    <row r="88" spans="1:19" ht="15.75" customHeight="1" x14ac:dyDescent="0.25">
      <c r="A88" s="130" t="s">
        <v>129</v>
      </c>
      <c r="B88" s="131"/>
      <c r="C88" s="42">
        <f>13+D83</f>
        <v>14</v>
      </c>
      <c r="D88" s="18">
        <f ca="1">((100/(D83+F83+H83))*C88)/100</f>
        <v>0.60869565217391297</v>
      </c>
      <c r="E88" s="144"/>
      <c r="F88" s="145"/>
      <c r="G88" s="144"/>
      <c r="H88" s="155"/>
      <c r="I88" s="13" t="s">
        <v>100</v>
      </c>
      <c r="J88" s="29">
        <f ca="1">(IF(B83&gt;1,(H83/(B83+2)),H83/4))</f>
        <v>5.5</v>
      </c>
      <c r="S88"/>
    </row>
    <row r="89" spans="1:19" ht="15.75" customHeight="1" x14ac:dyDescent="0.25">
      <c r="A89" s="130" t="s">
        <v>136</v>
      </c>
      <c r="B89" s="131" t="s">
        <v>130</v>
      </c>
      <c r="C89" s="42">
        <f>C88-D83</f>
        <v>13</v>
      </c>
      <c r="D89" s="18">
        <f ca="1">((100/H83)*C89)/100</f>
        <v>0.59090909090909094</v>
      </c>
      <c r="E89" s="144"/>
      <c r="F89" s="145"/>
      <c r="G89" s="144"/>
      <c r="H89" s="155"/>
      <c r="I89" s="13" t="s">
        <v>101</v>
      </c>
      <c r="J89" s="29">
        <f ca="1">(IF(B83&gt;1,(H83/(B83+2)+J88),H83/4+J88))</f>
        <v>11</v>
      </c>
    </row>
    <row r="90" spans="1:19" ht="15.75" customHeight="1" x14ac:dyDescent="0.25">
      <c r="A90" s="130" t="s">
        <v>137</v>
      </c>
      <c r="B90" s="131" t="s">
        <v>130</v>
      </c>
      <c r="C90" s="84">
        <f>C89*0.75</f>
        <v>9.75</v>
      </c>
      <c r="D90" s="18">
        <f ca="1">((100/H83)*C90)/100</f>
        <v>0.44318181818181818</v>
      </c>
      <c r="E90" s="144"/>
      <c r="F90" s="145"/>
      <c r="G90" s="144"/>
      <c r="H90" s="155"/>
      <c r="I90" s="13" t="s">
        <v>148</v>
      </c>
      <c r="J90" s="29">
        <f ca="1">(IF(B83&gt;1,(H83/(B83+2)+J89),0))</f>
        <v>16.5</v>
      </c>
    </row>
    <row r="91" spans="1:19" ht="15" customHeight="1" x14ac:dyDescent="0.25">
      <c r="A91" s="130" t="s">
        <v>135</v>
      </c>
      <c r="B91" s="131" t="s">
        <v>132</v>
      </c>
      <c r="C91" s="84">
        <f>C89*0.6</f>
        <v>7.8</v>
      </c>
      <c r="D91" s="18">
        <f ca="1">((100/(H83))*C91)/100</f>
        <v>0.35454545454545461</v>
      </c>
      <c r="E91" s="144"/>
      <c r="F91" s="145"/>
      <c r="G91" s="144"/>
      <c r="H91" s="155"/>
      <c r="I91" s="13" t="s">
        <v>143</v>
      </c>
      <c r="J91" s="29">
        <f>(IF(B83&gt;2,(H83/(B83+2)+J90),0))</f>
        <v>0</v>
      </c>
    </row>
    <row r="92" spans="1:19" ht="15.75" customHeight="1" x14ac:dyDescent="0.25">
      <c r="A92" s="130" t="s">
        <v>131</v>
      </c>
      <c r="B92" s="131" t="s">
        <v>131</v>
      </c>
      <c r="C92" s="42">
        <v>0</v>
      </c>
      <c r="D92" s="18">
        <f ca="1">((100/H83)*C92)/100</f>
        <v>0</v>
      </c>
      <c r="E92" s="144"/>
      <c r="F92" s="145"/>
      <c r="G92" s="144"/>
      <c r="H92" s="155"/>
      <c r="I92" s="13" t="s">
        <v>144</v>
      </c>
      <c r="J92" s="30">
        <f>(IF(B83&gt;3,(H83/(B83+2)+J91),0))</f>
        <v>0</v>
      </c>
    </row>
    <row r="93" spans="1:19" ht="15.75" customHeight="1" x14ac:dyDescent="0.25">
      <c r="A93" s="130" t="s">
        <v>138</v>
      </c>
      <c r="B93" s="131"/>
      <c r="C93" s="42">
        <v>0</v>
      </c>
      <c r="D93" s="18">
        <f ca="1">((100/H83)*C93)/100</f>
        <v>0</v>
      </c>
      <c r="E93" s="144"/>
      <c r="F93" s="145"/>
      <c r="G93" s="144"/>
      <c r="H93" s="155"/>
      <c r="I93" s="13" t="s">
        <v>145</v>
      </c>
      <c r="J93" s="29">
        <f>(IF(B83&gt;4,(H83/(B83+2)+J92),0))</f>
        <v>0</v>
      </c>
    </row>
    <row r="94" spans="1:19" ht="15.75" customHeight="1" x14ac:dyDescent="0.25">
      <c r="A94" s="130" t="s">
        <v>133</v>
      </c>
      <c r="B94" s="131" t="s">
        <v>133</v>
      </c>
      <c r="C94" s="42">
        <v>0</v>
      </c>
      <c r="D94" s="18">
        <f ca="1">((100/(H83))*C94)/100</f>
        <v>0</v>
      </c>
      <c r="E94" s="144"/>
      <c r="F94" s="145"/>
      <c r="G94" s="144"/>
      <c r="H94" s="155"/>
      <c r="I94" s="13" t="s">
        <v>149</v>
      </c>
      <c r="J94" s="29">
        <f>(IF(B83=1,(H83/(B83+3)+J89),IF(B83=0,(H83/4+J89),IF(B83&gt;1,0))))</f>
        <v>0</v>
      </c>
    </row>
    <row r="95" spans="1:19" ht="16.5" thickBot="1" x14ac:dyDescent="0.3">
      <c r="A95" s="128" t="s">
        <v>134</v>
      </c>
      <c r="B95" s="129"/>
      <c r="C95" s="43">
        <v>0</v>
      </c>
      <c r="D95" s="19">
        <f ca="1">((100/(H83))*C95)/100</f>
        <v>0</v>
      </c>
      <c r="E95" s="146"/>
      <c r="F95" s="147"/>
      <c r="G95" s="146"/>
      <c r="H95" s="156"/>
      <c r="I95" s="14" t="s">
        <v>102</v>
      </c>
      <c r="J95" s="31">
        <f ca="1">(IF(B83&gt;1.5,(H83/(B83+2)+J89+MAX(0,J90-J89)+MAX(0,J91-J90)+MAX(0,J92-J91)+MAX(0,J93-J92)+MAX(0,J94-J93)),IF(B83=1,(H83/(B83+3)+J94),IF(B83=0,H83/4+J94))))</f>
        <v>22</v>
      </c>
    </row>
    <row r="96" spans="1:19" ht="15.75" hidden="1" customHeight="1" x14ac:dyDescent="0.25">
      <c r="A96" s="179" t="s">
        <v>140</v>
      </c>
      <c r="B96" s="180"/>
      <c r="C96" s="181" t="str">
        <f>D70</f>
        <v>B Wing = 2B + G + 1st to 22nd Floor</v>
      </c>
      <c r="D96" s="182"/>
      <c r="E96" s="182"/>
      <c r="F96" s="182"/>
      <c r="G96" s="182"/>
      <c r="H96" s="183"/>
      <c r="I96" s="48" t="str">
        <f ca="1">IF(D109=100%,"All work Completed. Possession granted to the Building.",IF(D108=100%,"All work Completed, Waiting for OC",I97&amp;""&amp;I98&amp;""&amp;J97&amp;""&amp;J96&amp;" "&amp;J98))</f>
        <v xml:space="preserve">Work not yet Started. </v>
      </c>
      <c r="J96" s="49" t="str">
        <f ca="1">(IF(C102=(D97+F97+H97),"",IF(C102&gt;0,", RCC upto "&amp;C102&amp;" Slab","")))&amp;(IF(C103=H97,"",IF(C103&gt;0,", Brickwork upto "&amp;C103&amp;" Floor","")))&amp;(IF(C104=H97,"",IF(C104&gt;0,", Internal Plaster upto "&amp;C104&amp;" Floor","")))&amp;(IF(C105=H97,"",IF(C105&gt;0,", External Plaster upto "&amp;C105&amp;" Floor","")))&amp;(IF(C106=H97,"",IF(C106&gt;0,", Flooring upto "&amp;C106&amp;" Floor","")))&amp;(IF(C107=H97,"",IF(C107&gt;0,", Painting upto "&amp;C107&amp;" Floor","")))&amp;(IF(C108=H97,"",IF(C108&gt;0,", Finishing upto "&amp;C108&amp;" Floor","")))&amp;(IF(C109=H97,"",IF(C109&gt;0,", Possession upto "&amp;C109&amp;" Floor","")))</f>
        <v/>
      </c>
    </row>
    <row r="97" spans="1:10" hidden="1" x14ac:dyDescent="0.25">
      <c r="A97" s="15" t="s">
        <v>142</v>
      </c>
      <c r="B97" s="53">
        <f>IF(AND(ISNUMBER(SEARCH("1B",C96))),1,IF(AND(ISNUMBER(SEARCH("2B",C96))),2,IF(AND(ISNUMBER(SEARCH("3B",C96))),3,IF(AND(ISNUMBER(SEARCH("4B",C96))),4,IF(ISNUMBER(SEARCH("5B",C96)),5,0)))))</f>
        <v>2</v>
      </c>
      <c r="C97" s="46" t="s">
        <v>69</v>
      </c>
      <c r="D97" s="46">
        <v>1</v>
      </c>
      <c r="E97" s="46" t="s">
        <v>68</v>
      </c>
      <c r="F97" s="53">
        <v>0</v>
      </c>
      <c r="G97" s="47" t="s">
        <v>77</v>
      </c>
      <c r="H97" s="16">
        <f ca="1">--TRIM(RIGHT(SUBSTITUTE(LEFT(C96,_xlfn.AGGREGATE(16,6,FIND({0,1,2,3,4,5,6,7,8,9},C96,ROW(INDIRECT("1:"&amp;LEN(C96)))),1))," ",REPT(" ",LEN(C96))),LEN(C96)))</f>
        <v>22</v>
      </c>
      <c r="I97" s="50" t="str">
        <f ca="1">IF(D100=100%,"Excavation","")&amp;IF(D101=100%,", Plinth","")&amp;IF(D102=100%,", RCC Slab","")&amp;IF(D103=100%,", Brickwork","")&amp;IF(D104=100%,", Internal Plaster","")&amp;IF(D105=100%,", External Plaster","")&amp;IF(D106=100%,", Flooring","")&amp;IF(D107=100%,", Painting","")&amp;IF(D108=100%,", Building common Amenities","")</f>
        <v/>
      </c>
      <c r="J97" s="51" t="str">
        <f>(IF(C100=0,"Work not yet Started.",IF(D100=25%,"Piling work in process",IF(D100=50%,"Excavation work in process",IF(D100=100%,"","0")))))&amp;(IF(C101=0%,"",IF(C101=J102,", Footing work is process",IF(C101=J103,", Footing work Completed",IF(C101=J104,", 1st Basement Completed",IF(C101=J105,", 1st &amp; 2nd Basement Completed",IF(C101=J106,", 1st to 3rd Basement Completed",IF(C101=J107,", 1st to 4th Basement Completed",IF(C101=J108,", Plinth work is process",IF(C101=J109,"","0"))))))))))</f>
        <v>Work not yet Started.</v>
      </c>
    </row>
    <row r="98" spans="1:10" hidden="1" x14ac:dyDescent="0.25">
      <c r="A98" s="162" t="s">
        <v>87</v>
      </c>
      <c r="B98" s="163"/>
      <c r="C98" s="132" t="str">
        <f ca="1">(IF($G$64="NA",I96,"All work Completed. OC Received."))</f>
        <v xml:space="preserve">Work not yet Started. </v>
      </c>
      <c r="D98" s="132"/>
      <c r="E98" s="132"/>
      <c r="F98" s="132"/>
      <c r="G98" s="132"/>
      <c r="H98" s="133"/>
      <c r="I98" s="50" t="str">
        <f ca="1">IF(I97&lt;&gt;""," Completed","")</f>
        <v/>
      </c>
      <c r="J98" s="51" t="str">
        <f ca="1">IF(J96&lt;&gt;"","Completed","")</f>
        <v/>
      </c>
    </row>
    <row r="99" spans="1:10" ht="15.75" hidden="1" customHeight="1" x14ac:dyDescent="0.25">
      <c r="A99" s="130" t="s">
        <v>47</v>
      </c>
      <c r="B99" s="131"/>
      <c r="C99" s="42" t="s">
        <v>139</v>
      </c>
      <c r="D99" s="42" t="s">
        <v>80</v>
      </c>
      <c r="E99" s="131" t="s">
        <v>82</v>
      </c>
      <c r="F99" s="131"/>
      <c r="G99" s="131" t="s">
        <v>81</v>
      </c>
      <c r="H99" s="161"/>
      <c r="I99" s="13" t="s">
        <v>141</v>
      </c>
      <c r="J99" s="27">
        <f ca="1">H97*25%</f>
        <v>5.5</v>
      </c>
    </row>
    <row r="100" spans="1:10" hidden="1" x14ac:dyDescent="0.25">
      <c r="A100" s="130" t="s">
        <v>128</v>
      </c>
      <c r="B100" s="131"/>
      <c r="C100" s="80">
        <v>0</v>
      </c>
      <c r="D100" s="18">
        <f ca="1">((100/H97)*C100)/100</f>
        <v>0</v>
      </c>
      <c r="E100" s="142">
        <f ca="1">(((C101/H97*10)+(40/(D97+F97+H97)*C102)+(7.5/(H97)*C103)+(7.5/(H97)*C104)+(10/H97*C105)+(10/H97*C106)+(5/H97*C107)+(5/H97*C108)+(5/H97*C109))/100)</f>
        <v>0</v>
      </c>
      <c r="F100" s="143"/>
      <c r="G100" s="142">
        <f ca="1">((((C100/H97)*20)+((C101/H97)*25)+(30/(H97+F97+D97)*C102)+(5/H97*C103)+(5/H97*C104)+(5/H97*C105)+(5/H97*C106)+(0/H97*C107)+(0/H97*C108)+(5/H97*C109))/100)</f>
        <v>0</v>
      </c>
      <c r="H100" s="154"/>
      <c r="I100" s="13" t="s">
        <v>98</v>
      </c>
      <c r="J100" s="28">
        <f ca="1">H97*50%</f>
        <v>11</v>
      </c>
    </row>
    <row r="101" spans="1:10" hidden="1" x14ac:dyDescent="0.25">
      <c r="A101" s="130" t="s">
        <v>48</v>
      </c>
      <c r="B101" s="131"/>
      <c r="C101" s="81">
        <f>J105</f>
        <v>0</v>
      </c>
      <c r="D101" s="18">
        <f ca="1">((100/H97)*C101)/100</f>
        <v>0</v>
      </c>
      <c r="E101" s="144"/>
      <c r="F101" s="145"/>
      <c r="G101" s="144"/>
      <c r="H101" s="155"/>
      <c r="I101" s="13" t="s">
        <v>99</v>
      </c>
      <c r="J101" s="28">
        <f ca="1">H97</f>
        <v>22</v>
      </c>
    </row>
    <row r="102" spans="1:10" ht="15.75" hidden="1" customHeight="1" x14ac:dyDescent="0.25">
      <c r="A102" s="130" t="s">
        <v>129</v>
      </c>
      <c r="B102" s="131"/>
      <c r="C102" s="42">
        <v>0</v>
      </c>
      <c r="D102" s="18">
        <f ca="1">((100/(D97+F97+H97))*C102)/100</f>
        <v>0</v>
      </c>
      <c r="E102" s="144"/>
      <c r="F102" s="145"/>
      <c r="G102" s="144"/>
      <c r="H102" s="155"/>
      <c r="I102" s="13" t="s">
        <v>100</v>
      </c>
      <c r="J102" s="29">
        <f ca="1">(IF(B97&gt;1,(H97/(B97+2)),H97/4))</f>
        <v>5.5</v>
      </c>
    </row>
    <row r="103" spans="1:10" ht="15.75" hidden="1" customHeight="1" x14ac:dyDescent="0.25">
      <c r="A103" s="130" t="s">
        <v>136</v>
      </c>
      <c r="B103" s="131" t="s">
        <v>130</v>
      </c>
      <c r="C103" s="63">
        <v>0</v>
      </c>
      <c r="D103" s="18">
        <f ca="1">((100/H97)*C103)/100</f>
        <v>0</v>
      </c>
      <c r="E103" s="144"/>
      <c r="F103" s="145"/>
      <c r="G103" s="144"/>
      <c r="H103" s="155"/>
      <c r="I103" s="13" t="s">
        <v>101</v>
      </c>
      <c r="J103" s="29">
        <f ca="1">(IF(B97&gt;1,(H97/(B97+2)+J102),H97/4+J102))</f>
        <v>11</v>
      </c>
    </row>
    <row r="104" spans="1:10" ht="15.75" hidden="1" customHeight="1" x14ac:dyDescent="0.25">
      <c r="A104" s="130" t="s">
        <v>137</v>
      </c>
      <c r="B104" s="131" t="s">
        <v>130</v>
      </c>
      <c r="C104" s="63">
        <v>0</v>
      </c>
      <c r="D104" s="18">
        <f ca="1">((100/H97)*C104)/100</f>
        <v>0</v>
      </c>
      <c r="E104" s="144"/>
      <c r="F104" s="145"/>
      <c r="G104" s="144"/>
      <c r="H104" s="155"/>
      <c r="I104" s="13" t="s">
        <v>148</v>
      </c>
      <c r="J104" s="29">
        <f ca="1">(IF(B97&gt;1,(H97/(B97+2)+J103),0))</f>
        <v>16.5</v>
      </c>
    </row>
    <row r="105" spans="1:10" ht="15" hidden="1" customHeight="1" x14ac:dyDescent="0.25">
      <c r="A105" s="130" t="s">
        <v>135</v>
      </c>
      <c r="B105" s="131" t="s">
        <v>132</v>
      </c>
      <c r="C105" s="63">
        <v>0</v>
      </c>
      <c r="D105" s="18">
        <f ca="1">((100/(H97))*C105)/100</f>
        <v>0</v>
      </c>
      <c r="E105" s="144"/>
      <c r="F105" s="145"/>
      <c r="G105" s="144"/>
      <c r="H105" s="155"/>
      <c r="I105" s="13" t="s">
        <v>143</v>
      </c>
      <c r="J105" s="29">
        <f>(IF(B97&gt;2,(H97/(B97+2)+J104),0))</f>
        <v>0</v>
      </c>
    </row>
    <row r="106" spans="1:10" ht="15.75" hidden="1" customHeight="1" x14ac:dyDescent="0.25">
      <c r="A106" s="130" t="s">
        <v>131</v>
      </c>
      <c r="B106" s="131" t="s">
        <v>131</v>
      </c>
      <c r="C106" s="63">
        <v>0</v>
      </c>
      <c r="D106" s="18">
        <f ca="1">((100/H97)*C106)/100</f>
        <v>0</v>
      </c>
      <c r="E106" s="144"/>
      <c r="F106" s="145"/>
      <c r="G106" s="144"/>
      <c r="H106" s="155"/>
      <c r="I106" s="13" t="s">
        <v>144</v>
      </c>
      <c r="J106" s="30">
        <f>(IF(B97&gt;3,(H97/(B97+2)+J105),0))</f>
        <v>0</v>
      </c>
    </row>
    <row r="107" spans="1:10" ht="15.75" hidden="1" customHeight="1" x14ac:dyDescent="0.25">
      <c r="A107" s="130" t="s">
        <v>138</v>
      </c>
      <c r="B107" s="131"/>
      <c r="C107" s="42">
        <v>0</v>
      </c>
      <c r="D107" s="18">
        <f ca="1">((100/H97)*C107)/100</f>
        <v>0</v>
      </c>
      <c r="E107" s="144"/>
      <c r="F107" s="145"/>
      <c r="G107" s="144"/>
      <c r="H107" s="155"/>
      <c r="I107" s="13" t="s">
        <v>145</v>
      </c>
      <c r="J107" s="29">
        <f>(IF(B97&gt;4,(H97/(B97+2)+J106),0))</f>
        <v>0</v>
      </c>
    </row>
    <row r="108" spans="1:10" ht="15.75" hidden="1" customHeight="1" x14ac:dyDescent="0.25">
      <c r="A108" s="130" t="s">
        <v>133</v>
      </c>
      <c r="B108" s="131" t="s">
        <v>133</v>
      </c>
      <c r="C108" s="42">
        <v>0</v>
      </c>
      <c r="D108" s="18">
        <f ca="1">((100/(H97))*C108)/100</f>
        <v>0</v>
      </c>
      <c r="E108" s="144"/>
      <c r="F108" s="145"/>
      <c r="G108" s="144"/>
      <c r="H108" s="155"/>
      <c r="I108" s="13" t="s">
        <v>149</v>
      </c>
      <c r="J108" s="29">
        <f>(IF(B97=1,(H97/(B97+3)+J103),IF(B97=0,(H97/4+J103),IF(B97&gt;1,0))))</f>
        <v>0</v>
      </c>
    </row>
    <row r="109" spans="1:10" ht="16.5" hidden="1" thickBot="1" x14ac:dyDescent="0.3">
      <c r="A109" s="128" t="s">
        <v>134</v>
      </c>
      <c r="B109" s="129"/>
      <c r="C109" s="43">
        <v>0</v>
      </c>
      <c r="D109" s="19">
        <f ca="1">((100/(H97))*C109)/100</f>
        <v>0</v>
      </c>
      <c r="E109" s="146"/>
      <c r="F109" s="147"/>
      <c r="G109" s="146"/>
      <c r="H109" s="156"/>
      <c r="I109" s="14" t="s">
        <v>102</v>
      </c>
      <c r="J109" s="31">
        <f ca="1">(IF(B97&gt;1.5,(H97/(B97+2)+J103+MAX(0,J104-J103)+MAX(0,J105-J104)+MAX(0,J106-J105)+MAX(0,J107-J106)+MAX(0,J108-J107)),IF(B97=1,(H97/(B97+3)+J108),IF(B97=0,H97/4+J108))))</f>
        <v>22</v>
      </c>
    </row>
    <row r="110" spans="1:10" ht="15.75" customHeight="1" x14ac:dyDescent="0.25">
      <c r="A110" s="179" t="s">
        <v>140</v>
      </c>
      <c r="B110" s="180"/>
      <c r="C110" s="181" t="str">
        <f>D71</f>
        <v>C Wing = 2B + G + 1st to 22nd Floor</v>
      </c>
      <c r="D110" s="182"/>
      <c r="E110" s="182"/>
      <c r="F110" s="182"/>
      <c r="G110" s="182"/>
      <c r="H110" s="183"/>
      <c r="I110" s="48" t="str">
        <f ca="1">IF(D123=100%,"All work Completed. Possession granted to the Building.",IF(D122=100%,"All work Completed, Waiting for OC",I111&amp;""&amp;I112&amp;""&amp;J111&amp;""&amp;J110&amp;" "&amp;J112))</f>
        <v>Excavation, Plinth Completed, RCC upto 15 Slab, Brickwork upto 14 Floor, Internal Plaster upto 10.5 Floor, External Plaster upto 8.4 Floor Completed</v>
      </c>
      <c r="J110" s="49" t="str">
        <f ca="1">(IF(C116=(D111+F111+H111),"",IF(C116&gt;0,", RCC upto "&amp;C116&amp;" Slab","")))&amp;(IF(C117=H111,"",IF(C117&gt;0,", Brickwork upto "&amp;C117&amp;" Floor","")))&amp;(IF(C118=H111,"",IF(C118&gt;0,", Internal Plaster upto "&amp;C118&amp;" Floor","")))&amp;(IF(C119=H111,"",IF(C119&gt;0,", External Plaster upto "&amp;C119&amp;" Floor","")))&amp;(IF(C120=H111,"",IF(C120&gt;0,", Flooring upto "&amp;C120&amp;" Floor","")))&amp;(IF(C121=H111,"",IF(C121&gt;0,", Painting upto "&amp;C121&amp;" Floor","")))&amp;(IF(C122=H111,"",IF(C122&gt;0,", Finishing upto "&amp;C122&amp;" Floor","")))&amp;(IF(C123=H111,"",IF(C123&gt;0,", Possession upto "&amp;C123&amp;" Floor","")))</f>
        <v>, RCC upto 15 Slab, Brickwork upto 14 Floor, Internal Plaster upto 10.5 Floor, External Plaster upto 8.4 Floor</v>
      </c>
    </row>
    <row r="111" spans="1:10" x14ac:dyDescent="0.25">
      <c r="A111" s="15" t="s">
        <v>142</v>
      </c>
      <c r="B111" s="53">
        <f>IF(AND(ISNUMBER(SEARCH("1B",C110))),1,IF(AND(ISNUMBER(SEARCH("2B",C110))),2,IF(AND(ISNUMBER(SEARCH("3B",C110))),3,IF(AND(ISNUMBER(SEARCH("4B",C110))),4,IF(ISNUMBER(SEARCH("5B",C110)),5,0)))))</f>
        <v>2</v>
      </c>
      <c r="C111" s="53" t="s">
        <v>69</v>
      </c>
      <c r="D111" s="53">
        <v>1</v>
      </c>
      <c r="E111" s="53" t="s">
        <v>68</v>
      </c>
      <c r="F111" s="53">
        <v>0</v>
      </c>
      <c r="G111" s="47" t="s">
        <v>77</v>
      </c>
      <c r="H111" s="16">
        <f ca="1">--TRIM(RIGHT(SUBSTITUTE(LEFT(C110,_xlfn.AGGREGATE(16,6,FIND({0,1,2,3,4,5,6,7,8,9},C110,ROW(INDIRECT("1:"&amp;LEN(C110)))),1))," ",REPT(" ",LEN(C110))),LEN(C110)))</f>
        <v>22</v>
      </c>
      <c r="I111" s="50" t="str">
        <f ca="1">IF(D114=100%,"Excavation","")&amp;IF(D115=100%,", Plinth","")&amp;IF(D116=100%,", RCC Slab","")&amp;IF(D117=100%,", Brickwork","")&amp;IF(D118=100%,", Internal Plaster","")&amp;IF(D119=100%,", External Plaster","")&amp;IF(D120=100%,", Flooring","")&amp;IF(D121=100%,", Painting","")&amp;IF(D122=100%,", Building common Amenities","")</f>
        <v>Excavation, Plinth</v>
      </c>
      <c r="J111" s="51" t="str">
        <f ca="1">(IF(C114=0,"Work not yet Started.",IF(D114=25%,"Piling work in process",IF(D114=50%,"Excavation work in process",IF(D114=100%,"","0")))))&amp;(IF(C115=0%,"",IF(C115=J116,", Footing work is process",IF(C115=J117,", Footing work Completed",IF(C115=J118,", 1st Basement Completed",IF(C115=J119,", 1st &amp; 2nd Basement Completed",IF(C115=J120,", 1st to 3rd Basement Completed",IF(C115=J121,", 1st to 4th Basement Completed",IF(C115=J122,", Plinth work is process",IF(C115=J123,"","0"))))))))))</f>
        <v/>
      </c>
    </row>
    <row r="112" spans="1:10" ht="33.75" customHeight="1" x14ac:dyDescent="0.25">
      <c r="A112" s="162" t="s">
        <v>87</v>
      </c>
      <c r="B112" s="163"/>
      <c r="C112" s="132" t="str">
        <f ca="1">(IF($G$64="NA",I110,"All work Completed. OC Received."))</f>
        <v>Excavation, Plinth Completed, RCC upto 15 Slab, Brickwork upto 14 Floor, Internal Plaster upto 10.5 Floor, External Plaster upto 8.4 Floor Completed</v>
      </c>
      <c r="D112" s="132"/>
      <c r="E112" s="132"/>
      <c r="F112" s="132"/>
      <c r="G112" s="132"/>
      <c r="H112" s="133"/>
      <c r="I112" s="50" t="str">
        <f ca="1">IF(I111&lt;&gt;""," Completed","")</f>
        <v xml:space="preserve"> Completed</v>
      </c>
      <c r="J112" s="51" t="str">
        <f ca="1">IF(J110&lt;&gt;"","Completed","")</f>
        <v>Completed</v>
      </c>
    </row>
    <row r="113" spans="1:12" ht="15.75" customHeight="1" x14ac:dyDescent="0.25">
      <c r="A113" s="130" t="s">
        <v>47</v>
      </c>
      <c r="B113" s="131"/>
      <c r="C113" s="72" t="s">
        <v>139</v>
      </c>
      <c r="D113" s="72" t="s">
        <v>80</v>
      </c>
      <c r="E113" s="131" t="s">
        <v>82</v>
      </c>
      <c r="F113" s="131"/>
      <c r="G113" s="131" t="s">
        <v>81</v>
      </c>
      <c r="H113" s="161"/>
      <c r="I113" s="13" t="s">
        <v>141</v>
      </c>
      <c r="J113" s="27">
        <f ca="1">H111*25%</f>
        <v>5.5</v>
      </c>
    </row>
    <row r="114" spans="1:12" x14ac:dyDescent="0.25">
      <c r="A114" s="130" t="s">
        <v>128</v>
      </c>
      <c r="B114" s="131"/>
      <c r="C114" s="80">
        <f ca="1">J115</f>
        <v>22</v>
      </c>
      <c r="D114" s="18">
        <f ca="1">((100/H111)*C114)/100</f>
        <v>1.0000000000000002</v>
      </c>
      <c r="E114" s="142">
        <f ca="1">(((C115/H111*10)+(40/(D111+F111+H111)*C116)+(7.5/(H111)*C117)+(7.5/(H111)*C118)+(10/H111*C119)+(10/H111*C120)+(5/H111*C121)+(5/H111*C122)+(5/H111*C123))/100)</f>
        <v>0.48257411067193673</v>
      </c>
      <c r="F114" s="143"/>
      <c r="G114" s="142">
        <f ca="1">((((C114/H111)*20)+((C115/H111)*25)+(30/(H111+F111+D111)*C116)+(5/H111*C117)+(5/H111*C118)+(5/H111*C119)+(5/H111*C120)+(0/H111*C121)+(0/H111*C122)+(5/H111*C123))/100)</f>
        <v>0.72042490118577074</v>
      </c>
      <c r="H114" s="154"/>
      <c r="I114" s="13" t="s">
        <v>98</v>
      </c>
      <c r="J114" s="28">
        <f ca="1">H111*50%</f>
        <v>11</v>
      </c>
    </row>
    <row r="115" spans="1:12" x14ac:dyDescent="0.25">
      <c r="A115" s="130" t="s">
        <v>48</v>
      </c>
      <c r="B115" s="131"/>
      <c r="C115" s="81">
        <f ca="1">J123</f>
        <v>22</v>
      </c>
      <c r="D115" s="18">
        <f ca="1">((100/H111)*C115)/100</f>
        <v>1.0000000000000002</v>
      </c>
      <c r="E115" s="144"/>
      <c r="F115" s="145"/>
      <c r="G115" s="144"/>
      <c r="H115" s="155"/>
      <c r="I115" s="13" t="s">
        <v>99</v>
      </c>
      <c r="J115" s="28">
        <f ca="1">H111</f>
        <v>22</v>
      </c>
    </row>
    <row r="116" spans="1:12" ht="15.75" customHeight="1" x14ac:dyDescent="0.25">
      <c r="A116" s="130" t="s">
        <v>129</v>
      </c>
      <c r="B116" s="131"/>
      <c r="C116" s="72">
        <f>D111+14</f>
        <v>15</v>
      </c>
      <c r="D116" s="18">
        <f ca="1">((100/(D111+F111+H111))*C116)/100</f>
        <v>0.65217391304347827</v>
      </c>
      <c r="E116" s="144"/>
      <c r="F116" s="145"/>
      <c r="G116" s="144"/>
      <c r="H116" s="155"/>
      <c r="I116" s="13" t="s">
        <v>100</v>
      </c>
      <c r="J116" s="29">
        <f ca="1">(IF(B111&gt;1,(H111/(B111+2)),H111/4))</f>
        <v>5.5</v>
      </c>
    </row>
    <row r="117" spans="1:12" ht="15.75" customHeight="1" x14ac:dyDescent="0.25">
      <c r="A117" s="130" t="s">
        <v>136</v>
      </c>
      <c r="B117" s="131" t="s">
        <v>130</v>
      </c>
      <c r="C117" s="72">
        <f>C116-D111</f>
        <v>14</v>
      </c>
      <c r="D117" s="18">
        <f ca="1">((100/H111)*C117)/100</f>
        <v>0.63636363636363635</v>
      </c>
      <c r="E117" s="144"/>
      <c r="F117" s="145"/>
      <c r="G117" s="144"/>
      <c r="H117" s="155"/>
      <c r="I117" s="13" t="s">
        <v>101</v>
      </c>
      <c r="J117" s="29">
        <f ca="1">(IF(B111&gt;1,(H111/(B111+2)+J116),H111/4+J116))</f>
        <v>11</v>
      </c>
    </row>
    <row r="118" spans="1:12" ht="15.75" customHeight="1" x14ac:dyDescent="0.25">
      <c r="A118" s="130" t="s">
        <v>137</v>
      </c>
      <c r="B118" s="131" t="s">
        <v>130</v>
      </c>
      <c r="C118" s="84">
        <f>C117*0.75</f>
        <v>10.5</v>
      </c>
      <c r="D118" s="18">
        <f ca="1">((100/H111)*C118)/100</f>
        <v>0.47727272727272735</v>
      </c>
      <c r="E118" s="144"/>
      <c r="F118" s="145"/>
      <c r="G118" s="144"/>
      <c r="H118" s="155"/>
      <c r="I118" s="13" t="s">
        <v>148</v>
      </c>
      <c r="J118" s="29">
        <f ca="1">(IF(B111&gt;1,(H111/(B111+2)+J117),0))</f>
        <v>16.5</v>
      </c>
    </row>
    <row r="119" spans="1:12" ht="15" customHeight="1" x14ac:dyDescent="0.25">
      <c r="A119" s="130" t="s">
        <v>135</v>
      </c>
      <c r="B119" s="131" t="s">
        <v>132</v>
      </c>
      <c r="C119" s="84">
        <f>C117*0.6</f>
        <v>8.4</v>
      </c>
      <c r="D119" s="18">
        <f ca="1">((100/(H111))*C119)/100</f>
        <v>0.38181818181818189</v>
      </c>
      <c r="E119" s="144"/>
      <c r="F119" s="145"/>
      <c r="G119" s="144"/>
      <c r="H119" s="155"/>
      <c r="I119" s="13" t="s">
        <v>143</v>
      </c>
      <c r="J119" s="29">
        <f>(IF(B111&gt;2,(H111/(B111+2)+J118),0))</f>
        <v>0</v>
      </c>
    </row>
    <row r="120" spans="1:12" ht="15.75" customHeight="1" x14ac:dyDescent="0.25">
      <c r="A120" s="130" t="s">
        <v>131</v>
      </c>
      <c r="B120" s="131" t="s">
        <v>131</v>
      </c>
      <c r="C120" s="72">
        <v>0</v>
      </c>
      <c r="D120" s="18">
        <f ca="1">((100/H111)*C120)/100</f>
        <v>0</v>
      </c>
      <c r="E120" s="144"/>
      <c r="F120" s="145"/>
      <c r="G120" s="144"/>
      <c r="H120" s="155"/>
      <c r="I120" s="13" t="s">
        <v>144</v>
      </c>
      <c r="J120" s="30">
        <f>(IF(B111&gt;3,(H111/(B111+2)+J119),0))</f>
        <v>0</v>
      </c>
    </row>
    <row r="121" spans="1:12" ht="15.75" customHeight="1" x14ac:dyDescent="0.25">
      <c r="A121" s="130" t="s">
        <v>138</v>
      </c>
      <c r="B121" s="131"/>
      <c r="C121" s="72">
        <v>0</v>
      </c>
      <c r="D121" s="18">
        <f ca="1">((100/H111)*C121)/100</f>
        <v>0</v>
      </c>
      <c r="E121" s="144"/>
      <c r="F121" s="145"/>
      <c r="G121" s="144"/>
      <c r="H121" s="155"/>
      <c r="I121" s="13" t="s">
        <v>145</v>
      </c>
      <c r="J121" s="29">
        <f>(IF(B111&gt;4,(H111/(B111+2)+J120),0))</f>
        <v>0</v>
      </c>
    </row>
    <row r="122" spans="1:12" ht="15.75" customHeight="1" x14ac:dyDescent="0.25">
      <c r="A122" s="130" t="s">
        <v>133</v>
      </c>
      <c r="B122" s="131" t="s">
        <v>133</v>
      </c>
      <c r="C122" s="72">
        <v>0</v>
      </c>
      <c r="D122" s="18">
        <f ca="1">((100/(H111))*C122)/100</f>
        <v>0</v>
      </c>
      <c r="E122" s="144"/>
      <c r="F122" s="145"/>
      <c r="G122" s="144"/>
      <c r="H122" s="155"/>
      <c r="I122" s="13" t="s">
        <v>149</v>
      </c>
      <c r="J122" s="29">
        <f>(IF(B111=1,(H111/(B111+3)+J117),IF(B111=0,(H111/4+J117),IF(B111&gt;1,0))))</f>
        <v>0</v>
      </c>
    </row>
    <row r="123" spans="1:12" ht="16.5" thickBot="1" x14ac:dyDescent="0.3">
      <c r="A123" s="128" t="s">
        <v>134</v>
      </c>
      <c r="B123" s="129"/>
      <c r="C123" s="73">
        <v>0</v>
      </c>
      <c r="D123" s="19">
        <f ca="1">((100/(H111))*C123)/100</f>
        <v>0</v>
      </c>
      <c r="E123" s="146"/>
      <c r="F123" s="147"/>
      <c r="G123" s="146"/>
      <c r="H123" s="156"/>
      <c r="I123" s="14" t="s">
        <v>102</v>
      </c>
      <c r="J123" s="31">
        <f ca="1">(IF(B111&gt;1.5,(H111/(B111+2)+J117+MAX(0,J118-J117)+MAX(0,J119-J118)+MAX(0,J120-J119)+MAX(0,J121-J120)+MAX(0,J122-J121)),IF(B111=1,(H111/(B111+3)+J122),IF(B111=0,H111/4+J122))))</f>
        <v>22</v>
      </c>
    </row>
    <row r="124" spans="1:12" ht="15.75" customHeight="1" x14ac:dyDescent="0.25">
      <c r="A124" s="179" t="s">
        <v>140</v>
      </c>
      <c r="B124" s="180"/>
      <c r="C124" s="242" t="str">
        <f>D72</f>
        <v>D Wing = 2B + G + 1st to 22nd Floor</v>
      </c>
      <c r="D124" s="243"/>
      <c r="E124" s="243"/>
      <c r="F124" s="243"/>
      <c r="G124" s="243"/>
      <c r="H124" s="244"/>
      <c r="I124" s="48" t="str">
        <f ca="1">IF(D137=100%,"All work Completed. Possession granted to the Building.",IF(D136=100%,"All work Completed, Waiting for OC",I125&amp;""&amp;I126&amp;""&amp;J125&amp;""&amp;J124&amp;" "&amp;J126))</f>
        <v>Excavation, Plinth Completed, RCC upto 4 Slab, Brickwork upto 3 Floor, Internal Plaster upto 2.1 Floor, External Plaster upto 1.8 Floor Completed</v>
      </c>
      <c r="J124" s="49" t="str">
        <f ca="1">(IF(C130=(D125+F125+H125),"",IF(C130&gt;0,", RCC upto "&amp;C130&amp;" Slab","")))&amp;(IF(C131=H125,"",IF(C131&gt;0,", Brickwork upto "&amp;C131&amp;" Floor","")))&amp;(IF(C132=H125,"",IF(C132&gt;0,", Internal Plaster upto "&amp;C132&amp;" Floor","")))&amp;(IF(C133=H125,"",IF(C133&gt;0,", External Plaster upto "&amp;C133&amp;" Floor","")))&amp;(IF(C134=H125,"",IF(C134&gt;0,", Flooring upto "&amp;C134&amp;" Floor","")))&amp;(IF(C135=H125,"",IF(C135&gt;0,", Painting upto "&amp;C135&amp;" Floor","")))&amp;(IF(C136=H125,"",IF(C136&gt;0,", Finishing upto "&amp;C136&amp;" Floor","")))&amp;(IF(C137=H125,"",IF(C137&gt;0,", Possession upto "&amp;C137&amp;" Floor","")))</f>
        <v>, RCC upto 4 Slab, Brickwork upto 3 Floor, Internal Plaster upto 2.1 Floor, External Plaster upto 1.8 Floor</v>
      </c>
    </row>
    <row r="125" spans="1:12" x14ac:dyDescent="0.25">
      <c r="A125" s="15" t="s">
        <v>142</v>
      </c>
      <c r="B125" s="53">
        <f>IF(AND(ISNUMBER(SEARCH("1B",C124))),1,IF(AND(ISNUMBER(SEARCH("2B",C124))),2,IF(AND(ISNUMBER(SEARCH("3B",C124))),3,IF(AND(ISNUMBER(SEARCH("4B",C124))),4,IF(ISNUMBER(SEARCH("5B",C124)),5,0)))))</f>
        <v>2</v>
      </c>
      <c r="C125" s="89" t="s">
        <v>69</v>
      </c>
      <c r="D125" s="89">
        <v>1</v>
      </c>
      <c r="E125" s="89" t="s">
        <v>68</v>
      </c>
      <c r="F125" s="89">
        <v>0</v>
      </c>
      <c r="G125" s="90" t="s">
        <v>77</v>
      </c>
      <c r="H125" s="91">
        <f ca="1">--TRIM(RIGHT(SUBSTITUTE(LEFT(C124,_xlfn.AGGREGATE(16,6,FIND({0,1,2,3,4,5,6,7,8,9},C124,ROW(INDIRECT("1:"&amp;LEN(C124)))),1))," ",REPT(" ",LEN(C124))),LEN(C124)))</f>
        <v>22</v>
      </c>
      <c r="I125" s="50" t="str">
        <f ca="1">IF(D128=100%,"Excavation","")&amp;IF(D129=100%,", Plinth","")&amp;IF(D130=100%,", RCC Slab","")&amp;IF(D131=100%,", Brickwork","")&amp;IF(D132=100%,", Internal Plaster","")&amp;IF(D133=100%,", External Plaster","")&amp;IF(D134=100%,", Flooring","")&amp;IF(D135=100%,", Painting","")&amp;IF(D136=100%,", Building common Amenities","")</f>
        <v>Excavation, Plinth</v>
      </c>
      <c r="J125" s="51" t="str">
        <f ca="1">(IF(C128=0,"Work not yet Started.",IF(D128=25%,"Piling work in process",IF(D128=50%,"Excavation work in process",IF(D128=100%,"","0")))))&amp;(IF(C129=0%,"",IF(C129=J130,", Footing work is process",IF(C129=J131,", Footing work Completed",IF(C129=J132,", 1st Basement Completed",IF(C129=J133,", 1st &amp; 2nd Basement Completed",IF(C129=J134,", 1st to 3rd Basement Completed",IF(C129=J135,", 1st to 4th Basement Completed",IF(C129=J136,", Plinth work is process",IF(C129=J137,"","0"))))))))))</f>
        <v/>
      </c>
    </row>
    <row r="126" spans="1:12" ht="32.25" customHeight="1" x14ac:dyDescent="0.25">
      <c r="A126" s="162" t="s">
        <v>87</v>
      </c>
      <c r="B126" s="163"/>
      <c r="C126" s="245" t="str">
        <f ca="1">(IF($G$64="NA",I124,"All work Completed. OC Received."))</f>
        <v>Excavation, Plinth Completed, RCC upto 4 Slab, Brickwork upto 3 Floor, Internal Plaster upto 2.1 Floor, External Plaster upto 1.8 Floor Completed</v>
      </c>
      <c r="D126" s="245"/>
      <c r="E126" s="245"/>
      <c r="F126" s="245"/>
      <c r="G126" s="245"/>
      <c r="H126" s="246"/>
      <c r="I126" s="50" t="str">
        <f ca="1">IF(I125&lt;&gt;""," Completed","")</f>
        <v xml:space="preserve"> Completed</v>
      </c>
      <c r="J126" s="51" t="str">
        <f ca="1">IF(J124&lt;&gt;"","Completed","")</f>
        <v>Completed</v>
      </c>
      <c r="L126" s="88" t="s">
        <v>382</v>
      </c>
    </row>
    <row r="127" spans="1:12" ht="15.75" customHeight="1" x14ac:dyDescent="0.25">
      <c r="A127" s="130" t="s">
        <v>47</v>
      </c>
      <c r="B127" s="131"/>
      <c r="C127" s="92" t="s">
        <v>139</v>
      </c>
      <c r="D127" s="92" t="s">
        <v>80</v>
      </c>
      <c r="E127" s="247" t="s">
        <v>82</v>
      </c>
      <c r="F127" s="247"/>
      <c r="G127" s="247" t="s">
        <v>81</v>
      </c>
      <c r="H127" s="248"/>
      <c r="I127" s="13" t="s">
        <v>141</v>
      </c>
      <c r="J127" s="27">
        <f ca="1">H125*25%</f>
        <v>5.5</v>
      </c>
    </row>
    <row r="128" spans="1:12" x14ac:dyDescent="0.25">
      <c r="A128" s="130" t="s">
        <v>128</v>
      </c>
      <c r="B128" s="131"/>
      <c r="C128" s="93">
        <f ca="1">J129</f>
        <v>22</v>
      </c>
      <c r="D128" s="18">
        <f ca="1">((100/H125)*C128)/100</f>
        <v>1.0000000000000002</v>
      </c>
      <c r="E128" s="142">
        <f ca="1">(((C129/H125*10)+(40/(D125+F125+H125)*C130)+(7.5/(H125)*C131)+(7.5/(H125)*C132)+(10/H125*C133)+(10/H125*C134)+(5/H125*C135)+(5/H125*C136)+(5/H125*C137))/100)</f>
        <v>0.19513339920948614</v>
      </c>
      <c r="F128" s="143"/>
      <c r="G128" s="142">
        <f ca="1">((((C128/H125)*20)+((C129/H125)*25)+(30/(H125+F125+D125)*C130)+(5/H125*C131)+(5/H125*C132)+(5/H125*C133)+(5/H125*C134)+(0/H125*C135)+(0/H125*C136)+(5/H125*C137))/100)</f>
        <v>0.51785573122529638</v>
      </c>
      <c r="H128" s="154"/>
      <c r="I128" s="13" t="s">
        <v>98</v>
      </c>
      <c r="J128" s="28">
        <f ca="1">H125*50%</f>
        <v>11</v>
      </c>
    </row>
    <row r="129" spans="1:10" x14ac:dyDescent="0.25">
      <c r="A129" s="130" t="s">
        <v>48</v>
      </c>
      <c r="B129" s="131"/>
      <c r="C129" s="94">
        <f ca="1">J137</f>
        <v>22</v>
      </c>
      <c r="D129" s="18">
        <f ca="1">((100/H125)*C129)/100</f>
        <v>1.0000000000000002</v>
      </c>
      <c r="E129" s="144"/>
      <c r="F129" s="145"/>
      <c r="G129" s="144"/>
      <c r="H129" s="155"/>
      <c r="I129" s="13" t="s">
        <v>99</v>
      </c>
      <c r="J129" s="28">
        <f ca="1">H125</f>
        <v>22</v>
      </c>
    </row>
    <row r="130" spans="1:10" ht="15.75" customHeight="1" x14ac:dyDescent="0.25">
      <c r="A130" s="130" t="s">
        <v>129</v>
      </c>
      <c r="B130" s="131"/>
      <c r="C130" s="92">
        <f>D125+3</f>
        <v>4</v>
      </c>
      <c r="D130" s="18">
        <f ca="1">((100/(D125+F125+H125))*C130)/100</f>
        <v>0.17391304347826086</v>
      </c>
      <c r="E130" s="144"/>
      <c r="F130" s="145"/>
      <c r="G130" s="144"/>
      <c r="H130" s="155"/>
      <c r="I130" s="13" t="s">
        <v>100</v>
      </c>
      <c r="J130" s="29">
        <f ca="1">(IF(B125&gt;1,(H125/(B125+2)),H125/4))</f>
        <v>5.5</v>
      </c>
    </row>
    <row r="131" spans="1:10" ht="15.75" customHeight="1" x14ac:dyDescent="0.25">
      <c r="A131" s="130" t="s">
        <v>136</v>
      </c>
      <c r="B131" s="131" t="s">
        <v>130</v>
      </c>
      <c r="C131" s="92">
        <f>C130-1</f>
        <v>3</v>
      </c>
      <c r="D131" s="18">
        <f ca="1">((100/H125)*C131)/100</f>
        <v>0.13636363636363635</v>
      </c>
      <c r="E131" s="144"/>
      <c r="F131" s="145"/>
      <c r="G131" s="144"/>
      <c r="H131" s="155"/>
      <c r="I131" s="13" t="s">
        <v>101</v>
      </c>
      <c r="J131" s="29">
        <f ca="1">(IF(B125&gt;1,(H125/(B125+2)+J130),H125/4+J130))</f>
        <v>11</v>
      </c>
    </row>
    <row r="132" spans="1:10" ht="15.75" customHeight="1" x14ac:dyDescent="0.25">
      <c r="A132" s="130" t="s">
        <v>137</v>
      </c>
      <c r="B132" s="131" t="s">
        <v>130</v>
      </c>
      <c r="C132" s="95">
        <f>C131*0.7</f>
        <v>2.0999999999999996</v>
      </c>
      <c r="D132" s="18">
        <f ca="1">((100/H125)*C132)/100</f>
        <v>9.5454545454545445E-2</v>
      </c>
      <c r="E132" s="144"/>
      <c r="F132" s="145"/>
      <c r="G132" s="144"/>
      <c r="H132" s="155"/>
      <c r="I132" s="13" t="s">
        <v>148</v>
      </c>
      <c r="J132" s="29">
        <f ca="1">(IF(B125&gt;1,(H125/(B125+2)+J131),0))</f>
        <v>16.5</v>
      </c>
    </row>
    <row r="133" spans="1:10" ht="15" customHeight="1" x14ac:dyDescent="0.25">
      <c r="A133" s="130" t="s">
        <v>135</v>
      </c>
      <c r="B133" s="131" t="s">
        <v>132</v>
      </c>
      <c r="C133" s="95">
        <f>C131*0.6</f>
        <v>1.7999999999999998</v>
      </c>
      <c r="D133" s="18">
        <f ca="1">((100/(H125))*C133)/100</f>
        <v>8.1818181818181818E-2</v>
      </c>
      <c r="E133" s="144"/>
      <c r="F133" s="145"/>
      <c r="G133" s="144"/>
      <c r="H133" s="155"/>
      <c r="I133" s="13" t="s">
        <v>143</v>
      </c>
      <c r="J133" s="29">
        <f>(IF(B125&gt;2,(H125/(B125+2)+J132),0))</f>
        <v>0</v>
      </c>
    </row>
    <row r="134" spans="1:10" ht="15.75" customHeight="1" x14ac:dyDescent="0.25">
      <c r="A134" s="130" t="s">
        <v>131</v>
      </c>
      <c r="B134" s="131" t="s">
        <v>131</v>
      </c>
      <c r="C134" s="92">
        <v>0</v>
      </c>
      <c r="D134" s="18">
        <f ca="1">((100/H125)*C134)/100</f>
        <v>0</v>
      </c>
      <c r="E134" s="144"/>
      <c r="F134" s="145"/>
      <c r="G134" s="144"/>
      <c r="H134" s="155"/>
      <c r="I134" s="13" t="s">
        <v>144</v>
      </c>
      <c r="J134" s="30">
        <f>(IF(B125&gt;3,(H125/(B125+2)+J133),0))</f>
        <v>0</v>
      </c>
    </row>
    <row r="135" spans="1:10" ht="15.75" customHeight="1" x14ac:dyDescent="0.25">
      <c r="A135" s="130" t="s">
        <v>138</v>
      </c>
      <c r="B135" s="131"/>
      <c r="C135" s="92">
        <v>0</v>
      </c>
      <c r="D135" s="18">
        <f ca="1">((100/H125)*C135)/100</f>
        <v>0</v>
      </c>
      <c r="E135" s="144"/>
      <c r="F135" s="145"/>
      <c r="G135" s="144"/>
      <c r="H135" s="155"/>
      <c r="I135" s="13" t="s">
        <v>145</v>
      </c>
      <c r="J135" s="29">
        <f>(IF(B125&gt;4,(H125/(B125+2)+J134),0))</f>
        <v>0</v>
      </c>
    </row>
    <row r="136" spans="1:10" ht="15.75" customHeight="1" x14ac:dyDescent="0.25">
      <c r="A136" s="130" t="s">
        <v>133</v>
      </c>
      <c r="B136" s="131" t="s">
        <v>133</v>
      </c>
      <c r="C136" s="92">
        <v>0</v>
      </c>
      <c r="D136" s="18">
        <f ca="1">((100/(H125))*C136)/100</f>
        <v>0</v>
      </c>
      <c r="E136" s="144"/>
      <c r="F136" s="145"/>
      <c r="G136" s="144"/>
      <c r="H136" s="155"/>
      <c r="I136" s="13" t="s">
        <v>149</v>
      </c>
      <c r="J136" s="29">
        <f>(IF(B125=1,(H125/(B125+3)+J131),IF(B125=0,(H125/4+J131),IF(B125&gt;1,0))))</f>
        <v>0</v>
      </c>
    </row>
    <row r="137" spans="1:10" ht="16.5" thickBot="1" x14ac:dyDescent="0.3">
      <c r="A137" s="128" t="s">
        <v>134</v>
      </c>
      <c r="B137" s="129"/>
      <c r="C137" s="96">
        <v>0</v>
      </c>
      <c r="D137" s="19">
        <f ca="1">((100/(H125))*C137)/100</f>
        <v>0</v>
      </c>
      <c r="E137" s="146"/>
      <c r="F137" s="147"/>
      <c r="G137" s="146"/>
      <c r="H137" s="156"/>
      <c r="I137" s="14" t="s">
        <v>102</v>
      </c>
      <c r="J137" s="31">
        <f ca="1">(IF(B125&gt;1.5,(H125/(B125+2)+J131+MAX(0,J132-J131)+MAX(0,J133-J132)+MAX(0,J134-J133)+MAX(0,J135-J134)+MAX(0,J136-J135)),IF(B125=1,(H125/(B125+3)+J136),IF(B125=0,H125/4+J136))))</f>
        <v>22</v>
      </c>
    </row>
    <row r="138" spans="1:10" ht="15.75" customHeight="1" x14ac:dyDescent="0.25">
      <c r="A138" s="179" t="s">
        <v>140</v>
      </c>
      <c r="B138" s="180"/>
      <c r="C138" s="181" t="str">
        <f>D73</f>
        <v>E Wing = 2B + G + 1st to 22nd Floor</v>
      </c>
      <c r="D138" s="182"/>
      <c r="E138" s="182"/>
      <c r="F138" s="182"/>
      <c r="G138" s="182"/>
      <c r="H138" s="183"/>
      <c r="I138" s="48" t="str">
        <f ca="1">IF(D151=100%,"All work Completed. Possession granted to the Building.",IF(D150=100%,"All work Completed, Waiting for OC",I139&amp;""&amp;I140&amp;""&amp;J139&amp;""&amp;J138&amp;" "&amp;J140))</f>
        <v>Excavation, Plinth Completed, RCC upto 4 Slab Completed</v>
      </c>
      <c r="J138" s="49" t="str">
        <f ca="1">(IF(C144=(D139+F139+H139),"",IF(C144&gt;0,", RCC upto "&amp;C144&amp;" Slab","")))&amp;(IF(C145=H139,"",IF(C145&gt;0,", Brickwork upto "&amp;C145&amp;" Floor","")))&amp;(IF(C146=H139,"",IF(C146&gt;0,", Internal Plaster upto "&amp;C146&amp;" Floor","")))&amp;(IF(C147=H139,"",IF(C147&gt;0,", External Plaster upto "&amp;C147&amp;" Floor","")))&amp;(IF(C148=H139,"",IF(C148&gt;0,", Flooring upto "&amp;C148&amp;" Floor","")))&amp;(IF(C149=H139,"",IF(C149&gt;0,", Painting upto "&amp;C149&amp;" Floor","")))&amp;(IF(C150=H139,"",IF(C150&gt;0,", Finishing upto "&amp;C150&amp;" Floor","")))&amp;(IF(C151=H139,"",IF(C151&gt;0,", Possession upto "&amp;C151&amp;" Floor","")))</f>
        <v>, RCC upto 4 Slab</v>
      </c>
    </row>
    <row r="139" spans="1:10" x14ac:dyDescent="0.25">
      <c r="A139" s="15" t="s">
        <v>142</v>
      </c>
      <c r="B139" s="53">
        <f>IF(AND(ISNUMBER(SEARCH("1B",C138))),1,IF(AND(ISNUMBER(SEARCH("2B",C138))),2,IF(AND(ISNUMBER(SEARCH("3B",C138))),3,IF(AND(ISNUMBER(SEARCH("4B",C138))),4,IF(ISNUMBER(SEARCH("5B",C138)),5,0)))))</f>
        <v>2</v>
      </c>
      <c r="C139" s="53" t="s">
        <v>69</v>
      </c>
      <c r="D139" s="53">
        <v>1</v>
      </c>
      <c r="E139" s="53" t="s">
        <v>68</v>
      </c>
      <c r="F139" s="53">
        <v>0</v>
      </c>
      <c r="G139" s="47" t="s">
        <v>77</v>
      </c>
      <c r="H139" s="16">
        <f ca="1">--TRIM(RIGHT(SUBSTITUTE(LEFT(C138,_xlfn.AGGREGATE(16,6,FIND({0,1,2,3,4,5,6,7,8,9},C138,ROW(INDIRECT("1:"&amp;LEN(C138)))),1))," ",REPT(" ",LEN(C138))),LEN(C138)))</f>
        <v>22</v>
      </c>
      <c r="I139" s="50" t="str">
        <f ca="1">IF(D142=100%,"Excavation","")&amp;IF(D143=100%,", Plinth","")&amp;IF(D144=100%,", RCC Slab","")&amp;IF(D145=100%,", Brickwork","")&amp;IF(D146=100%,", Internal Plaster","")&amp;IF(D147=100%,", External Plaster","")&amp;IF(D148=100%,", Flooring","")&amp;IF(D149=100%,", Painting","")&amp;IF(D150=100%,", Building common Amenities","")</f>
        <v>Excavation, Plinth</v>
      </c>
      <c r="J139" s="51" t="str">
        <f ca="1">(IF(C142=0,"Work not yet Started.",IF(D142=25%,"Piling work in process",IF(D142=50%,"Excavation work in process",IF(D142=100%,"","0")))))&amp;(IF(C143=0%,"",IF(C143=J144,", Footing work is process",IF(C143=J145,", Footing work Completed",IF(C143=J146,", 1st Basement Completed",IF(C143=J147,", 1st &amp; 2nd Basement Completed",IF(C143=J148,", 1st to 3rd Basement Completed",IF(C143=J149,", 1st to 4th Basement Completed",IF(C143=J150,", Plinth work is process",IF(C143=J151,"","0"))))))))))</f>
        <v/>
      </c>
    </row>
    <row r="140" spans="1:10" x14ac:dyDescent="0.25">
      <c r="A140" s="162" t="s">
        <v>87</v>
      </c>
      <c r="B140" s="163"/>
      <c r="C140" s="132" t="str">
        <f ca="1">(IF($G$64="NA",I138,"All work Completed. OC Received."))</f>
        <v>Excavation, Plinth Completed, RCC upto 4 Slab Completed</v>
      </c>
      <c r="D140" s="132"/>
      <c r="E140" s="132"/>
      <c r="F140" s="132"/>
      <c r="G140" s="132"/>
      <c r="H140" s="133"/>
      <c r="I140" s="50" t="str">
        <f ca="1">IF(I139&lt;&gt;""," Completed","")</f>
        <v xml:space="preserve"> Completed</v>
      </c>
      <c r="J140" s="51" t="str">
        <f ca="1">IF(J138&lt;&gt;"","Completed","")</f>
        <v>Completed</v>
      </c>
    </row>
    <row r="141" spans="1:10" ht="15.75" customHeight="1" x14ac:dyDescent="0.25">
      <c r="A141" s="130" t="s">
        <v>47</v>
      </c>
      <c r="B141" s="131"/>
      <c r="C141" s="72" t="s">
        <v>139</v>
      </c>
      <c r="D141" s="72" t="s">
        <v>80</v>
      </c>
      <c r="E141" s="131" t="s">
        <v>82</v>
      </c>
      <c r="F141" s="131"/>
      <c r="G141" s="131" t="s">
        <v>81</v>
      </c>
      <c r="H141" s="161"/>
      <c r="I141" s="13" t="s">
        <v>141</v>
      </c>
      <c r="J141" s="27">
        <f ca="1">H139*25%</f>
        <v>5.5</v>
      </c>
    </row>
    <row r="142" spans="1:10" x14ac:dyDescent="0.25">
      <c r="A142" s="130" t="s">
        <v>128</v>
      </c>
      <c r="B142" s="131"/>
      <c r="C142" s="80">
        <f ca="1">J143</f>
        <v>22</v>
      </c>
      <c r="D142" s="18">
        <f ca="1">((100/H139)*C142)/100</f>
        <v>1.0000000000000002</v>
      </c>
      <c r="E142" s="142">
        <f ca="1">(((C143/H139*10)+(40/(D139+F139+H139)*C144)+(7.5/(H139)*C145)+(7.5/(H139)*C146)+(10/H139*C147)+(10/H139*C148)+(5/H139*C149)+(5/H139*C150)+(5/H139*C151))/100)</f>
        <v>0.16956521739130434</v>
      </c>
      <c r="F142" s="143"/>
      <c r="G142" s="142">
        <f ca="1">((((C142/H139)*20)+((C143/H139)*25)+(30/(H139+F139+D139)*C144)+(5/H139*C145)+(5/H139*C146)+(5/H139*C147)+(5/H139*C148)+(0/H139*C149)+(0/H139*C150)+(5/H139*C151))/100)</f>
        <v>0.50217391304347825</v>
      </c>
      <c r="H142" s="154"/>
      <c r="I142" s="13" t="s">
        <v>98</v>
      </c>
      <c r="J142" s="28">
        <f ca="1">H139*50%</f>
        <v>11</v>
      </c>
    </row>
    <row r="143" spans="1:10" x14ac:dyDescent="0.25">
      <c r="A143" s="130" t="s">
        <v>48</v>
      </c>
      <c r="B143" s="131"/>
      <c r="C143" s="81">
        <f ca="1">J151</f>
        <v>22</v>
      </c>
      <c r="D143" s="18">
        <f ca="1">((100/H139)*C143)/100</f>
        <v>1.0000000000000002</v>
      </c>
      <c r="E143" s="144"/>
      <c r="F143" s="145"/>
      <c r="G143" s="144"/>
      <c r="H143" s="155"/>
      <c r="I143" s="13" t="s">
        <v>99</v>
      </c>
      <c r="J143" s="28">
        <f ca="1">H139</f>
        <v>22</v>
      </c>
    </row>
    <row r="144" spans="1:10" ht="15.75" customHeight="1" x14ac:dyDescent="0.25">
      <c r="A144" s="130" t="s">
        <v>129</v>
      </c>
      <c r="B144" s="131"/>
      <c r="C144" s="72">
        <v>4</v>
      </c>
      <c r="D144" s="18">
        <f ca="1">((100/(D139+F139+H139))*C144)/100</f>
        <v>0.17391304347826086</v>
      </c>
      <c r="E144" s="144"/>
      <c r="F144" s="145"/>
      <c r="G144" s="144"/>
      <c r="H144" s="155"/>
      <c r="I144" s="13" t="s">
        <v>100</v>
      </c>
      <c r="J144" s="29">
        <f ca="1">(IF(B139&gt;1,(H139/(B139+2)),H139/4))</f>
        <v>5.5</v>
      </c>
    </row>
    <row r="145" spans="1:10" ht="15.75" customHeight="1" x14ac:dyDescent="0.25">
      <c r="A145" s="130" t="s">
        <v>136</v>
      </c>
      <c r="B145" s="131" t="s">
        <v>130</v>
      </c>
      <c r="C145" s="72">
        <v>0</v>
      </c>
      <c r="D145" s="18">
        <f ca="1">((100/H139)*C145)/100</f>
        <v>0</v>
      </c>
      <c r="E145" s="144"/>
      <c r="F145" s="145"/>
      <c r="G145" s="144"/>
      <c r="H145" s="155"/>
      <c r="I145" s="13" t="s">
        <v>101</v>
      </c>
      <c r="J145" s="29">
        <f ca="1">(IF(B139&gt;1,(H139/(B139+2)+J144),H139/4+J144))</f>
        <v>11</v>
      </c>
    </row>
    <row r="146" spans="1:10" ht="15.75" customHeight="1" x14ac:dyDescent="0.25">
      <c r="A146" s="130" t="s">
        <v>137</v>
      </c>
      <c r="B146" s="131" t="s">
        <v>130</v>
      </c>
      <c r="C146" s="72">
        <v>0</v>
      </c>
      <c r="D146" s="18">
        <f ca="1">((100/H139)*C146)/100</f>
        <v>0</v>
      </c>
      <c r="E146" s="144"/>
      <c r="F146" s="145"/>
      <c r="G146" s="144"/>
      <c r="H146" s="155"/>
      <c r="I146" s="13" t="s">
        <v>148</v>
      </c>
      <c r="J146" s="29">
        <f ca="1">(IF(B139&gt;1,(H139/(B139+2)+J145),0))</f>
        <v>16.5</v>
      </c>
    </row>
    <row r="147" spans="1:10" ht="15" customHeight="1" x14ac:dyDescent="0.25">
      <c r="A147" s="130" t="s">
        <v>135</v>
      </c>
      <c r="B147" s="131" t="s">
        <v>132</v>
      </c>
      <c r="C147" s="72">
        <v>0</v>
      </c>
      <c r="D147" s="18">
        <f ca="1">((100/(H139))*C147)/100</f>
        <v>0</v>
      </c>
      <c r="E147" s="144"/>
      <c r="F147" s="145"/>
      <c r="G147" s="144"/>
      <c r="H147" s="155"/>
      <c r="I147" s="13" t="s">
        <v>143</v>
      </c>
      <c r="J147" s="29">
        <f>(IF(B139&gt;2,(H139/(B139+2)+J146),0))</f>
        <v>0</v>
      </c>
    </row>
    <row r="148" spans="1:10" ht="15.75" customHeight="1" x14ac:dyDescent="0.25">
      <c r="A148" s="130" t="s">
        <v>131</v>
      </c>
      <c r="B148" s="131" t="s">
        <v>131</v>
      </c>
      <c r="C148" s="72">
        <v>0</v>
      </c>
      <c r="D148" s="18">
        <f ca="1">((100/H139)*C148)/100</f>
        <v>0</v>
      </c>
      <c r="E148" s="144"/>
      <c r="F148" s="145"/>
      <c r="G148" s="144"/>
      <c r="H148" s="155"/>
      <c r="I148" s="13" t="s">
        <v>144</v>
      </c>
      <c r="J148" s="30">
        <f>(IF(B139&gt;3,(H139/(B139+2)+J147),0))</f>
        <v>0</v>
      </c>
    </row>
    <row r="149" spans="1:10" ht="15.75" customHeight="1" x14ac:dyDescent="0.25">
      <c r="A149" s="130" t="s">
        <v>138</v>
      </c>
      <c r="B149" s="131"/>
      <c r="C149" s="72">
        <v>0</v>
      </c>
      <c r="D149" s="18">
        <f ca="1">((100/H139)*C149)/100</f>
        <v>0</v>
      </c>
      <c r="E149" s="144"/>
      <c r="F149" s="145"/>
      <c r="G149" s="144"/>
      <c r="H149" s="155"/>
      <c r="I149" s="13" t="s">
        <v>145</v>
      </c>
      <c r="J149" s="29">
        <f>(IF(B139&gt;4,(H139/(B139+2)+J148),0))</f>
        <v>0</v>
      </c>
    </row>
    <row r="150" spans="1:10" ht="15.75" customHeight="1" x14ac:dyDescent="0.25">
      <c r="A150" s="130" t="s">
        <v>133</v>
      </c>
      <c r="B150" s="131" t="s">
        <v>133</v>
      </c>
      <c r="C150" s="72">
        <v>0</v>
      </c>
      <c r="D150" s="18">
        <f ca="1">((100/(H139))*C150)/100</f>
        <v>0</v>
      </c>
      <c r="E150" s="144"/>
      <c r="F150" s="145"/>
      <c r="G150" s="144"/>
      <c r="H150" s="155"/>
      <c r="I150" s="13" t="s">
        <v>149</v>
      </c>
      <c r="J150" s="29">
        <f>(IF(B139=1,(H139/(B139+3)+J145),IF(B139=0,(H139/4+J145),IF(B139&gt;1,0))))</f>
        <v>0</v>
      </c>
    </row>
    <row r="151" spans="1:10" ht="16.5" thickBot="1" x14ac:dyDescent="0.3">
      <c r="A151" s="128" t="s">
        <v>134</v>
      </c>
      <c r="B151" s="129"/>
      <c r="C151" s="73">
        <v>0</v>
      </c>
      <c r="D151" s="19">
        <f ca="1">((100/(H139))*C151)/100</f>
        <v>0</v>
      </c>
      <c r="E151" s="146"/>
      <c r="F151" s="147"/>
      <c r="G151" s="146"/>
      <c r="H151" s="156"/>
      <c r="I151" s="14" t="s">
        <v>102</v>
      </c>
      <c r="J151" s="31">
        <f ca="1">(IF(B139&gt;1.5,(H139/(B139+2)+J145+MAX(0,J146-J145)+MAX(0,J147-J146)+MAX(0,J148-J147)+MAX(0,J149-J148)+MAX(0,J150-J149)),IF(B139=1,(H139/(B139+3)+J150),IF(B139=0,H139/4+J150))))</f>
        <v>22</v>
      </c>
    </row>
    <row r="152" spans="1:10" ht="15.75" customHeight="1" x14ac:dyDescent="0.25">
      <c r="A152" s="179" t="s">
        <v>140</v>
      </c>
      <c r="B152" s="180"/>
      <c r="C152" s="181" t="str">
        <f>D74</f>
        <v>F Wing = 1B + G + 1st to 22nd Floor</v>
      </c>
      <c r="D152" s="182"/>
      <c r="E152" s="182"/>
      <c r="F152" s="182"/>
      <c r="G152" s="182"/>
      <c r="H152" s="183"/>
      <c r="I152" s="48" t="str">
        <f ca="1">IF(D165=100%,"All work Completed. Possession granted to the Building.",IF(D164=100%,"All work Completed, Waiting for OC",I153&amp;""&amp;I154&amp;""&amp;J153&amp;""&amp;J152&amp;" "&amp;J154))</f>
        <v>Excavation, Plinth Completed, RCC upto 7 Slab Completed</v>
      </c>
      <c r="J152" s="49" t="str">
        <f ca="1">(IF(C158=(D153+F153+H153),"",IF(C158&gt;0,", RCC upto "&amp;C158&amp;" Slab","")))&amp;(IF(C159=H153,"",IF(C159&gt;0,", Brickwork upto "&amp;C159&amp;" Floor","")))&amp;(IF(C160=H153,"",IF(C160&gt;0,", Internal Plaster upto "&amp;C160&amp;" Floor","")))&amp;(IF(C161=H153,"",IF(C161&gt;0,", External Plaster upto "&amp;C161&amp;" Floor","")))&amp;(IF(C162=H153,"",IF(C162&gt;0,", Flooring upto "&amp;C162&amp;" Floor","")))&amp;(IF(C163=H153,"",IF(C163&gt;0,", Painting upto "&amp;C163&amp;" Floor","")))&amp;(IF(C164=H153,"",IF(C164&gt;0,", Finishing upto "&amp;C164&amp;" Floor","")))&amp;(IF(C165=H153,"",IF(C165&gt;0,", Possession upto "&amp;C165&amp;" Floor","")))</f>
        <v>, RCC upto 7 Slab</v>
      </c>
    </row>
    <row r="153" spans="1:10" x14ac:dyDescent="0.25">
      <c r="A153" s="15" t="s">
        <v>142</v>
      </c>
      <c r="B153" s="53">
        <f>IF(AND(ISNUMBER(SEARCH("1B",C152))),1,IF(AND(ISNUMBER(SEARCH("2B",C152))),2,IF(AND(ISNUMBER(SEARCH("3B",C152))),3,IF(AND(ISNUMBER(SEARCH("4B",C152))),4,IF(ISNUMBER(SEARCH("5B",C152)),5,0)))))</f>
        <v>1</v>
      </c>
      <c r="C153" s="46" t="s">
        <v>69</v>
      </c>
      <c r="D153" s="46">
        <v>1</v>
      </c>
      <c r="E153" s="46" t="s">
        <v>68</v>
      </c>
      <c r="F153" s="53">
        <v>0</v>
      </c>
      <c r="G153" s="47" t="s">
        <v>77</v>
      </c>
      <c r="H153" s="16">
        <f ca="1">--TRIM(RIGHT(SUBSTITUTE(LEFT(C152,_xlfn.AGGREGATE(16,6,FIND({0,1,2,3,4,5,6,7,8,9},C152,ROW(INDIRECT("1:"&amp;LEN(C152)))),1))," ",REPT(" ",LEN(C152))),LEN(C152)))</f>
        <v>22</v>
      </c>
      <c r="I153" s="50" t="str">
        <f ca="1">IF(D156=100%,"Excavation","")&amp;IF(D157=100%,", Plinth","")&amp;IF(D158=100%,", RCC Slab","")&amp;IF(D159=100%,", Brickwork","")&amp;IF(D160=100%,", Internal Plaster","")&amp;IF(D161=100%,", External Plaster","")&amp;IF(D162=100%,", Flooring","")&amp;IF(D163=100%,", Painting","")&amp;IF(D164=100%,", Building common Amenities","")</f>
        <v>Excavation, Plinth</v>
      </c>
      <c r="J153" s="51" t="str">
        <f ca="1">(IF(C156=0,"Work not yet Started.",IF(D156=25%,"Piling work in process",IF(D156=50%,"Excavation work in process",IF(D156=100%,"","0")))))&amp;(IF(C157=0%,"",IF(C157=J158,", Footing work is process",IF(C157=J159,", Footing work Completed",IF(C157=J160,", 1st Basement Completed",IF(C157=J161,", 1st &amp; 2nd Basement Completed",IF(C157=J162,", 1st to 3rd Basement Completed",IF(C157=J163,", 1st to 4th Basement Completed",IF(C157=J164,", Plinth work is process",IF(C157=J165,"","0"))))))))))</f>
        <v/>
      </c>
    </row>
    <row r="154" spans="1:10" x14ac:dyDescent="0.25">
      <c r="A154" s="162" t="s">
        <v>87</v>
      </c>
      <c r="B154" s="163"/>
      <c r="C154" s="132" t="str">
        <f ca="1">(IF($G$64="NA",I152,"All work Completed. OC Received."))</f>
        <v>Excavation, Plinth Completed, RCC upto 7 Slab Completed</v>
      </c>
      <c r="D154" s="132"/>
      <c r="E154" s="132"/>
      <c r="F154" s="132"/>
      <c r="G154" s="132"/>
      <c r="H154" s="133"/>
      <c r="I154" s="50" t="str">
        <f ca="1">IF(I153&lt;&gt;""," Completed","")</f>
        <v xml:space="preserve"> Completed</v>
      </c>
      <c r="J154" s="51" t="str">
        <f ca="1">IF(J152&lt;&gt;"","Completed","")</f>
        <v>Completed</v>
      </c>
    </row>
    <row r="155" spans="1:10" ht="15.75" customHeight="1" x14ac:dyDescent="0.25">
      <c r="A155" s="130" t="s">
        <v>47</v>
      </c>
      <c r="B155" s="131"/>
      <c r="C155" s="42" t="s">
        <v>139</v>
      </c>
      <c r="D155" s="42" t="s">
        <v>80</v>
      </c>
      <c r="E155" s="131" t="s">
        <v>82</v>
      </c>
      <c r="F155" s="131"/>
      <c r="G155" s="131" t="s">
        <v>81</v>
      </c>
      <c r="H155" s="161"/>
      <c r="I155" s="13" t="s">
        <v>141</v>
      </c>
      <c r="J155" s="27">
        <f ca="1">H153*25%</f>
        <v>5.5</v>
      </c>
    </row>
    <row r="156" spans="1:10" x14ac:dyDescent="0.25">
      <c r="A156" s="130" t="s">
        <v>128</v>
      </c>
      <c r="B156" s="131"/>
      <c r="C156" s="42">
        <f ca="1">J157</f>
        <v>22</v>
      </c>
      <c r="D156" s="18">
        <f ca="1">((100/H153)*C156)/100</f>
        <v>1.0000000000000002</v>
      </c>
      <c r="E156" s="142">
        <f ca="1">(((C157/H153*10)+(40/(D153+F153+H153)*C158)+(7.5/(H153)*C159)+(7.5/(H153)*C160)+(10/H153*C161)+(10/H153*C162)+(5/H153*C163)+(5/H153*C164)+(5/H153*C165))/100)</f>
        <v>0.22173913043478258</v>
      </c>
      <c r="F156" s="143"/>
      <c r="G156" s="142">
        <f ca="1">((((C156/H153)*20)+((C157/H153)*25)+(30/(H153+F153+D153)*C158)+(5/H153*C159)+(5/H153*C160)+(5/H153*C161)+(5/H153*C162)+(0/H153*C163)+(0/H153*C164)+(5/H153*C165))/100)</f>
        <v>0.54130434782608694</v>
      </c>
      <c r="H156" s="154"/>
      <c r="I156" s="13" t="s">
        <v>98</v>
      </c>
      <c r="J156" s="28">
        <f ca="1">H153*50%</f>
        <v>11</v>
      </c>
    </row>
    <row r="157" spans="1:10" x14ac:dyDescent="0.25">
      <c r="A157" s="130" t="s">
        <v>48</v>
      </c>
      <c r="B157" s="131"/>
      <c r="C157" s="84">
        <f ca="1">J165</f>
        <v>22</v>
      </c>
      <c r="D157" s="18">
        <f ca="1">((100/H153)*C157)/100</f>
        <v>1.0000000000000002</v>
      </c>
      <c r="E157" s="144"/>
      <c r="F157" s="145"/>
      <c r="G157" s="144"/>
      <c r="H157" s="155"/>
      <c r="I157" s="13" t="s">
        <v>99</v>
      </c>
      <c r="J157" s="28">
        <f ca="1">H153</f>
        <v>22</v>
      </c>
    </row>
    <row r="158" spans="1:10" ht="15.75" customHeight="1" x14ac:dyDescent="0.25">
      <c r="A158" s="130" t="s">
        <v>129</v>
      </c>
      <c r="B158" s="131"/>
      <c r="C158" s="42">
        <v>7</v>
      </c>
      <c r="D158" s="18">
        <f ca="1">((100/(D153+F153+H153))*C158)/100</f>
        <v>0.30434782608695649</v>
      </c>
      <c r="E158" s="144"/>
      <c r="F158" s="145"/>
      <c r="G158" s="144"/>
      <c r="H158" s="155"/>
      <c r="I158" s="13" t="s">
        <v>100</v>
      </c>
      <c r="J158" s="29">
        <f ca="1">(IF(B153&gt;1,(H153/(B153+2)),H153/4))</f>
        <v>5.5</v>
      </c>
    </row>
    <row r="159" spans="1:10" ht="15.75" customHeight="1" x14ac:dyDescent="0.25">
      <c r="A159" s="130" t="s">
        <v>136</v>
      </c>
      <c r="B159" s="131" t="s">
        <v>130</v>
      </c>
      <c r="C159" s="42">
        <v>0</v>
      </c>
      <c r="D159" s="18">
        <f ca="1">((100/H153)*C159)/100</f>
        <v>0</v>
      </c>
      <c r="E159" s="144"/>
      <c r="F159" s="145"/>
      <c r="G159" s="144"/>
      <c r="H159" s="155"/>
      <c r="I159" s="13" t="s">
        <v>101</v>
      </c>
      <c r="J159" s="29">
        <f ca="1">(IF(B153&gt;1,(H153/(B153+2)+J158),H153/4+J158))</f>
        <v>11</v>
      </c>
    </row>
    <row r="160" spans="1:10" ht="15.75" customHeight="1" x14ac:dyDescent="0.25">
      <c r="A160" s="130" t="s">
        <v>137</v>
      </c>
      <c r="B160" s="131" t="s">
        <v>130</v>
      </c>
      <c r="C160" s="42">
        <v>0</v>
      </c>
      <c r="D160" s="18">
        <f ca="1">((100/H153)*C160)/100</f>
        <v>0</v>
      </c>
      <c r="E160" s="144"/>
      <c r="F160" s="145"/>
      <c r="G160" s="144"/>
      <c r="H160" s="155"/>
      <c r="I160" s="13" t="s">
        <v>148</v>
      </c>
      <c r="J160" s="29">
        <f>(IF(B153&gt;1,(H153/(B153+2)+J159),0))</f>
        <v>0</v>
      </c>
    </row>
    <row r="161" spans="1:22" ht="15" customHeight="1" x14ac:dyDescent="0.25">
      <c r="A161" s="130" t="s">
        <v>135</v>
      </c>
      <c r="B161" s="131" t="s">
        <v>132</v>
      </c>
      <c r="C161" s="42">
        <v>0</v>
      </c>
      <c r="D161" s="18">
        <f ca="1">((100/(H153))*C161)/100</f>
        <v>0</v>
      </c>
      <c r="E161" s="144"/>
      <c r="F161" s="145"/>
      <c r="G161" s="144"/>
      <c r="H161" s="155"/>
      <c r="I161" s="13" t="s">
        <v>143</v>
      </c>
      <c r="J161" s="29">
        <f>(IF(B153&gt;2,(H153/(B153+2)+J160),0))</f>
        <v>0</v>
      </c>
    </row>
    <row r="162" spans="1:22" ht="15.75" customHeight="1" x14ac:dyDescent="0.25">
      <c r="A162" s="130" t="s">
        <v>131</v>
      </c>
      <c r="B162" s="131" t="s">
        <v>131</v>
      </c>
      <c r="C162" s="42">
        <v>0</v>
      </c>
      <c r="D162" s="18">
        <f ca="1">((100/H153)*C162)/100</f>
        <v>0</v>
      </c>
      <c r="E162" s="144"/>
      <c r="F162" s="145"/>
      <c r="G162" s="144"/>
      <c r="H162" s="155"/>
      <c r="I162" s="13" t="s">
        <v>144</v>
      </c>
      <c r="J162" s="30">
        <f>(IF(B153&gt;3,(H153/(B153+2)+J161),0))</f>
        <v>0</v>
      </c>
    </row>
    <row r="163" spans="1:22" ht="15.75" customHeight="1" x14ac:dyDescent="0.25">
      <c r="A163" s="130" t="s">
        <v>138</v>
      </c>
      <c r="B163" s="131"/>
      <c r="C163" s="42">
        <v>0</v>
      </c>
      <c r="D163" s="18">
        <f ca="1">((100/H153)*C163)/100</f>
        <v>0</v>
      </c>
      <c r="E163" s="144"/>
      <c r="F163" s="145"/>
      <c r="G163" s="144"/>
      <c r="H163" s="155"/>
      <c r="I163" s="13" t="s">
        <v>145</v>
      </c>
      <c r="J163" s="29">
        <f>(IF(B153&gt;4,(H153/(B153+2)+J162),0))</f>
        <v>0</v>
      </c>
    </row>
    <row r="164" spans="1:22" ht="15.75" customHeight="1" x14ac:dyDescent="0.25">
      <c r="A164" s="130" t="s">
        <v>133</v>
      </c>
      <c r="B164" s="131" t="s">
        <v>133</v>
      </c>
      <c r="C164" s="42">
        <v>0</v>
      </c>
      <c r="D164" s="18">
        <f ca="1">((100/(H153))*C164)/100</f>
        <v>0</v>
      </c>
      <c r="E164" s="144"/>
      <c r="F164" s="145"/>
      <c r="G164" s="144"/>
      <c r="H164" s="155"/>
      <c r="I164" s="13" t="s">
        <v>149</v>
      </c>
      <c r="J164" s="29">
        <f ca="1">(IF(B153=1,(H153/(B153+3)+J159),IF(B153=0,(H153/4+J159),IF(B153&gt;1,0))))</f>
        <v>16.5</v>
      </c>
    </row>
    <row r="165" spans="1:22" ht="16.5" thickBot="1" x14ac:dyDescent="0.3">
      <c r="A165" s="128" t="s">
        <v>134</v>
      </c>
      <c r="B165" s="129"/>
      <c r="C165" s="43">
        <v>0</v>
      </c>
      <c r="D165" s="19">
        <f ca="1">((100/(H153))*C165)/100</f>
        <v>0</v>
      </c>
      <c r="E165" s="146"/>
      <c r="F165" s="147"/>
      <c r="G165" s="146"/>
      <c r="H165" s="156"/>
      <c r="I165" s="14" t="s">
        <v>102</v>
      </c>
      <c r="J165" s="31">
        <f ca="1">(IF(B153&gt;1.5,(H153/(B153+2)+J159+MAX(0,J160-J159)+MAX(0,J161-J160)+MAX(0,J162-J161)+MAX(0,J163-J162)+MAX(0,J164-J163)),IF(B153=1,(H153/(B153+3)+J164),IF(B153=0,H153/4+J164))))</f>
        <v>22</v>
      </c>
    </row>
    <row r="166" spans="1:22" x14ac:dyDescent="0.25">
      <c r="A166" s="160" t="s">
        <v>160</v>
      </c>
      <c r="B166" s="160"/>
      <c r="C166" s="160"/>
      <c r="D166" s="160"/>
      <c r="E166" s="160"/>
      <c r="F166" s="164" t="s">
        <v>164</v>
      </c>
      <c r="G166" s="164"/>
      <c r="H166" s="164"/>
      <c r="R166" t="s">
        <v>256</v>
      </c>
      <c r="S166" t="s">
        <v>176</v>
      </c>
      <c r="T166" t="s">
        <v>182</v>
      </c>
      <c r="U166" t="s">
        <v>197</v>
      </c>
      <c r="V166" t="s">
        <v>192</v>
      </c>
    </row>
    <row r="167" spans="1:22" x14ac:dyDescent="0.25">
      <c r="A167" s="134" t="s">
        <v>162</v>
      </c>
      <c r="B167" s="134"/>
      <c r="C167" s="134"/>
      <c r="D167" s="134"/>
      <c r="E167" s="134"/>
      <c r="F167" s="157">
        <v>15000</v>
      </c>
      <c r="G167" s="157"/>
      <c r="H167" s="157"/>
      <c r="R167"/>
      <c r="S167">
        <v>800000</v>
      </c>
      <c r="T167">
        <v>150000</v>
      </c>
      <c r="U167">
        <v>100000</v>
      </c>
      <c r="V167">
        <v>100000</v>
      </c>
    </row>
    <row r="168" spans="1:22" hidden="1" x14ac:dyDescent="0.25">
      <c r="A168" s="134" t="s">
        <v>161</v>
      </c>
      <c r="B168" s="134"/>
      <c r="C168" s="134"/>
      <c r="D168" s="134"/>
      <c r="E168" s="134"/>
      <c r="F168" s="157"/>
      <c r="G168" s="157"/>
      <c r="H168" s="157"/>
      <c r="R168"/>
      <c r="S168">
        <v>900000</v>
      </c>
      <c r="T168">
        <v>200000</v>
      </c>
      <c r="U168">
        <v>150000</v>
      </c>
      <c r="V168">
        <v>150000</v>
      </c>
    </row>
    <row r="169" spans="1:22" hidden="1" x14ac:dyDescent="0.25">
      <c r="A169" s="134" t="s">
        <v>163</v>
      </c>
      <c r="B169" s="134"/>
      <c r="C169" s="134"/>
      <c r="D169" s="134"/>
      <c r="E169" s="134"/>
      <c r="F169" s="157"/>
      <c r="G169" s="157"/>
      <c r="H169" s="157"/>
      <c r="R169"/>
      <c r="S169">
        <v>1000000</v>
      </c>
      <c r="T169">
        <v>250000</v>
      </c>
      <c r="U169">
        <v>200000</v>
      </c>
      <c r="V169">
        <v>200000</v>
      </c>
    </row>
    <row r="170" spans="1:22" s="32" customFormat="1" hidden="1" x14ac:dyDescent="0.25">
      <c r="A170" s="134" t="s">
        <v>178</v>
      </c>
      <c r="B170" s="134"/>
      <c r="C170" s="134"/>
      <c r="D170" s="134"/>
      <c r="E170" s="134"/>
      <c r="F170" s="157"/>
      <c r="G170" s="157"/>
      <c r="H170" s="157"/>
      <c r="R170"/>
      <c r="S170">
        <v>1100000</v>
      </c>
      <c r="T170">
        <v>300000</v>
      </c>
      <c r="U170">
        <v>250000</v>
      </c>
      <c r="V170" s="22">
        <v>250000</v>
      </c>
    </row>
    <row r="171" spans="1:22" s="32" customFormat="1" hidden="1" x14ac:dyDescent="0.25">
      <c r="A171" s="134" t="s">
        <v>92</v>
      </c>
      <c r="B171" s="134"/>
      <c r="C171" s="134"/>
      <c r="D171" s="134"/>
      <c r="E171" s="134"/>
      <c r="F171" s="157"/>
      <c r="G171" s="157"/>
      <c r="H171" s="157"/>
      <c r="R171"/>
      <c r="S171">
        <v>1200000</v>
      </c>
      <c r="T171">
        <v>350000</v>
      </c>
      <c r="U171">
        <v>300000</v>
      </c>
      <c r="V171">
        <v>300000</v>
      </c>
    </row>
    <row r="172" spans="1:22" s="32" customFormat="1" hidden="1" x14ac:dyDescent="0.25">
      <c r="A172" s="134" t="s">
        <v>93</v>
      </c>
      <c r="B172" s="134"/>
      <c r="C172" s="134"/>
      <c r="D172" s="134"/>
      <c r="E172" s="134"/>
      <c r="F172" s="157"/>
      <c r="G172" s="157"/>
      <c r="H172" s="157"/>
      <c r="R172"/>
      <c r="S172">
        <v>1300000</v>
      </c>
      <c r="T172">
        <v>400000</v>
      </c>
      <c r="U172">
        <v>350000</v>
      </c>
      <c r="V172" s="22">
        <v>400000</v>
      </c>
    </row>
    <row r="173" spans="1:22" s="32" customFormat="1" hidden="1" x14ac:dyDescent="0.25">
      <c r="A173" s="134" t="s">
        <v>94</v>
      </c>
      <c r="B173" s="134"/>
      <c r="C173" s="134"/>
      <c r="D173" s="134"/>
      <c r="E173" s="134"/>
      <c r="F173" s="157"/>
      <c r="G173" s="157"/>
      <c r="H173" s="157"/>
      <c r="R173"/>
      <c r="S173">
        <v>1400000</v>
      </c>
      <c r="T173">
        <v>500000</v>
      </c>
      <c r="U173">
        <v>400000</v>
      </c>
      <c r="V173"/>
    </row>
    <row r="174" spans="1:22" s="32" customFormat="1" hidden="1" x14ac:dyDescent="0.25">
      <c r="A174" s="134" t="s">
        <v>95</v>
      </c>
      <c r="B174" s="134"/>
      <c r="C174" s="134"/>
      <c r="D174" s="134"/>
      <c r="E174" s="134"/>
      <c r="F174" s="157"/>
      <c r="G174" s="157"/>
      <c r="H174" s="157"/>
      <c r="R174"/>
      <c r="S174">
        <v>1500000</v>
      </c>
      <c r="T174">
        <v>600000</v>
      </c>
      <c r="U174">
        <v>500000</v>
      </c>
      <c r="V174" s="22"/>
    </row>
    <row r="175" spans="1:22" s="32" customFormat="1" hidden="1" x14ac:dyDescent="0.25">
      <c r="A175" s="134" t="s">
        <v>96</v>
      </c>
      <c r="B175" s="134"/>
      <c r="C175" s="134"/>
      <c r="D175" s="134"/>
      <c r="E175" s="134"/>
      <c r="F175" s="157"/>
      <c r="G175" s="157"/>
      <c r="H175" s="157"/>
      <c r="R175"/>
      <c r="S175">
        <v>1600000</v>
      </c>
      <c r="T175">
        <v>700000</v>
      </c>
      <c r="U175">
        <v>600000</v>
      </c>
      <c r="V175"/>
    </row>
    <row r="176" spans="1:22" s="32" customFormat="1" hidden="1" x14ac:dyDescent="0.25">
      <c r="A176" s="134" t="s">
        <v>97</v>
      </c>
      <c r="B176" s="134"/>
      <c r="C176" s="134"/>
      <c r="D176" s="134"/>
      <c r="E176" s="134"/>
      <c r="F176" s="157"/>
      <c r="G176" s="157"/>
      <c r="H176" s="157"/>
      <c r="R176"/>
      <c r="S176">
        <v>1700000</v>
      </c>
      <c r="T176">
        <v>800000</v>
      </c>
      <c r="U176"/>
      <c r="V176" s="22"/>
    </row>
    <row r="177" spans="1:22" x14ac:dyDescent="0.25">
      <c r="A177" s="134" t="s">
        <v>49</v>
      </c>
      <c r="B177" s="134"/>
      <c r="C177" s="134"/>
      <c r="D177" s="134"/>
      <c r="E177" s="134"/>
      <c r="F177" s="157">
        <v>800000</v>
      </c>
      <c r="G177" s="157"/>
      <c r="H177" s="157"/>
      <c r="R177"/>
      <c r="S177">
        <v>1800000</v>
      </c>
      <c r="T177">
        <v>900000</v>
      </c>
      <c r="U177"/>
    </row>
    <row r="178" spans="1:22" s="33" customFormat="1" x14ac:dyDescent="0.25">
      <c r="A178" s="178" t="s">
        <v>50</v>
      </c>
      <c r="B178" s="178"/>
      <c r="C178" s="178"/>
      <c r="D178" s="178"/>
      <c r="E178" s="178"/>
      <c r="F178" s="157">
        <f>F167*0.8</f>
        <v>12000</v>
      </c>
      <c r="G178" s="157"/>
      <c r="H178" s="157"/>
      <c r="R178" s="20"/>
      <c r="S178" s="20"/>
      <c r="T178">
        <v>1000000</v>
      </c>
      <c r="U178"/>
      <c r="V178" s="20"/>
    </row>
    <row r="179" spans="1:22" s="34" customFormat="1" ht="15.75" hidden="1" customHeight="1" x14ac:dyDescent="0.25">
      <c r="A179" s="138" t="s">
        <v>72</v>
      </c>
      <c r="B179" s="138"/>
      <c r="C179" s="138"/>
      <c r="D179" s="138"/>
      <c r="E179" s="138"/>
      <c r="F179" s="138"/>
      <c r="G179" s="138"/>
      <c r="H179" s="138"/>
      <c r="R179"/>
      <c r="S179" s="20"/>
      <c r="T179"/>
      <c r="U179"/>
      <c r="V179" s="20"/>
    </row>
    <row r="180" spans="1:22" s="34" customFormat="1" ht="15.75" hidden="1" customHeight="1" x14ac:dyDescent="0.25">
      <c r="A180" s="141" t="s">
        <v>51</v>
      </c>
      <c r="B180" s="141"/>
      <c r="C180" s="139" t="s">
        <v>75</v>
      </c>
      <c r="D180" s="139"/>
      <c r="E180" s="140" t="s">
        <v>52</v>
      </c>
      <c r="F180" s="140"/>
      <c r="G180" s="141" t="s">
        <v>53</v>
      </c>
      <c r="H180" s="141"/>
      <c r="R180"/>
      <c r="S180" s="20"/>
      <c r="T180"/>
      <c r="U180" s="20"/>
      <c r="V180" s="20"/>
    </row>
    <row r="181" spans="1:22" s="34" customFormat="1" hidden="1" x14ac:dyDescent="0.25">
      <c r="A181" s="123"/>
      <c r="B181" s="123"/>
      <c r="C181" s="135"/>
      <c r="D181" s="135"/>
      <c r="E181" s="136"/>
      <c r="F181" s="136"/>
      <c r="G181" s="137"/>
      <c r="H181" s="137"/>
      <c r="R181"/>
      <c r="S181" s="20"/>
      <c r="T181"/>
      <c r="U181" s="20"/>
      <c r="V181" s="20"/>
    </row>
    <row r="182" spans="1:22" s="34" customFormat="1" hidden="1" x14ac:dyDescent="0.25">
      <c r="A182" s="123"/>
      <c r="B182" s="123"/>
      <c r="C182" s="135"/>
      <c r="D182" s="135"/>
      <c r="E182" s="136"/>
      <c r="F182" s="136"/>
      <c r="G182" s="137"/>
      <c r="H182" s="137"/>
      <c r="R182"/>
      <c r="S182" s="20"/>
      <c r="T182"/>
      <c r="U182" s="20"/>
      <c r="V182" s="20"/>
    </row>
    <row r="183" spans="1:22" s="34" customFormat="1" hidden="1" x14ac:dyDescent="0.25">
      <c r="A183" s="138" t="s">
        <v>153</v>
      </c>
      <c r="B183" s="138"/>
      <c r="C183" s="139"/>
      <c r="D183" s="139"/>
      <c r="E183" s="140"/>
      <c r="F183" s="140"/>
      <c r="G183" s="141"/>
      <c r="H183" s="141"/>
      <c r="R183"/>
      <c r="S183" s="20"/>
      <c r="T183"/>
      <c r="U183" s="20"/>
      <c r="V183" s="20"/>
    </row>
    <row r="184" spans="1:22" s="34" customFormat="1" x14ac:dyDescent="0.25">
      <c r="A184" s="138" t="s">
        <v>67</v>
      </c>
      <c r="B184" s="138"/>
      <c r="C184" s="138"/>
      <c r="D184" s="138"/>
      <c r="E184" s="138"/>
      <c r="F184" s="138"/>
      <c r="G184" s="138"/>
      <c r="H184" s="138"/>
      <c r="T184"/>
    </row>
    <row r="185" spans="1:22" s="34" customFormat="1" ht="15.75" customHeight="1" x14ac:dyDescent="0.25">
      <c r="A185" s="141" t="s">
        <v>51</v>
      </c>
      <c r="B185" s="141"/>
      <c r="C185" s="139" t="s">
        <v>75</v>
      </c>
      <c r="D185" s="139"/>
      <c r="E185" s="140" t="s">
        <v>52</v>
      </c>
      <c r="F185" s="140"/>
      <c r="G185" s="141" t="s">
        <v>53</v>
      </c>
      <c r="H185" s="141"/>
      <c r="T185"/>
    </row>
    <row r="186" spans="1:22" s="34" customFormat="1" x14ac:dyDescent="0.25">
      <c r="A186" s="123" t="s">
        <v>365</v>
      </c>
      <c r="B186" s="123"/>
      <c r="C186" s="124">
        <f>COUNT(D213:D215)*9+COUNT(D246:D248)*8</f>
        <v>51</v>
      </c>
      <c r="D186" s="124"/>
      <c r="E186" s="124">
        <f t="shared" ref="E186" si="0">SUM(F213:F215)*9+SUM(F246:F248)*8</f>
        <v>44292.2454</v>
      </c>
      <c r="F186" s="124"/>
      <c r="G186" s="124">
        <f t="shared" ref="G186" si="1">SUM(H213:H215)*9+SUM(H246:H248)*8</f>
        <v>66438.368099999992</v>
      </c>
      <c r="H186" s="124"/>
      <c r="T186"/>
    </row>
    <row r="187" spans="1:22" s="34" customFormat="1" x14ac:dyDescent="0.25">
      <c r="A187" s="123" t="s">
        <v>358</v>
      </c>
      <c r="B187" s="123"/>
      <c r="C187" s="124">
        <f>COUNT(D251:D253)*9+COUNT(D284:D286)*8</f>
        <v>51</v>
      </c>
      <c r="D187" s="124"/>
      <c r="E187" s="124">
        <f t="shared" ref="E187" si="2">SUM(F251:F253)*9+SUM(F284:F286)*8</f>
        <v>44305.054559999997</v>
      </c>
      <c r="F187" s="124"/>
      <c r="G187" s="124">
        <f t="shared" ref="G187" si="3">SUM(H251:H253)*9+SUM(H284:H286)*8</f>
        <v>66457.581839999999</v>
      </c>
      <c r="H187" s="124"/>
      <c r="T187"/>
    </row>
    <row r="188" spans="1:22" s="34" customFormat="1" x14ac:dyDescent="0.25">
      <c r="A188" s="123" t="s">
        <v>339</v>
      </c>
      <c r="B188" s="123"/>
      <c r="C188" s="124">
        <f>COUNT(D289:D292)*8+COUNT(D294:D297)*7+COUNT(D299:D302)+COUNT(D304:D307)</f>
        <v>68</v>
      </c>
      <c r="D188" s="124"/>
      <c r="E188" s="124">
        <f t="shared" ref="E188" si="4">SUM(F289:F292)*8+SUM(F294:F297)*7+SUM(F299:F302)+SUM(F304:F307)</f>
        <v>45594.043559999991</v>
      </c>
      <c r="F188" s="124"/>
      <c r="G188" s="124">
        <f t="shared" ref="G188" si="5">SUM(H289:H292)*8+SUM(H294:H297)*7+SUM(H299:H302)+SUM(H304:H307)</f>
        <v>68391.065340000001</v>
      </c>
      <c r="H188" s="124"/>
      <c r="T188"/>
    </row>
    <row r="189" spans="1:22" s="34" customFormat="1" x14ac:dyDescent="0.25">
      <c r="A189" s="123" t="s">
        <v>335</v>
      </c>
      <c r="B189" s="123"/>
      <c r="C189" s="124">
        <f>COUNT(D310:D313)*15+COUNT(D315:D316,D318)*2</f>
        <v>66</v>
      </c>
      <c r="D189" s="124"/>
      <c r="E189" s="124">
        <f t="shared" ref="E189" si="6">SUM(F310:F313)*15+SUM(F315:F316,F318)*2</f>
        <v>39219.818040000006</v>
      </c>
      <c r="F189" s="124"/>
      <c r="G189" s="124">
        <f t="shared" ref="G189" si="7">SUM(H310:H313)*15+SUM(H315:H316,H318)*2</f>
        <v>58829.727059999997</v>
      </c>
      <c r="H189" s="124"/>
      <c r="T189"/>
    </row>
    <row r="190" spans="1:22" s="34" customFormat="1" x14ac:dyDescent="0.25">
      <c r="A190" s="123" t="s">
        <v>321</v>
      </c>
      <c r="B190" s="123"/>
      <c r="C190" s="124">
        <f>COUNT(D321:D324)*15+COUNT(D326:D327,D329)*2</f>
        <v>66</v>
      </c>
      <c r="D190" s="124"/>
      <c r="E190" s="124">
        <f t="shared" ref="E190" si="8">SUM(F321:F324)*15+SUM(F326:F327,F329)*2</f>
        <v>40646.155679999996</v>
      </c>
      <c r="F190" s="124"/>
      <c r="G190" s="124">
        <f t="shared" ref="G190" si="9">SUM(H321:H324)*15+SUM(H326:H327,H329)*2</f>
        <v>60969.233519999994</v>
      </c>
      <c r="H190" s="124"/>
      <c r="T190"/>
    </row>
    <row r="191" spans="1:22" s="34" customFormat="1" ht="16.5" thickBot="1" x14ac:dyDescent="0.3">
      <c r="A191" s="123" t="s">
        <v>326</v>
      </c>
      <c r="B191" s="123"/>
      <c r="C191" s="124">
        <f>COUNT(D332:D334)*15+COUNT(D336:D337)+COUNT(D340:D341)</f>
        <v>49</v>
      </c>
      <c r="D191" s="124"/>
      <c r="E191" s="124">
        <f t="shared" ref="E191" si="10">SUM(F332:F334)*15+SUM(F336:F337)+SUM(F340:F341)</f>
        <v>37214.807759999996</v>
      </c>
      <c r="F191" s="124"/>
      <c r="G191" s="124">
        <f t="shared" ref="G191" si="11">SUM(H332:H334)*15+SUM(H336:H337)+SUM(H340:H341)</f>
        <v>55822.211640000001</v>
      </c>
      <c r="H191" s="124"/>
      <c r="T191"/>
    </row>
    <row r="192" spans="1:22" s="34" customFormat="1" ht="16.5" thickBot="1" x14ac:dyDescent="0.3">
      <c r="A192" s="212" t="s">
        <v>170</v>
      </c>
      <c r="B192" s="213"/>
      <c r="C192" s="214">
        <f>SUM(C186:D191)</f>
        <v>351</v>
      </c>
      <c r="D192" s="214"/>
      <c r="E192" s="215">
        <f>SUM(E186:F191)</f>
        <v>251272.125</v>
      </c>
      <c r="F192" s="215"/>
      <c r="G192" s="169">
        <f>SUM(G186:H191)</f>
        <v>376908.1875</v>
      </c>
      <c r="H192" s="170"/>
      <c r="T192"/>
    </row>
    <row r="193" spans="1:20" s="33" customFormat="1" x14ac:dyDescent="0.25">
      <c r="A193" s="164" t="s">
        <v>54</v>
      </c>
      <c r="B193" s="164"/>
      <c r="C193" s="164"/>
      <c r="D193" s="164"/>
      <c r="E193" s="164"/>
      <c r="F193" s="164"/>
      <c r="G193" s="164"/>
      <c r="H193" s="164"/>
      <c r="T193" s="34"/>
    </row>
    <row r="194" spans="1:20" x14ac:dyDescent="0.25">
      <c r="A194" s="224" t="s">
        <v>328</v>
      </c>
      <c r="B194" s="224"/>
      <c r="C194" s="224"/>
      <c r="D194" s="224"/>
      <c r="E194" s="224"/>
      <c r="F194" s="224"/>
      <c r="G194" s="224"/>
      <c r="H194" s="224"/>
      <c r="T194" s="34"/>
    </row>
    <row r="195" spans="1:20" ht="47.25" hidden="1" customHeight="1" x14ac:dyDescent="0.25">
      <c r="A195" s="167" t="s">
        <v>119</v>
      </c>
      <c r="B195" s="167" t="s">
        <v>180</v>
      </c>
      <c r="C195" s="167" t="s">
        <v>55</v>
      </c>
      <c r="D195" s="158" t="s">
        <v>235</v>
      </c>
      <c r="E195" s="148" t="s">
        <v>159</v>
      </c>
      <c r="F195" s="167" t="s">
        <v>56</v>
      </c>
      <c r="G195" s="148" t="s">
        <v>57</v>
      </c>
      <c r="H195" s="71" t="s">
        <v>151</v>
      </c>
      <c r="T195" s="34"/>
    </row>
    <row r="196" spans="1:20" s="36" customFormat="1" hidden="1" x14ac:dyDescent="0.25">
      <c r="A196" s="168"/>
      <c r="B196" s="168"/>
      <c r="C196" s="168"/>
      <c r="D196" s="159"/>
      <c r="E196" s="149"/>
      <c r="F196" s="168"/>
      <c r="G196" s="149"/>
      <c r="H196" s="57">
        <v>0.45</v>
      </c>
      <c r="T196" s="34"/>
    </row>
    <row r="197" spans="1:20" s="36" customFormat="1" hidden="1" x14ac:dyDescent="0.25">
      <c r="A197" s="113" t="s">
        <v>117</v>
      </c>
      <c r="B197" s="114"/>
      <c r="C197" s="114"/>
      <c r="D197" s="114"/>
      <c r="E197" s="114"/>
      <c r="F197" s="114"/>
      <c r="G197" s="114"/>
      <c r="H197" s="115"/>
      <c r="J197" s="35"/>
      <c r="T197" s="34"/>
    </row>
    <row r="198" spans="1:20" s="36" customFormat="1" ht="15.75" hidden="1" customHeight="1" x14ac:dyDescent="0.25">
      <c r="A198" s="108">
        <v>1</v>
      </c>
      <c r="B198" s="109"/>
      <c r="C198" s="41"/>
      <c r="D198" s="41">
        <v>0</v>
      </c>
      <c r="E198" s="41">
        <v>0</v>
      </c>
      <c r="F198" s="64">
        <f>D198+(IF(E198&lt;201,E198,IF(E198&lt;301,E198/2,E198/3)))</f>
        <v>0</v>
      </c>
      <c r="G198" s="65">
        <v>0</v>
      </c>
      <c r="H198" s="64">
        <f>(F198+(IF(G198&lt;101,G198,IF(G198&lt;201,G198/2,IF(G198&lt;=301,G198/3,G198/4)))))*(($H$196)+1)</f>
        <v>0</v>
      </c>
      <c r="I198" s="35"/>
      <c r="L198" s="117"/>
      <c r="M198" s="117"/>
      <c r="N198" s="35"/>
      <c r="T198" s="34"/>
    </row>
    <row r="199" spans="1:20" s="36" customFormat="1" ht="15.75" hidden="1" customHeight="1" x14ac:dyDescent="0.25">
      <c r="A199" s="108">
        <f>A198+1</f>
        <v>2</v>
      </c>
      <c r="B199" s="109"/>
      <c r="C199" s="41"/>
      <c r="D199" s="41"/>
      <c r="E199" s="41">
        <v>0</v>
      </c>
      <c r="F199" s="64">
        <f t="shared" ref="F199:F201" si="12">D199+(IF(E199&lt;201,E199,IF(E199&lt;301,E199/2,E199/3)))</f>
        <v>0</v>
      </c>
      <c r="G199" s="56">
        <v>0</v>
      </c>
      <c r="H199" s="64">
        <f t="shared" ref="H199:H201" si="13">(F199+(IF(G199&lt;101,G199,IF(G199&lt;201,G199/2,IF(G199&lt;=301,G199/3,G199/4)))))*(($H$196)+1)</f>
        <v>0</v>
      </c>
      <c r="I199" s="35"/>
      <c r="L199" s="117"/>
      <c r="M199" s="117"/>
      <c r="N199" s="35"/>
      <c r="T199" s="33"/>
    </row>
    <row r="200" spans="1:20" s="36" customFormat="1" ht="15.75" hidden="1" customHeight="1" x14ac:dyDescent="0.25">
      <c r="A200" s="108">
        <f>A199+1</f>
        <v>3</v>
      </c>
      <c r="B200" s="109"/>
      <c r="C200" s="41"/>
      <c r="D200" s="41"/>
      <c r="E200" s="41">
        <v>0</v>
      </c>
      <c r="F200" s="64">
        <f t="shared" si="12"/>
        <v>0</v>
      </c>
      <c r="G200" s="56">
        <v>0</v>
      </c>
      <c r="H200" s="64">
        <f t="shared" si="13"/>
        <v>0</v>
      </c>
      <c r="I200" s="35"/>
      <c r="L200" s="117"/>
      <c r="M200" s="117"/>
      <c r="N200" s="35"/>
      <c r="T200" s="20"/>
    </row>
    <row r="201" spans="1:20" s="36" customFormat="1" ht="15.75" hidden="1" customHeight="1" x14ac:dyDescent="0.25">
      <c r="A201" s="108">
        <f>A200+1</f>
        <v>4</v>
      </c>
      <c r="B201" s="109"/>
      <c r="C201" s="41"/>
      <c r="D201" s="41"/>
      <c r="E201" s="41">
        <v>0</v>
      </c>
      <c r="F201" s="64">
        <f t="shared" si="12"/>
        <v>0</v>
      </c>
      <c r="G201" s="56">
        <v>0</v>
      </c>
      <c r="H201" s="64">
        <f t="shared" si="13"/>
        <v>0</v>
      </c>
      <c r="I201" s="35"/>
      <c r="L201" s="117"/>
      <c r="M201" s="117"/>
      <c r="N201" s="35"/>
      <c r="T201" s="20"/>
    </row>
    <row r="202" spans="1:20" s="36" customFormat="1" hidden="1" x14ac:dyDescent="0.25">
      <c r="A202" s="108"/>
      <c r="B202" s="116"/>
      <c r="C202" s="116"/>
      <c r="D202" s="116"/>
      <c r="E202" s="116"/>
      <c r="F202" s="116"/>
      <c r="G202" s="116"/>
      <c r="H202" s="109"/>
      <c r="I202" s="35"/>
      <c r="N202" s="35"/>
    </row>
    <row r="203" spans="1:20" ht="47.25" customHeight="1" x14ac:dyDescent="0.25">
      <c r="A203" s="206" t="s">
        <v>120</v>
      </c>
      <c r="B203" s="167" t="s">
        <v>181</v>
      </c>
      <c r="C203" s="167" t="s">
        <v>55</v>
      </c>
      <c r="D203" s="210" t="s">
        <v>356</v>
      </c>
      <c r="E203" s="167" t="s">
        <v>355</v>
      </c>
      <c r="F203" s="167" t="s">
        <v>56</v>
      </c>
      <c r="G203" s="148" t="s">
        <v>57</v>
      </c>
      <c r="H203" s="70" t="s">
        <v>151</v>
      </c>
      <c r="I203" s="35"/>
      <c r="T203" s="36"/>
    </row>
    <row r="204" spans="1:20" s="36" customFormat="1" x14ac:dyDescent="0.25">
      <c r="A204" s="207"/>
      <c r="B204" s="168"/>
      <c r="C204" s="168"/>
      <c r="D204" s="211"/>
      <c r="E204" s="168"/>
      <c r="F204" s="168"/>
      <c r="G204" s="149"/>
      <c r="H204" s="79">
        <v>0.5</v>
      </c>
      <c r="I204" s="35"/>
    </row>
    <row r="205" spans="1:20" s="78" customFormat="1" ht="15.75" customHeight="1" x14ac:dyDescent="0.25">
      <c r="A205" s="110" t="s">
        <v>347</v>
      </c>
      <c r="B205" s="111"/>
      <c r="C205" s="111"/>
      <c r="D205" s="111"/>
      <c r="E205" s="111"/>
      <c r="F205" s="111"/>
      <c r="G205" s="111"/>
      <c r="H205" s="112"/>
      <c r="I205" s="35"/>
      <c r="N205" s="35"/>
    </row>
    <row r="206" spans="1:20" s="78" customFormat="1" x14ac:dyDescent="0.25">
      <c r="A206" s="125" t="s">
        <v>348</v>
      </c>
      <c r="B206" s="126"/>
      <c r="C206" s="126"/>
      <c r="D206" s="126"/>
      <c r="E206" s="126"/>
      <c r="F206" s="126"/>
      <c r="G206" s="126"/>
      <c r="H206" s="127"/>
      <c r="I206" s="35"/>
    </row>
    <row r="207" spans="1:20" s="78" customFormat="1" x14ac:dyDescent="0.25">
      <c r="A207" s="125" t="s">
        <v>349</v>
      </c>
      <c r="B207" s="126"/>
      <c r="C207" s="126"/>
      <c r="D207" s="126"/>
      <c r="E207" s="126"/>
      <c r="F207" s="126"/>
      <c r="G207" s="126"/>
      <c r="H207" s="127"/>
      <c r="I207" s="35"/>
    </row>
    <row r="208" spans="1:20" s="78" customFormat="1" ht="15.75" customHeight="1" x14ac:dyDescent="0.25">
      <c r="A208" s="125" t="s">
        <v>350</v>
      </c>
      <c r="B208" s="126"/>
      <c r="C208" s="126"/>
      <c r="D208" s="126"/>
      <c r="E208" s="126"/>
      <c r="F208" s="126"/>
      <c r="G208" s="126"/>
      <c r="H208" s="127"/>
      <c r="I208" s="35"/>
      <c r="N208" s="35"/>
    </row>
    <row r="209" spans="1:20" s="78" customFormat="1" ht="15.75" customHeight="1" x14ac:dyDescent="0.25">
      <c r="A209" s="125" t="s">
        <v>351</v>
      </c>
      <c r="B209" s="126"/>
      <c r="C209" s="126"/>
      <c r="D209" s="126"/>
      <c r="E209" s="126"/>
      <c r="F209" s="126"/>
      <c r="G209" s="126"/>
      <c r="H209" s="127"/>
      <c r="I209" s="35"/>
      <c r="N209" s="35"/>
    </row>
    <row r="210" spans="1:20" s="78" customFormat="1" ht="15.75" customHeight="1" x14ac:dyDescent="0.25">
      <c r="A210" s="125" t="s">
        <v>352</v>
      </c>
      <c r="B210" s="126"/>
      <c r="C210" s="126"/>
      <c r="D210" s="126"/>
      <c r="E210" s="126"/>
      <c r="F210" s="126"/>
      <c r="G210" s="126"/>
      <c r="H210" s="127"/>
      <c r="I210" s="35"/>
      <c r="N210" s="35"/>
    </row>
    <row r="211" spans="1:20" s="83" customFormat="1" ht="15.75" customHeight="1" x14ac:dyDescent="0.25">
      <c r="A211" s="110" t="s">
        <v>353</v>
      </c>
      <c r="B211" s="111"/>
      <c r="C211" s="111"/>
      <c r="D211" s="111"/>
      <c r="E211" s="111"/>
      <c r="F211" s="111"/>
      <c r="G211" s="111"/>
      <c r="H211" s="112"/>
      <c r="I211" s="35"/>
      <c r="N211" s="35"/>
    </row>
    <row r="212" spans="1:20" s="75" customFormat="1" ht="15.75" customHeight="1" x14ac:dyDescent="0.25">
      <c r="A212" s="113" t="s">
        <v>354</v>
      </c>
      <c r="B212" s="114"/>
      <c r="C212" s="114"/>
      <c r="D212" s="114"/>
      <c r="E212" s="114"/>
      <c r="F212" s="114"/>
      <c r="G212" s="114"/>
      <c r="H212" s="115"/>
      <c r="I212" s="35"/>
      <c r="J212" s="35"/>
    </row>
    <row r="213" spans="1:20" s="75" customFormat="1" ht="15.75" customHeight="1" x14ac:dyDescent="0.25">
      <c r="A213" s="108">
        <v>1</v>
      </c>
      <c r="B213" s="109"/>
      <c r="C213" s="74" t="s">
        <v>327</v>
      </c>
      <c r="D213" s="77">
        <f>(88.38)*10.764</f>
        <v>951.32231999999988</v>
      </c>
      <c r="E213" s="74">
        <f>(5.23)*10.764</f>
        <v>56.295720000000003</v>
      </c>
      <c r="F213" s="74">
        <f>D213+E213</f>
        <v>1007.6180399999998</v>
      </c>
      <c r="G213" s="74">
        <v>0</v>
      </c>
      <c r="H213" s="74">
        <f>F213*(($H$204)+1)+(IF(G213&lt;101,G213,IF(G213&lt;201,G213/2,IF(G213&lt;=301,G213/3,G213/4))))</f>
        <v>1511.4270599999998</v>
      </c>
      <c r="I213" s="35"/>
    </row>
    <row r="214" spans="1:20" s="75" customFormat="1" ht="15.75" customHeight="1" x14ac:dyDescent="0.25">
      <c r="A214" s="108">
        <v>2</v>
      </c>
      <c r="B214" s="109"/>
      <c r="C214" s="74" t="s">
        <v>322</v>
      </c>
      <c r="D214" s="77">
        <f>(69.21)*10.764</f>
        <v>744.97643999999991</v>
      </c>
      <c r="E214" s="74">
        <v>0</v>
      </c>
      <c r="F214" s="74">
        <f>D214+E214</f>
        <v>744.97643999999991</v>
      </c>
      <c r="G214" s="74">
        <v>0</v>
      </c>
      <c r="H214" s="74">
        <f>F214*(($H$204)+1)+(IF(G214&lt;101,G214,IF(G214&lt;201,G214/2,IF(G214&lt;=301,G214/3,G214/4))))</f>
        <v>1117.4646599999999</v>
      </c>
      <c r="I214" s="35"/>
    </row>
    <row r="215" spans="1:20" s="75" customFormat="1" ht="15.75" customHeight="1" x14ac:dyDescent="0.25">
      <c r="A215" s="108">
        <v>3</v>
      </c>
      <c r="B215" s="109"/>
      <c r="C215" s="74" t="s">
        <v>327</v>
      </c>
      <c r="D215" s="77">
        <f>(79.23)*10.764</f>
        <v>852.83172000000002</v>
      </c>
      <c r="E215" s="74">
        <v>0</v>
      </c>
      <c r="F215" s="74">
        <f>D215+E215</f>
        <v>852.83172000000002</v>
      </c>
      <c r="G215" s="74">
        <v>0</v>
      </c>
      <c r="H215" s="74">
        <f>F215*(($H$204)+1)+(IF(G215&lt;101,G215,IF(G215&lt;201,G215/2,IF(G215&lt;=301,G215/3,G215/4))))</f>
        <v>1279.24758</v>
      </c>
      <c r="I215" s="35"/>
    </row>
    <row r="216" spans="1:20" s="36" customFormat="1" ht="15.75" hidden="1" customHeight="1" x14ac:dyDescent="0.25">
      <c r="A216" s="113" t="s">
        <v>117</v>
      </c>
      <c r="B216" s="114"/>
      <c r="C216" s="114"/>
      <c r="D216" s="114"/>
      <c r="E216" s="114"/>
      <c r="F216" s="114"/>
      <c r="G216" s="114"/>
      <c r="H216" s="115"/>
      <c r="I216" s="35"/>
      <c r="L216" s="117"/>
      <c r="M216" s="117"/>
      <c r="N216" s="35"/>
    </row>
    <row r="217" spans="1:20" s="36" customFormat="1" ht="15.75" hidden="1" customHeight="1" x14ac:dyDescent="0.25">
      <c r="A217" s="108">
        <v>1</v>
      </c>
      <c r="B217" s="109"/>
      <c r="C217" s="41"/>
      <c r="D217" s="41"/>
      <c r="E217" s="41">
        <v>0</v>
      </c>
      <c r="F217" s="41">
        <f>D217+E217</f>
        <v>0</v>
      </c>
      <c r="G217" s="56">
        <v>0</v>
      </c>
      <c r="H217" s="56">
        <f>F217*(($H$204)+1)+(IF(G217&lt;101,G217,IF(G217&lt;201,G217/2,IF(G217&lt;=301,G217/3,G217/4))))</f>
        <v>0</v>
      </c>
      <c r="I217" s="35"/>
      <c r="L217" s="117"/>
      <c r="M217" s="117"/>
      <c r="N217" s="35"/>
    </row>
    <row r="218" spans="1:20" s="36" customFormat="1" ht="15.75" hidden="1" customHeight="1" x14ac:dyDescent="0.25">
      <c r="A218" s="108">
        <f>A217+1</f>
        <v>2</v>
      </c>
      <c r="B218" s="109"/>
      <c r="C218" s="41"/>
      <c r="D218" s="41"/>
      <c r="E218" s="41">
        <v>0</v>
      </c>
      <c r="F218" s="56">
        <f>D218+E218</f>
        <v>0</v>
      </c>
      <c r="G218" s="56">
        <v>0</v>
      </c>
      <c r="H218" s="56">
        <f>F218*(($H$204)+1)+(IF(G218&lt;101,G218,IF(G218&lt;201,G218/2,IF(G218&lt;=301,G218/3,G218/4))))</f>
        <v>0</v>
      </c>
      <c r="I218" s="35"/>
      <c r="L218" s="117"/>
      <c r="M218" s="117"/>
      <c r="N218" s="35"/>
      <c r="T218" s="20"/>
    </row>
    <row r="219" spans="1:20" s="36" customFormat="1" hidden="1" x14ac:dyDescent="0.25">
      <c r="A219" s="108">
        <f>A218+1</f>
        <v>3</v>
      </c>
      <c r="B219" s="109"/>
      <c r="C219" s="41"/>
      <c r="D219" s="41"/>
      <c r="E219" s="41">
        <v>0</v>
      </c>
      <c r="F219" s="56">
        <f>D219+E219</f>
        <v>0</v>
      </c>
      <c r="G219" s="56">
        <v>0</v>
      </c>
      <c r="H219" s="56">
        <f>F219*(($H$204)+1)+(IF(G219&lt;101,G219,IF(G219&lt;201,G219/2,IF(G219&lt;=301,G219/3,G219/4))))</f>
        <v>0</v>
      </c>
      <c r="I219" s="35"/>
      <c r="L219" s="117"/>
      <c r="M219" s="117"/>
    </row>
    <row r="220" spans="1:20" s="36" customFormat="1" hidden="1" x14ac:dyDescent="0.25">
      <c r="A220" s="108">
        <f>A219+1</f>
        <v>4</v>
      </c>
      <c r="B220" s="109"/>
      <c r="C220" s="41"/>
      <c r="D220" s="41"/>
      <c r="E220" s="41">
        <v>0</v>
      </c>
      <c r="F220" s="56">
        <f>D220+E220</f>
        <v>0</v>
      </c>
      <c r="G220" s="56">
        <v>0</v>
      </c>
      <c r="H220" s="56">
        <f>F220*(($H$204)+1)+(IF(G220&lt;101,G220,IF(G220&lt;201,G220/2,IF(G220&lt;=301,G220/3,G220/4))))</f>
        <v>0</v>
      </c>
      <c r="I220" s="35"/>
      <c r="N220" s="35"/>
    </row>
    <row r="221" spans="1:20" s="36" customFormat="1" hidden="1" x14ac:dyDescent="0.25">
      <c r="A221" s="118" t="s">
        <v>118</v>
      </c>
      <c r="B221" s="118"/>
      <c r="C221" s="118"/>
      <c r="D221" s="118"/>
      <c r="E221" s="118"/>
      <c r="F221" s="118"/>
      <c r="G221" s="118"/>
      <c r="H221" s="118"/>
      <c r="I221" s="35"/>
      <c r="N221" s="35"/>
    </row>
    <row r="222" spans="1:20" s="36" customFormat="1" hidden="1" x14ac:dyDescent="0.25">
      <c r="A222" s="150">
        <f>LEFT(A221,SUM(LEN(A221)-LEN(SUBSTITUTE(A221,{"0","1","2","3","4","5","6","7","8","9"},""))))*100+1</f>
        <v>201</v>
      </c>
      <c r="B222" s="150"/>
      <c r="C222" s="41"/>
      <c r="D222" s="41"/>
      <c r="E222" s="56">
        <v>0</v>
      </c>
      <c r="F222" s="56">
        <f>D222+E222</f>
        <v>0</v>
      </c>
      <c r="G222" s="56">
        <v>0</v>
      </c>
      <c r="H222" s="56">
        <f>F222*(($H$204)+1)+(IF(G222&lt;101,G222,IF(G222&lt;201,G222/2,IF(G222&lt;=301,G222/3,G222/4))))</f>
        <v>0</v>
      </c>
      <c r="I222" s="35"/>
      <c r="N222" s="35"/>
    </row>
    <row r="223" spans="1:20" s="36" customFormat="1" hidden="1" x14ac:dyDescent="0.25">
      <c r="A223" s="150">
        <f>A222+1</f>
        <v>202</v>
      </c>
      <c r="B223" s="150"/>
      <c r="C223" s="41"/>
      <c r="D223" s="41"/>
      <c r="E223" s="56">
        <v>0</v>
      </c>
      <c r="F223" s="56">
        <f>D223+E223</f>
        <v>0</v>
      </c>
      <c r="G223" s="56">
        <v>0</v>
      </c>
      <c r="H223" s="56">
        <f>F223*(($H$204)+1)+(IF(G223&lt;101,G223,IF(G223&lt;201,G223/2,IF(G223&lt;=301,G223/3,G223/4))))</f>
        <v>0</v>
      </c>
      <c r="I223" s="35"/>
      <c r="N223" s="35"/>
    </row>
    <row r="224" spans="1:20" s="36" customFormat="1" hidden="1" x14ac:dyDescent="0.25">
      <c r="A224" s="150">
        <f>A223+1</f>
        <v>203</v>
      </c>
      <c r="B224" s="150"/>
      <c r="C224" s="41"/>
      <c r="D224" s="41"/>
      <c r="E224" s="56">
        <v>0</v>
      </c>
      <c r="F224" s="56">
        <f>D224+E224</f>
        <v>0</v>
      </c>
      <c r="G224" s="56">
        <v>0</v>
      </c>
      <c r="H224" s="56">
        <f>F224*(($H$204)+1)+(IF(G224&lt;101,G224,IF(G224&lt;201,G224/2,IF(G224&lt;=301,G224/3,G224/4))))</f>
        <v>0</v>
      </c>
      <c r="I224" s="35"/>
      <c r="N224" s="35"/>
    </row>
    <row r="225" spans="1:9" s="36" customFormat="1" ht="15.75" hidden="1" customHeight="1" x14ac:dyDescent="0.25">
      <c r="A225" s="150">
        <f>A224+1</f>
        <v>204</v>
      </c>
      <c r="B225" s="150"/>
      <c r="C225" s="41"/>
      <c r="D225" s="41"/>
      <c r="E225" s="56">
        <v>0</v>
      </c>
      <c r="F225" s="56">
        <f>D225+E225</f>
        <v>0</v>
      </c>
      <c r="G225" s="56">
        <v>0</v>
      </c>
      <c r="H225" s="56">
        <f>F225*(($H$204)+1)+(IF(G225&lt;101,G225,IF(G225&lt;201,G225/2,IF(G225&lt;=301,G225/3,G225/4))))</f>
        <v>0</v>
      </c>
      <c r="I225" s="35"/>
    </row>
    <row r="226" spans="1:9" s="36" customFormat="1" ht="15.75" hidden="1" customHeight="1" x14ac:dyDescent="0.25">
      <c r="A226" s="150">
        <f>A225+1</f>
        <v>205</v>
      </c>
      <c r="B226" s="150"/>
      <c r="C226" s="41"/>
      <c r="D226" s="41"/>
      <c r="E226" s="56">
        <v>0</v>
      </c>
      <c r="F226" s="56">
        <f>D226+E226</f>
        <v>0</v>
      </c>
      <c r="G226" s="56">
        <v>0</v>
      </c>
      <c r="H226" s="56">
        <f>F226*(($H$204)+1)+(IF(G226&lt;101,G226,IF(G226&lt;201,G226/2,IF(G226&lt;=301,G226/3,G226/4))))</f>
        <v>0</v>
      </c>
      <c r="I226" s="35"/>
    </row>
    <row r="227" spans="1:9" s="36" customFormat="1" ht="15.75" hidden="1" customHeight="1" x14ac:dyDescent="0.25">
      <c r="A227" s="113" t="s">
        <v>152</v>
      </c>
      <c r="B227" s="114"/>
      <c r="C227" s="114"/>
      <c r="D227" s="114"/>
      <c r="E227" s="114"/>
      <c r="F227" s="114"/>
      <c r="G227" s="114"/>
      <c r="H227" s="115"/>
      <c r="I227" s="35"/>
    </row>
    <row r="228" spans="1:9" s="36" customFormat="1" ht="15.75" hidden="1" customHeight="1" x14ac:dyDescent="0.25">
      <c r="A228" s="108" t="str">
        <f ca="1">(SUMPRODUCT(MID(0&amp;(LEFT(A227,SUM(LEN(A227)-LEN(SUBSTITUTE(A227,{"0","1","2"},""))))), LARGE(INDEX(ISNUMBER(--MID((LEFT(A227,SUM(LEN(A227)-LEN(SUBSTITUTE(A227,{"0","1","2"},""))))), ROW(INDIRECT("1:"&amp;LEN((LEFT(A227,SUM(LEN(A227)-LEN(SUBSTITUTE(A227,{"0","1","2"},"")))))))), 1)) * ROW(INDIRECT("1:"&amp;LEN((LEFT(A227,SUM(LEN(A227)-LEN(SUBSTITUTE(A227,{"0","1","2"},"")))))))), 0), ROW(INDIRECT("1:"&amp;LEN((LEFT(A227,SUM(LEN(A227)-LEN(SUBSTITUTE(A227,{"0","1","2"},"")))))))))+1, 1) * 10^ROW(INDIRECT("1:"&amp;LEN((LEFT(A227,SUM(LEN(A227)-LEN(SUBSTITUTE(A227,{"0","1","2"},""))))))))/10))*100+1&amp;""&amp;" ,.., "&amp;""&amp;(SUMPRODUCT(MID(0&amp;(--TRIM(RIGHT(SUBSTITUTE(LEFT(A227,_xlfn.AGGREGATE(16,6,FIND({0,1,2,3,4,5,6,7,8,9},A227,ROW(INDIRECT("1:"&amp;LEN(A227)))),1))," ",REPT(" ",LEN(A227))),LEN(A227)))), LARGE(INDEX(ISNUMBER(--MID((--TRIM(RIGHT(SUBSTITUTE(LEFT(A227,_xlfn.AGGREGATE(16,6,FIND({0,1,2,3,4,5,6,7,8,9},A227,ROW(INDIRECT("1:"&amp;LEN(A227)))),1))," ",REPT(" ",LEN(A227))),LEN(A227)))), ROW(INDIRECT("1:"&amp;LEN((--TRIM(RIGHT(SUBSTITUTE(LEFT(A227,_xlfn.AGGREGATE(16,6,FIND({0,1,2,3,4,5,6,7,8,9},A227,ROW(INDIRECT("1:"&amp;LEN(A227)))),1))," ",REPT(" ",LEN(A227))),LEN(A227))))))), 1)) * ROW(INDIRECT("1:"&amp;LEN((--TRIM(RIGHT(SUBSTITUTE(LEFT(A227,_xlfn.AGGREGATE(16,6,FIND({0,1,2,3,4,5,6,7,8,9},A227,ROW(INDIRECT("1:"&amp;LEN(A227)))),1))," ",REPT(" ",LEN(A227))),LEN(A227))))))), 0), ROW(INDIRECT("1:"&amp;LEN((--TRIM(RIGHT(SUBSTITUTE(LEFT(A227,_xlfn.AGGREGATE(16,6,FIND({0,1,2,3,4,5,6,7,8,9},A227,ROW(INDIRECT("1:"&amp;LEN(A227)))),1))," ",REPT(" ",LEN(A227))),LEN(A227))))))))+1, 1) * 10^ROW(INDIRECT("1:"&amp;LEN((--TRIM(RIGHT(SUBSTITUTE(LEFT(A227,_xlfn.AGGREGATE(16,6,FIND({0,1,2,3,4,5,6,7,8,9},A227,ROW(INDIRECT("1:"&amp;LEN(A227)))),1))," ",REPT(" ",LEN(A227))),LEN(A227)))))))/10))*100+1</f>
        <v>301 ,.., 1501</v>
      </c>
      <c r="B228" s="109"/>
      <c r="C228" s="41"/>
      <c r="D228" s="41"/>
      <c r="E228" s="56">
        <v>0</v>
      </c>
      <c r="F228" s="56">
        <f>D228+E228</f>
        <v>0</v>
      </c>
      <c r="G228" s="56">
        <v>0</v>
      </c>
      <c r="H228" s="56">
        <f>F228*(($H$204)+1)+(IF(G228&lt;101,G228,IF(G228&lt;201,G228/2,IF(G228&lt;=301,G228/3,G228/4))))</f>
        <v>0</v>
      </c>
      <c r="I228" s="35"/>
    </row>
    <row r="229" spans="1:9" s="36" customFormat="1" ht="15.75" hidden="1" customHeight="1" x14ac:dyDescent="0.25">
      <c r="A229" s="108" t="str">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10^ROW(INDIRECT("1:"&amp;LEN((LEFT(A228,SUM(LEN(A228)-LEN(SUBSTITUTE(A228,{"0","1","2"},""))))))))/10))*1+1&amp;""&amp;" ,.., "&amp;""&amp;(SUMPRODUCT(MID(0&amp;(--TRIM(RIGHT(SUBSTITUTE(LEFT(A228,_xlfn.AGGREGATE(16,6,FIND({0,1,2,3,4,5,6,7,8,9},A228,ROW(INDIRECT("1:"&amp;LEN(A228)))),1)),"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",LEN(A228))),LEN(A228)))))))/10))*1+1</f>
        <v>302 ,.., 1502</v>
      </c>
      <c r="B229" s="109"/>
      <c r="C229" s="41"/>
      <c r="D229" s="41"/>
      <c r="E229" s="56">
        <v>0</v>
      </c>
      <c r="F229" s="56">
        <f>D229+E229</f>
        <v>0</v>
      </c>
      <c r="G229" s="56">
        <v>0</v>
      </c>
      <c r="H229" s="56">
        <f>F229*(($H$204)+1)+(IF(G229&lt;101,G229,IF(G229&lt;201,G229/2,IF(G229&lt;=301,G229/3,G229/4))))</f>
        <v>0</v>
      </c>
      <c r="I229" s="35"/>
    </row>
    <row r="230" spans="1:9" s="36" customFormat="1" ht="15.75" hidden="1" customHeight="1" x14ac:dyDescent="0.25">
      <c r="A230" s="108"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",LEN(A229))),LEN(A229)))))))/10))*1+1</f>
        <v>303 ,.., 1503</v>
      </c>
      <c r="B230" s="109"/>
      <c r="C230" s="41"/>
      <c r="D230" s="41"/>
      <c r="E230" s="56">
        <v>0</v>
      </c>
      <c r="F230" s="56">
        <f>D230+E230</f>
        <v>0</v>
      </c>
      <c r="G230" s="56">
        <v>0</v>
      </c>
      <c r="H230" s="56">
        <f>F230*(($H$204)+1)+(IF(G230&lt;101,G230,IF(G230&lt;201,G230/2,IF(G230&lt;=301,G230/3,G230/4))))</f>
        <v>0</v>
      </c>
      <c r="I230" s="35"/>
    </row>
    <row r="231" spans="1:9" s="36" customFormat="1" hidden="1" x14ac:dyDescent="0.25">
      <c r="A231" s="108"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304 ,.., 1504</v>
      </c>
      <c r="B231" s="109"/>
      <c r="C231" s="41"/>
      <c r="D231" s="41"/>
      <c r="E231" s="56">
        <v>0</v>
      </c>
      <c r="F231" s="56">
        <f>D231+E231</f>
        <v>0</v>
      </c>
      <c r="G231" s="56">
        <v>0</v>
      </c>
      <c r="H231" s="56">
        <f>F231*(($H$204)+1)+(IF(G231&lt;101,G231,IF(G231&lt;201,G231/2,IF(G231&lt;=301,G231/3,G231/4))))</f>
        <v>0</v>
      </c>
      <c r="I231" s="35"/>
    </row>
    <row r="232" spans="1:9" s="36" customFormat="1" ht="15.75" hidden="1" customHeight="1" x14ac:dyDescent="0.25">
      <c r="A232" s="108"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305 ,.., 1505</v>
      </c>
      <c r="B232" s="109"/>
      <c r="C232" s="41"/>
      <c r="D232" s="41"/>
      <c r="E232" s="56">
        <v>0</v>
      </c>
      <c r="F232" s="56">
        <f>D232+E232</f>
        <v>0</v>
      </c>
      <c r="G232" s="56">
        <v>0</v>
      </c>
      <c r="H232" s="56">
        <f>F232*(($H$204)+1)+(IF(G232&lt;101,G232,IF(G232&lt;201,G232/2,IF(G232&lt;=301,G232/3,G232/4))))</f>
        <v>0</v>
      </c>
      <c r="I232" s="35"/>
    </row>
    <row r="233" spans="1:9" s="36" customFormat="1" ht="15.75" hidden="1" customHeight="1" x14ac:dyDescent="0.25">
      <c r="A233" s="113" t="s">
        <v>146</v>
      </c>
      <c r="B233" s="114"/>
      <c r="C233" s="114"/>
      <c r="D233" s="114"/>
      <c r="E233" s="114"/>
      <c r="F233" s="114"/>
      <c r="G233" s="114"/>
      <c r="H233" s="115"/>
      <c r="I233" s="35"/>
    </row>
    <row r="234" spans="1:9" s="36" customFormat="1" ht="15.75" hidden="1" customHeight="1" x14ac:dyDescent="0.25">
      <c r="A234" s="108"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10^ROW(INDIRECT("1:"&amp;LEN((LEFT(A233,SUM(LEN(A233)-LEN(SUBSTITUTE(A233,{"0","1","2"},""))))))))/10))*100+1&amp;""&amp;" to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",LEN(A233))),LEN(A233)))))))/10))*100+1</f>
        <v>201 to 501</v>
      </c>
      <c r="B234" s="109"/>
      <c r="C234" s="41"/>
      <c r="D234" s="41"/>
      <c r="E234" s="56">
        <v>0</v>
      </c>
      <c r="F234" s="56">
        <f>D234+E234</f>
        <v>0</v>
      </c>
      <c r="G234" s="56">
        <v>0</v>
      </c>
      <c r="H234" s="56">
        <f>F234*(($H$204)+1)+(IF(G234&lt;101,G234,IF(G234&lt;201,G234/2,IF(G234&lt;=301,G234/3,G234/4))))</f>
        <v>0</v>
      </c>
      <c r="I234" s="35"/>
    </row>
    <row r="235" spans="1:9" s="36" customFormat="1" ht="15.75" hidden="1" customHeight="1" x14ac:dyDescent="0.25">
      <c r="A235" s="108"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to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202 to 502</v>
      </c>
      <c r="B235" s="109"/>
      <c r="C235" s="41"/>
      <c r="D235" s="41"/>
      <c r="E235" s="56">
        <v>0</v>
      </c>
      <c r="F235" s="56">
        <f>D235+E235</f>
        <v>0</v>
      </c>
      <c r="G235" s="56">
        <v>0</v>
      </c>
      <c r="H235" s="56">
        <f>F235*(($H$204)+1)+(IF(G235&lt;101,G235,IF(G235&lt;201,G235/2,IF(G235&lt;=301,G235/3,G235/4))))</f>
        <v>0</v>
      </c>
      <c r="I235" s="35"/>
    </row>
    <row r="236" spans="1:9" s="36" customFormat="1" ht="15.75" hidden="1" customHeight="1" x14ac:dyDescent="0.25">
      <c r="A236" s="108" t="str">
        <f ca="1">(SUMPRODUCT(MID(0&amp;(LEFT(A235,SUM(LEN(A235)-LEN(SUBSTITUTE(A235,{"0","1","2"},""))))), LARGE(INDEX(ISNUMBER(--MID((LEFT(A235,SUM(LEN(A235)-LEN(SUBSTITUTE(A235,{"0","1","2"},""))))), ROW(INDIRECT("1:"&amp;LEN((LEFT(A235,SUM(LEN(A235)-LEN(SUBSTITUTE(A235,{"0","1","2"},"")))))))), 1)) * ROW(INDIRECT("1:"&amp;LEN((LEFT(A235,SUM(LEN(A235)-LEN(SUBSTITUTE(A235,{"0","1","2"},"")))))))), 0), ROW(INDIRECT("1:"&amp;LEN((LEFT(A235,SUM(LEN(A235)-LEN(SUBSTITUTE(A235,{"0","1","2"},"")))))))))+1, 1) * 10^ROW(INDIRECT("1:"&amp;LEN((LEFT(A235,SUM(LEN(A235)-LEN(SUBSTITUTE(A235,{"0","1","2"},""))))))))/10))*1+1&amp;""&amp;" to "&amp;""&amp;(SUMPRODUCT(MID(0&amp;(--TRIM(RIGHT(SUBSTITUTE(LEFT(A235,_xlfn.AGGREGATE(16,6,FIND({0,1,2,3,4,5,6,7,8,9},A235,ROW(INDIRECT("1:"&amp;LEN(A235)))),1))," ",REPT(" ",LEN(A235))),LEN(A235)))), LARGE(INDEX(ISNUMBER(--MID((--TRIM(RIGHT(SUBSTITUTE(LEFT(A235,_xlfn.AGGREGATE(16,6,FIND({0,1,2,3,4,5,6,7,8,9},A235,ROW(INDIRECT("1:"&amp;LEN(A235)))),1))," ",REPT(" ",LEN(A235))),LEN(A235)))), ROW(INDIRECT("1:"&amp;LEN((--TRIM(RIGHT(SUBSTITUTE(LEFT(A235,_xlfn.AGGREGATE(16,6,FIND({0,1,2,3,4,5,6,7,8,9},A235,ROW(INDIRECT("1:"&amp;LEN(A235)))),1))," ",REPT(" ",LEN(A235))),LEN(A235))))))), 1)) * ROW(INDIRECT("1:"&amp;LEN((--TRIM(RIGHT(SUBSTITUTE(LEFT(A235,_xlfn.AGGREGATE(16,6,FIND({0,1,2,3,4,5,6,7,8,9},A235,ROW(INDIRECT("1:"&amp;LEN(A235)))),1))," ",REPT(" ",LEN(A235))),LEN(A235))))))), 0), ROW(INDIRECT("1:"&amp;LEN((--TRIM(RIGHT(SUBSTITUTE(LEFT(A235,_xlfn.AGGREGATE(16,6,FIND({0,1,2,3,4,5,6,7,8,9},A235,ROW(INDIRECT("1:"&amp;LEN(A235)))),1))," ",REPT(" ",LEN(A235))),LEN(A235))))))))+1, 1) * 10^ROW(INDIRECT("1:"&amp;LEN((--TRIM(RIGHT(SUBSTITUTE(LEFT(A235,_xlfn.AGGREGATE(16,6,FIND({0,1,2,3,4,5,6,7,8,9},A235,ROW(INDIRECT("1:"&amp;LEN(A235)))),1))," ",REPT(" ",LEN(A235))),LEN(A235)))))))/10))*1+1</f>
        <v>203 to 503</v>
      </c>
      <c r="B236" s="109"/>
      <c r="C236" s="41"/>
      <c r="D236" s="41"/>
      <c r="E236" s="56">
        <v>0</v>
      </c>
      <c r="F236" s="56">
        <f>D236+E236</f>
        <v>0</v>
      </c>
      <c r="G236" s="56">
        <v>0</v>
      </c>
      <c r="H236" s="56">
        <f>F236*(($H$204)+1)+(IF(G236&lt;101,G236,IF(G236&lt;201,G236/2,IF(G236&lt;=301,G236/3,G236/4))))</f>
        <v>0</v>
      </c>
      <c r="I236" s="35"/>
    </row>
    <row r="237" spans="1:9" s="36" customFormat="1" hidden="1" x14ac:dyDescent="0.25">
      <c r="A237" s="108"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10^ROW(INDIRECT("1:"&amp;LEN((LEFT(A236,SUM(LEN(A236)-LEN(SUBSTITUTE(A236,{"0","1","2"},""))))))))/10))*1+1&amp;""&amp;" to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",LEN(A236))),LEN(A236)))))))/10))*1+1</f>
        <v>204 to 504</v>
      </c>
      <c r="B237" s="109"/>
      <c r="C237" s="41"/>
      <c r="D237" s="41"/>
      <c r="E237" s="56">
        <v>0</v>
      </c>
      <c r="F237" s="56">
        <f>D237+E237</f>
        <v>0</v>
      </c>
      <c r="G237" s="56">
        <v>0</v>
      </c>
      <c r="H237" s="56">
        <f>F237*(($H$204)+1)+(IF(G237&lt;101,G237,IF(G237&lt;201,G237/2,IF(G237&lt;=301,G237/3,G237/4))))</f>
        <v>0</v>
      </c>
      <c r="I237" s="35"/>
    </row>
    <row r="238" spans="1:9" s="36" customFormat="1" ht="15.75" hidden="1" customHeight="1" x14ac:dyDescent="0.25">
      <c r="A238" s="108"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to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205 to 505</v>
      </c>
      <c r="B238" s="109"/>
      <c r="C238" s="41"/>
      <c r="D238" s="41"/>
      <c r="E238" s="56">
        <v>0</v>
      </c>
      <c r="F238" s="56">
        <f>D238+E238</f>
        <v>0</v>
      </c>
      <c r="G238" s="56">
        <v>0</v>
      </c>
      <c r="H238" s="56">
        <f>F238*(($H$204)+1)+(IF(G238&lt;101,G238,IF(G238&lt;201,G238/2,IF(G238&lt;=301,G238/3,G238/4))))</f>
        <v>0</v>
      </c>
      <c r="I238" s="35"/>
    </row>
    <row r="239" spans="1:9" s="36" customFormat="1" ht="15.75" hidden="1" customHeight="1" x14ac:dyDescent="0.25">
      <c r="A239" s="113" t="s">
        <v>147</v>
      </c>
      <c r="B239" s="114"/>
      <c r="C239" s="114"/>
      <c r="D239" s="114"/>
      <c r="E239" s="114"/>
      <c r="F239" s="114"/>
      <c r="G239" s="114"/>
      <c r="H239" s="115"/>
      <c r="I239" s="35"/>
    </row>
    <row r="240" spans="1:9" s="36" customFormat="1" ht="15.75" hidden="1" customHeight="1" x14ac:dyDescent="0.25">
      <c r="A240" s="108"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10^ROW(INDIRECT("1:"&amp;LEN((LEFT(A239,SUM(LEN(A239)-LEN(SUBSTITUTE(A239,{"0","1","2"},""))))))))/10))*100+1&amp;""&amp;" &amp;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",LEN(A239))),LEN(A239)))))))/10))*100+1</f>
        <v>201 &amp; 501</v>
      </c>
      <c r="B240" s="109"/>
      <c r="C240" s="41"/>
      <c r="D240" s="41"/>
      <c r="E240" s="56">
        <v>0</v>
      </c>
      <c r="F240" s="56">
        <f>D240+E240</f>
        <v>0</v>
      </c>
      <c r="G240" s="56">
        <v>0</v>
      </c>
      <c r="H240" s="56">
        <f>F240*(($H$204)+1)+(IF(G240&lt;101,G240,IF(G240&lt;201,G240/2,IF(G240&lt;=301,G240/3,G240/4))))</f>
        <v>0</v>
      </c>
      <c r="I240" s="35"/>
    </row>
    <row r="241" spans="1:20" s="36" customFormat="1" ht="15.75" hidden="1" customHeight="1" x14ac:dyDescent="0.25">
      <c r="A241" s="108"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&amp;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202 &amp; 502</v>
      </c>
      <c r="B241" s="109"/>
      <c r="C241" s="41"/>
      <c r="D241" s="41"/>
      <c r="E241" s="56">
        <v>0</v>
      </c>
      <c r="F241" s="56">
        <f>D241+E241</f>
        <v>0</v>
      </c>
      <c r="G241" s="56">
        <v>0</v>
      </c>
      <c r="H241" s="56">
        <f>F241*(($H$204)+1)+(IF(G241&lt;101,G241,IF(G241&lt;201,G241/2,IF(G241&lt;=301,G241/3,G241/4))))</f>
        <v>0</v>
      </c>
      <c r="I241" s="35"/>
    </row>
    <row r="242" spans="1:20" s="36" customFormat="1" ht="15.75" hidden="1" customHeight="1" x14ac:dyDescent="0.25">
      <c r="A242" s="108"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&amp;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203 &amp; 503</v>
      </c>
      <c r="B242" s="109"/>
      <c r="C242" s="41"/>
      <c r="D242" s="41"/>
      <c r="E242" s="56">
        <v>0</v>
      </c>
      <c r="F242" s="56">
        <f>D242+E242</f>
        <v>0</v>
      </c>
      <c r="G242" s="56">
        <v>0</v>
      </c>
      <c r="H242" s="56">
        <f>F242*(($H$204)+1)+(IF(G242&lt;101,G242,IF(G242&lt;201,G242/2,IF(G242&lt;=301,G242/3,G242/4))))</f>
        <v>0</v>
      </c>
      <c r="I242" s="35"/>
    </row>
    <row r="243" spans="1:20" s="34" customFormat="1" hidden="1" x14ac:dyDescent="0.25">
      <c r="A243" s="108"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&amp;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204 &amp; 504</v>
      </c>
      <c r="B243" s="109"/>
      <c r="C243" s="41"/>
      <c r="D243" s="41"/>
      <c r="E243" s="56">
        <v>0</v>
      </c>
      <c r="F243" s="56">
        <f>D243+E243</f>
        <v>0</v>
      </c>
      <c r="G243" s="56">
        <v>0</v>
      </c>
      <c r="H243" s="56">
        <f>F243*(($H$204)+1)+(IF(G243&lt;101,G243,IF(G243&lt;201,G243/2,IF(G243&lt;=301,G243/3,G243/4))))</f>
        <v>0</v>
      </c>
      <c r="T243" s="36"/>
    </row>
    <row r="244" spans="1:20" s="34" customFormat="1" hidden="1" x14ac:dyDescent="0.25">
      <c r="A244" s="108"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&amp;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205 &amp; 505</v>
      </c>
      <c r="B244" s="109"/>
      <c r="C244" s="41"/>
      <c r="D244" s="41"/>
      <c r="E244" s="56">
        <v>0</v>
      </c>
      <c r="F244" s="56">
        <f>D244+E244</f>
        <v>0</v>
      </c>
      <c r="G244" s="56">
        <v>0</v>
      </c>
      <c r="H244" s="56">
        <f>F244*(($H$204)+1)+(IF(G244&lt;101,G244,IF(G244&lt;201,G244/2,IF(G244&lt;=301,G244/3,G244/4))))</f>
        <v>0</v>
      </c>
      <c r="T244" s="36"/>
    </row>
    <row r="245" spans="1:20" s="83" customFormat="1" ht="15.75" customHeight="1" x14ac:dyDescent="0.25">
      <c r="A245" s="113" t="s">
        <v>357</v>
      </c>
      <c r="B245" s="114"/>
      <c r="C245" s="114"/>
      <c r="D245" s="114"/>
      <c r="E245" s="114"/>
      <c r="F245" s="114"/>
      <c r="G245" s="114"/>
      <c r="H245" s="115"/>
      <c r="I245" s="35"/>
      <c r="J245" s="35"/>
    </row>
    <row r="246" spans="1:20" s="83" customFormat="1" ht="15.75" customHeight="1" x14ac:dyDescent="0.25">
      <c r="A246" s="108">
        <v>1</v>
      </c>
      <c r="B246" s="109"/>
      <c r="C246" s="82" t="s">
        <v>327</v>
      </c>
      <c r="D246" s="77">
        <f>(88.38)*10.764</f>
        <v>951.32231999999988</v>
      </c>
      <c r="E246" s="82">
        <f>(5.23)*10.764</f>
        <v>56.295720000000003</v>
      </c>
      <c r="F246" s="82">
        <f>D246+E246</f>
        <v>1007.6180399999998</v>
      </c>
      <c r="G246" s="82">
        <v>0</v>
      </c>
      <c r="H246" s="82">
        <f>F246*(($H$204)+1)+(IF(G246&lt;101,G246,IF(G246&lt;201,G246/2,IF(G246&lt;=301,G246/3,G246/4))))</f>
        <v>1511.4270599999998</v>
      </c>
      <c r="I246" s="35"/>
    </row>
    <row r="247" spans="1:20" s="83" customFormat="1" ht="15.75" customHeight="1" x14ac:dyDescent="0.25">
      <c r="A247" s="108">
        <v>2</v>
      </c>
      <c r="B247" s="109"/>
      <c r="C247" s="82" t="s">
        <v>322</v>
      </c>
      <c r="D247" s="77">
        <f>(69.21)*10.764</f>
        <v>744.97643999999991</v>
      </c>
      <c r="E247" s="82">
        <v>0</v>
      </c>
      <c r="F247" s="82">
        <f>D247+E247</f>
        <v>744.97643999999991</v>
      </c>
      <c r="G247" s="82">
        <v>0</v>
      </c>
      <c r="H247" s="82">
        <f>F247*(($H$204)+1)+(IF(G247&lt;101,G247,IF(G247&lt;201,G247/2,IF(G247&lt;=301,G247/3,G247/4))))</f>
        <v>1117.4646599999999</v>
      </c>
      <c r="I247" s="35"/>
    </row>
    <row r="248" spans="1:20" s="83" customFormat="1" ht="15.75" customHeight="1" x14ac:dyDescent="0.25">
      <c r="A248" s="108">
        <v>3</v>
      </c>
      <c r="B248" s="109"/>
      <c r="C248" s="82" t="s">
        <v>327</v>
      </c>
      <c r="D248" s="77">
        <f>(79.23)*10.764</f>
        <v>852.83172000000002</v>
      </c>
      <c r="E248" s="82">
        <v>0</v>
      </c>
      <c r="F248" s="82">
        <f>D248+E248</f>
        <v>852.83172000000002</v>
      </c>
      <c r="G248" s="82">
        <v>0</v>
      </c>
      <c r="H248" s="82">
        <f>F248*(($H$204)+1)+(IF(G248&lt;101,G248,IF(G248&lt;201,G248/2,IF(G248&lt;=301,G248/3,G248/4))))</f>
        <v>1279.24758</v>
      </c>
      <c r="I248" s="35"/>
    </row>
    <row r="249" spans="1:20" s="83" customFormat="1" ht="15.75" customHeight="1" x14ac:dyDescent="0.25">
      <c r="A249" s="110" t="s">
        <v>358</v>
      </c>
      <c r="B249" s="111"/>
      <c r="C249" s="111"/>
      <c r="D249" s="111"/>
      <c r="E249" s="111"/>
      <c r="F249" s="111"/>
      <c r="G249" s="111"/>
      <c r="H249" s="112"/>
      <c r="I249" s="35"/>
      <c r="N249" s="35"/>
    </row>
    <row r="250" spans="1:20" s="83" customFormat="1" ht="15.75" customHeight="1" x14ac:dyDescent="0.25">
      <c r="A250" s="113" t="s">
        <v>354</v>
      </c>
      <c r="B250" s="114"/>
      <c r="C250" s="114"/>
      <c r="D250" s="114"/>
      <c r="E250" s="114"/>
      <c r="F250" s="114"/>
      <c r="G250" s="114"/>
      <c r="H250" s="115"/>
      <c r="I250" s="35"/>
      <c r="J250" s="35"/>
    </row>
    <row r="251" spans="1:20" s="83" customFormat="1" ht="15.75" customHeight="1" x14ac:dyDescent="0.25">
      <c r="A251" s="108">
        <v>1</v>
      </c>
      <c r="B251" s="109"/>
      <c r="C251" s="82" t="s">
        <v>327</v>
      </c>
      <c r="D251" s="77">
        <f>(79.3)*10.764</f>
        <v>853.58519999999987</v>
      </c>
      <c r="E251" s="82">
        <v>0</v>
      </c>
      <c r="F251" s="82">
        <f>D251+E251</f>
        <v>853.58519999999987</v>
      </c>
      <c r="G251" s="82">
        <v>0</v>
      </c>
      <c r="H251" s="82">
        <f>F251*(($H$204)+1)+(IF(G251&lt;101,G251,IF(G251&lt;201,G251/2,IF(G251&lt;=301,G251/3,G251/4))))</f>
        <v>1280.3777999999998</v>
      </c>
      <c r="I251" s="35"/>
    </row>
    <row r="252" spans="1:20" s="83" customFormat="1" ht="15.75" customHeight="1" x14ac:dyDescent="0.25">
      <c r="A252" s="108">
        <v>2</v>
      </c>
      <c r="B252" s="109"/>
      <c r="C252" s="82" t="s">
        <v>322</v>
      </c>
      <c r="D252" s="77">
        <f>(69.21)*10.764</f>
        <v>744.97643999999991</v>
      </c>
      <c r="E252" s="82">
        <v>0</v>
      </c>
      <c r="F252" s="82">
        <f>D252+E252</f>
        <v>744.97643999999991</v>
      </c>
      <c r="G252" s="82">
        <v>0</v>
      </c>
      <c r="H252" s="82">
        <f>F252*(($H$204)+1)+(IF(G252&lt;101,G252,IF(G252&lt;201,G252/2,IF(G252&lt;=301,G252/3,G252/4))))</f>
        <v>1117.4646599999999</v>
      </c>
      <c r="I252" s="35"/>
    </row>
    <row r="253" spans="1:20" s="83" customFormat="1" ht="15.75" customHeight="1" x14ac:dyDescent="0.25">
      <c r="A253" s="108">
        <v>3</v>
      </c>
      <c r="B253" s="109"/>
      <c r="C253" s="82" t="s">
        <v>327</v>
      </c>
      <c r="D253" s="77">
        <f>(88.38)*10.764</f>
        <v>951.32231999999988</v>
      </c>
      <c r="E253" s="82">
        <f>(5.23)*10.764</f>
        <v>56.295720000000003</v>
      </c>
      <c r="F253" s="82">
        <f>D253+E253</f>
        <v>1007.6180399999998</v>
      </c>
      <c r="G253" s="82">
        <v>0</v>
      </c>
      <c r="H253" s="82">
        <f>F253*(($H$204)+1)+(IF(G253&lt;101,G253,IF(G253&lt;201,G253/2,IF(G253&lt;=301,G253/3,G253/4))))</f>
        <v>1511.4270599999998</v>
      </c>
      <c r="I253" s="35"/>
    </row>
    <row r="254" spans="1:20" s="83" customFormat="1" ht="15.75" hidden="1" customHeight="1" x14ac:dyDescent="0.25">
      <c r="A254" s="113" t="s">
        <v>117</v>
      </c>
      <c r="B254" s="114"/>
      <c r="C254" s="114"/>
      <c r="D254" s="114"/>
      <c r="E254" s="114"/>
      <c r="F254" s="114"/>
      <c r="G254" s="114"/>
      <c r="H254" s="115"/>
      <c r="I254" s="35"/>
      <c r="L254" s="117"/>
      <c r="M254" s="117"/>
      <c r="N254" s="35"/>
    </row>
    <row r="255" spans="1:20" s="83" customFormat="1" ht="15.75" hidden="1" customHeight="1" x14ac:dyDescent="0.25">
      <c r="A255" s="108">
        <v>1</v>
      </c>
      <c r="B255" s="109"/>
      <c r="C255" s="82"/>
      <c r="D255" s="82"/>
      <c r="E255" s="82">
        <v>0</v>
      </c>
      <c r="F255" s="82">
        <f>D255+E255</f>
        <v>0</v>
      </c>
      <c r="G255" s="82">
        <v>0</v>
      </c>
      <c r="H255" s="82">
        <f>F255*(($H$204)+1)+(IF(G255&lt;101,G255,IF(G255&lt;201,G255/2,IF(G255&lt;=301,G255/3,G255/4))))</f>
        <v>0</v>
      </c>
      <c r="I255" s="35"/>
      <c r="L255" s="117"/>
      <c r="M255" s="117"/>
      <c r="N255" s="35"/>
    </row>
    <row r="256" spans="1:20" s="83" customFormat="1" ht="15.75" hidden="1" customHeight="1" x14ac:dyDescent="0.25">
      <c r="A256" s="108">
        <f>A255+1</f>
        <v>2</v>
      </c>
      <c r="B256" s="109"/>
      <c r="C256" s="82"/>
      <c r="D256" s="82"/>
      <c r="E256" s="82">
        <v>0</v>
      </c>
      <c r="F256" s="82">
        <f>D256+E256</f>
        <v>0</v>
      </c>
      <c r="G256" s="82">
        <v>0</v>
      </c>
      <c r="H256" s="82">
        <f>F256*(($H$204)+1)+(IF(G256&lt;101,G256,IF(G256&lt;201,G256/2,IF(G256&lt;=301,G256/3,G256/4))))</f>
        <v>0</v>
      </c>
      <c r="I256" s="35"/>
      <c r="L256" s="117"/>
      <c r="M256" s="117"/>
      <c r="N256" s="35"/>
      <c r="T256" s="20"/>
    </row>
    <row r="257" spans="1:14" s="83" customFormat="1" hidden="1" x14ac:dyDescent="0.25">
      <c r="A257" s="108">
        <f>A256+1</f>
        <v>3</v>
      </c>
      <c r="B257" s="109"/>
      <c r="C257" s="82"/>
      <c r="D257" s="82"/>
      <c r="E257" s="82">
        <v>0</v>
      </c>
      <c r="F257" s="82">
        <f>D257+E257</f>
        <v>0</v>
      </c>
      <c r="G257" s="82">
        <v>0</v>
      </c>
      <c r="H257" s="82">
        <f>F257*(($H$204)+1)+(IF(G257&lt;101,G257,IF(G257&lt;201,G257/2,IF(G257&lt;=301,G257/3,G257/4))))</f>
        <v>0</v>
      </c>
      <c r="I257" s="35"/>
      <c r="L257" s="117"/>
      <c r="M257" s="117"/>
    </row>
    <row r="258" spans="1:14" s="83" customFormat="1" hidden="1" x14ac:dyDescent="0.25">
      <c r="A258" s="108">
        <f>A257+1</f>
        <v>4</v>
      </c>
      <c r="B258" s="109"/>
      <c r="C258" s="82"/>
      <c r="D258" s="82"/>
      <c r="E258" s="82">
        <v>0</v>
      </c>
      <c r="F258" s="82">
        <f>D258+E258</f>
        <v>0</v>
      </c>
      <c r="G258" s="82">
        <v>0</v>
      </c>
      <c r="H258" s="82">
        <f>F258*(($H$204)+1)+(IF(G258&lt;101,G258,IF(G258&lt;201,G258/2,IF(G258&lt;=301,G258/3,G258/4))))</f>
        <v>0</v>
      </c>
      <c r="I258" s="35"/>
      <c r="N258" s="35"/>
    </row>
    <row r="259" spans="1:14" s="83" customFormat="1" hidden="1" x14ac:dyDescent="0.25">
      <c r="A259" s="118" t="s">
        <v>118</v>
      </c>
      <c r="B259" s="118"/>
      <c r="C259" s="118"/>
      <c r="D259" s="118"/>
      <c r="E259" s="118"/>
      <c r="F259" s="118"/>
      <c r="G259" s="118"/>
      <c r="H259" s="118"/>
      <c r="I259" s="35"/>
      <c r="N259" s="35"/>
    </row>
    <row r="260" spans="1:14" s="83" customFormat="1" hidden="1" x14ac:dyDescent="0.25">
      <c r="A260" s="150">
        <f>LEFT(A259,SUM(LEN(A259)-LEN(SUBSTITUTE(A259,{"0","1","2","3","4","5","6","7","8","9"},""))))*100+1</f>
        <v>201</v>
      </c>
      <c r="B260" s="150"/>
      <c r="C260" s="82"/>
      <c r="D260" s="82"/>
      <c r="E260" s="82">
        <v>0</v>
      </c>
      <c r="F260" s="82">
        <f>D260+E260</f>
        <v>0</v>
      </c>
      <c r="G260" s="82">
        <v>0</v>
      </c>
      <c r="H260" s="82">
        <f>F260*(($H$204)+1)+(IF(G260&lt;101,G260,IF(G260&lt;201,G260/2,IF(G260&lt;=301,G260/3,G260/4))))</f>
        <v>0</v>
      </c>
      <c r="I260" s="35"/>
      <c r="N260" s="35"/>
    </row>
    <row r="261" spans="1:14" s="83" customFormat="1" hidden="1" x14ac:dyDescent="0.25">
      <c r="A261" s="150">
        <f>A260+1</f>
        <v>202</v>
      </c>
      <c r="B261" s="150"/>
      <c r="C261" s="82"/>
      <c r="D261" s="82"/>
      <c r="E261" s="82">
        <v>0</v>
      </c>
      <c r="F261" s="82">
        <f>D261+E261</f>
        <v>0</v>
      </c>
      <c r="G261" s="82">
        <v>0</v>
      </c>
      <c r="H261" s="82">
        <f>F261*(($H$204)+1)+(IF(G261&lt;101,G261,IF(G261&lt;201,G261/2,IF(G261&lt;=301,G261/3,G261/4))))</f>
        <v>0</v>
      </c>
      <c r="I261" s="35"/>
      <c r="N261" s="35"/>
    </row>
    <row r="262" spans="1:14" s="83" customFormat="1" hidden="1" x14ac:dyDescent="0.25">
      <c r="A262" s="150">
        <f>A261+1</f>
        <v>203</v>
      </c>
      <c r="B262" s="150"/>
      <c r="C262" s="82"/>
      <c r="D262" s="82"/>
      <c r="E262" s="82">
        <v>0</v>
      </c>
      <c r="F262" s="82">
        <f>D262+E262</f>
        <v>0</v>
      </c>
      <c r="G262" s="82">
        <v>0</v>
      </c>
      <c r="H262" s="82">
        <f>F262*(($H$204)+1)+(IF(G262&lt;101,G262,IF(G262&lt;201,G262/2,IF(G262&lt;=301,G262/3,G262/4))))</f>
        <v>0</v>
      </c>
      <c r="I262" s="35"/>
      <c r="N262" s="35"/>
    </row>
    <row r="263" spans="1:14" s="83" customFormat="1" ht="15.75" hidden="1" customHeight="1" x14ac:dyDescent="0.25">
      <c r="A263" s="150">
        <f>A262+1</f>
        <v>204</v>
      </c>
      <c r="B263" s="150"/>
      <c r="C263" s="82"/>
      <c r="D263" s="82"/>
      <c r="E263" s="82">
        <v>0</v>
      </c>
      <c r="F263" s="82">
        <f>D263+E263</f>
        <v>0</v>
      </c>
      <c r="G263" s="82">
        <v>0</v>
      </c>
      <c r="H263" s="82">
        <f>F263*(($H$204)+1)+(IF(G263&lt;101,G263,IF(G263&lt;201,G263/2,IF(G263&lt;=301,G263/3,G263/4))))</f>
        <v>0</v>
      </c>
      <c r="I263" s="35"/>
    </row>
    <row r="264" spans="1:14" s="83" customFormat="1" ht="15.75" hidden="1" customHeight="1" x14ac:dyDescent="0.25">
      <c r="A264" s="150">
        <f>A263+1</f>
        <v>205</v>
      </c>
      <c r="B264" s="150"/>
      <c r="C264" s="82"/>
      <c r="D264" s="82"/>
      <c r="E264" s="82">
        <v>0</v>
      </c>
      <c r="F264" s="82">
        <f>D264+E264</f>
        <v>0</v>
      </c>
      <c r="G264" s="82">
        <v>0</v>
      </c>
      <c r="H264" s="82">
        <f>F264*(($H$204)+1)+(IF(G264&lt;101,G264,IF(G264&lt;201,G264/2,IF(G264&lt;=301,G264/3,G264/4))))</f>
        <v>0</v>
      </c>
      <c r="I264" s="35"/>
    </row>
    <row r="265" spans="1:14" s="83" customFormat="1" ht="15.75" hidden="1" customHeight="1" x14ac:dyDescent="0.25">
      <c r="A265" s="113" t="s">
        <v>152</v>
      </c>
      <c r="B265" s="114"/>
      <c r="C265" s="114"/>
      <c r="D265" s="114"/>
      <c r="E265" s="114"/>
      <c r="F265" s="114"/>
      <c r="G265" s="114"/>
      <c r="H265" s="115"/>
      <c r="I265" s="35"/>
    </row>
    <row r="266" spans="1:14" s="83" customFormat="1" ht="15.75" hidden="1" customHeight="1" x14ac:dyDescent="0.25">
      <c r="A266" s="108"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10^ROW(INDIRECT("1:"&amp;LEN((LEFT(A265,SUM(LEN(A265)-LEN(SUBSTITUTE(A265,{"0","1","2"},""))))))))/10))*100+1&amp;""&amp;" ,..,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",LEN(A265))),LEN(A265)))))))/10))*100+1</f>
        <v>301 ,.., 1501</v>
      </c>
      <c r="B266" s="109"/>
      <c r="C266" s="82"/>
      <c r="D266" s="82"/>
      <c r="E266" s="82">
        <v>0</v>
      </c>
      <c r="F266" s="82">
        <f>D266+E266</f>
        <v>0</v>
      </c>
      <c r="G266" s="82">
        <v>0</v>
      </c>
      <c r="H266" s="82">
        <f>F266*(($H$204)+1)+(IF(G266&lt;101,G266,IF(G266&lt;201,G266/2,IF(G266&lt;=301,G266/3,G266/4))))</f>
        <v>0</v>
      </c>
      <c r="I266" s="35"/>
    </row>
    <row r="267" spans="1:14" s="83" customFormat="1" ht="15.75" hidden="1" customHeight="1" x14ac:dyDescent="0.25">
      <c r="A267" s="108"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302 ,.., 1502</v>
      </c>
      <c r="B267" s="109"/>
      <c r="C267" s="82"/>
      <c r="D267" s="82"/>
      <c r="E267" s="82">
        <v>0</v>
      </c>
      <c r="F267" s="82">
        <f>D267+E267</f>
        <v>0</v>
      </c>
      <c r="G267" s="82">
        <v>0</v>
      </c>
      <c r="H267" s="82">
        <f>F267*(($H$204)+1)+(IF(G267&lt;101,G267,IF(G267&lt;201,G267/2,IF(G267&lt;=301,G267/3,G267/4))))</f>
        <v>0</v>
      </c>
      <c r="I267" s="35"/>
    </row>
    <row r="268" spans="1:14" s="83" customFormat="1" ht="15.75" hidden="1" customHeight="1" x14ac:dyDescent="0.25">
      <c r="A268" s="108"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303 ,.., 1503</v>
      </c>
      <c r="B268" s="109"/>
      <c r="C268" s="82"/>
      <c r="D268" s="82"/>
      <c r="E268" s="82">
        <v>0</v>
      </c>
      <c r="F268" s="82">
        <f>D268+E268</f>
        <v>0</v>
      </c>
      <c r="G268" s="82">
        <v>0</v>
      </c>
      <c r="H268" s="82">
        <f>F268*(($H$204)+1)+(IF(G268&lt;101,G268,IF(G268&lt;201,G268/2,IF(G268&lt;=301,G268/3,G268/4))))</f>
        <v>0</v>
      </c>
      <c r="I268" s="35"/>
    </row>
    <row r="269" spans="1:14" s="83" customFormat="1" hidden="1" x14ac:dyDescent="0.25">
      <c r="A269" s="108"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304 ,.., 1504</v>
      </c>
      <c r="B269" s="109"/>
      <c r="C269" s="82"/>
      <c r="D269" s="82"/>
      <c r="E269" s="82">
        <v>0</v>
      </c>
      <c r="F269" s="82">
        <f>D269+E269</f>
        <v>0</v>
      </c>
      <c r="G269" s="82">
        <v>0</v>
      </c>
      <c r="H269" s="82">
        <f>F269*(($H$204)+1)+(IF(G269&lt;101,G269,IF(G269&lt;201,G269/2,IF(G269&lt;=301,G269/3,G269/4))))</f>
        <v>0</v>
      </c>
      <c r="I269" s="35"/>
    </row>
    <row r="270" spans="1:14" s="83" customFormat="1" ht="15.75" hidden="1" customHeight="1" x14ac:dyDescent="0.25">
      <c r="A270" s="108"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305 ,.., 1505</v>
      </c>
      <c r="B270" s="109"/>
      <c r="C270" s="82"/>
      <c r="D270" s="82"/>
      <c r="E270" s="82">
        <v>0</v>
      </c>
      <c r="F270" s="82">
        <f>D270+E270</f>
        <v>0</v>
      </c>
      <c r="G270" s="82">
        <v>0</v>
      </c>
      <c r="H270" s="82">
        <f>F270*(($H$204)+1)+(IF(G270&lt;101,G270,IF(G270&lt;201,G270/2,IF(G270&lt;=301,G270/3,G270/4))))</f>
        <v>0</v>
      </c>
      <c r="I270" s="35"/>
    </row>
    <row r="271" spans="1:14" s="83" customFormat="1" ht="15.75" hidden="1" customHeight="1" x14ac:dyDescent="0.25">
      <c r="A271" s="113" t="s">
        <v>146</v>
      </c>
      <c r="B271" s="114"/>
      <c r="C271" s="114"/>
      <c r="D271" s="114"/>
      <c r="E271" s="114"/>
      <c r="F271" s="114"/>
      <c r="G271" s="114"/>
      <c r="H271" s="115"/>
      <c r="I271" s="35"/>
    </row>
    <row r="272" spans="1:14" s="83" customFormat="1" ht="15.75" hidden="1" customHeight="1" x14ac:dyDescent="0.25">
      <c r="A272" s="108"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10^ROW(INDIRECT("1:"&amp;LEN((LEFT(A271,SUM(LEN(A271)-LEN(SUBSTITUTE(A271,{"0","1","2"},""))))))))/10))*100+1&amp;""&amp;" to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",LEN(A271))),LEN(A271)))))))/10))*100+1</f>
        <v>201 to 501</v>
      </c>
      <c r="B272" s="109"/>
      <c r="C272" s="82"/>
      <c r="D272" s="82"/>
      <c r="E272" s="82">
        <v>0</v>
      </c>
      <c r="F272" s="82">
        <f>D272+E272</f>
        <v>0</v>
      </c>
      <c r="G272" s="82">
        <v>0</v>
      </c>
      <c r="H272" s="82">
        <f>F272*(($H$204)+1)+(IF(G272&lt;101,G272,IF(G272&lt;201,G272/2,IF(G272&lt;=301,G272/3,G272/4))))</f>
        <v>0</v>
      </c>
      <c r="I272" s="35"/>
    </row>
    <row r="273" spans="1:20" s="83" customFormat="1" ht="15.75" hidden="1" customHeight="1" x14ac:dyDescent="0.25">
      <c r="A273" s="108"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to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202 to 502</v>
      </c>
      <c r="B273" s="109"/>
      <c r="C273" s="82"/>
      <c r="D273" s="82"/>
      <c r="E273" s="82">
        <v>0</v>
      </c>
      <c r="F273" s="82">
        <f>D273+E273</f>
        <v>0</v>
      </c>
      <c r="G273" s="82">
        <v>0</v>
      </c>
      <c r="H273" s="82">
        <f>F273*(($H$204)+1)+(IF(G273&lt;101,G273,IF(G273&lt;201,G273/2,IF(G273&lt;=301,G273/3,G273/4))))</f>
        <v>0</v>
      </c>
      <c r="I273" s="35"/>
    </row>
    <row r="274" spans="1:20" s="83" customFormat="1" ht="15.75" hidden="1" customHeight="1" x14ac:dyDescent="0.25">
      <c r="A274" s="108"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to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203 to 503</v>
      </c>
      <c r="B274" s="109"/>
      <c r="C274" s="82"/>
      <c r="D274" s="82"/>
      <c r="E274" s="82">
        <v>0</v>
      </c>
      <c r="F274" s="82">
        <f>D274+E274</f>
        <v>0</v>
      </c>
      <c r="G274" s="82">
        <v>0</v>
      </c>
      <c r="H274" s="82">
        <f>F274*(($H$204)+1)+(IF(G274&lt;101,G274,IF(G274&lt;201,G274/2,IF(G274&lt;=301,G274/3,G274/4))))</f>
        <v>0</v>
      </c>
      <c r="I274" s="35"/>
    </row>
    <row r="275" spans="1:20" s="83" customFormat="1" hidden="1" x14ac:dyDescent="0.25">
      <c r="A275" s="108"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to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204 to 504</v>
      </c>
      <c r="B275" s="109"/>
      <c r="C275" s="82"/>
      <c r="D275" s="82"/>
      <c r="E275" s="82">
        <v>0</v>
      </c>
      <c r="F275" s="82">
        <f>D275+E275</f>
        <v>0</v>
      </c>
      <c r="G275" s="82">
        <v>0</v>
      </c>
      <c r="H275" s="82">
        <f>F275*(($H$204)+1)+(IF(G275&lt;101,G275,IF(G275&lt;201,G275/2,IF(G275&lt;=301,G275/3,G275/4))))</f>
        <v>0</v>
      </c>
      <c r="I275" s="35"/>
    </row>
    <row r="276" spans="1:20" s="83" customFormat="1" ht="15.75" hidden="1" customHeight="1" x14ac:dyDescent="0.25">
      <c r="A276" s="108"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to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205 to 505</v>
      </c>
      <c r="B276" s="109"/>
      <c r="C276" s="82"/>
      <c r="D276" s="82"/>
      <c r="E276" s="82">
        <v>0</v>
      </c>
      <c r="F276" s="82">
        <f>D276+E276</f>
        <v>0</v>
      </c>
      <c r="G276" s="82">
        <v>0</v>
      </c>
      <c r="H276" s="82">
        <f>F276*(($H$204)+1)+(IF(G276&lt;101,G276,IF(G276&lt;201,G276/2,IF(G276&lt;=301,G276/3,G276/4))))</f>
        <v>0</v>
      </c>
      <c r="I276" s="35"/>
    </row>
    <row r="277" spans="1:20" s="83" customFormat="1" ht="15.75" hidden="1" customHeight="1" x14ac:dyDescent="0.25">
      <c r="A277" s="113" t="s">
        <v>147</v>
      </c>
      <c r="B277" s="114"/>
      <c r="C277" s="114"/>
      <c r="D277" s="114"/>
      <c r="E277" s="114"/>
      <c r="F277" s="114"/>
      <c r="G277" s="114"/>
      <c r="H277" s="115"/>
      <c r="I277" s="35"/>
    </row>
    <row r="278" spans="1:20" s="83" customFormat="1" ht="15.75" hidden="1" customHeight="1" x14ac:dyDescent="0.25">
      <c r="A278" s="108"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10^ROW(INDIRECT("1:"&amp;LEN((LEFT(A277,SUM(LEN(A277)-LEN(SUBSTITUTE(A277,{"0","1","2"},""))))))))/10))*100+1&amp;""&amp;" &amp;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",LEN(A277))),LEN(A277)))))))/10))*100+1</f>
        <v>201 &amp; 501</v>
      </c>
      <c r="B278" s="109"/>
      <c r="C278" s="82"/>
      <c r="D278" s="82"/>
      <c r="E278" s="82">
        <v>0</v>
      </c>
      <c r="F278" s="82">
        <f>D278+E278</f>
        <v>0</v>
      </c>
      <c r="G278" s="82">
        <v>0</v>
      </c>
      <c r="H278" s="82">
        <f>F278*(($H$204)+1)+(IF(G278&lt;101,G278,IF(G278&lt;201,G278/2,IF(G278&lt;=301,G278/3,G278/4))))</f>
        <v>0</v>
      </c>
      <c r="I278" s="35"/>
    </row>
    <row r="279" spans="1:20" s="83" customFormat="1" ht="15.75" hidden="1" customHeight="1" x14ac:dyDescent="0.25">
      <c r="A279" s="108" t="str">
        <f ca="1">(SUMPRODUCT(MID(0&amp;(LEFT(A278,SUM(LEN(A278)-LEN(SUBSTITUTE(A278,{"0","1","2"},""))))), LARGE(INDEX(ISNUMBER(--MID((LEFT(A278,SUM(LEN(A278)-LEN(SUBSTITUTE(A278,{"0","1","2"},""))))), ROW(INDIRECT("1:"&amp;LEN((LEFT(A278,SUM(LEN(A278)-LEN(SUBSTITUTE(A278,{"0","1","2"},"")))))))), 1)) * ROW(INDIRECT("1:"&amp;LEN((LEFT(A278,SUM(LEN(A278)-LEN(SUBSTITUTE(A278,{"0","1","2"},"")))))))), 0), ROW(INDIRECT("1:"&amp;LEN((LEFT(A278,SUM(LEN(A278)-LEN(SUBSTITUTE(A278,{"0","1","2"},"")))))))))+1, 1) * 10^ROW(INDIRECT("1:"&amp;LEN((LEFT(A278,SUM(LEN(A278)-LEN(SUBSTITUTE(A278,{"0","1","2"},""))))))))/10))*1+1&amp;""&amp;" &amp; "&amp;""&amp;(SUMPRODUCT(MID(0&amp;(--TRIM(RIGHT(SUBSTITUTE(LEFT(A278,_xlfn.AGGREGATE(16,6,FIND({0,1,2,3,4,5,6,7,8,9},A278,ROW(INDIRECT("1:"&amp;LEN(A278)))),1))," ",REPT(" ",LEN(A278))),LEN(A278)))), LARGE(INDEX(ISNUMBER(--MID((--TRIM(RIGHT(SUBSTITUTE(LEFT(A278,_xlfn.AGGREGATE(16,6,FIND({0,1,2,3,4,5,6,7,8,9},A278,ROW(INDIRECT("1:"&amp;LEN(A278)))),1))," ",REPT(" ",LEN(A278))),LEN(A278)))), ROW(INDIRECT("1:"&amp;LEN((--TRIM(RIGHT(SUBSTITUTE(LEFT(A278,_xlfn.AGGREGATE(16,6,FIND({0,1,2,3,4,5,6,7,8,9},A278,ROW(INDIRECT("1:"&amp;LEN(A278)))),1))," ",REPT(" ",LEN(A278))),LEN(A278))))))), 1)) * ROW(INDIRECT("1:"&amp;LEN((--TRIM(RIGHT(SUBSTITUTE(LEFT(A278,_xlfn.AGGREGATE(16,6,FIND({0,1,2,3,4,5,6,7,8,9},A278,ROW(INDIRECT("1:"&amp;LEN(A278)))),1))," ",REPT(" ",LEN(A278))),LEN(A278))))))), 0), ROW(INDIRECT("1:"&amp;LEN((--TRIM(RIGHT(SUBSTITUTE(LEFT(A278,_xlfn.AGGREGATE(16,6,FIND({0,1,2,3,4,5,6,7,8,9},A278,ROW(INDIRECT("1:"&amp;LEN(A278)))),1))," ",REPT(" ",LEN(A278))),LEN(A278))))))))+1, 1) * 10^ROW(INDIRECT("1:"&amp;LEN((--TRIM(RIGHT(SUBSTITUTE(LEFT(A278,_xlfn.AGGREGATE(16,6,FIND({0,1,2,3,4,5,6,7,8,9},A278,ROW(INDIRECT("1:"&amp;LEN(A278)))),1))," ",REPT(" ",LEN(A278))),LEN(A278)))))))/10))*1+1</f>
        <v>202 &amp; 502</v>
      </c>
      <c r="B279" s="109"/>
      <c r="C279" s="82"/>
      <c r="D279" s="82"/>
      <c r="E279" s="82">
        <v>0</v>
      </c>
      <c r="F279" s="82">
        <f>D279+E279</f>
        <v>0</v>
      </c>
      <c r="G279" s="82">
        <v>0</v>
      </c>
      <c r="H279" s="82">
        <f>F279*(($H$204)+1)+(IF(G279&lt;101,G279,IF(G279&lt;201,G279/2,IF(G279&lt;=301,G279/3,G279/4))))</f>
        <v>0</v>
      </c>
      <c r="I279" s="35"/>
    </row>
    <row r="280" spans="1:20" s="83" customFormat="1" ht="15.75" hidden="1" customHeight="1" x14ac:dyDescent="0.25">
      <c r="A280" s="108" t="str">
        <f ca="1">(SUMPRODUCT(MID(0&amp;(LEFT(A279,SUM(LEN(A279)-LEN(SUBSTITUTE(A279,{"0","1","2"},""))))), LARGE(INDEX(ISNUMBER(--MID((LEFT(A279,SUM(LEN(A279)-LEN(SUBSTITUTE(A279,{"0","1","2"},""))))), ROW(INDIRECT("1:"&amp;LEN((LEFT(A279,SUM(LEN(A279)-LEN(SUBSTITUTE(A279,{"0","1","2"},"")))))))), 1)) * ROW(INDIRECT("1:"&amp;LEN((LEFT(A279,SUM(LEN(A279)-LEN(SUBSTITUTE(A279,{"0","1","2"},"")))))))), 0), ROW(INDIRECT("1:"&amp;LEN((LEFT(A279,SUM(LEN(A279)-LEN(SUBSTITUTE(A279,{"0","1","2"},"")))))))))+1, 1) * 10^ROW(INDIRECT("1:"&amp;LEN((LEFT(A279,SUM(LEN(A279)-LEN(SUBSTITUTE(A279,{"0","1","2"},""))))))))/10))*1+1&amp;""&amp;" &amp; "&amp;""&amp;(SUMPRODUCT(MID(0&amp;(--TRIM(RIGHT(SUBSTITUTE(LEFT(A279,_xlfn.AGGREGATE(16,6,FIND({0,1,2,3,4,5,6,7,8,9},A279,ROW(INDIRECT("1:"&amp;LEN(A279)))),1))," ",REPT(" ",LEN(A279))),LEN(A279)))), LARGE(INDEX(ISNUMBER(--MID((--TRIM(RIGHT(SUBSTITUTE(LEFT(A279,_xlfn.AGGREGATE(16,6,FIND({0,1,2,3,4,5,6,7,8,9},A279,ROW(INDIRECT("1:"&amp;LEN(A279)))),1))," ",REPT(" ",LEN(A279))),LEN(A279)))), ROW(INDIRECT("1:"&amp;LEN((--TRIM(RIGHT(SUBSTITUTE(LEFT(A279,_xlfn.AGGREGATE(16,6,FIND({0,1,2,3,4,5,6,7,8,9},A279,ROW(INDIRECT("1:"&amp;LEN(A279)))),1))," ",REPT(" ",LEN(A279))),LEN(A279))))))), 1)) * ROW(INDIRECT("1:"&amp;LEN((--TRIM(RIGHT(SUBSTITUTE(LEFT(A279,_xlfn.AGGREGATE(16,6,FIND({0,1,2,3,4,5,6,7,8,9},A279,ROW(INDIRECT("1:"&amp;LEN(A279)))),1))," ",REPT(" ",LEN(A279))),LEN(A279))))))), 0), ROW(INDIRECT("1:"&amp;LEN((--TRIM(RIGHT(SUBSTITUTE(LEFT(A279,_xlfn.AGGREGATE(16,6,FIND({0,1,2,3,4,5,6,7,8,9},A279,ROW(INDIRECT("1:"&amp;LEN(A279)))),1))," ",REPT(" ",LEN(A279))),LEN(A279))))))))+1, 1) * 10^ROW(INDIRECT("1:"&amp;LEN((--TRIM(RIGHT(SUBSTITUTE(LEFT(A279,_xlfn.AGGREGATE(16,6,FIND({0,1,2,3,4,5,6,7,8,9},A279,ROW(INDIRECT("1:"&amp;LEN(A279)))),1))," ",REPT(" ",LEN(A279))),LEN(A279)))))))/10))*1+1</f>
        <v>203 &amp; 503</v>
      </c>
      <c r="B280" s="109"/>
      <c r="C280" s="82"/>
      <c r="D280" s="82"/>
      <c r="E280" s="82">
        <v>0</v>
      </c>
      <c r="F280" s="82">
        <f>D280+E280</f>
        <v>0</v>
      </c>
      <c r="G280" s="82">
        <v>0</v>
      </c>
      <c r="H280" s="82">
        <f>F280*(($H$204)+1)+(IF(G280&lt;101,G280,IF(G280&lt;201,G280/2,IF(G280&lt;=301,G280/3,G280/4))))</f>
        <v>0</v>
      </c>
      <c r="I280" s="35"/>
    </row>
    <row r="281" spans="1:20" s="34" customFormat="1" hidden="1" x14ac:dyDescent="0.25">
      <c r="A281" s="108"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10^ROW(INDIRECT("1:"&amp;LEN((LEFT(A280,SUM(LEN(A280)-LEN(SUBSTITUTE(A280,{"0","1","2"},""))))))))/10))*1+1&amp;""&amp;" &amp;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",LEN(A280))),LEN(A280)))))))/10))*1+1</f>
        <v>204 &amp; 504</v>
      </c>
      <c r="B281" s="109"/>
      <c r="C281" s="82"/>
      <c r="D281" s="82"/>
      <c r="E281" s="82">
        <v>0</v>
      </c>
      <c r="F281" s="82">
        <f>D281+E281</f>
        <v>0</v>
      </c>
      <c r="G281" s="82">
        <v>0</v>
      </c>
      <c r="H281" s="82">
        <f>F281*(($H$204)+1)+(IF(G281&lt;101,G281,IF(G281&lt;201,G281/2,IF(G281&lt;=301,G281/3,G281/4))))</f>
        <v>0</v>
      </c>
      <c r="T281" s="83"/>
    </row>
    <row r="282" spans="1:20" s="34" customFormat="1" hidden="1" x14ac:dyDescent="0.25">
      <c r="A282" s="108"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&amp;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205 &amp; 505</v>
      </c>
      <c r="B282" s="109"/>
      <c r="C282" s="82"/>
      <c r="D282" s="82"/>
      <c r="E282" s="82">
        <v>0</v>
      </c>
      <c r="F282" s="82">
        <f>D282+E282</f>
        <v>0</v>
      </c>
      <c r="G282" s="82">
        <v>0</v>
      </c>
      <c r="H282" s="82">
        <f>F282*(($H$204)+1)+(IF(G282&lt;101,G282,IF(G282&lt;201,G282/2,IF(G282&lt;=301,G282/3,G282/4))))</f>
        <v>0</v>
      </c>
      <c r="T282" s="83"/>
    </row>
    <row r="283" spans="1:20" s="83" customFormat="1" ht="15.75" customHeight="1" x14ac:dyDescent="0.25">
      <c r="A283" s="113" t="s">
        <v>357</v>
      </c>
      <c r="B283" s="114"/>
      <c r="C283" s="114"/>
      <c r="D283" s="114"/>
      <c r="E283" s="114"/>
      <c r="F283" s="114"/>
      <c r="G283" s="114"/>
      <c r="H283" s="115"/>
      <c r="I283" s="35"/>
      <c r="J283" s="35"/>
    </row>
    <row r="284" spans="1:20" s="83" customFormat="1" ht="15.75" customHeight="1" x14ac:dyDescent="0.25">
      <c r="A284" s="108">
        <v>1</v>
      </c>
      <c r="B284" s="109"/>
      <c r="C284" s="82" t="s">
        <v>327</v>
      </c>
      <c r="D284" s="77">
        <f>(79.3)*10.764</f>
        <v>853.58519999999987</v>
      </c>
      <c r="E284" s="82">
        <v>0</v>
      </c>
      <c r="F284" s="82">
        <f>D284+E284</f>
        <v>853.58519999999987</v>
      </c>
      <c r="G284" s="82">
        <v>0</v>
      </c>
      <c r="H284" s="82">
        <f>F284*(($H$204)+1)+(IF(G284&lt;101,G284,IF(G284&lt;201,G284/2,IF(G284&lt;=301,G284/3,G284/4))))</f>
        <v>1280.3777999999998</v>
      </c>
      <c r="I284" s="35"/>
    </row>
    <row r="285" spans="1:20" s="83" customFormat="1" ht="15.75" customHeight="1" x14ac:dyDescent="0.25">
      <c r="A285" s="108">
        <v>2</v>
      </c>
      <c r="B285" s="109"/>
      <c r="C285" s="82" t="s">
        <v>322</v>
      </c>
      <c r="D285" s="77">
        <f>(69.21)*10.764</f>
        <v>744.97643999999991</v>
      </c>
      <c r="E285" s="82">
        <v>0</v>
      </c>
      <c r="F285" s="82">
        <f>D285+E285</f>
        <v>744.97643999999991</v>
      </c>
      <c r="G285" s="82">
        <v>0</v>
      </c>
      <c r="H285" s="82">
        <f>F285*(($H$204)+1)+(IF(G285&lt;101,G285,IF(G285&lt;201,G285/2,IF(G285&lt;=301,G285/3,G285/4))))</f>
        <v>1117.4646599999999</v>
      </c>
      <c r="I285" s="35"/>
    </row>
    <row r="286" spans="1:20" s="83" customFormat="1" ht="15.75" customHeight="1" x14ac:dyDescent="0.25">
      <c r="A286" s="108">
        <v>3</v>
      </c>
      <c r="B286" s="109"/>
      <c r="C286" s="82" t="s">
        <v>327</v>
      </c>
      <c r="D286" s="77">
        <f>(88.38)*10.764</f>
        <v>951.32231999999988</v>
      </c>
      <c r="E286" s="82">
        <f>(5.23)*10.764</f>
        <v>56.295720000000003</v>
      </c>
      <c r="F286" s="82">
        <f>D286+E286</f>
        <v>1007.6180399999998</v>
      </c>
      <c r="G286" s="82">
        <v>0</v>
      </c>
      <c r="H286" s="82">
        <f>F286*(($H$204)+1)+(IF(G286&lt;101,G286,IF(G286&lt;201,G286/2,IF(G286&lt;=301,G286/3,G286/4))))</f>
        <v>1511.4270599999998</v>
      </c>
      <c r="I286" s="35"/>
    </row>
    <row r="287" spans="1:20" s="83" customFormat="1" ht="15.75" customHeight="1" x14ac:dyDescent="0.25">
      <c r="A287" s="110" t="s">
        <v>339</v>
      </c>
      <c r="B287" s="111"/>
      <c r="C287" s="111"/>
      <c r="D287" s="111"/>
      <c r="E287" s="111"/>
      <c r="F287" s="111"/>
      <c r="G287" s="111"/>
      <c r="H287" s="112"/>
      <c r="I287" s="35"/>
      <c r="N287" s="35"/>
    </row>
    <row r="288" spans="1:20" s="83" customFormat="1" ht="15.75" customHeight="1" x14ac:dyDescent="0.25">
      <c r="A288" s="113" t="s">
        <v>359</v>
      </c>
      <c r="B288" s="114"/>
      <c r="C288" s="114"/>
      <c r="D288" s="114"/>
      <c r="E288" s="114"/>
      <c r="F288" s="114"/>
      <c r="G288" s="114"/>
      <c r="H288" s="115"/>
      <c r="I288" s="35"/>
      <c r="J288" s="35"/>
    </row>
    <row r="289" spans="1:10" s="83" customFormat="1" ht="15.75" customHeight="1" x14ac:dyDescent="0.25">
      <c r="A289" s="108">
        <v>1</v>
      </c>
      <c r="B289" s="109"/>
      <c r="C289" s="82" t="s">
        <v>322</v>
      </c>
      <c r="D289" s="77">
        <f>(60.59)*10.764</f>
        <v>652.19075999999995</v>
      </c>
      <c r="E289" s="82">
        <v>0</v>
      </c>
      <c r="F289" s="82">
        <f>D289+E289</f>
        <v>652.19075999999995</v>
      </c>
      <c r="G289" s="82">
        <v>0</v>
      </c>
      <c r="H289" s="82">
        <f>F289*(($H$204)+1)+(IF(G289&lt;101,G289,IF(G289&lt;201,G289/2,IF(G289&lt;=301,G289/3,G289/4))))</f>
        <v>978.28613999999993</v>
      </c>
      <c r="I289" s="35"/>
    </row>
    <row r="290" spans="1:10" s="83" customFormat="1" ht="15.75" customHeight="1" x14ac:dyDescent="0.25">
      <c r="A290" s="108">
        <v>2</v>
      </c>
      <c r="B290" s="109"/>
      <c r="C290" s="82" t="s">
        <v>322</v>
      </c>
      <c r="D290" s="77">
        <f>(66.3)*10.764</f>
        <v>713.65319999999997</v>
      </c>
      <c r="E290" s="82">
        <v>0</v>
      </c>
      <c r="F290" s="82">
        <f>D290+E290</f>
        <v>713.65319999999997</v>
      </c>
      <c r="G290" s="82">
        <v>0</v>
      </c>
      <c r="H290" s="82">
        <f>F290*(($H$204)+1)+(IF(G290&lt;101,G290,IF(G290&lt;201,G290/2,IF(G290&lt;=301,G290/3,G290/4))))</f>
        <v>1070.4798000000001</v>
      </c>
      <c r="I290" s="35"/>
    </row>
    <row r="291" spans="1:10" s="83" customFormat="1" ht="15.75" customHeight="1" x14ac:dyDescent="0.25">
      <c r="A291" s="108">
        <v>3</v>
      </c>
      <c r="B291" s="109"/>
      <c r="C291" s="82" t="s">
        <v>322</v>
      </c>
      <c r="D291" s="77">
        <f>(60.63)*10.764</f>
        <v>652.62131999999997</v>
      </c>
      <c r="E291" s="82">
        <v>0</v>
      </c>
      <c r="F291" s="82">
        <f>D291+E291</f>
        <v>652.62131999999997</v>
      </c>
      <c r="G291" s="82">
        <v>0</v>
      </c>
      <c r="H291" s="82">
        <f>F291*(($H$204)+1)+(IF(G291&lt;101,G291,IF(G291&lt;201,G291/2,IF(G291&lt;=301,G291/3,G291/4))))</f>
        <v>978.93197999999995</v>
      </c>
      <c r="I291" s="35"/>
    </row>
    <row r="292" spans="1:10" s="83" customFormat="1" ht="15.75" customHeight="1" x14ac:dyDescent="0.25">
      <c r="A292" s="108">
        <f>A291+1</f>
        <v>4</v>
      </c>
      <c r="B292" s="109"/>
      <c r="C292" s="82" t="s">
        <v>322</v>
      </c>
      <c r="D292" s="77">
        <f>(60.59)*10.764</f>
        <v>652.19075999999995</v>
      </c>
      <c r="E292" s="82">
        <v>0</v>
      </c>
      <c r="F292" s="82">
        <f>D292+E292</f>
        <v>652.19075999999995</v>
      </c>
      <c r="G292" s="82">
        <v>0</v>
      </c>
      <c r="H292" s="82">
        <f>F292*(($H$204)+1)+(IF(G292&lt;101,G292,IF(G292&lt;201,G292/2,IF(G292&lt;=301,G292/3,G292/4))))</f>
        <v>978.28613999999993</v>
      </c>
      <c r="I292" s="35"/>
    </row>
    <row r="293" spans="1:10" s="83" customFormat="1" ht="15.75" customHeight="1" x14ac:dyDescent="0.25">
      <c r="A293" s="113" t="s">
        <v>360</v>
      </c>
      <c r="B293" s="114"/>
      <c r="C293" s="114"/>
      <c r="D293" s="114"/>
      <c r="E293" s="114"/>
      <c r="F293" s="114"/>
      <c r="G293" s="114"/>
      <c r="H293" s="115"/>
      <c r="I293" s="35"/>
      <c r="J293" s="35"/>
    </row>
    <row r="294" spans="1:10" s="83" customFormat="1" ht="15.75" customHeight="1" x14ac:dyDescent="0.25">
      <c r="A294" s="108">
        <v>1</v>
      </c>
      <c r="B294" s="109"/>
      <c r="C294" s="82" t="s">
        <v>322</v>
      </c>
      <c r="D294" s="77">
        <f>(60.59)*10.764</f>
        <v>652.19075999999995</v>
      </c>
      <c r="E294" s="82">
        <v>0</v>
      </c>
      <c r="F294" s="82">
        <f>D294+E294</f>
        <v>652.19075999999995</v>
      </c>
      <c r="G294" s="82">
        <v>0</v>
      </c>
      <c r="H294" s="82">
        <f>F294*(($H$204)+1)+(IF(G294&lt;101,G294,IF(G294&lt;201,G294/2,IF(G294&lt;=301,G294/3,G294/4))))</f>
        <v>978.28613999999993</v>
      </c>
      <c r="I294" s="35"/>
    </row>
    <row r="295" spans="1:10" s="83" customFormat="1" ht="15.75" customHeight="1" x14ac:dyDescent="0.25">
      <c r="A295" s="108">
        <v>2</v>
      </c>
      <c r="B295" s="109"/>
      <c r="C295" s="82" t="s">
        <v>322</v>
      </c>
      <c r="D295" s="77">
        <f>(66.3)*10.764</f>
        <v>713.65319999999997</v>
      </c>
      <c r="E295" s="82">
        <v>0</v>
      </c>
      <c r="F295" s="82">
        <f>D295+E295</f>
        <v>713.65319999999997</v>
      </c>
      <c r="G295" s="82">
        <v>0</v>
      </c>
      <c r="H295" s="82">
        <f>F295*(($H$204)+1)+(IF(G295&lt;101,G295,IF(G295&lt;201,G295/2,IF(G295&lt;=301,G295/3,G295/4))))</f>
        <v>1070.4798000000001</v>
      </c>
      <c r="I295" s="35"/>
    </row>
    <row r="296" spans="1:10" s="83" customFormat="1" ht="15.75" customHeight="1" x14ac:dyDescent="0.25">
      <c r="A296" s="108">
        <v>3</v>
      </c>
      <c r="B296" s="109"/>
      <c r="C296" s="82" t="s">
        <v>322</v>
      </c>
      <c r="D296" s="77">
        <f>(60.63)*10.764</f>
        <v>652.62131999999997</v>
      </c>
      <c r="E296" s="82">
        <v>0</v>
      </c>
      <c r="F296" s="82">
        <f>D296+E296</f>
        <v>652.62131999999997</v>
      </c>
      <c r="G296" s="82">
        <v>0</v>
      </c>
      <c r="H296" s="82">
        <f>F296*(($H$204)+1)+(IF(G296&lt;101,G296,IF(G296&lt;201,G296/2,IF(G296&lt;=301,G296/3,G296/4))))</f>
        <v>978.93197999999995</v>
      </c>
      <c r="I296" s="35"/>
    </row>
    <row r="297" spans="1:10" s="83" customFormat="1" ht="15.75" customHeight="1" x14ac:dyDescent="0.25">
      <c r="A297" s="108">
        <f>A296+1</f>
        <v>4</v>
      </c>
      <c r="B297" s="109"/>
      <c r="C297" s="82" t="s">
        <v>322</v>
      </c>
      <c r="D297" s="77">
        <f>(60.59)*10.764</f>
        <v>652.19075999999995</v>
      </c>
      <c r="E297" s="82">
        <v>0</v>
      </c>
      <c r="F297" s="82">
        <f>D297+E297</f>
        <v>652.19075999999995</v>
      </c>
      <c r="G297" s="82">
        <v>0</v>
      </c>
      <c r="H297" s="82">
        <f>F297*(($H$204)+1)+(IF(G297&lt;101,G297,IF(G297&lt;201,G297/2,IF(G297&lt;=301,G297/3,G297/4))))</f>
        <v>978.28613999999993</v>
      </c>
      <c r="I297" s="35"/>
    </row>
    <row r="298" spans="1:10" s="83" customFormat="1" ht="15.75" customHeight="1" x14ac:dyDescent="0.25">
      <c r="A298" s="113" t="s">
        <v>361</v>
      </c>
      <c r="B298" s="114"/>
      <c r="C298" s="114"/>
      <c r="D298" s="114"/>
      <c r="E298" s="114"/>
      <c r="F298" s="114"/>
      <c r="G298" s="114"/>
      <c r="H298" s="115"/>
      <c r="I298" s="35"/>
      <c r="J298" s="35"/>
    </row>
    <row r="299" spans="1:10" s="83" customFormat="1" ht="15.75" customHeight="1" x14ac:dyDescent="0.25">
      <c r="A299" s="108">
        <v>1</v>
      </c>
      <c r="B299" s="109"/>
      <c r="C299" s="82" t="s">
        <v>322</v>
      </c>
      <c r="D299" s="77">
        <f>(60.59)*10.764</f>
        <v>652.19075999999995</v>
      </c>
      <c r="E299" s="82">
        <f>(4.54)*10.764</f>
        <v>48.868559999999995</v>
      </c>
      <c r="F299" s="82">
        <f>D299+E299</f>
        <v>701.05931999999996</v>
      </c>
      <c r="G299" s="82">
        <v>0</v>
      </c>
      <c r="H299" s="82">
        <f>F299*(($H$204)+1)+(IF(G299&lt;101,G299,IF(G299&lt;201,G299/2,IF(G299&lt;=301,G299/3,G299/4))))</f>
        <v>1051.58898</v>
      </c>
      <c r="I299" s="35"/>
    </row>
    <row r="300" spans="1:10" s="83" customFormat="1" ht="15.75" customHeight="1" x14ac:dyDescent="0.25">
      <c r="A300" s="108">
        <v>2</v>
      </c>
      <c r="B300" s="109"/>
      <c r="C300" s="82" t="s">
        <v>322</v>
      </c>
      <c r="D300" s="77">
        <f>(66.3)*10.764</f>
        <v>713.65319999999997</v>
      </c>
      <c r="E300" s="82">
        <f>(4.42)*10.764</f>
        <v>47.576879999999996</v>
      </c>
      <c r="F300" s="82">
        <f>D300+E300</f>
        <v>761.23007999999993</v>
      </c>
      <c r="G300" s="82">
        <v>0</v>
      </c>
      <c r="H300" s="82">
        <f>F300*(($H$204)+1)+(IF(G300&lt;101,G300,IF(G300&lt;201,G300/2,IF(G300&lt;=301,G300/3,G300/4))))</f>
        <v>1141.84512</v>
      </c>
      <c r="I300" s="35"/>
    </row>
    <row r="301" spans="1:10" s="83" customFormat="1" ht="15.75" customHeight="1" x14ac:dyDescent="0.25">
      <c r="A301" s="108">
        <v>3</v>
      </c>
      <c r="B301" s="109"/>
      <c r="C301" s="82" t="s">
        <v>322</v>
      </c>
      <c r="D301" s="77">
        <f>(60.63)*10.764</f>
        <v>652.62131999999997</v>
      </c>
      <c r="E301" s="82">
        <v>0</v>
      </c>
      <c r="F301" s="82">
        <f>D301+E301</f>
        <v>652.62131999999997</v>
      </c>
      <c r="G301" s="82">
        <v>0</v>
      </c>
      <c r="H301" s="82">
        <f>F301*(($H$204)+1)+(IF(G301&lt;101,G301,IF(G301&lt;201,G301/2,IF(G301&lt;=301,G301/3,G301/4))))</f>
        <v>978.93197999999995</v>
      </c>
      <c r="I301" s="35"/>
    </row>
    <row r="302" spans="1:10" s="83" customFormat="1" ht="15.75" customHeight="1" x14ac:dyDescent="0.25">
      <c r="A302" s="108">
        <f>A301+1</f>
        <v>4</v>
      </c>
      <c r="B302" s="109"/>
      <c r="C302" s="82" t="s">
        <v>322</v>
      </c>
      <c r="D302" s="77">
        <f>(60.59)*10.764</f>
        <v>652.19075999999995</v>
      </c>
      <c r="E302" s="82">
        <v>0</v>
      </c>
      <c r="F302" s="82">
        <f>D302+E302</f>
        <v>652.19075999999995</v>
      </c>
      <c r="G302" s="82">
        <v>0</v>
      </c>
      <c r="H302" s="82">
        <f>F302*(($H$204)+1)+(IF(G302&lt;101,G302,IF(G302&lt;201,G302/2,IF(G302&lt;=301,G302/3,G302/4))))</f>
        <v>978.28613999999993</v>
      </c>
      <c r="I302" s="35"/>
    </row>
    <row r="303" spans="1:10" s="83" customFormat="1" ht="15.75" customHeight="1" x14ac:dyDescent="0.25">
      <c r="A303" s="113" t="s">
        <v>362</v>
      </c>
      <c r="B303" s="114"/>
      <c r="C303" s="114"/>
      <c r="D303" s="114"/>
      <c r="E303" s="114"/>
      <c r="F303" s="114"/>
      <c r="G303" s="114"/>
      <c r="H303" s="115"/>
      <c r="I303" s="35"/>
      <c r="J303" s="35"/>
    </row>
    <row r="304" spans="1:10" s="83" customFormat="1" ht="15.75" customHeight="1" x14ac:dyDescent="0.25">
      <c r="A304" s="108">
        <v>1</v>
      </c>
      <c r="B304" s="109"/>
      <c r="C304" s="82" t="s">
        <v>322</v>
      </c>
      <c r="D304" s="77">
        <f>(60.59)*10.764</f>
        <v>652.19075999999995</v>
      </c>
      <c r="E304" s="82">
        <f>(4.54)*10.764</f>
        <v>48.868559999999995</v>
      </c>
      <c r="F304" s="82">
        <f>D304+E304</f>
        <v>701.05931999999996</v>
      </c>
      <c r="G304" s="82">
        <v>0</v>
      </c>
      <c r="H304" s="82">
        <f>F304*(($H$204)+1)+(IF(G304&lt;101,G304,IF(G304&lt;201,G304/2,IF(G304&lt;=301,G304/3,G304/4))))</f>
        <v>1051.58898</v>
      </c>
      <c r="I304" s="35"/>
    </row>
    <row r="305" spans="1:14" s="83" customFormat="1" ht="15.75" customHeight="1" x14ac:dyDescent="0.25">
      <c r="A305" s="108">
        <v>2</v>
      </c>
      <c r="B305" s="109"/>
      <c r="C305" s="82" t="s">
        <v>322</v>
      </c>
      <c r="D305" s="77">
        <f>(66.3)*10.764</f>
        <v>713.65319999999997</v>
      </c>
      <c r="E305" s="82">
        <f>(4.42)*10.764</f>
        <v>47.576879999999996</v>
      </c>
      <c r="F305" s="82">
        <f>D305+E305</f>
        <v>761.23007999999993</v>
      </c>
      <c r="G305" s="82">
        <v>0</v>
      </c>
      <c r="H305" s="82">
        <f>F305*(($H$204)+1)+(IF(G305&lt;101,G305,IF(G305&lt;201,G305/2,IF(G305&lt;=301,G305/3,G305/4))))</f>
        <v>1141.84512</v>
      </c>
      <c r="I305" s="35"/>
    </row>
    <row r="306" spans="1:14" s="83" customFormat="1" ht="15.75" customHeight="1" x14ac:dyDescent="0.25">
      <c r="A306" s="108">
        <v>3</v>
      </c>
      <c r="B306" s="109"/>
      <c r="C306" s="82" t="s">
        <v>322</v>
      </c>
      <c r="D306" s="77">
        <f>(60.63)*10.764</f>
        <v>652.62131999999997</v>
      </c>
      <c r="E306" s="82">
        <v>0</v>
      </c>
      <c r="F306" s="82">
        <f>D306+E306</f>
        <v>652.62131999999997</v>
      </c>
      <c r="G306" s="82">
        <v>0</v>
      </c>
      <c r="H306" s="82">
        <f>F306*(($H$204)+1)+(IF(G306&lt;101,G306,IF(G306&lt;201,G306/2,IF(G306&lt;=301,G306/3,G306/4))))</f>
        <v>978.93197999999995</v>
      </c>
      <c r="I306" s="35"/>
    </row>
    <row r="307" spans="1:14" s="83" customFormat="1" ht="15.75" customHeight="1" x14ac:dyDescent="0.25">
      <c r="A307" s="108">
        <f>A306+1</f>
        <v>4</v>
      </c>
      <c r="B307" s="109"/>
      <c r="C307" s="82" t="s">
        <v>322</v>
      </c>
      <c r="D307" s="77">
        <f>(60.59)*10.764</f>
        <v>652.19075999999995</v>
      </c>
      <c r="E307" s="82">
        <v>0</v>
      </c>
      <c r="F307" s="82">
        <f>D307+E307</f>
        <v>652.19075999999995</v>
      </c>
      <c r="G307" s="82">
        <v>0</v>
      </c>
      <c r="H307" s="82">
        <f>F307*(($H$204)+1)+(IF(G307&lt;101,G307,IF(G307&lt;201,G307/2,IF(G307&lt;=301,G307/3,G307/4))))</f>
        <v>978.28613999999993</v>
      </c>
      <c r="I307" s="35"/>
    </row>
    <row r="308" spans="1:14" s="83" customFormat="1" ht="15.75" customHeight="1" x14ac:dyDescent="0.25">
      <c r="A308" s="110" t="s">
        <v>335</v>
      </c>
      <c r="B308" s="111"/>
      <c r="C308" s="111"/>
      <c r="D308" s="111"/>
      <c r="E308" s="111"/>
      <c r="F308" s="111"/>
      <c r="G308" s="111"/>
      <c r="H308" s="112"/>
      <c r="I308" s="35"/>
      <c r="N308" s="35"/>
    </row>
    <row r="309" spans="1:14" s="83" customFormat="1" ht="15.75" customHeight="1" x14ac:dyDescent="0.25">
      <c r="A309" s="113" t="s">
        <v>363</v>
      </c>
      <c r="B309" s="114"/>
      <c r="C309" s="114"/>
      <c r="D309" s="114"/>
      <c r="E309" s="114"/>
      <c r="F309" s="114"/>
      <c r="G309" s="114"/>
      <c r="H309" s="115"/>
      <c r="I309" s="35"/>
      <c r="J309" s="35"/>
    </row>
    <row r="310" spans="1:14" s="83" customFormat="1" ht="15.75" customHeight="1" x14ac:dyDescent="0.25">
      <c r="A310" s="108">
        <v>1</v>
      </c>
      <c r="B310" s="109"/>
      <c r="C310" s="82" t="s">
        <v>322</v>
      </c>
      <c r="D310" s="77">
        <f>(52.95)*10.764</f>
        <v>569.9538</v>
      </c>
      <c r="E310" s="82">
        <v>0</v>
      </c>
      <c r="F310" s="82">
        <f>D310+E310</f>
        <v>569.9538</v>
      </c>
      <c r="G310" s="82">
        <v>0</v>
      </c>
      <c r="H310" s="82">
        <f>F310*(($H$204)+1)+(IF(G310&lt;101,G310,IF(G310&lt;201,G310/2,IF(G310&lt;=301,G310/3,G310/4))))</f>
        <v>854.9307</v>
      </c>
      <c r="I310" s="35"/>
    </row>
    <row r="311" spans="1:14" s="83" customFormat="1" ht="15.75" customHeight="1" x14ac:dyDescent="0.25">
      <c r="A311" s="108">
        <v>2</v>
      </c>
      <c r="B311" s="109"/>
      <c r="C311" s="82" t="s">
        <v>322</v>
      </c>
      <c r="D311" s="77">
        <f>(57.58)*10.764</f>
        <v>619.79111999999998</v>
      </c>
      <c r="E311" s="82">
        <v>0</v>
      </c>
      <c r="F311" s="82">
        <f>D311+E311</f>
        <v>619.79111999999998</v>
      </c>
      <c r="G311" s="82">
        <v>0</v>
      </c>
      <c r="H311" s="82">
        <f>F311*(($H$204)+1)+(IF(G311&lt;101,G311,IF(G311&lt;201,G311/2,IF(G311&lt;=301,G311/3,G311/4))))</f>
        <v>929.68668000000002</v>
      </c>
      <c r="I311" s="35"/>
    </row>
    <row r="312" spans="1:14" s="83" customFormat="1" ht="15.75" customHeight="1" x14ac:dyDescent="0.25">
      <c r="A312" s="108">
        <v>3</v>
      </c>
      <c r="B312" s="109"/>
      <c r="C312" s="82" t="s">
        <v>322</v>
      </c>
      <c r="D312" s="77">
        <f>(57.63)*10.764</f>
        <v>620.32931999999994</v>
      </c>
      <c r="E312" s="82">
        <v>0</v>
      </c>
      <c r="F312" s="82">
        <f>D312+E312</f>
        <v>620.32931999999994</v>
      </c>
      <c r="G312" s="82">
        <v>0</v>
      </c>
      <c r="H312" s="82">
        <f>F312*(($H$204)+1)+(IF(G312&lt;101,G312,IF(G312&lt;201,G312/2,IF(G312&lt;=301,G312/3,G312/4))))</f>
        <v>930.49397999999997</v>
      </c>
      <c r="I312" s="35"/>
    </row>
    <row r="313" spans="1:14" s="83" customFormat="1" ht="15.75" customHeight="1" x14ac:dyDescent="0.25">
      <c r="A313" s="108">
        <f>A312+1</f>
        <v>4</v>
      </c>
      <c r="B313" s="109"/>
      <c r="C313" s="82" t="s">
        <v>322</v>
      </c>
      <c r="D313" s="77">
        <f>(52.95)*10.764</f>
        <v>569.9538</v>
      </c>
      <c r="E313" s="82">
        <v>0</v>
      </c>
      <c r="F313" s="82">
        <f>D313+E313</f>
        <v>569.9538</v>
      </c>
      <c r="G313" s="82">
        <v>0</v>
      </c>
      <c r="H313" s="82">
        <f>F313*(($H$204)+1)+(IF(G313&lt;101,G313,IF(G313&lt;201,G313/2,IF(G313&lt;=301,G313/3,G313/4))))</f>
        <v>854.9307</v>
      </c>
      <c r="I313" s="35"/>
    </row>
    <row r="314" spans="1:14" s="83" customFormat="1" ht="15.75" customHeight="1" x14ac:dyDescent="0.25">
      <c r="A314" s="113" t="s">
        <v>364</v>
      </c>
      <c r="B314" s="114"/>
      <c r="C314" s="114"/>
      <c r="D314" s="114"/>
      <c r="E314" s="114"/>
      <c r="F314" s="114"/>
      <c r="G314" s="114"/>
      <c r="H314" s="115"/>
      <c r="I314" s="35"/>
      <c r="J314" s="35"/>
    </row>
    <row r="315" spans="1:14" s="83" customFormat="1" ht="15.75" customHeight="1" x14ac:dyDescent="0.25">
      <c r="A315" s="108">
        <v>1</v>
      </c>
      <c r="B315" s="109"/>
      <c r="C315" s="82" t="s">
        <v>322</v>
      </c>
      <c r="D315" s="77">
        <f>(52.95)*10.764</f>
        <v>569.9538</v>
      </c>
      <c r="E315" s="82">
        <v>0</v>
      </c>
      <c r="F315" s="82">
        <f>D315+E315</f>
        <v>569.9538</v>
      </c>
      <c r="G315" s="82">
        <v>0</v>
      </c>
      <c r="H315" s="82">
        <f>F315*(($H$204)+1)+(IF(G315&lt;101,G315,IF(G315&lt;201,G315/2,IF(G315&lt;=301,G315/3,G315/4))))</f>
        <v>854.9307</v>
      </c>
      <c r="I315" s="35"/>
    </row>
    <row r="316" spans="1:14" s="83" customFormat="1" ht="15.75" customHeight="1" x14ac:dyDescent="0.25">
      <c r="A316" s="108">
        <v>2</v>
      </c>
      <c r="B316" s="109"/>
      <c r="C316" s="82" t="s">
        <v>322</v>
      </c>
      <c r="D316" s="77">
        <f>(57.58)*10.764</f>
        <v>619.79111999999998</v>
      </c>
      <c r="E316" s="82">
        <v>0</v>
      </c>
      <c r="F316" s="82">
        <f>D316+E316</f>
        <v>619.79111999999998</v>
      </c>
      <c r="G316" s="82">
        <v>0</v>
      </c>
      <c r="H316" s="82">
        <f>F316*(($H$204)+1)+(IF(G316&lt;101,G316,IF(G316&lt;201,G316/2,IF(G316&lt;=301,G316/3,G316/4))))</f>
        <v>929.68668000000002</v>
      </c>
      <c r="I316" s="35"/>
    </row>
    <row r="317" spans="1:14" s="83" customFormat="1" ht="15.75" customHeight="1" x14ac:dyDescent="0.25">
      <c r="A317" s="108">
        <v>3</v>
      </c>
      <c r="B317" s="109"/>
      <c r="C317" s="108" t="s">
        <v>324</v>
      </c>
      <c r="D317" s="116"/>
      <c r="E317" s="116"/>
      <c r="F317" s="116"/>
      <c r="G317" s="116"/>
      <c r="H317" s="109"/>
      <c r="I317" s="35"/>
    </row>
    <row r="318" spans="1:14" s="83" customFormat="1" ht="15.75" customHeight="1" x14ac:dyDescent="0.25">
      <c r="A318" s="108">
        <f>A317+1</f>
        <v>4</v>
      </c>
      <c r="B318" s="109"/>
      <c r="C318" s="82" t="s">
        <v>322</v>
      </c>
      <c r="D318" s="77">
        <f>(52.95)*10.764</f>
        <v>569.9538</v>
      </c>
      <c r="E318" s="82">
        <v>0</v>
      </c>
      <c r="F318" s="82">
        <f>D318+E318</f>
        <v>569.9538</v>
      </c>
      <c r="G318" s="82">
        <v>0</v>
      </c>
      <c r="H318" s="82">
        <f>F318*(($H$204)+1)+(IF(G318&lt;101,G318,IF(G318&lt;201,G318/2,IF(G318&lt;=301,G318/3,G318/4))))</f>
        <v>854.9307</v>
      </c>
      <c r="I318" s="35"/>
    </row>
    <row r="319" spans="1:14" s="83" customFormat="1" ht="15.75" customHeight="1" x14ac:dyDescent="0.25">
      <c r="A319" s="110" t="s">
        <v>321</v>
      </c>
      <c r="B319" s="111"/>
      <c r="C319" s="111"/>
      <c r="D319" s="111"/>
      <c r="E319" s="111"/>
      <c r="F319" s="111"/>
      <c r="G319" s="111"/>
      <c r="H319" s="112"/>
      <c r="I319" s="35"/>
      <c r="N319" s="35"/>
    </row>
    <row r="320" spans="1:14" s="83" customFormat="1" ht="15.75" customHeight="1" x14ac:dyDescent="0.25">
      <c r="A320" s="113" t="s">
        <v>363</v>
      </c>
      <c r="B320" s="114"/>
      <c r="C320" s="114"/>
      <c r="D320" s="114"/>
      <c r="E320" s="114"/>
      <c r="F320" s="114"/>
      <c r="G320" s="114"/>
      <c r="H320" s="115"/>
      <c r="I320" s="35"/>
      <c r="J320" s="35"/>
    </row>
    <row r="321" spans="1:14" s="83" customFormat="1" ht="15.75" customHeight="1" x14ac:dyDescent="0.25">
      <c r="A321" s="108">
        <v>1</v>
      </c>
      <c r="B321" s="109"/>
      <c r="C321" s="82" t="s">
        <v>322</v>
      </c>
      <c r="D321" s="77">
        <f>(57.39)*10.764</f>
        <v>617.74595999999997</v>
      </c>
      <c r="E321" s="82">
        <v>0</v>
      </c>
      <c r="F321" s="82">
        <f>D321+E321</f>
        <v>617.74595999999997</v>
      </c>
      <c r="G321" s="82">
        <v>0</v>
      </c>
      <c r="H321" s="82">
        <f>F321*(($H$204)+1)+(IF(G321&lt;101,G321,IF(G321&lt;201,G321/2,IF(G321&lt;=301,G321/3,G321/4))))</f>
        <v>926.61893999999995</v>
      </c>
      <c r="I321" s="35"/>
    </row>
    <row r="322" spans="1:14" s="83" customFormat="1" ht="15.75" customHeight="1" x14ac:dyDescent="0.25">
      <c r="A322" s="108">
        <v>2</v>
      </c>
      <c r="B322" s="109"/>
      <c r="C322" s="82" t="s">
        <v>322</v>
      </c>
      <c r="D322" s="77">
        <f>(57.64)*10.764</f>
        <v>620.43696</v>
      </c>
      <c r="E322" s="82">
        <v>0</v>
      </c>
      <c r="F322" s="82">
        <f>D322+E322</f>
        <v>620.43696</v>
      </c>
      <c r="G322" s="82">
        <v>0</v>
      </c>
      <c r="H322" s="82">
        <f>F322*(($H$204)+1)+(IF(G322&lt;101,G322,IF(G322&lt;201,G322/2,IF(G322&lt;=301,G322/3,G322/4))))</f>
        <v>930.65544</v>
      </c>
      <c r="I322" s="35"/>
    </row>
    <row r="323" spans="1:14" s="83" customFormat="1" ht="15.75" customHeight="1" x14ac:dyDescent="0.25">
      <c r="A323" s="108">
        <v>3</v>
      </c>
      <c r="B323" s="109"/>
      <c r="C323" s="82" t="s">
        <v>322</v>
      </c>
      <c r="D323" s="77">
        <f>(61.33)*10.764</f>
        <v>660.15611999999999</v>
      </c>
      <c r="E323" s="82">
        <v>0</v>
      </c>
      <c r="F323" s="82">
        <f>D323+E323</f>
        <v>660.15611999999999</v>
      </c>
      <c r="G323" s="82">
        <v>0</v>
      </c>
      <c r="H323" s="82">
        <f>F323*(($H$204)+1)+(IF(G323&lt;101,G323,IF(G323&lt;201,G323/2,IF(G323&lt;=301,G323/3,G323/4))))</f>
        <v>990.23417999999992</v>
      </c>
      <c r="I323" s="35"/>
    </row>
    <row r="324" spans="1:14" s="83" customFormat="1" ht="15.75" customHeight="1" x14ac:dyDescent="0.25">
      <c r="A324" s="108">
        <f>A323+1</f>
        <v>4</v>
      </c>
      <c r="B324" s="109"/>
      <c r="C324" s="82" t="s">
        <v>322</v>
      </c>
      <c r="D324" s="77">
        <f>(52.98)*10.764</f>
        <v>570.27671999999995</v>
      </c>
      <c r="E324" s="82">
        <v>0</v>
      </c>
      <c r="F324" s="82">
        <f>D324+E324</f>
        <v>570.27671999999995</v>
      </c>
      <c r="G324" s="82">
        <v>0</v>
      </c>
      <c r="H324" s="82">
        <f>F324*(($H$204)+1)+(IF(G324&lt;101,G324,IF(G324&lt;201,G324/2,IF(G324&lt;=301,G324/3,G324/4))))</f>
        <v>855.41507999999999</v>
      </c>
      <c r="I324" s="35"/>
    </row>
    <row r="325" spans="1:14" s="83" customFormat="1" ht="15.75" customHeight="1" x14ac:dyDescent="0.25">
      <c r="A325" s="113" t="s">
        <v>364</v>
      </c>
      <c r="B325" s="114"/>
      <c r="C325" s="114"/>
      <c r="D325" s="114"/>
      <c r="E325" s="114"/>
      <c r="F325" s="114"/>
      <c r="G325" s="114"/>
      <c r="H325" s="115"/>
      <c r="I325" s="35"/>
      <c r="J325" s="35"/>
    </row>
    <row r="326" spans="1:14" s="83" customFormat="1" ht="15.75" customHeight="1" x14ac:dyDescent="0.25">
      <c r="A326" s="108">
        <v>1</v>
      </c>
      <c r="B326" s="109"/>
      <c r="C326" s="82" t="s">
        <v>322</v>
      </c>
      <c r="D326" s="77">
        <f>(57.39)*10.764</f>
        <v>617.74595999999997</v>
      </c>
      <c r="E326" s="82">
        <v>0</v>
      </c>
      <c r="F326" s="82">
        <f>D326+E326</f>
        <v>617.74595999999997</v>
      </c>
      <c r="G326" s="82">
        <v>0</v>
      </c>
      <c r="H326" s="82">
        <f>F326*(($H$204)+1)+(IF(G326&lt;101,G326,IF(G326&lt;201,G326/2,IF(G326&lt;=301,G326/3,G326/4))))</f>
        <v>926.61893999999995</v>
      </c>
      <c r="I326" s="35"/>
    </row>
    <row r="327" spans="1:14" s="83" customFormat="1" ht="15.75" customHeight="1" x14ac:dyDescent="0.25">
      <c r="A327" s="108">
        <v>2</v>
      </c>
      <c r="B327" s="109"/>
      <c r="C327" s="82" t="s">
        <v>322</v>
      </c>
      <c r="D327" s="77">
        <f>(57.64)*10.764</f>
        <v>620.43696</v>
      </c>
      <c r="E327" s="82">
        <v>0</v>
      </c>
      <c r="F327" s="82">
        <f>D327+E327</f>
        <v>620.43696</v>
      </c>
      <c r="G327" s="82">
        <v>0</v>
      </c>
      <c r="H327" s="82">
        <f>F327*(($H$204)+1)+(IF(G327&lt;101,G327,IF(G327&lt;201,G327/2,IF(G327&lt;=301,G327/3,G327/4))))</f>
        <v>930.65544</v>
      </c>
      <c r="I327" s="35"/>
    </row>
    <row r="328" spans="1:14" s="83" customFormat="1" ht="15.75" customHeight="1" x14ac:dyDescent="0.25">
      <c r="A328" s="108">
        <v>3</v>
      </c>
      <c r="B328" s="109"/>
      <c r="C328" s="108" t="s">
        <v>324</v>
      </c>
      <c r="D328" s="116"/>
      <c r="E328" s="116"/>
      <c r="F328" s="116"/>
      <c r="G328" s="116"/>
      <c r="H328" s="109"/>
      <c r="I328" s="35"/>
    </row>
    <row r="329" spans="1:14" s="83" customFormat="1" ht="15.75" customHeight="1" x14ac:dyDescent="0.25">
      <c r="A329" s="108">
        <f>A328+1</f>
        <v>4</v>
      </c>
      <c r="B329" s="109"/>
      <c r="C329" s="82" t="s">
        <v>322</v>
      </c>
      <c r="D329" s="77">
        <f>(52.98)*10.764</f>
        <v>570.27671999999995</v>
      </c>
      <c r="E329" s="82">
        <v>0</v>
      </c>
      <c r="F329" s="82">
        <f>D329+E329</f>
        <v>570.27671999999995</v>
      </c>
      <c r="G329" s="82">
        <v>0</v>
      </c>
      <c r="H329" s="82">
        <f>F329*(($H$204)+1)+(IF(G329&lt;101,G329,IF(G329&lt;201,G329/2,IF(G329&lt;=301,G329/3,G329/4))))</f>
        <v>855.41507999999999</v>
      </c>
      <c r="I329" s="35"/>
    </row>
    <row r="330" spans="1:14" s="83" customFormat="1" ht="15.75" customHeight="1" x14ac:dyDescent="0.25">
      <c r="A330" s="110" t="s">
        <v>326</v>
      </c>
      <c r="B330" s="111"/>
      <c r="C330" s="111"/>
      <c r="D330" s="111"/>
      <c r="E330" s="111"/>
      <c r="F330" s="111"/>
      <c r="G330" s="111"/>
      <c r="H330" s="112"/>
      <c r="I330" s="35"/>
      <c r="N330" s="35"/>
    </row>
    <row r="331" spans="1:14" s="83" customFormat="1" ht="15.75" customHeight="1" x14ac:dyDescent="0.25">
      <c r="A331" s="113" t="s">
        <v>363</v>
      </c>
      <c r="B331" s="114"/>
      <c r="C331" s="114"/>
      <c r="D331" s="114"/>
      <c r="E331" s="114"/>
      <c r="F331" s="114"/>
      <c r="G331" s="114"/>
      <c r="H331" s="115"/>
      <c r="I331" s="35"/>
      <c r="J331" s="35"/>
    </row>
    <row r="332" spans="1:14" s="83" customFormat="1" ht="15.75" customHeight="1" x14ac:dyDescent="0.25">
      <c r="A332" s="108">
        <v>1</v>
      </c>
      <c r="B332" s="109"/>
      <c r="C332" s="82" t="s">
        <v>327</v>
      </c>
      <c r="D332" s="77">
        <f>(78.93)*10.764</f>
        <v>849.60252000000003</v>
      </c>
      <c r="E332" s="82">
        <v>0</v>
      </c>
      <c r="F332" s="82">
        <f>D332+E332</f>
        <v>849.60252000000003</v>
      </c>
      <c r="G332" s="82">
        <v>0</v>
      </c>
      <c r="H332" s="82">
        <f>F332*(($H$204)+1)+(IF(G332&lt;101,G332,IF(G332&lt;201,G332/2,IF(G332&lt;=301,G332/3,G332/4))))</f>
        <v>1274.4037800000001</v>
      </c>
      <c r="I332" s="35"/>
    </row>
    <row r="333" spans="1:14" s="83" customFormat="1" ht="15.75" customHeight="1" x14ac:dyDescent="0.25">
      <c r="A333" s="108">
        <v>2</v>
      </c>
      <c r="B333" s="109"/>
      <c r="C333" s="82" t="s">
        <v>322</v>
      </c>
      <c r="D333" s="77">
        <f>(65.95)*10.764</f>
        <v>709.88580000000002</v>
      </c>
      <c r="E333" s="82">
        <v>0</v>
      </c>
      <c r="F333" s="82">
        <f>D333+E333</f>
        <v>709.88580000000002</v>
      </c>
      <c r="G333" s="82">
        <v>0</v>
      </c>
      <c r="H333" s="82">
        <f>F333*(($H$204)+1)+(IF(G333&lt;101,G333,IF(G333&lt;201,G333/2,IF(G333&lt;=301,G333/3,G333/4))))</f>
        <v>1064.8287</v>
      </c>
      <c r="I333" s="35"/>
    </row>
    <row r="334" spans="1:14" s="83" customFormat="1" ht="15.75" customHeight="1" x14ac:dyDescent="0.25">
      <c r="A334" s="108">
        <v>3</v>
      </c>
      <c r="B334" s="109"/>
      <c r="C334" s="82" t="s">
        <v>322</v>
      </c>
      <c r="D334" s="77">
        <f>(65.97)*10.764</f>
        <v>710.10107999999991</v>
      </c>
      <c r="E334" s="82">
        <v>0</v>
      </c>
      <c r="F334" s="82">
        <f>D334+E334</f>
        <v>710.10107999999991</v>
      </c>
      <c r="G334" s="82">
        <v>0</v>
      </c>
      <c r="H334" s="82">
        <f>F334*(($H$204)+1)+(IF(G334&lt;101,G334,IF(G334&lt;201,G334/2,IF(G334&lt;=301,G334/3,G334/4))))</f>
        <v>1065.1516199999999</v>
      </c>
      <c r="I334" s="35"/>
    </row>
    <row r="335" spans="1:14" s="83" customFormat="1" ht="15.75" customHeight="1" x14ac:dyDescent="0.25">
      <c r="A335" s="113" t="s">
        <v>323</v>
      </c>
      <c r="B335" s="114"/>
      <c r="C335" s="114"/>
      <c r="D335" s="114"/>
      <c r="E335" s="114"/>
      <c r="F335" s="114"/>
      <c r="G335" s="114"/>
      <c r="H335" s="115"/>
      <c r="I335" s="35"/>
      <c r="J335" s="35"/>
    </row>
    <row r="336" spans="1:14" s="83" customFormat="1" ht="15.75" customHeight="1" x14ac:dyDescent="0.25">
      <c r="A336" s="108">
        <v>1</v>
      </c>
      <c r="B336" s="109"/>
      <c r="C336" s="82" t="s">
        <v>327</v>
      </c>
      <c r="D336" s="77">
        <f>(78.93)*10.764</f>
        <v>849.60252000000003</v>
      </c>
      <c r="E336" s="82">
        <v>0</v>
      </c>
      <c r="F336" s="82">
        <f>D336+E336</f>
        <v>849.60252000000003</v>
      </c>
      <c r="G336" s="82">
        <v>0</v>
      </c>
      <c r="H336" s="82">
        <f>F336*(($H$204)+1)+(IF(G336&lt;101,G336,IF(G336&lt;201,G336/2,IF(G336&lt;=301,G336/3,G336/4))))</f>
        <v>1274.4037800000001</v>
      </c>
      <c r="I336" s="35"/>
    </row>
    <row r="337" spans="1:20" s="83" customFormat="1" ht="15.75" customHeight="1" x14ac:dyDescent="0.25">
      <c r="A337" s="108">
        <v>2</v>
      </c>
      <c r="B337" s="109"/>
      <c r="C337" s="82" t="s">
        <v>322</v>
      </c>
      <c r="D337" s="77">
        <f>(70.78)*10.764</f>
        <v>761.87591999999995</v>
      </c>
      <c r="E337" s="82">
        <v>0</v>
      </c>
      <c r="F337" s="82">
        <f>D337+E337</f>
        <v>761.87591999999995</v>
      </c>
      <c r="G337" s="82">
        <v>0</v>
      </c>
      <c r="H337" s="82">
        <f>F337*(($H$204)+1)+(IF(G337&lt;101,G337,IF(G337&lt;201,G337/2,IF(G337&lt;=301,G337/3,G337/4))))</f>
        <v>1142.8138799999999</v>
      </c>
      <c r="I337" s="35"/>
    </row>
    <row r="338" spans="1:20" s="83" customFormat="1" ht="15.75" customHeight="1" x14ac:dyDescent="0.25">
      <c r="A338" s="108">
        <v>3</v>
      </c>
      <c r="B338" s="109"/>
      <c r="C338" s="108" t="s">
        <v>324</v>
      </c>
      <c r="D338" s="116"/>
      <c r="E338" s="116"/>
      <c r="F338" s="116"/>
      <c r="G338" s="116"/>
      <c r="H338" s="109"/>
      <c r="I338" s="35"/>
    </row>
    <row r="339" spans="1:20" s="83" customFormat="1" ht="15.75" customHeight="1" x14ac:dyDescent="0.25">
      <c r="A339" s="113" t="s">
        <v>325</v>
      </c>
      <c r="B339" s="114"/>
      <c r="C339" s="114"/>
      <c r="D339" s="114"/>
      <c r="E339" s="114"/>
      <c r="F339" s="114"/>
      <c r="G339" s="114"/>
      <c r="H339" s="115"/>
      <c r="I339" s="35"/>
      <c r="J339" s="35"/>
    </row>
    <row r="340" spans="1:20" s="83" customFormat="1" ht="15.75" customHeight="1" x14ac:dyDescent="0.25">
      <c r="A340" s="108">
        <v>1</v>
      </c>
      <c r="B340" s="109"/>
      <c r="C340" s="82" t="s">
        <v>327</v>
      </c>
      <c r="D340" s="77">
        <f>(78.93)*10.764</f>
        <v>849.60252000000003</v>
      </c>
      <c r="E340" s="82">
        <v>0</v>
      </c>
      <c r="F340" s="82">
        <f>D340+E340</f>
        <v>849.60252000000003</v>
      </c>
      <c r="G340" s="82">
        <v>0</v>
      </c>
      <c r="H340" s="82">
        <f>F340*(($H$204)+1)+(IF(G340&lt;101,G340,IF(G340&lt;201,G340/2,IF(G340&lt;=301,G340/3,G340/4))))</f>
        <v>1274.4037800000001</v>
      </c>
      <c r="I340" s="35"/>
    </row>
    <row r="341" spans="1:20" s="83" customFormat="1" ht="15.75" customHeight="1" x14ac:dyDescent="0.25">
      <c r="A341" s="108">
        <v>2</v>
      </c>
      <c r="B341" s="109"/>
      <c r="C341" s="82" t="s">
        <v>322</v>
      </c>
      <c r="D341" s="77">
        <f>(65.95)*10.764</f>
        <v>709.88580000000002</v>
      </c>
      <c r="E341" s="82">
        <v>0</v>
      </c>
      <c r="F341" s="82">
        <f>D341+E341</f>
        <v>709.88580000000002</v>
      </c>
      <c r="G341" s="82">
        <v>0</v>
      </c>
      <c r="H341" s="82">
        <f>F341*(($H$204)+1)+(IF(G341&lt;101,G341,IF(G341&lt;201,G341/2,IF(G341&lt;=301,G341/3,G341/4))))</f>
        <v>1064.8287</v>
      </c>
      <c r="I341" s="35"/>
    </row>
    <row r="342" spans="1:20" s="83" customFormat="1" ht="15.75" customHeight="1" x14ac:dyDescent="0.25">
      <c r="A342" s="108">
        <v>3</v>
      </c>
      <c r="B342" s="109"/>
      <c r="C342" s="108" t="s">
        <v>324</v>
      </c>
      <c r="D342" s="116"/>
      <c r="E342" s="116"/>
      <c r="F342" s="116"/>
      <c r="G342" s="116"/>
      <c r="H342" s="109"/>
      <c r="I342" s="35"/>
    </row>
    <row r="343" spans="1:20" s="34" customFormat="1" x14ac:dyDescent="0.25">
      <c r="A343" s="208" t="s">
        <v>65</v>
      </c>
      <c r="B343" s="208"/>
      <c r="C343" s="208"/>
      <c r="D343" s="208"/>
      <c r="E343" s="208"/>
      <c r="F343" s="208"/>
      <c r="G343" s="208"/>
      <c r="H343" s="208"/>
      <c r="T343" s="36"/>
    </row>
    <row r="344" spans="1:20" s="34" customFormat="1" x14ac:dyDescent="0.25">
      <c r="A344" s="45" t="s">
        <v>156</v>
      </c>
      <c r="B344" s="249" t="s">
        <v>381</v>
      </c>
      <c r="C344" s="250"/>
      <c r="D344" s="250"/>
      <c r="E344" s="250"/>
      <c r="F344" s="250"/>
      <c r="G344" s="250"/>
      <c r="H344" s="251"/>
      <c r="T344" s="36"/>
    </row>
    <row r="345" spans="1:20" s="34" customFormat="1" x14ac:dyDescent="0.25">
      <c r="A345" s="45" t="s">
        <v>156</v>
      </c>
      <c r="B345" s="249" t="str">
        <f>(IF(H203="Saleable area Loading :","We have considered Saleable area of Flats as per our Calculation.","We considered Saleable area of Flat as per Builder area Sheet."))</f>
        <v>We have considered Saleable area of Flats as per our Calculation.</v>
      </c>
      <c r="C345" s="250"/>
      <c r="D345" s="250"/>
      <c r="E345" s="250"/>
      <c r="F345" s="250"/>
      <c r="G345" s="250"/>
      <c r="H345" s="251"/>
      <c r="T345" s="36"/>
    </row>
    <row r="346" spans="1:20" s="34" customFormat="1" x14ac:dyDescent="0.25">
      <c r="A346" s="45" t="s">
        <v>156</v>
      </c>
      <c r="B346" s="249" t="str">
        <f>(IF(H195="Saleable area Loading :","We have considered Saleable area of Commercial as per our Calculation.","We considered Saleable area of Commercial as per Builder area Sheet."))</f>
        <v>We have considered Saleable area of Commercial as per our Calculation.</v>
      </c>
      <c r="C346" s="250"/>
      <c r="D346" s="250"/>
      <c r="E346" s="250"/>
      <c r="F346" s="250"/>
      <c r="G346" s="250"/>
      <c r="H346" s="251"/>
      <c r="T346" s="36"/>
    </row>
    <row r="347" spans="1:20" s="34" customFormat="1" x14ac:dyDescent="0.25">
      <c r="A347" s="45" t="s">
        <v>156</v>
      </c>
      <c r="B347" s="105" t="s">
        <v>123</v>
      </c>
      <c r="C347" s="106"/>
      <c r="D347" s="106"/>
      <c r="E347" s="106"/>
      <c r="F347" s="106"/>
      <c r="G347" s="106"/>
      <c r="H347" s="107"/>
    </row>
    <row r="348" spans="1:20" s="34" customFormat="1" x14ac:dyDescent="0.25">
      <c r="A348" s="45" t="s">
        <v>156</v>
      </c>
      <c r="B348" s="105" t="s">
        <v>367</v>
      </c>
      <c r="C348" s="106"/>
      <c r="D348" s="106"/>
      <c r="E348" s="106"/>
      <c r="F348" s="106"/>
      <c r="G348" s="106"/>
      <c r="H348" s="107"/>
    </row>
    <row r="349" spans="1:20" s="34" customFormat="1" x14ac:dyDescent="0.25">
      <c r="A349" s="45" t="s">
        <v>156</v>
      </c>
      <c r="B349" s="105" t="s">
        <v>155</v>
      </c>
      <c r="C349" s="106"/>
      <c r="D349" s="106"/>
      <c r="E349" s="106"/>
      <c r="F349" s="106"/>
      <c r="G349" s="106"/>
      <c r="H349" s="107"/>
    </row>
    <row r="350" spans="1:20" s="34" customFormat="1" x14ac:dyDescent="0.25">
      <c r="A350" s="45" t="s">
        <v>156</v>
      </c>
      <c r="B350" s="105" t="s">
        <v>124</v>
      </c>
      <c r="C350" s="106"/>
      <c r="D350" s="106"/>
      <c r="E350" s="106"/>
      <c r="F350" s="106"/>
      <c r="G350" s="106"/>
      <c r="H350" s="107"/>
    </row>
    <row r="351" spans="1:20" s="34" customFormat="1" x14ac:dyDescent="0.25">
      <c r="A351" s="45" t="s">
        <v>156</v>
      </c>
      <c r="B351" s="105" t="s">
        <v>157</v>
      </c>
      <c r="C351" s="106"/>
      <c r="D351" s="106"/>
      <c r="E351" s="106"/>
      <c r="F351" s="106"/>
      <c r="G351" s="106"/>
      <c r="H351" s="107"/>
    </row>
    <row r="352" spans="1:20" s="34" customFormat="1" x14ac:dyDescent="0.25">
      <c r="A352" s="45" t="s">
        <v>156</v>
      </c>
      <c r="B352" s="105" t="s">
        <v>125</v>
      </c>
      <c r="C352" s="106"/>
      <c r="D352" s="106"/>
      <c r="E352" s="106"/>
      <c r="F352" s="106"/>
      <c r="G352" s="106"/>
      <c r="H352" s="107"/>
    </row>
    <row r="353" spans="1:20" s="34" customFormat="1" x14ac:dyDescent="0.25">
      <c r="A353" s="85" t="s">
        <v>156</v>
      </c>
      <c r="B353" s="105" t="s">
        <v>371</v>
      </c>
      <c r="C353" s="106"/>
      <c r="D353" s="106"/>
      <c r="E353" s="106"/>
      <c r="F353" s="106"/>
      <c r="G353" s="106"/>
      <c r="H353" s="107"/>
    </row>
    <row r="354" spans="1:20" s="34" customFormat="1" x14ac:dyDescent="0.25">
      <c r="A354" s="85" t="s">
        <v>156</v>
      </c>
      <c r="B354" s="105" t="s">
        <v>372</v>
      </c>
      <c r="C354" s="106"/>
      <c r="D354" s="106"/>
      <c r="E354" s="106"/>
      <c r="F354" s="106"/>
      <c r="G354" s="106"/>
      <c r="H354" s="107"/>
    </row>
    <row r="355" spans="1:20" s="34" customFormat="1" hidden="1" x14ac:dyDescent="0.25">
      <c r="A355" s="85" t="s">
        <v>156</v>
      </c>
      <c r="B355" s="105" t="s">
        <v>369</v>
      </c>
      <c r="C355" s="106"/>
      <c r="D355" s="106"/>
      <c r="E355" s="106"/>
      <c r="F355" s="106"/>
      <c r="G355" s="106"/>
      <c r="H355" s="107"/>
    </row>
    <row r="356" spans="1:20" s="34" customFormat="1" hidden="1" x14ac:dyDescent="0.25">
      <c r="A356" s="86" t="s">
        <v>156</v>
      </c>
      <c r="B356" s="105" t="s">
        <v>368</v>
      </c>
      <c r="C356" s="106"/>
      <c r="D356" s="106"/>
      <c r="E356" s="106"/>
      <c r="F356" s="106"/>
      <c r="G356" s="106"/>
      <c r="H356" s="107"/>
    </row>
    <row r="357" spans="1:20" s="34" customFormat="1" x14ac:dyDescent="0.25">
      <c r="A357" s="87" t="s">
        <v>156</v>
      </c>
      <c r="B357" s="105" t="s">
        <v>378</v>
      </c>
      <c r="C357" s="106"/>
      <c r="D357" s="106"/>
      <c r="E357" s="106"/>
      <c r="F357" s="106"/>
      <c r="G357" s="106"/>
      <c r="H357" s="107"/>
    </row>
    <row r="358" spans="1:20" s="34" customFormat="1" ht="32.25" hidden="1" customHeight="1" x14ac:dyDescent="0.25">
      <c r="A358" s="87" t="s">
        <v>156</v>
      </c>
      <c r="B358" s="105" t="s">
        <v>380</v>
      </c>
      <c r="C358" s="106"/>
      <c r="D358" s="106"/>
      <c r="E358" s="106"/>
      <c r="F358" s="106"/>
      <c r="G358" s="106"/>
      <c r="H358" s="107"/>
    </row>
    <row r="359" spans="1:20" s="34" customFormat="1" ht="33" customHeight="1" x14ac:dyDescent="0.25">
      <c r="A359" s="85" t="s">
        <v>156</v>
      </c>
      <c r="B359" s="105" t="s">
        <v>379</v>
      </c>
      <c r="C359" s="106"/>
      <c r="D359" s="106"/>
      <c r="E359" s="106"/>
      <c r="F359" s="106"/>
      <c r="G359" s="106"/>
      <c r="H359" s="107"/>
    </row>
    <row r="360" spans="1:20" ht="15.75" customHeight="1" x14ac:dyDescent="0.25">
      <c r="A360" s="205" t="s">
        <v>58</v>
      </c>
      <c r="B360" s="205"/>
      <c r="C360" s="205"/>
      <c r="D360" s="205"/>
      <c r="E360" s="205"/>
      <c r="F360" s="205"/>
      <c r="G360" s="205"/>
      <c r="H360" s="205"/>
      <c r="T360" s="34"/>
    </row>
    <row r="361" spans="1:20" x14ac:dyDescent="0.25">
      <c r="A361" s="134" t="s">
        <v>59</v>
      </c>
      <c r="B361" s="134"/>
      <c r="C361" s="134"/>
      <c r="D361" s="134"/>
      <c r="E361" s="134"/>
      <c r="F361" s="134"/>
      <c r="G361" s="134"/>
      <c r="H361" s="134"/>
      <c r="T361" s="34"/>
    </row>
    <row r="362" spans="1:20" x14ac:dyDescent="0.25">
      <c r="A362" s="209" t="s">
        <v>60</v>
      </c>
      <c r="B362" s="209"/>
      <c r="C362" s="209"/>
      <c r="D362" s="209"/>
      <c r="E362" s="209"/>
      <c r="F362" s="209"/>
      <c r="G362" s="209"/>
      <c r="H362" s="209"/>
      <c r="T362" s="34"/>
    </row>
    <row r="363" spans="1:20" x14ac:dyDescent="0.25">
      <c r="A363" s="134" t="s">
        <v>61</v>
      </c>
      <c r="B363" s="134"/>
      <c r="C363" s="134"/>
      <c r="D363" s="134"/>
      <c r="E363" s="134"/>
      <c r="F363" s="134"/>
      <c r="G363" s="134"/>
      <c r="H363" s="134"/>
      <c r="T363" s="34"/>
    </row>
    <row r="364" spans="1:20" x14ac:dyDescent="0.25">
      <c r="A364" s="134" t="s">
        <v>62</v>
      </c>
      <c r="B364" s="134"/>
      <c r="C364" s="134"/>
      <c r="D364" s="134"/>
      <c r="E364" s="134"/>
      <c r="F364" s="134"/>
      <c r="G364" s="134"/>
      <c r="H364" s="134"/>
    </row>
    <row r="365" spans="1:20" x14ac:dyDescent="0.25">
      <c r="A365" s="134" t="s">
        <v>126</v>
      </c>
      <c r="B365" s="134"/>
      <c r="C365" s="134"/>
      <c r="D365" s="134"/>
      <c r="E365" s="134"/>
      <c r="F365" s="134"/>
      <c r="G365" s="134"/>
      <c r="H365" s="134"/>
    </row>
    <row r="366" spans="1:20" x14ac:dyDescent="0.25">
      <c r="A366" s="175" t="s">
        <v>127</v>
      </c>
      <c r="B366" s="175"/>
      <c r="C366" s="175"/>
      <c r="D366" s="175"/>
      <c r="E366" s="175"/>
      <c r="F366" s="175"/>
      <c r="G366" s="175"/>
      <c r="H366" s="175"/>
    </row>
    <row r="367" spans="1:20" x14ac:dyDescent="0.25">
      <c r="A367" s="204" t="s">
        <v>74</v>
      </c>
      <c r="B367" s="204"/>
      <c r="C367" s="204" t="s">
        <v>384</v>
      </c>
      <c r="D367" s="204"/>
      <c r="E367" s="204" t="s">
        <v>104</v>
      </c>
      <c r="F367" s="204"/>
      <c r="G367" s="204" t="s">
        <v>383</v>
      </c>
      <c r="H367" s="204"/>
    </row>
    <row r="368" spans="1:20" x14ac:dyDescent="0.25">
      <c r="A368" s="203" t="s">
        <v>76</v>
      </c>
      <c r="B368" s="203"/>
      <c r="C368" s="203"/>
      <c r="D368" s="203"/>
      <c r="E368" s="203"/>
      <c r="F368" s="203"/>
      <c r="G368" s="203"/>
      <c r="H368" s="203"/>
    </row>
    <row r="369" spans="1:8" x14ac:dyDescent="0.25">
      <c r="A369" s="203"/>
      <c r="B369" s="203"/>
      <c r="C369" s="203"/>
      <c r="D369" s="203"/>
      <c r="E369" s="203"/>
      <c r="F369" s="203"/>
      <c r="G369" s="203"/>
      <c r="H369" s="203"/>
    </row>
    <row r="370" spans="1:8" x14ac:dyDescent="0.25">
      <c r="A370" s="203"/>
      <c r="B370" s="203"/>
      <c r="C370" s="203"/>
      <c r="D370" s="203"/>
      <c r="E370" s="203"/>
      <c r="F370" s="203"/>
      <c r="G370" s="203"/>
      <c r="H370" s="203"/>
    </row>
    <row r="371" spans="1:8" x14ac:dyDescent="0.25">
      <c r="A371" s="203"/>
      <c r="B371" s="203"/>
      <c r="C371" s="203"/>
      <c r="D371" s="203"/>
      <c r="E371" s="203"/>
      <c r="F371" s="203"/>
      <c r="G371" s="203"/>
      <c r="H371" s="203"/>
    </row>
    <row r="372" spans="1:8" x14ac:dyDescent="0.25">
      <c r="A372" s="37" t="s">
        <v>63</v>
      </c>
      <c r="B372" s="38"/>
      <c r="C372" s="38"/>
      <c r="D372" s="37" t="str">
        <f>E9</f>
        <v>Arkade Nest</v>
      </c>
      <c r="F372" s="38"/>
      <c r="G372" s="38"/>
      <c r="H372" s="38"/>
    </row>
    <row r="373" spans="1:8" ht="15" customHeight="1" x14ac:dyDescent="0.25">
      <c r="A373" s="38"/>
      <c r="B373" s="38"/>
      <c r="C373" s="38"/>
      <c r="D373" s="38"/>
      <c r="E373" s="38"/>
      <c r="F373" s="38"/>
      <c r="G373" s="38"/>
      <c r="H373" s="38"/>
    </row>
    <row r="374" spans="1:8" x14ac:dyDescent="0.25">
      <c r="A374" s="38"/>
      <c r="B374" s="38"/>
      <c r="C374" s="38"/>
      <c r="D374" s="38"/>
      <c r="E374" s="38"/>
      <c r="F374" s="38"/>
      <c r="G374" s="38"/>
      <c r="H374" s="38"/>
    </row>
    <row r="415" spans="1:1" x14ac:dyDescent="0.25">
      <c r="A415" s="40" t="s">
        <v>167</v>
      </c>
    </row>
    <row r="458" spans="1:1" x14ac:dyDescent="0.25">
      <c r="A458" s="40" t="s">
        <v>64</v>
      </c>
    </row>
  </sheetData>
  <mergeCells count="564">
    <mergeCell ref="B357:H357"/>
    <mergeCell ref="B358:H358"/>
    <mergeCell ref="B353:H353"/>
    <mergeCell ref="B359:H359"/>
    <mergeCell ref="B355:H355"/>
    <mergeCell ref="B354:H354"/>
    <mergeCell ref="A138:B138"/>
    <mergeCell ref="C138:H138"/>
    <mergeCell ref="A140:B140"/>
    <mergeCell ref="C140:H140"/>
    <mergeCell ref="A141:B141"/>
    <mergeCell ref="E141:F141"/>
    <mergeCell ref="G141:H141"/>
    <mergeCell ref="A142:B142"/>
    <mergeCell ref="E142:F151"/>
    <mergeCell ref="G142:H151"/>
    <mergeCell ref="A143:B143"/>
    <mergeCell ref="A144:B144"/>
    <mergeCell ref="A145:B145"/>
    <mergeCell ref="A146:B146"/>
    <mergeCell ref="A147:B147"/>
    <mergeCell ref="A148:B148"/>
    <mergeCell ref="A149:B149"/>
    <mergeCell ref="A150:B150"/>
    <mergeCell ref="A151:B151"/>
    <mergeCell ref="B352:H352"/>
    <mergeCell ref="A128:B128"/>
    <mergeCell ref="E128:F137"/>
    <mergeCell ref="G128:H137"/>
    <mergeCell ref="A129:B129"/>
    <mergeCell ref="A130:B130"/>
    <mergeCell ref="A131:B131"/>
    <mergeCell ref="A132:B132"/>
    <mergeCell ref="A133:B133"/>
    <mergeCell ref="A134:B134"/>
    <mergeCell ref="A135:B135"/>
    <mergeCell ref="A136:B136"/>
    <mergeCell ref="A137:B137"/>
    <mergeCell ref="B350:H350"/>
    <mergeCell ref="B346:H346"/>
    <mergeCell ref="A242:B242"/>
    <mergeCell ref="A239:H239"/>
    <mergeCell ref="A240:B240"/>
    <mergeCell ref="A241:B241"/>
    <mergeCell ref="A244:B244"/>
    <mergeCell ref="A243:B243"/>
    <mergeCell ref="B344:H344"/>
    <mergeCell ref="B345:H345"/>
    <mergeCell ref="A122:B122"/>
    <mergeCell ref="A123:B123"/>
    <mergeCell ref="A124:B124"/>
    <mergeCell ref="C124:H124"/>
    <mergeCell ref="A126:B126"/>
    <mergeCell ref="C126:H126"/>
    <mergeCell ref="A127:B127"/>
    <mergeCell ref="E127:F127"/>
    <mergeCell ref="G127:H127"/>
    <mergeCell ref="D71:H71"/>
    <mergeCell ref="D72:H72"/>
    <mergeCell ref="D73:H73"/>
    <mergeCell ref="A110:B110"/>
    <mergeCell ref="C110:H110"/>
    <mergeCell ref="A112:B112"/>
    <mergeCell ref="C112:H112"/>
    <mergeCell ref="A113:B113"/>
    <mergeCell ref="E113:F113"/>
    <mergeCell ref="G113:H113"/>
    <mergeCell ref="D74:H74"/>
    <mergeCell ref="A69:C74"/>
    <mergeCell ref="D69:H69"/>
    <mergeCell ref="D70:H70"/>
    <mergeCell ref="E99:F99"/>
    <mergeCell ref="G99:H99"/>
    <mergeCell ref="A84:B84"/>
    <mergeCell ref="A82:B82"/>
    <mergeCell ref="C82:H82"/>
    <mergeCell ref="A90:B90"/>
    <mergeCell ref="A77:C77"/>
    <mergeCell ref="D77:H77"/>
    <mergeCell ref="C84:H84"/>
    <mergeCell ref="A87:B87"/>
    <mergeCell ref="I15:P15"/>
    <mergeCell ref="F176:H176"/>
    <mergeCell ref="F174:H174"/>
    <mergeCell ref="A229:B229"/>
    <mergeCell ref="A194:H194"/>
    <mergeCell ref="G180:H180"/>
    <mergeCell ref="A175:E175"/>
    <mergeCell ref="A199:B199"/>
    <mergeCell ref="A64:B64"/>
    <mergeCell ref="C64:E64"/>
    <mergeCell ref="D66:H66"/>
    <mergeCell ref="F175:H175"/>
    <mergeCell ref="E180:F180"/>
    <mergeCell ref="A180:B180"/>
    <mergeCell ref="A182:B182"/>
    <mergeCell ref="C185:D185"/>
    <mergeCell ref="D79:H79"/>
    <mergeCell ref="A80:C80"/>
    <mergeCell ref="E43:H43"/>
    <mergeCell ref="A43:D43"/>
    <mergeCell ref="A96:B96"/>
    <mergeCell ref="C96:H96"/>
    <mergeCell ref="A91:B91"/>
    <mergeCell ref="A50:B50"/>
    <mergeCell ref="C50:E50"/>
    <mergeCell ref="C53:E53"/>
    <mergeCell ref="G53:H53"/>
    <mergeCell ref="G50:H50"/>
    <mergeCell ref="G52:H52"/>
    <mergeCell ref="A51:B51"/>
    <mergeCell ref="A65:H65"/>
    <mergeCell ref="A66:C66"/>
    <mergeCell ref="A67:C67"/>
    <mergeCell ref="D67:H67"/>
    <mergeCell ref="G64:H64"/>
    <mergeCell ref="A58:B59"/>
    <mergeCell ref="C58:E58"/>
    <mergeCell ref="G58:H58"/>
    <mergeCell ref="A60:B61"/>
    <mergeCell ref="C60:E60"/>
    <mergeCell ref="G60:H60"/>
    <mergeCell ref="A62:B63"/>
    <mergeCell ref="C62:E62"/>
    <mergeCell ref="G62:H62"/>
    <mergeCell ref="G51:H51"/>
    <mergeCell ref="A52:B53"/>
    <mergeCell ref="C52:E52"/>
    <mergeCell ref="C51:E51"/>
    <mergeCell ref="A365:H365"/>
    <mergeCell ref="A362:H362"/>
    <mergeCell ref="A222:B222"/>
    <mergeCell ref="A185:B185"/>
    <mergeCell ref="D203:D204"/>
    <mergeCell ref="E203:E204"/>
    <mergeCell ref="A104:B104"/>
    <mergeCell ref="A105:B105"/>
    <mergeCell ref="A106:B106"/>
    <mergeCell ref="A162:B162"/>
    <mergeCell ref="F167:H167"/>
    <mergeCell ref="G181:H181"/>
    <mergeCell ref="A165:B165"/>
    <mergeCell ref="F173:H173"/>
    <mergeCell ref="C180:D180"/>
    <mergeCell ref="A216:H216"/>
    <mergeCell ref="A231:B231"/>
    <mergeCell ref="A228:B228"/>
    <mergeCell ref="A198:B198"/>
    <mergeCell ref="A192:B192"/>
    <mergeCell ref="C192:D192"/>
    <mergeCell ref="E192:F192"/>
    <mergeCell ref="A114:B114"/>
    <mergeCell ref="A116:B116"/>
    <mergeCell ref="B347:H347"/>
    <mergeCell ref="B348:H348"/>
    <mergeCell ref="A343:H343"/>
    <mergeCell ref="A275:B275"/>
    <mergeCell ref="A276:B276"/>
    <mergeCell ref="A277:H277"/>
    <mergeCell ref="A278:B278"/>
    <mergeCell ref="A279:B279"/>
    <mergeCell ref="A280:B280"/>
    <mergeCell ref="A281:B281"/>
    <mergeCell ref="A282:B282"/>
    <mergeCell ref="A283:H283"/>
    <mergeCell ref="A284:B284"/>
    <mergeCell ref="A285:B285"/>
    <mergeCell ref="A286:B286"/>
    <mergeCell ref="A287:H287"/>
    <mergeCell ref="A288:H288"/>
    <mergeCell ref="A289:B289"/>
    <mergeCell ref="A290:B290"/>
    <mergeCell ref="A291:B291"/>
    <mergeCell ref="A292:B292"/>
    <mergeCell ref="A293:H293"/>
    <mergeCell ref="A294:B294"/>
    <mergeCell ref="A295:B295"/>
    <mergeCell ref="B351:H351"/>
    <mergeCell ref="A247:B247"/>
    <mergeCell ref="A248:B248"/>
    <mergeCell ref="A249:H249"/>
    <mergeCell ref="A250:H250"/>
    <mergeCell ref="A251:B251"/>
    <mergeCell ref="A252:B252"/>
    <mergeCell ref="A253:B253"/>
    <mergeCell ref="A254:H254"/>
    <mergeCell ref="A260:B260"/>
    <mergeCell ref="A261:B261"/>
    <mergeCell ref="A262:B262"/>
    <mergeCell ref="A263:B263"/>
    <mergeCell ref="A264:B264"/>
    <mergeCell ref="A265:H265"/>
    <mergeCell ref="A266:B266"/>
    <mergeCell ref="A267:B267"/>
    <mergeCell ref="A268:B268"/>
    <mergeCell ref="A269:B269"/>
    <mergeCell ref="A270:B270"/>
    <mergeCell ref="A271:H271"/>
    <mergeCell ref="A272:B272"/>
    <mergeCell ref="A273:B273"/>
    <mergeCell ref="A274:B274"/>
    <mergeCell ref="A237:B237"/>
    <mergeCell ref="A238:B238"/>
    <mergeCell ref="A233:H233"/>
    <mergeCell ref="A227:H227"/>
    <mergeCell ref="F166:H166"/>
    <mergeCell ref="F171:H171"/>
    <mergeCell ref="A217:B217"/>
    <mergeCell ref="A201:B201"/>
    <mergeCell ref="A200:B200"/>
    <mergeCell ref="A172:E172"/>
    <mergeCell ref="F172:H172"/>
    <mergeCell ref="A174:E174"/>
    <mergeCell ref="F169:H169"/>
    <mergeCell ref="A173:E173"/>
    <mergeCell ref="A203:A204"/>
    <mergeCell ref="F203:F204"/>
    <mergeCell ref="A212:H212"/>
    <mergeCell ref="A213:B213"/>
    <mergeCell ref="A214:B214"/>
    <mergeCell ref="A215:B215"/>
    <mergeCell ref="A206:H206"/>
    <mergeCell ref="A207:H207"/>
    <mergeCell ref="A208:H208"/>
    <mergeCell ref="A209:H209"/>
    <mergeCell ref="A368:H371"/>
    <mergeCell ref="A367:B367"/>
    <mergeCell ref="E367:F367"/>
    <mergeCell ref="C367:D367"/>
    <mergeCell ref="G367:H367"/>
    <mergeCell ref="A179:H179"/>
    <mergeCell ref="A177:E177"/>
    <mergeCell ref="F177:H177"/>
    <mergeCell ref="A178:E178"/>
    <mergeCell ref="F178:H178"/>
    <mergeCell ref="A221:H221"/>
    <mergeCell ref="A186:B186"/>
    <mergeCell ref="A230:B230"/>
    <mergeCell ref="A181:B181"/>
    <mergeCell ref="A363:H363"/>
    <mergeCell ref="A184:H184"/>
    <mergeCell ref="A366:H366"/>
    <mergeCell ref="A364:H364"/>
    <mergeCell ref="A360:H360"/>
    <mergeCell ref="G185:H185"/>
    <mergeCell ref="A232:B232"/>
    <mergeCell ref="C195:C196"/>
    <mergeCell ref="B203:B204"/>
    <mergeCell ref="A361:H36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56:H165"/>
    <mergeCell ref="A42:D42"/>
    <mergeCell ref="E42:H42"/>
    <mergeCell ref="A41:H41"/>
    <mergeCell ref="A75:C75"/>
    <mergeCell ref="A76:C76"/>
    <mergeCell ref="D75:H75"/>
    <mergeCell ref="E86:F95"/>
    <mergeCell ref="G86:H95"/>
    <mergeCell ref="A94:B94"/>
    <mergeCell ref="A95:B95"/>
    <mergeCell ref="D76:H76"/>
    <mergeCell ref="A44:D44"/>
    <mergeCell ref="E44:H44"/>
    <mergeCell ref="E45:H45"/>
    <mergeCell ref="E46:H46"/>
    <mergeCell ref="A99:B99"/>
    <mergeCell ref="E47:H47"/>
    <mergeCell ref="C61:H61"/>
    <mergeCell ref="C63:H63"/>
    <mergeCell ref="A98:B98"/>
    <mergeCell ref="A39:B39"/>
    <mergeCell ref="C39:H39"/>
    <mergeCell ref="A46:D46"/>
    <mergeCell ref="L201:M201"/>
    <mergeCell ref="L200:M200"/>
    <mergeCell ref="L199:M199"/>
    <mergeCell ref="L198:M198"/>
    <mergeCell ref="A93:B93"/>
    <mergeCell ref="C186:D186"/>
    <mergeCell ref="E186:F186"/>
    <mergeCell ref="G186:H186"/>
    <mergeCell ref="A167:E167"/>
    <mergeCell ref="A152:B152"/>
    <mergeCell ref="C152:H152"/>
    <mergeCell ref="A197:H197"/>
    <mergeCell ref="E195:E196"/>
    <mergeCell ref="A100:B100"/>
    <mergeCell ref="A47:D47"/>
    <mergeCell ref="A48:H48"/>
    <mergeCell ref="D68:H68"/>
    <mergeCell ref="A68:C68"/>
    <mergeCell ref="A92:B92"/>
    <mergeCell ref="C98:H98"/>
    <mergeCell ref="A45:D45"/>
    <mergeCell ref="A40:B40"/>
    <mergeCell ref="C40:H40"/>
    <mergeCell ref="F195:F196"/>
    <mergeCell ref="C181:D181"/>
    <mergeCell ref="E181:F181"/>
    <mergeCell ref="B195:B196"/>
    <mergeCell ref="A195:A196"/>
    <mergeCell ref="C203:C204"/>
    <mergeCell ref="G203:G204"/>
    <mergeCell ref="G192:H192"/>
    <mergeCell ref="C59:H59"/>
    <mergeCell ref="A85:B85"/>
    <mergeCell ref="A89:B89"/>
    <mergeCell ref="E85:F85"/>
    <mergeCell ref="A78:C78"/>
    <mergeCell ref="D78:H78"/>
    <mergeCell ref="A81:C81"/>
    <mergeCell ref="D81:H81"/>
    <mergeCell ref="A79:C79"/>
    <mergeCell ref="D80:H80"/>
    <mergeCell ref="A86:B86"/>
    <mergeCell ref="G85:H85"/>
    <mergeCell ref="A108:B108"/>
    <mergeCell ref="E155:F155"/>
    <mergeCell ref="A235:B235"/>
    <mergeCell ref="A88:B88"/>
    <mergeCell ref="L219:M219"/>
    <mergeCell ref="A226:B226"/>
    <mergeCell ref="A223:B223"/>
    <mergeCell ref="A224:B224"/>
    <mergeCell ref="A234:B234"/>
    <mergeCell ref="L218:M218"/>
    <mergeCell ref="A218:B218"/>
    <mergeCell ref="L216:M216"/>
    <mergeCell ref="A219:B219"/>
    <mergeCell ref="L217:M217"/>
    <mergeCell ref="A220:B220"/>
    <mergeCell ref="E156:F165"/>
    <mergeCell ref="A202:H202"/>
    <mergeCell ref="E185:F185"/>
    <mergeCell ref="A193:H193"/>
    <mergeCell ref="E114:F123"/>
    <mergeCell ref="G114:H123"/>
    <mergeCell ref="A115:B115"/>
    <mergeCell ref="A117:B117"/>
    <mergeCell ref="A118:B118"/>
    <mergeCell ref="A119:B119"/>
    <mergeCell ref="A120:B120"/>
    <mergeCell ref="A236:B236"/>
    <mergeCell ref="A225:B225"/>
    <mergeCell ref="A49:B49"/>
    <mergeCell ref="C49:H49"/>
    <mergeCell ref="B349:H349"/>
    <mergeCell ref="A157:B157"/>
    <mergeCell ref="A158:B158"/>
    <mergeCell ref="G100:H109"/>
    <mergeCell ref="A101:B101"/>
    <mergeCell ref="A102:B102"/>
    <mergeCell ref="A103:B103"/>
    <mergeCell ref="F168:H168"/>
    <mergeCell ref="A168:E168"/>
    <mergeCell ref="D195:D196"/>
    <mergeCell ref="A170:E170"/>
    <mergeCell ref="A161:B161"/>
    <mergeCell ref="A163:B163"/>
    <mergeCell ref="A164:B164"/>
    <mergeCell ref="A169:E169"/>
    <mergeCell ref="A166:E166"/>
    <mergeCell ref="F170:H170"/>
    <mergeCell ref="G155:H155"/>
    <mergeCell ref="A154:B154"/>
    <mergeCell ref="A171:E171"/>
    <mergeCell ref="A210:H210"/>
    <mergeCell ref="A109:B109"/>
    <mergeCell ref="A156:B156"/>
    <mergeCell ref="C154:H154"/>
    <mergeCell ref="A155:B155"/>
    <mergeCell ref="A176:E176"/>
    <mergeCell ref="C182:D182"/>
    <mergeCell ref="E182:F182"/>
    <mergeCell ref="G182:H182"/>
    <mergeCell ref="A183:B183"/>
    <mergeCell ref="C183:D183"/>
    <mergeCell ref="E183:F183"/>
    <mergeCell ref="G183:H183"/>
    <mergeCell ref="A187:B187"/>
    <mergeCell ref="C187:D187"/>
    <mergeCell ref="E187:F187"/>
    <mergeCell ref="G187:H187"/>
    <mergeCell ref="A159:B159"/>
    <mergeCell ref="A160:B160"/>
    <mergeCell ref="G191:H191"/>
    <mergeCell ref="E100:F109"/>
    <mergeCell ref="A107:B107"/>
    <mergeCell ref="G195:G196"/>
    <mergeCell ref="A121:B121"/>
    <mergeCell ref="A56:B57"/>
    <mergeCell ref="C56:E56"/>
    <mergeCell ref="G56:H56"/>
    <mergeCell ref="C57:E57"/>
    <mergeCell ref="G57:H57"/>
    <mergeCell ref="A211:H211"/>
    <mergeCell ref="A245:H245"/>
    <mergeCell ref="A246:B246"/>
    <mergeCell ref="A188:B188"/>
    <mergeCell ref="C188:D188"/>
    <mergeCell ref="E188:F188"/>
    <mergeCell ref="G188:H188"/>
    <mergeCell ref="A189:B189"/>
    <mergeCell ref="C189:D189"/>
    <mergeCell ref="E189:F189"/>
    <mergeCell ref="G189:H189"/>
    <mergeCell ref="A190:B190"/>
    <mergeCell ref="C190:D190"/>
    <mergeCell ref="E190:F190"/>
    <mergeCell ref="G190:H190"/>
    <mergeCell ref="A191:B191"/>
    <mergeCell ref="C191:D191"/>
    <mergeCell ref="E191:F191"/>
    <mergeCell ref="A205:H205"/>
    <mergeCell ref="L254:M254"/>
    <mergeCell ref="A255:B255"/>
    <mergeCell ref="L255:M255"/>
    <mergeCell ref="A256:B256"/>
    <mergeCell ref="L256:M256"/>
    <mergeCell ref="A257:B257"/>
    <mergeCell ref="L257:M257"/>
    <mergeCell ref="A258:B258"/>
    <mergeCell ref="A259:H259"/>
    <mergeCell ref="A296:B296"/>
    <mergeCell ref="A297:B297"/>
    <mergeCell ref="A298:H298"/>
    <mergeCell ref="A299:B299"/>
    <mergeCell ref="A300:B300"/>
    <mergeCell ref="A301:B301"/>
    <mergeCell ref="A302:B302"/>
    <mergeCell ref="A303:H303"/>
    <mergeCell ref="A304:B304"/>
    <mergeCell ref="A305:B305"/>
    <mergeCell ref="A306:B306"/>
    <mergeCell ref="A307:B307"/>
    <mergeCell ref="A308:H308"/>
    <mergeCell ref="A309:H309"/>
    <mergeCell ref="A310:B310"/>
    <mergeCell ref="A311:B311"/>
    <mergeCell ref="A312:B312"/>
    <mergeCell ref="A323:B323"/>
    <mergeCell ref="A324:B324"/>
    <mergeCell ref="A325:H325"/>
    <mergeCell ref="A326:B326"/>
    <mergeCell ref="A327:B327"/>
    <mergeCell ref="A328:B328"/>
    <mergeCell ref="C328:H328"/>
    <mergeCell ref="A313:B313"/>
    <mergeCell ref="A314:H314"/>
    <mergeCell ref="A315:B315"/>
    <mergeCell ref="A316:B316"/>
    <mergeCell ref="A317:B317"/>
    <mergeCell ref="A318:B318"/>
    <mergeCell ref="C317:H317"/>
    <mergeCell ref="A319:H319"/>
    <mergeCell ref="A320:H320"/>
    <mergeCell ref="A54:B55"/>
    <mergeCell ref="C54:E54"/>
    <mergeCell ref="G54:H54"/>
    <mergeCell ref="C55:E55"/>
    <mergeCell ref="G55:H55"/>
    <mergeCell ref="B356:H356"/>
    <mergeCell ref="A329:B329"/>
    <mergeCell ref="A330:H330"/>
    <mergeCell ref="A339:H339"/>
    <mergeCell ref="A340:B340"/>
    <mergeCell ref="A341:B341"/>
    <mergeCell ref="A342:B342"/>
    <mergeCell ref="C342:H342"/>
    <mergeCell ref="A331:H331"/>
    <mergeCell ref="A332:B332"/>
    <mergeCell ref="A333:B333"/>
    <mergeCell ref="A334:B334"/>
    <mergeCell ref="A335:H335"/>
    <mergeCell ref="A336:B336"/>
    <mergeCell ref="A337:B337"/>
    <mergeCell ref="A338:B338"/>
    <mergeCell ref="C338:H338"/>
    <mergeCell ref="A321:B321"/>
    <mergeCell ref="A322:B322"/>
  </mergeCells>
  <dataValidations disablePrompts="1"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95:E196">
      <formula1>"Attached Loft area,Attached Otla area,Attached Mezzanine area"</formula1>
    </dataValidation>
    <dataValidation type="list" allowBlank="1" showInputMessage="1" showErrorMessage="1" sqref="G367:H367">
      <formula1>"Kunal Kadam,Pranita Mhatre,Shruti Fule,Pooja Kawale,Neha Dhokale,Shruti Tathare, Hitakshi Mhatre, Sachin Sawant"</formula1>
    </dataValidation>
    <dataValidation type="list" allowBlank="1" showInputMessage="1" showErrorMessage="1" sqref="F166:H166">
      <formula1>"On Saleable Area,On Builtup Area,On Carpet Area,On Plot Area"</formula1>
    </dataValidation>
    <dataValidation type="list" allowBlank="1" showInputMessage="1" showErrorMessage="1" sqref="F177:H177">
      <formula1>OFFSET($S$166,1,MATCH($G20,$S$166:$W$166,0)-1,15,1)</formula1>
    </dataValidation>
    <dataValidation type="list" allowBlank="1" showInputMessage="1" showErrorMessage="1" sqref="B195:B196">
      <formula1>"Shop No. (Sale Plan),Sale / Rehab,Sale / Mhada"</formula1>
    </dataValidation>
    <dataValidation type="list" allowBlank="1" showInputMessage="1" showErrorMessage="1" sqref="B203:B20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3:E204">
      <formula1>"Fungible area,Balcony Area,Chajja Area,Cornice Area,AP Area,WS Area"</formula1>
    </dataValidation>
    <dataValidation type="list" allowBlank="1" showInputMessage="1" showErrorMessage="1" sqref="H196 H20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95 H203">
      <formula1>"Saleable area Loading :,Builder Saleable Area"</formula1>
    </dataValidation>
    <dataValidation type="list" allowBlank="1" showInputMessage="1" showErrorMessage="1" sqref="D195:D196 D203:D204">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371" max="16383" man="1"/>
    <brk id="414" max="7" man="1"/>
    <brk id="457"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2" t="s">
        <v>105</v>
      </c>
      <c r="C3" s="252"/>
      <c r="D3" s="252"/>
      <c r="E3" s="252"/>
      <c r="F3" s="252"/>
      <c r="G3" s="252"/>
      <c r="H3" s="252"/>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182</v>
      </c>
      <c r="E4" s="55" t="s">
        <v>192</v>
      </c>
      <c r="F4" s="55" t="s">
        <v>176</v>
      </c>
      <c r="G4" s="55" t="s">
        <v>197</v>
      </c>
      <c r="H4" s="55" t="s">
        <v>215</v>
      </c>
      <c r="J4" t="s">
        <v>197</v>
      </c>
      <c r="K4" t="s">
        <v>213</v>
      </c>
    </row>
    <row r="5" spans="2:11" x14ac:dyDescent="0.25">
      <c r="B5" s="54"/>
      <c r="C5" s="54"/>
      <c r="D5" s="55" t="s">
        <v>183</v>
      </c>
      <c r="E5" s="55" t="s">
        <v>190</v>
      </c>
      <c r="F5" s="55" t="s">
        <v>212</v>
      </c>
      <c r="G5" s="55" t="s">
        <v>198</v>
      </c>
      <c r="H5" s="55" t="s">
        <v>216</v>
      </c>
    </row>
    <row r="6" spans="2:11" x14ac:dyDescent="0.25">
      <c r="B6" s="54"/>
      <c r="C6" s="54"/>
      <c r="D6" s="55" t="s">
        <v>184</v>
      </c>
      <c r="E6" s="55" t="s">
        <v>191</v>
      </c>
      <c r="F6" s="55" t="s">
        <v>213</v>
      </c>
      <c r="G6" s="55" t="s">
        <v>199</v>
      </c>
      <c r="H6" s="55" t="s">
        <v>229</v>
      </c>
    </row>
    <row r="7" spans="2:11" x14ac:dyDescent="0.25">
      <c r="B7" s="54"/>
      <c r="C7" s="54"/>
      <c r="D7" s="55" t="s">
        <v>185</v>
      </c>
      <c r="E7" s="55" t="s">
        <v>193</v>
      </c>
      <c r="F7" s="55" t="s">
        <v>214</v>
      </c>
      <c r="G7" s="55" t="s">
        <v>200</v>
      </c>
      <c r="H7" s="55" t="s">
        <v>217</v>
      </c>
    </row>
    <row r="8" spans="2:11" x14ac:dyDescent="0.25">
      <c r="B8" s="54"/>
      <c r="C8" s="54"/>
      <c r="D8" s="55" t="s">
        <v>186</v>
      </c>
      <c r="E8" s="55" t="s">
        <v>194</v>
      </c>
      <c r="F8" s="55"/>
      <c r="G8" s="55" t="s">
        <v>201</v>
      </c>
      <c r="H8" s="55" t="s">
        <v>218</v>
      </c>
    </row>
    <row r="9" spans="2:11" x14ac:dyDescent="0.25">
      <c r="B9" s="54"/>
      <c r="C9" s="54"/>
      <c r="D9" s="55" t="s">
        <v>187</v>
      </c>
      <c r="E9" s="55" t="s">
        <v>192</v>
      </c>
      <c r="F9" s="55"/>
      <c r="G9" s="55" t="s">
        <v>202</v>
      </c>
      <c r="H9" s="55" t="s">
        <v>219</v>
      </c>
    </row>
    <row r="10" spans="2:11" x14ac:dyDescent="0.25">
      <c r="B10" s="54"/>
      <c r="C10" s="54"/>
      <c r="D10" s="55" t="s">
        <v>188</v>
      </c>
      <c r="E10" s="55" t="s">
        <v>195</v>
      </c>
      <c r="F10" s="55"/>
      <c r="G10" s="55" t="s">
        <v>203</v>
      </c>
      <c r="H10" s="55" t="s">
        <v>220</v>
      </c>
    </row>
    <row r="11" spans="2:11" x14ac:dyDescent="0.25">
      <c r="B11" s="54"/>
      <c r="C11" s="54"/>
      <c r="D11" s="55" t="s">
        <v>189</v>
      </c>
      <c r="E11" s="55" t="s">
        <v>196</v>
      </c>
      <c r="F11" s="55"/>
      <c r="G11" s="55" t="s">
        <v>204</v>
      </c>
      <c r="H11" s="55" t="s">
        <v>221</v>
      </c>
    </row>
    <row r="12" spans="2:11" x14ac:dyDescent="0.25">
      <c r="B12" s="54"/>
      <c r="C12" s="54"/>
      <c r="D12" s="55"/>
      <c r="E12" s="55"/>
      <c r="F12" s="55"/>
      <c r="G12" s="55" t="s">
        <v>205</v>
      </c>
      <c r="H12" s="55" t="s">
        <v>222</v>
      </c>
    </row>
    <row r="13" spans="2:11" x14ac:dyDescent="0.25">
      <c r="B13" s="54"/>
      <c r="C13" s="54"/>
      <c r="D13" s="55"/>
      <c r="E13" s="55"/>
      <c r="F13" s="55"/>
      <c r="G13" s="55" t="s">
        <v>206</v>
      </c>
      <c r="H13" s="55" t="s">
        <v>223</v>
      </c>
    </row>
    <row r="14" spans="2:11" x14ac:dyDescent="0.25">
      <c r="B14" s="54"/>
      <c r="C14" s="54"/>
      <c r="D14" s="55"/>
      <c r="E14" s="55"/>
      <c r="F14" s="55"/>
      <c r="G14" s="55" t="s">
        <v>207</v>
      </c>
      <c r="H14" s="55" t="s">
        <v>224</v>
      </c>
    </row>
    <row r="15" spans="2:11" x14ac:dyDescent="0.25">
      <c r="B15" s="54"/>
      <c r="C15" s="54"/>
      <c r="D15" s="55"/>
      <c r="E15" s="55"/>
      <c r="F15" s="55"/>
      <c r="G15" s="55" t="s">
        <v>208</v>
      </c>
      <c r="H15" s="55" t="s">
        <v>225</v>
      </c>
    </row>
    <row r="16" spans="2:11" x14ac:dyDescent="0.25">
      <c r="B16" s="54"/>
      <c r="C16" s="54"/>
      <c r="D16" s="55"/>
      <c r="E16" s="55"/>
      <c r="F16" s="55"/>
      <c r="G16" s="55" t="s">
        <v>209</v>
      </c>
      <c r="H16" s="55" t="s">
        <v>226</v>
      </c>
    </row>
    <row r="17" spans="2:8" x14ac:dyDescent="0.25">
      <c r="B17" s="54"/>
      <c r="C17" s="54"/>
      <c r="D17" s="55"/>
      <c r="E17" s="55"/>
      <c r="F17" s="55"/>
      <c r="G17" s="55" t="s">
        <v>210</v>
      </c>
      <c r="H17" s="55" t="s">
        <v>227</v>
      </c>
    </row>
    <row r="18" spans="2:8" x14ac:dyDescent="0.25">
      <c r="B18" s="54"/>
      <c r="C18" s="54"/>
      <c r="D18" s="55"/>
      <c r="E18" s="55"/>
      <c r="F18" s="55"/>
      <c r="G18" s="55" t="s">
        <v>211</v>
      </c>
      <c r="H18" s="55" t="s">
        <v>228</v>
      </c>
    </row>
    <row r="24" spans="2:8" x14ac:dyDescent="0.25">
      <c r="C24" t="s">
        <v>173</v>
      </c>
    </row>
    <row r="25" spans="2:8" x14ac:dyDescent="0.25">
      <c r="C25" t="s">
        <v>230</v>
      </c>
    </row>
    <row r="26" spans="2:8" x14ac:dyDescent="0.25">
      <c r="C26" t="s">
        <v>231</v>
      </c>
    </row>
    <row r="27" spans="2:8" x14ac:dyDescent="0.25">
      <c r="C27" t="s">
        <v>232</v>
      </c>
    </row>
    <row r="28" spans="2:8" x14ac:dyDescent="0.25">
      <c r="C28" t="s">
        <v>233</v>
      </c>
    </row>
    <row r="29" spans="2:8" x14ac:dyDescent="0.25">
      <c r="C29" t="s">
        <v>234</v>
      </c>
    </row>
    <row r="30" spans="2:8" x14ac:dyDescent="0.25">
      <c r="C30" t="s">
        <v>173</v>
      </c>
    </row>
    <row r="33" spans="3:11" x14ac:dyDescent="0.25">
      <c r="J33">
        <v>1</v>
      </c>
      <c r="K33">
        <v>2</v>
      </c>
    </row>
    <row r="34" spans="3:11" x14ac:dyDescent="0.25">
      <c r="C34" s="58" t="s">
        <v>239</v>
      </c>
      <c r="D34" s="55" t="s">
        <v>237</v>
      </c>
      <c r="E34" s="55" t="s">
        <v>242</v>
      </c>
      <c r="F34" s="55" t="s">
        <v>240</v>
      </c>
      <c r="G34" s="55" t="s">
        <v>241</v>
      </c>
      <c r="H34" s="55" t="s">
        <v>243</v>
      </c>
      <c r="J34" t="s">
        <v>197</v>
      </c>
      <c r="K34" t="s">
        <v>213</v>
      </c>
    </row>
    <row r="35" spans="3:11" x14ac:dyDescent="0.25">
      <c r="C35" s="54" t="s">
        <v>238</v>
      </c>
      <c r="D35" s="55" t="s">
        <v>174</v>
      </c>
      <c r="E35" s="55" t="s">
        <v>247</v>
      </c>
      <c r="F35" s="55" t="s">
        <v>249</v>
      </c>
      <c r="G35" s="55" t="s">
        <v>251</v>
      </c>
      <c r="H35" s="55"/>
    </row>
    <row r="36" spans="3:11" x14ac:dyDescent="0.25">
      <c r="C36" s="54"/>
      <c r="D36" s="55" t="s">
        <v>244</v>
      </c>
      <c r="E36" s="55" t="s">
        <v>248</v>
      </c>
      <c r="F36" s="55" t="s">
        <v>250</v>
      </c>
      <c r="G36" s="55" t="s">
        <v>252</v>
      </c>
      <c r="H36" s="55"/>
    </row>
    <row r="37" spans="3:11" x14ac:dyDescent="0.25">
      <c r="C37" s="54"/>
      <c r="D37" s="55" t="s">
        <v>245</v>
      </c>
      <c r="E37" s="55"/>
      <c r="F37" s="55"/>
      <c r="G37" s="55" t="s">
        <v>253</v>
      </c>
      <c r="H37" s="55"/>
    </row>
    <row r="38" spans="3:11" x14ac:dyDescent="0.25">
      <c r="C38" s="54"/>
      <c r="D38" s="55" t="s">
        <v>246</v>
      </c>
      <c r="E38" s="55"/>
      <c r="F38" s="55"/>
      <c r="G38" s="55" t="s">
        <v>253</v>
      </c>
      <c r="H38" s="55"/>
    </row>
    <row r="39" spans="3:11" x14ac:dyDescent="0.25">
      <c r="C39" s="54"/>
      <c r="D39" s="55"/>
      <c r="E39" s="55"/>
      <c r="F39" s="55"/>
      <c r="G39" s="55" t="s">
        <v>254</v>
      </c>
      <c r="H39" s="55"/>
    </row>
    <row r="40" spans="3:11" x14ac:dyDescent="0.25">
      <c r="C40" s="54"/>
      <c r="D40" s="55"/>
      <c r="E40" s="55"/>
      <c r="F40" s="55"/>
      <c r="G40" s="55" t="s">
        <v>255</v>
      </c>
      <c r="H40" s="55"/>
    </row>
    <row r="41" spans="3:11" x14ac:dyDescent="0.25">
      <c r="C41" s="54"/>
      <c r="D41" s="55"/>
      <c r="E41" s="55"/>
      <c r="F41" s="55"/>
      <c r="G41" s="55"/>
      <c r="H41" s="55"/>
    </row>
    <row r="43" spans="3:11" x14ac:dyDescent="0.25">
      <c r="C43" t="s">
        <v>256</v>
      </c>
    </row>
    <row r="44" spans="3:11" x14ac:dyDescent="0.25">
      <c r="C44" t="s">
        <v>176</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182</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197</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192</v>
      </c>
      <c r="D67" t="s">
        <v>278</v>
      </c>
    </row>
    <row r="68" spans="3:4" x14ac:dyDescent="0.25">
      <c r="D68" t="s">
        <v>279</v>
      </c>
    </row>
    <row r="69" spans="3:4" x14ac:dyDescent="0.2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9">
        <v>1</v>
      </c>
      <c r="C2" s="62" t="s">
        <v>287</v>
      </c>
    </row>
    <row r="3" spans="2:3" x14ac:dyDescent="0.25">
      <c r="B3" s="59">
        <v>2</v>
      </c>
      <c r="C3" s="60" t="s">
        <v>288</v>
      </c>
    </row>
    <row r="4" spans="2:3" x14ac:dyDescent="0.25">
      <c r="B4" s="59">
        <v>3</v>
      </c>
      <c r="C4" s="61" t="s">
        <v>289</v>
      </c>
    </row>
    <row r="5" spans="2:3" ht="30" x14ac:dyDescent="0.25">
      <c r="B5" s="59">
        <v>4</v>
      </c>
      <c r="C5" s="60" t="s">
        <v>290</v>
      </c>
    </row>
    <row r="6" spans="2:3" x14ac:dyDescent="0.25">
      <c r="B6" s="59">
        <v>5</v>
      </c>
      <c r="C6" s="61" t="s">
        <v>291</v>
      </c>
    </row>
    <row r="7" spans="2:3" ht="30" x14ac:dyDescent="0.25">
      <c r="B7" s="59">
        <v>6</v>
      </c>
      <c r="C7" s="60" t="s">
        <v>292</v>
      </c>
    </row>
    <row r="8" spans="2:3" ht="90" x14ac:dyDescent="0.25">
      <c r="B8" s="59">
        <v>7</v>
      </c>
      <c r="C8" s="60" t="s">
        <v>293</v>
      </c>
    </row>
    <row r="9" spans="2:3" x14ac:dyDescent="0.25">
      <c r="B9" s="59">
        <v>8</v>
      </c>
      <c r="C9" s="61" t="s">
        <v>294</v>
      </c>
    </row>
    <row r="10" spans="2:3" x14ac:dyDescent="0.25">
      <c r="B10" s="59">
        <v>9</v>
      </c>
      <c r="C10" s="61" t="s">
        <v>295</v>
      </c>
    </row>
    <row r="11" spans="2:3" x14ac:dyDescent="0.25">
      <c r="B11" s="59">
        <v>10</v>
      </c>
      <c r="C11" s="61" t="s">
        <v>296</v>
      </c>
    </row>
    <row r="12" spans="2:3" x14ac:dyDescent="0.25">
      <c r="B12" s="59">
        <v>11</v>
      </c>
      <c r="C12" s="61" t="s">
        <v>297</v>
      </c>
    </row>
    <row r="13" spans="2:3" x14ac:dyDescent="0.25">
      <c r="B13" s="59">
        <v>12</v>
      </c>
      <c r="C13" s="61" t="s">
        <v>298</v>
      </c>
    </row>
    <row r="14" spans="2:3" x14ac:dyDescent="0.25">
      <c r="B14" s="59">
        <v>13</v>
      </c>
      <c r="C14" s="61" t="s">
        <v>299</v>
      </c>
    </row>
    <row r="15" spans="2:3" x14ac:dyDescent="0.25">
      <c r="B15" s="59">
        <v>14</v>
      </c>
      <c r="C15" s="61" t="s">
        <v>289</v>
      </c>
    </row>
    <row r="16" spans="2:3" x14ac:dyDescent="0.25">
      <c r="B16" s="59">
        <v>15</v>
      </c>
      <c r="C16" s="61" t="s">
        <v>301</v>
      </c>
    </row>
    <row r="17" spans="2:3" ht="31.5" customHeight="1" x14ac:dyDescent="0.25">
      <c r="B17" s="66">
        <v>16</v>
      </c>
      <c r="C17" s="68" t="s">
        <v>302</v>
      </c>
    </row>
    <row r="18" spans="2:3" x14ac:dyDescent="0.25">
      <c r="B18" s="67">
        <v>17</v>
      </c>
      <c r="C18" s="68" t="s">
        <v>303</v>
      </c>
    </row>
    <row r="19" spans="2:3" x14ac:dyDescent="0.25">
      <c r="B19" s="66">
        <v>18</v>
      </c>
      <c r="C19" s="59" t="s">
        <v>304</v>
      </c>
    </row>
    <row r="20" spans="2:3" x14ac:dyDescent="0.25">
      <c r="B20" s="67">
        <v>19</v>
      </c>
      <c r="C20" s="59"/>
    </row>
    <row r="21" spans="2:3" x14ac:dyDescent="0.25">
      <c r="B21" s="69">
        <v>20</v>
      </c>
      <c r="C21" s="59"/>
    </row>
    <row r="22" spans="2:3" x14ac:dyDescent="0.25">
      <c r="B22" s="59"/>
      <c r="C22" s="59"/>
    </row>
    <row r="23" spans="2:3" x14ac:dyDescent="0.25">
      <c r="B23" s="59"/>
      <c r="C23" s="59"/>
    </row>
    <row r="24" spans="2:3" x14ac:dyDescent="0.25">
      <c r="B24" s="59"/>
      <c r="C24" s="59"/>
    </row>
    <row r="25" spans="2:3" x14ac:dyDescent="0.25">
      <c r="B25" s="59"/>
      <c r="C25" s="59"/>
    </row>
    <row r="26" spans="2:3" x14ac:dyDescent="0.25">
      <c r="B26" s="59"/>
      <c r="C26" s="5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2025-09-15T12:10:40Z</cp:lastPrinted>
  <dcterms:created xsi:type="dcterms:W3CDTF">2019-07-16T09:29:46Z</dcterms:created>
  <dcterms:modified xsi:type="dcterms:W3CDTF">2025-09-15T12:26:45Z</dcterms:modified>
</cp:coreProperties>
</file>