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Flat detail" sheetId="3" r:id="rId2"/>
    <sheet name="valuation" sheetId="5" r:id="rId3"/>
    <sheet name="Note" sheetId="4" r:id="rId4"/>
  </sheets>
  <definedNames>
    <definedName name="_xlnm.Print_Area" localSheetId="0">Report!$A$1:$H$404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46" i="1" l="1"/>
  <c r="D256" i="1" l="1"/>
  <c r="D255" i="1"/>
  <c r="D254" i="1"/>
  <c r="D253" i="1"/>
  <c r="D252" i="1"/>
  <c r="D250" i="1"/>
  <c r="D249" i="1"/>
  <c r="D248" i="1"/>
  <c r="D247" i="1"/>
  <c r="D246" i="1"/>
  <c r="P244" i="1"/>
  <c r="O244" i="1"/>
  <c r="N244" i="1" s="1"/>
  <c r="D244" i="1"/>
  <c r="F244" i="1" s="1"/>
  <c r="D243" i="1"/>
  <c r="F243" i="1" s="1"/>
  <c r="D242" i="1"/>
  <c r="F242" i="1" s="1"/>
  <c r="D241" i="1"/>
  <c r="F241" i="1" s="1"/>
  <c r="G240" i="1"/>
  <c r="D240" i="1"/>
  <c r="F240" i="1" s="1"/>
  <c r="D234" i="1"/>
  <c r="D222" i="1"/>
  <c r="D216" i="1"/>
  <c r="F216" i="1" s="1"/>
  <c r="D210" i="1"/>
  <c r="F210" i="1" s="1"/>
  <c r="D204" i="1"/>
  <c r="D192" i="1"/>
  <c r="D238" i="1"/>
  <c r="D237" i="1"/>
  <c r="D236" i="1"/>
  <c r="D235" i="1"/>
  <c r="D232" i="1"/>
  <c r="D231" i="1"/>
  <c r="D230" i="1"/>
  <c r="D229" i="1"/>
  <c r="D226" i="1"/>
  <c r="D225" i="1"/>
  <c r="D224" i="1"/>
  <c r="D223" i="1"/>
  <c r="P220" i="1"/>
  <c r="O220" i="1"/>
  <c r="D220" i="1"/>
  <c r="F220" i="1" s="1"/>
  <c r="D219" i="1"/>
  <c r="F219" i="1" s="1"/>
  <c r="D218" i="1"/>
  <c r="F218" i="1" s="1"/>
  <c r="D217" i="1"/>
  <c r="F217" i="1" s="1"/>
  <c r="G216" i="1"/>
  <c r="D214" i="1"/>
  <c r="F214" i="1" s="1"/>
  <c r="D213" i="1"/>
  <c r="F213" i="1" s="1"/>
  <c r="D212" i="1"/>
  <c r="D211" i="1"/>
  <c r="D208" i="1"/>
  <c r="D207" i="1"/>
  <c r="D206" i="1"/>
  <c r="D205" i="1"/>
  <c r="P214" i="1"/>
  <c r="O214" i="1"/>
  <c r="F212" i="1"/>
  <c r="F211" i="1"/>
  <c r="G210" i="1"/>
  <c r="D202" i="1"/>
  <c r="D201" i="1"/>
  <c r="D200" i="1"/>
  <c r="D199" i="1"/>
  <c r="D196" i="1"/>
  <c r="D195" i="1"/>
  <c r="D194" i="1"/>
  <c r="J193" i="1"/>
  <c r="D193" i="1"/>
  <c r="D184" i="1"/>
  <c r="O216" i="1"/>
  <c r="P240" i="1"/>
  <c r="P216" i="1"/>
  <c r="P210" i="1"/>
  <c r="O210" i="1"/>
  <c r="O240" i="1"/>
  <c r="N214" i="1" l="1"/>
  <c r="N220" i="1"/>
  <c r="P241" i="1"/>
  <c r="P242" i="1" s="1"/>
  <c r="P243" i="1" s="1"/>
  <c r="N240" i="1"/>
  <c r="O241" i="1"/>
  <c r="O217" i="1"/>
  <c r="N216" i="1"/>
  <c r="P217" i="1"/>
  <c r="P218" i="1" s="1"/>
  <c r="P219" i="1" s="1"/>
  <c r="P211" i="1"/>
  <c r="P212" i="1" s="1"/>
  <c r="P213" i="1" s="1"/>
  <c r="N210" i="1"/>
  <c r="O211" i="1"/>
  <c r="D176" i="1"/>
  <c r="D169" i="1"/>
  <c r="D170" i="1"/>
  <c r="D173" i="1"/>
  <c r="D174" i="1"/>
  <c r="D171" i="1"/>
  <c r="D172" i="1"/>
  <c r="D166" i="1"/>
  <c r="D165" i="1"/>
  <c r="D163" i="1"/>
  <c r="D164" i="1"/>
  <c r="D157" i="1"/>
  <c r="D158" i="1"/>
  <c r="D160" i="1"/>
  <c r="D156" i="1"/>
  <c r="D161" i="1"/>
  <c r="D159" i="1"/>
  <c r="D155" i="1"/>
  <c r="C140" i="1" l="1"/>
  <c r="E140" i="1"/>
  <c r="N241" i="1"/>
  <c r="O242" i="1"/>
  <c r="N217" i="1"/>
  <c r="O218" i="1"/>
  <c r="N211" i="1"/>
  <c r="O212" i="1"/>
  <c r="I192" i="1"/>
  <c r="O243" i="1" l="1"/>
  <c r="N243" i="1" s="1"/>
  <c r="N242" i="1"/>
  <c r="N218" i="1"/>
  <c r="O219" i="1"/>
  <c r="N219" i="1" s="1"/>
  <c r="O213" i="1"/>
  <c r="N213" i="1" s="1"/>
  <c r="N212" i="1"/>
  <c r="J188" i="1"/>
  <c r="J190" i="1"/>
  <c r="I190" i="1"/>
  <c r="D190" i="1"/>
  <c r="D189" i="1"/>
  <c r="D188" i="1"/>
  <c r="D187" i="1"/>
  <c r="G46" i="1"/>
  <c r="I39" i="1"/>
  <c r="E145" i="1" l="1"/>
  <c r="C145" i="1"/>
  <c r="J116" i="1"/>
  <c r="J115" i="1"/>
  <c r="J114" i="1"/>
  <c r="J119" i="1" s="1"/>
  <c r="J120" i="1" s="1"/>
  <c r="J113" i="1"/>
  <c r="E3" i="1" l="1"/>
  <c r="P226" i="1" l="1"/>
  <c r="O226" i="1"/>
  <c r="F226" i="1"/>
  <c r="F225" i="1"/>
  <c r="F224" i="1"/>
  <c r="F223" i="1"/>
  <c r="G222" i="1"/>
  <c r="F222" i="1"/>
  <c r="O222" i="1"/>
  <c r="P222" i="1"/>
  <c r="N226" i="1" l="1"/>
  <c r="P223" i="1"/>
  <c r="P224" i="1" s="1"/>
  <c r="P225" i="1" s="1"/>
  <c r="O223" i="1"/>
  <c r="N222" i="1"/>
  <c r="N223" i="1" l="1"/>
  <c r="O224" i="1"/>
  <c r="N224" i="1" l="1"/>
  <c r="O225" i="1"/>
  <c r="N225" i="1" s="1"/>
  <c r="E7" i="5" l="1"/>
  <c r="F7" i="5" s="1"/>
  <c r="E3" i="5"/>
  <c r="E6" i="5" l="1"/>
  <c r="F6" i="5" s="1"/>
  <c r="E5" i="5"/>
  <c r="F5" i="5" s="1"/>
  <c r="F4" i="5"/>
  <c r="F3" i="5"/>
  <c r="F8" i="5" s="1"/>
  <c r="P256" i="1"/>
  <c r="O256" i="1"/>
  <c r="F256" i="1"/>
  <c r="F255" i="1"/>
  <c r="F254" i="1"/>
  <c r="F253" i="1"/>
  <c r="G252" i="1"/>
  <c r="F252" i="1"/>
  <c r="P250" i="1"/>
  <c r="O250" i="1"/>
  <c r="F250" i="1"/>
  <c r="F249" i="1"/>
  <c r="F248" i="1"/>
  <c r="F247" i="1"/>
  <c r="G246" i="1"/>
  <c r="F246" i="1"/>
  <c r="F234" i="1"/>
  <c r="P238" i="1"/>
  <c r="O238" i="1"/>
  <c r="F238" i="1"/>
  <c r="F237" i="1"/>
  <c r="F236" i="1"/>
  <c r="F235" i="1"/>
  <c r="G234" i="1"/>
  <c r="P232" i="1"/>
  <c r="O232" i="1"/>
  <c r="F232" i="1"/>
  <c r="F231" i="1"/>
  <c r="F230" i="1"/>
  <c r="F229" i="1"/>
  <c r="G228" i="1"/>
  <c r="P208" i="1"/>
  <c r="O208" i="1"/>
  <c r="F208" i="1"/>
  <c r="F207" i="1"/>
  <c r="F206" i="1"/>
  <c r="F205" i="1"/>
  <c r="G204" i="1"/>
  <c r="F204" i="1"/>
  <c r="F202" i="1"/>
  <c r="F201" i="1"/>
  <c r="F200" i="1"/>
  <c r="F199" i="1"/>
  <c r="P202" i="1"/>
  <c r="O202" i="1"/>
  <c r="G198" i="1"/>
  <c r="F196" i="1"/>
  <c r="F195" i="1"/>
  <c r="F194" i="1"/>
  <c r="I194" i="1" s="1"/>
  <c r="F193" i="1"/>
  <c r="F192" i="1"/>
  <c r="G192" i="1"/>
  <c r="F189" i="1"/>
  <c r="F188" i="1"/>
  <c r="F187" i="1"/>
  <c r="G187" i="1"/>
  <c r="D185" i="1"/>
  <c r="F185" i="1" s="1"/>
  <c r="I185" i="1" s="1"/>
  <c r="F184" i="1"/>
  <c r="D183" i="1"/>
  <c r="D177" i="1"/>
  <c r="F177" i="1" s="1"/>
  <c r="F176" i="1"/>
  <c r="G176" i="1"/>
  <c r="F174" i="1"/>
  <c r="F173" i="1"/>
  <c r="F172" i="1"/>
  <c r="F171" i="1"/>
  <c r="F169" i="1"/>
  <c r="F170" i="1"/>
  <c r="G169" i="1"/>
  <c r="D167" i="1"/>
  <c r="F165" i="1"/>
  <c r="I165" i="1" s="1"/>
  <c r="F164" i="1"/>
  <c r="F163" i="1"/>
  <c r="F166" i="1"/>
  <c r="I166" i="1" s="1"/>
  <c r="G163" i="1"/>
  <c r="F156" i="1"/>
  <c r="O234" i="1"/>
  <c r="O252" i="1"/>
  <c r="P246" i="1"/>
  <c r="O228" i="1"/>
  <c r="O198" i="1"/>
  <c r="O187" i="1"/>
  <c r="P187" i="1"/>
  <c r="P228" i="1"/>
  <c r="P252" i="1"/>
  <c r="P204" i="1"/>
  <c r="O204" i="1"/>
  <c r="P198" i="1"/>
  <c r="O192" i="1"/>
  <c r="P192" i="1"/>
  <c r="P234" i="1"/>
  <c r="O246" i="1"/>
  <c r="C146" i="1" l="1"/>
  <c r="E146" i="1"/>
  <c r="I163" i="1"/>
  <c r="G140" i="1"/>
  <c r="N238" i="1"/>
  <c r="F167" i="1"/>
  <c r="C141" i="1"/>
  <c r="E141" i="1"/>
  <c r="N232" i="1"/>
  <c r="N250" i="1"/>
  <c r="N256" i="1"/>
  <c r="N208" i="1"/>
  <c r="F190" i="1"/>
  <c r="G145" i="1" s="1"/>
  <c r="F183" i="1"/>
  <c r="G146" i="1" s="1"/>
  <c r="I164" i="1"/>
  <c r="N202" i="1"/>
  <c r="N252" i="1"/>
  <c r="O253" i="1"/>
  <c r="P253" i="1"/>
  <c r="P254" i="1" s="1"/>
  <c r="N246" i="1"/>
  <c r="O247" i="1"/>
  <c r="P247" i="1"/>
  <c r="P248" i="1" s="1"/>
  <c r="P249" i="1" s="1"/>
  <c r="N234" i="1"/>
  <c r="O235" i="1"/>
  <c r="P235" i="1"/>
  <c r="P236" i="1" s="1"/>
  <c r="P237" i="1" s="1"/>
  <c r="N228" i="1"/>
  <c r="O229" i="1"/>
  <c r="P229" i="1"/>
  <c r="P230" i="1" s="1"/>
  <c r="P231" i="1" s="1"/>
  <c r="N204" i="1"/>
  <c r="O205" i="1"/>
  <c r="P205" i="1"/>
  <c r="P206" i="1" s="1"/>
  <c r="P207" i="1" s="1"/>
  <c r="N198" i="1"/>
  <c r="O199" i="1"/>
  <c r="P199" i="1"/>
  <c r="P200" i="1" s="1"/>
  <c r="P201" i="1" s="1"/>
  <c r="N192" i="1"/>
  <c r="O193" i="1"/>
  <c r="P193" i="1"/>
  <c r="P194" i="1" s="1"/>
  <c r="P195" i="1" s="1"/>
  <c r="N187" i="1"/>
  <c r="O188" i="1"/>
  <c r="P188" i="1"/>
  <c r="P189" i="1" s="1"/>
  <c r="P190" i="1" s="1"/>
  <c r="P255" i="1" l="1"/>
  <c r="C147" i="1"/>
  <c r="E147" i="1"/>
  <c r="G147" i="1"/>
  <c r="C142" i="1"/>
  <c r="E142" i="1"/>
  <c r="N253" i="1"/>
  <c r="O254" i="1"/>
  <c r="N247" i="1"/>
  <c r="O248" i="1"/>
  <c r="N235" i="1"/>
  <c r="O236" i="1"/>
  <c r="N229" i="1"/>
  <c r="O230" i="1"/>
  <c r="N205" i="1"/>
  <c r="O206" i="1"/>
  <c r="N199" i="1"/>
  <c r="O200" i="1"/>
  <c r="N193" i="1"/>
  <c r="O194" i="1"/>
  <c r="N188" i="1"/>
  <c r="O189" i="1"/>
  <c r="N254" i="1" l="1"/>
  <c r="O255" i="1"/>
  <c r="N255" i="1" s="1"/>
  <c r="N248" i="1"/>
  <c r="O249" i="1"/>
  <c r="N249" i="1" s="1"/>
  <c r="N236" i="1"/>
  <c r="O237" i="1"/>
  <c r="N237" i="1" s="1"/>
  <c r="N230" i="1"/>
  <c r="O231" i="1"/>
  <c r="N231" i="1" s="1"/>
  <c r="N206" i="1"/>
  <c r="O207" i="1"/>
  <c r="N207" i="1" s="1"/>
  <c r="N200" i="1"/>
  <c r="O201" i="1"/>
  <c r="N201" i="1" s="1"/>
  <c r="N194" i="1"/>
  <c r="O195" i="1"/>
  <c r="N195" i="1" s="1"/>
  <c r="N189" i="1"/>
  <c r="O190" i="1"/>
  <c r="N190" i="1" s="1"/>
  <c r="C91" i="1" l="1"/>
  <c r="C77" i="1"/>
  <c r="J102" i="1"/>
  <c r="J101" i="1"/>
  <c r="J88" i="1"/>
  <c r="J87" i="1"/>
  <c r="J74" i="1"/>
  <c r="J73" i="1"/>
  <c r="H64" i="1"/>
  <c r="H92" i="1"/>
  <c r="H78" i="1"/>
  <c r="D104" i="1" l="1"/>
  <c r="D100" i="1"/>
  <c r="J96" i="1"/>
  <c r="C95" i="1" s="1"/>
  <c r="J94" i="1"/>
  <c r="D99" i="1"/>
  <c r="D103" i="1"/>
  <c r="J97" i="1"/>
  <c r="J98" i="1" s="1"/>
  <c r="J103" i="1" s="1"/>
  <c r="J95" i="1"/>
  <c r="D98" i="1"/>
  <c r="D102" i="1"/>
  <c r="D101" i="1"/>
  <c r="C97" i="1"/>
  <c r="D97" i="1" s="1"/>
  <c r="C83" i="1"/>
  <c r="D83" i="1" s="1"/>
  <c r="J81" i="1"/>
  <c r="J83" i="1"/>
  <c r="J84" i="1" s="1"/>
  <c r="J89" i="1" s="1"/>
  <c r="D90" i="1"/>
  <c r="D86" i="1"/>
  <c r="J82" i="1"/>
  <c r="C81" i="1" s="1"/>
  <c r="D81" i="1" s="1"/>
  <c r="J80" i="1"/>
  <c r="D88" i="1"/>
  <c r="D84" i="1"/>
  <c r="D87" i="1"/>
  <c r="D89" i="1"/>
  <c r="D85" i="1"/>
  <c r="D69" i="1"/>
  <c r="D75" i="1"/>
  <c r="J67" i="1"/>
  <c r="D76" i="1"/>
  <c r="D72" i="1"/>
  <c r="J68" i="1"/>
  <c r="C67" i="1" s="1"/>
  <c r="D67" i="1" s="1"/>
  <c r="J66" i="1"/>
  <c r="D71" i="1"/>
  <c r="D74" i="1"/>
  <c r="D70" i="1"/>
  <c r="J69" i="1"/>
  <c r="J70" i="1" s="1"/>
  <c r="J75" i="1" s="1"/>
  <c r="D73" i="1"/>
  <c r="H106" i="1"/>
  <c r="O183" i="1"/>
  <c r="J110" i="1" l="1"/>
  <c r="C109" i="1" s="1"/>
  <c r="D109" i="1" s="1"/>
  <c r="J108" i="1"/>
  <c r="D114" i="1"/>
  <c r="D118" i="1"/>
  <c r="D113" i="1"/>
  <c r="J109" i="1"/>
  <c r="D117" i="1"/>
  <c r="D116" i="1"/>
  <c r="D112" i="1"/>
  <c r="J111" i="1"/>
  <c r="J112" i="1" s="1"/>
  <c r="J117" i="1" s="1"/>
  <c r="J118" i="1" s="1"/>
  <c r="C110" i="1" s="1"/>
  <c r="D111" i="1"/>
  <c r="D115" i="1"/>
  <c r="J99" i="1"/>
  <c r="J100" i="1" s="1"/>
  <c r="D95" i="1"/>
  <c r="J85" i="1"/>
  <c r="J86" i="1" s="1"/>
  <c r="J71" i="1"/>
  <c r="J72" i="1" s="1"/>
  <c r="A259" i="1"/>
  <c r="A260" i="1" s="1"/>
  <c r="A261" i="1" s="1"/>
  <c r="A262" i="1" s="1"/>
  <c r="E109" i="1" l="1"/>
  <c r="I105" i="1" s="1"/>
  <c r="C107" i="1" s="1"/>
  <c r="D110" i="1"/>
  <c r="G109" i="1"/>
  <c r="A263" i="1"/>
  <c r="A264" i="1" s="1"/>
  <c r="A265" i="1" s="1"/>
  <c r="A266" i="1" s="1"/>
  <c r="A267" i="1" s="1"/>
  <c r="J104" i="1"/>
  <c r="C96" i="1" s="1"/>
  <c r="J90" i="1"/>
  <c r="C82" i="1" s="1"/>
  <c r="J76" i="1"/>
  <c r="C68" i="1" s="1"/>
  <c r="P183" i="1"/>
  <c r="A268" i="1" l="1"/>
  <c r="A270" i="1" s="1"/>
  <c r="A269" i="1"/>
  <c r="E95" i="1"/>
  <c r="I91" i="1" s="1"/>
  <c r="C93" i="1" s="1"/>
  <c r="D96" i="1"/>
  <c r="G95" i="1"/>
  <c r="E81" i="1"/>
  <c r="I77" i="1" s="1"/>
  <c r="C79" i="1" s="1"/>
  <c r="D82" i="1"/>
  <c r="G81" i="1"/>
  <c r="E67" i="1"/>
  <c r="D68" i="1"/>
  <c r="G67" i="1"/>
  <c r="G119" i="1" s="1"/>
  <c r="N183" i="1"/>
  <c r="I63" i="1" l="1"/>
  <c r="C65" i="1" s="1"/>
  <c r="C119" i="1"/>
  <c r="D62" i="1"/>
  <c r="F121" i="1" s="1"/>
  <c r="C13" i="1" l="1"/>
  <c r="E40" i="1" l="1"/>
  <c r="E41" i="1" s="1"/>
  <c r="F155" i="1" l="1"/>
  <c r="G155" i="1"/>
  <c r="F157" i="1"/>
  <c r="F158" i="1"/>
  <c r="F159" i="1"/>
  <c r="F160" i="1"/>
  <c r="F161" i="1"/>
  <c r="D60" i="1"/>
  <c r="G141" i="1" l="1"/>
  <c r="G142" i="1" s="1"/>
  <c r="O184" i="1"/>
  <c r="P184" i="1" l="1"/>
  <c r="P185" i="1" s="1"/>
  <c r="P196" i="1" s="1"/>
  <c r="O185" i="1"/>
  <c r="G183" i="1"/>
  <c r="E24" i="1"/>
  <c r="E22" i="1"/>
  <c r="N184" i="1" l="1"/>
  <c r="N185" i="1"/>
  <c r="O196" i="1"/>
  <c r="N196" i="1" s="1"/>
  <c r="E7" i="1" l="1"/>
  <c r="D283" i="1" l="1"/>
  <c r="F137" i="1"/>
  <c r="D53"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<sst xmlns="http://schemas.openxmlformats.org/spreadsheetml/2006/main" count="709" uniqueCount="308">
  <si>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</si>
  <si>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</si>
  <si>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</si>
  <si>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</si>
  <si>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</si>
  <si>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</si>
  <si>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</si>
  <si>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</si>
  <si>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</si>
  <si>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</si>
  <si>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</si>
  <si>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</si>
  <si>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</si>
  <si>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</si>
  <si>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</si>
  <si>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</si>
  <si>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</si>
  <si>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</si>
  <si>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</si>
  <si>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</si>
  <si>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</si>
  <si>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</si>
  <si>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</si>
  <si>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</si>
  <si>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</si>
  <si>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</si>
  <si>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</si>
  <si>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</si>
  <si>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</si>
  <si>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</si>
  <si>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</si>
  <si>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</si>
  <si>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</si>
  <si>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</si>
  <si>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</si>
  <si>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</si>
  <si>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</si>
  <si>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</si>
  <si>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</si>
  <si>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</si>
  <si>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</si>
  <si>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</si>
  <si>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</si>
  <si>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</si>
  <si>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</si>
  <si>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</si>
  <si>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</si>
  <si>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</si>
  <si>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</si>
  <si>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</si>
  <si>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</si>
  <si>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</si>
  <si>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</si>
  <si>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</si>
  <si>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</si>
  <si>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</si>
  <si>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</si>
  <si>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</si>
  <si>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</si>
  <si>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</si>
  <si>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</si>
  <si>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</si>
  <si>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</si>
  <si>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</si>
  <si>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</si>
  <si>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</si>
  <si>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</si>
  <si>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</si>
  <si>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</si>
  <si>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</si>
  <si>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</si>
  <si>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</si>
  <si>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</si>
  <si>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</si>
  <si>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</si>
  <si>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</si>
  <si>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</si>
  <si>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</si>
  <si>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</si>
  <si>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</si>
  <si>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</si>
  <si>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</si>
  <si>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</si>
  <si>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</si>
  <si>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</si>
  <si>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</si>
  <si>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</si>
  <si>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</si>
  <si>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</si>
  <si>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</si>
  <si>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</si>
  <si>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</si>
  <si>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</si>
  <si>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</si>
  <si>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</si>
  <si>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</si>
  <si>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</si>
  <si>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</si>
  <si>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</si>
  <si>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</si>
  <si>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</si>
  <si>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</si>
  <si>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</si>
  <si>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</si>
  <si>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</si>
  <si>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</si>
  <si>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</si>
  <si>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</si>
  <si>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</si>
  <si>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</si>
  <si>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</si>
  <si>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</si>
  <si>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</si>
  <si>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</si>
  <si>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</si>
  <si>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</si>
  <si>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</si>
  <si>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</si>
  <si>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</si>
  <si>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</si>
  <si>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</si>
  <si>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</si>
  <si>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</si>
  <si>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</si>
  <si>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</si>
  <si>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</si>
  <si>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</si>
  <si>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</si>
  <si>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</si>
  <si>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</si>
  <si>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</si>
  <si>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</si>
  <si>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</si>
  <si>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</si>
  <si>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</si>
  <si>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</si>
  <si>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</si>
  <si>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</si>
  <si>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</si>
  <si>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</si>
  <si>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</si>
  <si>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</si>
  <si>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</si>
  <si>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</si>
  <si>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</si>
  <si>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</si>
  <si>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</si>
  <si>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</si>
  <si>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</si>
  <si>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</si>
  <si>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</si>
  <si>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</si>
  <si>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3BHK</t>
  </si>
  <si>
    <t>Average</t>
  </si>
  <si>
    <t>Saleable Area</t>
  </si>
  <si>
    <t>Rate on Saleable</t>
  </si>
  <si>
    <t xml:space="preserve">Wheather the construction is as per approved Building plan : </t>
  </si>
  <si>
    <t>Saleable area
Loading :</t>
  </si>
  <si>
    <t>2nd Floor</t>
  </si>
  <si>
    <t>Shop No.
(Sale Plan)</t>
  </si>
  <si>
    <r>
      <t xml:space="preserve">Shop No.
</t>
    </r>
    <r>
      <rPr>
        <b/>
        <sz val="11"/>
        <color rgb="FF000000"/>
        <rFont val="Times New Roman"/>
        <family val="1"/>
      </rPr>
      <t>(Approved Plan)</t>
    </r>
  </si>
  <si>
    <t>Contact Details ( Name &amp; Contact No.)</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</si>
  <si>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</si>
  <si>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</si>
  <si>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</si>
  <si>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</si>
  <si>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</si>
  <si>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</si>
  <si>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</si>
  <si>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</si>
  <si>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</si>
  <si>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</si>
  <si>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</si>
  <si>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</si>
  <si>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</si>
  <si>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</si>
  <si>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</si>
  <si>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</si>
  <si>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</si>
  <si>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</si>
  <si>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</si>
  <si>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</si>
  <si>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</si>
  <si>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</si>
  <si>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</si>
  <si>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</si>
  <si>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</si>
  <si>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</si>
  <si>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</si>
  <si>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</si>
  <si>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 Basement Floor for Parking</t>
  </si>
  <si>
    <t>Ground Floor for Commercial &amp; Parking</t>
  </si>
  <si>
    <t>1</t>
  </si>
  <si>
    <t>2</t>
  </si>
  <si>
    <t>3</t>
  </si>
  <si>
    <t>1 &amp; 1A</t>
  </si>
  <si>
    <t>2 &amp; 2B</t>
  </si>
  <si>
    <t>3, 3A, 3B &amp; 3C</t>
  </si>
  <si>
    <t>-</t>
  </si>
  <si>
    <t>Rehab</t>
  </si>
  <si>
    <t>Shop</t>
  </si>
  <si>
    <t>Stall</t>
  </si>
  <si>
    <t xml:space="preserve">1st Floor </t>
  </si>
  <si>
    <t>4</t>
  </si>
  <si>
    <t>6A</t>
  </si>
  <si>
    <t>Sale</t>
  </si>
  <si>
    <t>5</t>
  </si>
  <si>
    <t>9</t>
  </si>
  <si>
    <t>Non Cess Shop</t>
  </si>
  <si>
    <t>Godown</t>
  </si>
  <si>
    <t>3rd Floor</t>
  </si>
  <si>
    <t>4th Floor (Part Service Area)</t>
  </si>
  <si>
    <t xml:space="preserve">5th Floor </t>
  </si>
  <si>
    <t>1BHK</t>
  </si>
  <si>
    <t>4BHK</t>
  </si>
  <si>
    <t xml:space="preserve">6th Floor </t>
  </si>
  <si>
    <t>2BHK</t>
  </si>
  <si>
    <t xml:space="preserve">7th Floor </t>
  </si>
  <si>
    <t>8th Floor (Part Refuge Area)</t>
  </si>
  <si>
    <t>Refuge Area</t>
  </si>
  <si>
    <t>15th Floor (Part Refuge Area)</t>
  </si>
  <si>
    <t xml:space="preserve">18th Floor </t>
  </si>
  <si>
    <t xml:space="preserve">19th Floor </t>
  </si>
  <si>
    <t>Sale Flat</t>
  </si>
  <si>
    <t>Sale Shop</t>
  </si>
  <si>
    <t>Axis Goregaon</t>
  </si>
  <si>
    <t>M/s.Shree Vastudeep Developers</t>
  </si>
  <si>
    <t>Dadamaharaj Heights</t>
  </si>
  <si>
    <t>A Wing (Sale Building)</t>
  </si>
  <si>
    <t>Girgaon</t>
  </si>
  <si>
    <t>Village</t>
  </si>
  <si>
    <t>Mumbai</t>
  </si>
  <si>
    <t>Mumbai (Ward ABCD)</t>
  </si>
  <si>
    <t>Khadlikar Road</t>
  </si>
  <si>
    <t>Kanji Khetsee Building</t>
  </si>
  <si>
    <t>Building</t>
  </si>
  <si>
    <t>Earth Pillar</t>
  </si>
  <si>
    <t>Charni Road</t>
  </si>
  <si>
    <t>1.0Km from Charni Road Railway Station</t>
  </si>
  <si>
    <t>CTS No</t>
  </si>
  <si>
    <t>RCC</t>
  </si>
  <si>
    <t>We considered Gross carpet area = Net carpet.</t>
  </si>
  <si>
    <t>Pls Check Saleble Area Given or not in Doc</t>
  </si>
  <si>
    <t>99acres</t>
  </si>
  <si>
    <t>Valuation Adopted</t>
  </si>
  <si>
    <t>1000000/-</t>
  </si>
  <si>
    <t>We considered  Saleable area  as per our calculation.</t>
  </si>
  <si>
    <t>Approved Plans, CC, Sale Plans</t>
  </si>
  <si>
    <t>NOC for Composite Redevelopment &amp; Amalgamation</t>
  </si>
  <si>
    <t>R/NOC/F-1858,2363 &amp; 2573/10655/M.B.R. &amp; R B-19</t>
  </si>
  <si>
    <t>07/12/2019.</t>
  </si>
  <si>
    <t>NOC for Parking</t>
  </si>
  <si>
    <t>Dy.Ch.E/PC-71/traffic</t>
  </si>
  <si>
    <t>08/01/2016.</t>
  </si>
  <si>
    <t>magicbrick</t>
  </si>
  <si>
    <t>A Wing = BS + Gr. + 1st to 23rd Floor.</t>
  </si>
  <si>
    <t>Rehab Shop</t>
  </si>
  <si>
    <t>Rehab Flat</t>
  </si>
  <si>
    <t>40000/-</t>
  </si>
  <si>
    <t>Recommended rate should be considered as all inclusive rate if other charges are not mentioned. (Excluding GST &amp; other government Taxes).</t>
  </si>
  <si>
    <t xml:space="preserve">Work:- A wing 8th slab complete 9th slab Going on 2nd floor block work complete. B+C wing 8th slab complete . 9th slab Going on. Block work 4th and 5th floor complete site person- Sarita Pansare 9664578561 </t>
  </si>
  <si>
    <t>As per sale plan, On 5th Floor Flat No. 2 is 4BHK &amp; is fusion of 3 units (i.e 502, 503 &amp; 504)</t>
  </si>
  <si>
    <t>Khadilkar Road</t>
  </si>
  <si>
    <t>224, 225, 226 &amp; 228</t>
  </si>
  <si>
    <t>As per sale plan, On 6th Floor Flat No. 3 is 3BHK &amp; is fusion of 2 units (i.e 603 &amp; 604)</t>
  </si>
  <si>
    <t>9664578561 / 9029250003</t>
  </si>
  <si>
    <t>On Site, we meet Ms. Komal Maldikar - 8652028181 &amp; Mr. Nilesh Jadhav - 7387965622.</t>
  </si>
  <si>
    <t>Karan Misal</t>
  </si>
  <si>
    <t xml:space="preserve">Office No. 1031, Wing J, Akshar Business Park, Plot No. 03 Sector 25, Near APMC Market, Vashi, Navi Mumbai, Maharashtra 400703 TEL: 022-46090378/79/80                                                                                                     Email : vsjcapf@gmail.com. Web site : www.vsjadon.com
</t>
  </si>
  <si>
    <t>Location Link</t>
  </si>
  <si>
    <t>https://goo.gl/maps/ePwuforJ4enk44KCA</t>
  </si>
  <si>
    <t>Avg. of (Part I &amp; II)
Disbursement %</t>
  </si>
  <si>
    <t>Avg. of (Part I &amp; II)
Progress %</t>
  </si>
  <si>
    <t>Construction work goes beyond CC permission. Please provide a revised approved CC.</t>
  </si>
  <si>
    <t>CHE/CTY/1316/D/337(NEW)/FCC/3/Amend</t>
  </si>
  <si>
    <t>CHE/CTY/1316/D/337</t>
  </si>
  <si>
    <t>601</t>
  </si>
  <si>
    <t>602</t>
  </si>
  <si>
    <t>605</t>
  </si>
  <si>
    <t>701</t>
  </si>
  <si>
    <t>702</t>
  </si>
  <si>
    <t>703</t>
  </si>
  <si>
    <t>704</t>
  </si>
  <si>
    <t>705</t>
  </si>
  <si>
    <t>A Wing = BS + Gr. + 1st to 19th Floor.
B Wing = BS + Gr. + 1st to 23rd Floor.</t>
  </si>
  <si>
    <t>B Wing = BS + Gr. + 1st to 23rd Floor.</t>
  </si>
  <si>
    <t>502 + 503 + 504</t>
  </si>
  <si>
    <t>603 + 604</t>
  </si>
  <si>
    <t xml:space="preserve">10th Floor </t>
  </si>
  <si>
    <t xml:space="preserve">9th, 11th &amp; 12th Floor </t>
  </si>
  <si>
    <t xml:space="preserve">13th Floor </t>
  </si>
  <si>
    <t>14th Floor</t>
  </si>
  <si>
    <t xml:space="preserve">16th Floor </t>
  </si>
  <si>
    <t xml:space="preserve">We have updated revised approved floor plan &amp; C.C (on 21/10/2024).
</t>
  </si>
  <si>
    <t xml:space="preserve">17th Floor </t>
  </si>
  <si>
    <t>Part I - A Wing = BS + Gr. + 1st to 23rd Floor.</t>
  </si>
  <si>
    <t>Layout:</t>
  </si>
  <si>
    <t>Dadamaharaj Heights part I is actually to B &amp; C wing ahe</t>
  </si>
  <si>
    <t>kindly do this correction in next report</t>
  </si>
  <si>
    <t>Rehab Flats - 6, Rehab Shops - 16</t>
  </si>
  <si>
    <t>Sale Flats - 64, Sale Shops - 04</t>
  </si>
  <si>
    <t>Construction work is process at the time of visit.(Internal photographs not allowed).</t>
  </si>
  <si>
    <t>P51900013974</t>
  </si>
  <si>
    <t>As per RERA - 31/12/2026</t>
  </si>
  <si>
    <r>
      <t>Valid Up to: This C.C. is further extended of</t>
    </r>
    <r>
      <rPr>
        <b/>
        <sz val="12"/>
        <rFont val="Times New Roman"/>
        <family val="1"/>
      </rPr>
      <t xml:space="preserve"> A Wing</t>
    </r>
    <r>
      <rPr>
        <sz val="12"/>
        <rFont val="Times New Roman"/>
        <family val="1"/>
      </rPr>
      <t xml:space="preserve"> upto 19th floor &amp; Wing B-C upto 24th floors as per amended plans dt.27.09.2024.
</t>
    </r>
  </si>
  <si>
    <t>Pranita Mhatre</t>
  </si>
  <si>
    <t>Construction stage is same as last visit dtd. 02/12/2024 but work is in the process.
Few flats are occupied by tenants.</t>
  </si>
  <si>
    <t>Validity of CC is expired on 15/08/2025, Provide revised approved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</si>
</sst>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yy"/>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0"/>
      <name val="Arial"/>
      <family val="2"/>
    </font>
    <font>
      <sz val="11"/>
      <color rgb="FF000000"/>
      <name val="Calibri"/>
      <family val="2"/>
    </font>
    <font>
      <b/>
      <sz val="11"/>
      <color rgb="FF000000"/>
      <name val="Times New Roman"/>
      <family val="1"/>
    </font>
    <font>
      <sz val="16"/>
      <color rgb="FF000000"/>
      <name val="Calibri"/>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s>
  <cellStyleXfs count="10">
    <xf numFmtId="0" fontId="0" fillId="0" borderId="0"/>
    <xf numFmtId="0" fontId="4" fillId="0" borderId="0"/>
    <xf numFmtId="0" fontId="6" fillId="0" borderId="0"/>
    <xf numFmtId="0" fontId="3" fillId="0" borderId="0"/>
    <xf numFmtId="0" fontId="6" fillId="0" borderId="0"/>
    <xf numFmtId="0" fontId="2" fillId="0" borderId="0"/>
    <xf numFmtId="164" fontId="6" fillId="0" borderId="0" applyFont="0" applyFill="0" applyBorder="0" applyAlignment="0" applyProtection="0"/>
    <xf numFmtId="0" fontId="20" fillId="0" borderId="0"/>
    <xf numFmtId="9" fontId="21" fillId="0" borderId="0" applyFont="0" applyFill="0" applyBorder="0" applyAlignment="0" applyProtection="0"/>
    <xf numFmtId="0" fontId="24" fillId="0" borderId="0" applyNumberFormat="0" applyFill="0" applyBorder="0" applyAlignment="0" applyProtection="0"/>
  </cellStyleXfs>
  <cellXfs count="227">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3"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13" fillId="0" borderId="0" xfId="1" applyFont="1"/>
    <xf numFmtId="0" fontId="16" fillId="0" borderId="0" xfId="1" applyFont="1"/>
    <xf numFmtId="0" fontId="17" fillId="0" borderId="0" xfId="1" applyFont="1"/>
    <xf numFmtId="0" fontId="13" fillId="2" borderId="1" xfId="1" applyFont="1" applyFill="1" applyBorder="1" applyAlignment="1" applyProtection="1">
      <alignment vertical="top"/>
      <protection locked="0"/>
    </xf>
    <xf numFmtId="0" fontId="16" fillId="0" borderId="1" xfId="1" applyFont="1" applyBorder="1" applyAlignment="1" applyProtection="1">
      <alignment horizontal="center" wrapText="1"/>
      <protection locked="0"/>
    </xf>
    <xf numFmtId="1" fontId="16" fillId="0" borderId="1" xfId="1" applyNumberFormat="1" applyFont="1" applyBorder="1" applyAlignment="1" applyProtection="1">
      <alignment horizontal="center" wrapText="1"/>
      <protection locked="0"/>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0" fontId="8" fillId="0" borderId="0" xfId="1" applyFont="1" applyProtection="1">
      <protection hidden="1"/>
    </xf>
    <xf numFmtId="0" fontId="16" fillId="0" borderId="7" xfId="1" applyFont="1" applyBorder="1" applyAlignment="1" applyProtection="1">
      <alignment horizontal="center" wrapText="1"/>
      <protection locked="0"/>
    </xf>
    <xf numFmtId="0" fontId="8" fillId="0" borderId="12" xfId="1" applyFont="1" applyBorder="1" applyProtection="1">
      <protection hidden="1"/>
    </xf>
    <xf numFmtId="0" fontId="8" fillId="0" borderId="13" xfId="1" applyFont="1" applyBorder="1" applyProtection="1">
      <protection hidden="1"/>
    </xf>
    <xf numFmtId="0" fontId="8" fillId="0" borderId="13" xfId="1" applyFont="1" applyBorder="1"/>
    <xf numFmtId="0" fontId="10" fillId="0" borderId="1" xfId="5" applyFont="1" applyBorder="1" applyAlignment="1">
      <alignment horizontal="center" vertical="top" wrapText="1"/>
    </xf>
    <xf numFmtId="0" fontId="2" fillId="0" borderId="1" xfId="5" applyBorder="1" applyAlignment="1">
      <alignment horizontal="center" vertical="center"/>
    </xf>
    <xf numFmtId="1" fontId="2" fillId="0" borderId="1" xfId="5" applyNumberFormat="1" applyBorder="1" applyAlignment="1">
      <alignment horizontal="center" vertical="center"/>
    </xf>
    <xf numFmtId="1" fontId="19" fillId="0" borderId="1" xfId="5" applyNumberFormat="1" applyFont="1" applyBorder="1" applyAlignment="1">
      <alignment horizontal="center" vertical="center"/>
    </xf>
    <xf numFmtId="1" fontId="9" fillId="0" borderId="3" xfId="1" applyNumberFormat="1" applyFont="1" applyBorder="1" applyAlignment="1" applyProtection="1">
      <alignment horizontal="center" vertical="top" wrapText="1"/>
      <protection locked="0"/>
    </xf>
    <xf numFmtId="9" fontId="9" fillId="0" borderId="19" xfId="8" applyFont="1" applyFill="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8" fillId="0" borderId="0" xfId="1" applyNumberFormat="1" applyFont="1" applyAlignment="1">
      <alignment horizontal="center" vertical="center"/>
    </xf>
    <xf numFmtId="0" fontId="13" fillId="2" borderId="1" xfId="1" applyFont="1" applyFill="1" applyBorder="1" applyAlignment="1" applyProtection="1">
      <alignment vertical="top" wrapText="1"/>
      <protection locked="0"/>
    </xf>
    <xf numFmtId="0" fontId="18" fillId="0" borderId="0" xfId="0" applyFont="1" applyProtection="1">
      <protection hidden="1"/>
    </xf>
    <xf numFmtId="14" fontId="8" fillId="0" borderId="0" xfId="1" applyNumberFormat="1" applyFont="1"/>
    <xf numFmtId="1" fontId="8" fillId="0" borderId="0" xfId="1" applyNumberFormat="1" applyFont="1"/>
    <xf numFmtId="1" fontId="9" fillId="0" borderId="1" xfId="0" applyNumberFormat="1" applyFont="1" applyBorder="1" applyAlignment="1" applyProtection="1">
      <alignment horizontal="center" vertical="center" wrapText="1"/>
      <protection locked="0"/>
    </xf>
    <xf numFmtId="0" fontId="18" fillId="0" borderId="13" xfId="0" applyFont="1" applyBorder="1" applyProtection="1">
      <protection hidden="1"/>
    </xf>
    <xf numFmtId="0" fontId="8" fillId="0" borderId="11" xfId="1" applyFont="1" applyBorder="1" applyProtection="1">
      <protection hidden="1"/>
    </xf>
    <xf numFmtId="0" fontId="16" fillId="0" borderId="1" xfId="1" applyFont="1" applyBorder="1" applyAlignment="1" applyProtection="1">
      <alignment horizontal="center" vertical="top"/>
      <protection locked="0"/>
    </xf>
    <xf numFmtId="0" fontId="18" fillId="0" borderId="14" xfId="0" applyFont="1" applyBorder="1" applyProtection="1">
      <protection hidden="1"/>
    </xf>
    <xf numFmtId="1" fontId="0" fillId="0" borderId="13" xfId="0" applyNumberFormat="1" applyBorder="1"/>
    <xf numFmtId="1" fontId="0" fillId="0" borderId="13" xfId="0" applyNumberFormat="1" applyBorder="1" applyAlignment="1">
      <alignment horizontal="right"/>
    </xf>
    <xf numFmtId="1" fontId="0" fillId="0" borderId="15" xfId="0" applyNumberFormat="1" applyBorder="1"/>
    <xf numFmtId="0" fontId="13" fillId="0" borderId="4" xfId="1" applyFont="1" applyBorder="1" applyAlignment="1" applyProtection="1">
      <alignment horizontal="center" vertical="top"/>
      <protection locked="0"/>
    </xf>
    <xf numFmtId="0" fontId="8" fillId="0" borderId="1" xfId="1" applyFont="1" applyBorder="1" applyAlignment="1" applyProtection="1">
      <alignment horizontal="center" vertical="top" wrapText="1"/>
      <protection locked="0"/>
    </xf>
    <xf numFmtId="9" fontId="8" fillId="2" borderId="1" xfId="1" applyNumberFormat="1" applyFont="1" applyFill="1" applyBorder="1" applyAlignment="1" applyProtection="1">
      <alignment horizontal="center" vertical="center" wrapText="1"/>
      <protection hidden="1"/>
    </xf>
    <xf numFmtId="9" fontId="8" fillId="2" borderId="7" xfId="1" applyNumberFormat="1" applyFont="1" applyFill="1" applyBorder="1" applyAlignment="1" applyProtection="1">
      <alignment horizontal="center" vertical="center" wrapText="1"/>
      <protection hidden="1"/>
    </xf>
    <xf numFmtId="0" fontId="13" fillId="0" borderId="1"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13" fillId="0" borderId="5" xfId="1" applyFont="1" applyBorder="1" applyAlignment="1" applyProtection="1">
      <alignment horizontal="center" vertical="top"/>
      <protection locked="0"/>
    </xf>
    <xf numFmtId="0" fontId="13" fillId="2" borderId="1" xfId="1" applyFont="1" applyFill="1" applyBorder="1" applyAlignment="1" applyProtection="1">
      <alignment horizontal="left" vertical="top"/>
      <protection locked="0"/>
    </xf>
    <xf numFmtId="49" fontId="13" fillId="0" borderId="1" xfId="1" quotePrefix="1" applyNumberFormat="1" applyFont="1" applyBorder="1" applyAlignment="1" applyProtection="1">
      <alignment horizontal="center" vertical="center" wrapText="1"/>
      <protection locked="0"/>
    </xf>
    <xf numFmtId="1" fontId="13" fillId="0" borderId="1" xfId="1" applyNumberFormat="1" applyFont="1" applyBorder="1" applyAlignment="1" applyProtection="1">
      <alignment horizontal="center" vertical="center" wrapText="1"/>
      <protection locked="0"/>
    </xf>
    <xf numFmtId="49" fontId="7" fillId="0" borderId="1" xfId="1" quotePrefix="1" applyNumberFormat="1" applyFont="1" applyBorder="1" applyAlignment="1" applyProtection="1">
      <alignment horizontal="center" vertical="center" wrapText="1"/>
      <protection locked="0"/>
    </xf>
    <xf numFmtId="0" fontId="14" fillId="2" borderId="1" xfId="1" applyFont="1" applyFill="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wrapText="1"/>
      <protection locked="0"/>
    </xf>
    <xf numFmtId="0" fontId="13" fillId="0" borderId="7" xfId="1" applyFont="1" applyBorder="1" applyAlignment="1" applyProtection="1">
      <alignment horizontal="center" wrapText="1"/>
      <protection locked="0"/>
    </xf>
    <xf numFmtId="0" fontId="0" fillId="0" borderId="1" xfId="5" applyFont="1" applyBorder="1" applyAlignment="1">
      <alignment horizontal="center" vertical="top" wrapText="1"/>
    </xf>
    <xf numFmtId="0" fontId="0" fillId="0" borderId="1" xfId="5" applyFont="1" applyBorder="1" applyAlignment="1">
      <alignment horizontal="left" vertical="center"/>
    </xf>
    <xf numFmtId="0" fontId="0" fillId="0" borderId="1" xfId="5" applyFont="1" applyBorder="1" applyAlignment="1">
      <alignment horizontal="center" vertical="center"/>
    </xf>
    <xf numFmtId="1" fontId="0" fillId="0" borderId="1" xfId="5" applyNumberFormat="1" applyFont="1" applyBorder="1" applyAlignment="1">
      <alignment horizontal="center" vertical="center"/>
    </xf>
    <xf numFmtId="166" fontId="1" fillId="0" borderId="1" xfId="6" applyNumberFormat="1" applyFont="1" applyBorder="1" applyAlignment="1">
      <alignment horizontal="right" vertical="center"/>
    </xf>
    <xf numFmtId="0" fontId="1" fillId="0" borderId="1" xfId="5" applyFont="1" applyBorder="1" applyAlignment="1">
      <alignment horizontal="left" vertical="center"/>
    </xf>
    <xf numFmtId="0" fontId="1" fillId="0" borderId="1" xfId="5" applyFont="1" applyBorder="1" applyAlignment="1">
      <alignment horizontal="center" vertical="center"/>
    </xf>
    <xf numFmtId="1" fontId="10" fillId="0" borderId="1" xfId="5" applyNumberFormat="1" applyFont="1" applyBorder="1" applyAlignment="1">
      <alignment horizontal="center" vertical="center"/>
    </xf>
    <xf numFmtId="9" fontId="13" fillId="2" borderId="1" xfId="1" applyNumberFormat="1" applyFont="1" applyFill="1" applyBorder="1" applyAlignment="1" applyProtection="1">
      <alignment horizontal="center" vertical="center" wrapText="1"/>
      <protection hidden="1"/>
    </xf>
    <xf numFmtId="9" fontId="13" fillId="2" borderId="7" xfId="1" applyNumberFormat="1" applyFont="1" applyFill="1" applyBorder="1" applyAlignment="1" applyProtection="1">
      <alignment horizontal="center" vertical="center" wrapText="1"/>
      <protection hidden="1"/>
    </xf>
    <xf numFmtId="1" fontId="13" fillId="0" borderId="1" xfId="1" applyNumberFormat="1" applyFont="1" applyBorder="1" applyAlignment="1" applyProtection="1">
      <alignment horizontal="center" wrapText="1"/>
      <protection locked="0"/>
    </xf>
    <xf numFmtId="0" fontId="14" fillId="0" borderId="0" xfId="0" applyFont="1" applyAlignment="1">
      <alignment horizontal="center" vertical="center"/>
    </xf>
    <xf numFmtId="0" fontId="11" fillId="0" borderId="0" xfId="0" applyFont="1" applyAlignment="1">
      <alignment horizontal="center" vertical="center"/>
    </xf>
    <xf numFmtId="1" fontId="9"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2" fontId="8" fillId="0" borderId="0" xfId="1" applyNumberFormat="1" applyFont="1"/>
    <xf numFmtId="49" fontId="14" fillId="0" borderId="1" xfId="1" quotePrefix="1" applyNumberFormat="1" applyFont="1" applyBorder="1" applyAlignment="1" applyProtection="1">
      <alignment horizontal="center" vertical="center" wrapText="1"/>
      <protection locked="0"/>
    </xf>
    <xf numFmtId="165" fontId="8" fillId="0" borderId="0" xfId="1" applyNumberFormat="1" applyFont="1" applyAlignment="1">
      <alignment horizontal="center" vertical="center"/>
    </xf>
    <xf numFmtId="2" fontId="8" fillId="0" borderId="0" xfId="1" applyNumberFormat="1" applyFont="1" applyAlignment="1">
      <alignment horizontal="center" vertical="center"/>
    </xf>
    <xf numFmtId="0" fontId="8" fillId="0" borderId="0" xfId="1" applyFont="1" applyAlignment="1">
      <alignment horizontal="center" vertical="center"/>
    </xf>
    <xf numFmtId="1" fontId="9" fillId="0" borderId="1" xfId="0" applyNumberFormat="1" applyFont="1" applyBorder="1" applyAlignment="1" applyProtection="1">
      <alignment horizontal="center" vertical="center" wrapText="1"/>
      <protection locked="0"/>
    </xf>
    <xf numFmtId="49" fontId="13" fillId="0" borderId="1" xfId="1" quotePrefix="1" applyNumberFormat="1" applyFont="1" applyFill="1" applyBorder="1" applyAlignment="1" applyProtection="1">
      <alignment horizontal="center" vertical="center" wrapText="1"/>
      <protection locked="0"/>
    </xf>
    <xf numFmtId="9" fontId="13" fillId="2" borderId="1" xfId="1" applyNumberFormat="1" applyFont="1" applyFill="1" applyBorder="1" applyAlignment="1" applyProtection="1">
      <alignment horizontal="center" vertical="center" wrapText="1"/>
      <protection hidden="1"/>
    </xf>
    <xf numFmtId="1" fontId="9" fillId="0" borderId="1" xfId="0" applyNumberFormat="1" applyFont="1" applyBorder="1" applyAlignment="1" applyProtection="1">
      <alignment horizontal="center" vertical="center" wrapText="1"/>
      <protection locked="0"/>
    </xf>
    <xf numFmtId="9" fontId="14" fillId="2" borderId="28" xfId="1" applyNumberFormat="1" applyFont="1" applyFill="1" applyBorder="1" applyAlignment="1" applyProtection="1">
      <alignment horizontal="center" vertical="center" wrapText="1"/>
      <protection hidden="1"/>
    </xf>
    <xf numFmtId="9" fontId="14" fillId="2" borderId="13" xfId="1" applyNumberFormat="1" applyFont="1" applyFill="1" applyBorder="1" applyAlignment="1" applyProtection="1">
      <alignment horizontal="center" vertical="center" wrapText="1"/>
      <protection hidden="1"/>
    </xf>
    <xf numFmtId="9" fontId="14" fillId="2" borderId="30" xfId="1" applyNumberFormat="1" applyFont="1" applyFill="1" applyBorder="1" applyAlignment="1" applyProtection="1">
      <alignment horizontal="center" vertical="center" wrapText="1"/>
      <protection hidden="1"/>
    </xf>
    <xf numFmtId="9" fontId="14" fillId="2" borderId="15" xfId="1" applyNumberFormat="1" applyFont="1" applyFill="1" applyBorder="1" applyAlignment="1" applyProtection="1">
      <alignment horizontal="center" vertical="center" wrapText="1"/>
      <protection hidden="1"/>
    </xf>
    <xf numFmtId="0" fontId="14" fillId="0" borderId="25"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14" fillId="0" borderId="4"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0" borderId="5" xfId="1" applyFont="1" applyBorder="1" applyAlignment="1" applyProtection="1">
      <alignment horizontal="left" vertical="top" wrapText="1"/>
      <protection locked="0"/>
    </xf>
    <xf numFmtId="0" fontId="13" fillId="0" borderId="4"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5" xfId="1" applyFont="1" applyBorder="1" applyAlignment="1" applyProtection="1">
      <alignment horizontal="center" vertical="top" wrapText="1"/>
      <protection locked="0"/>
    </xf>
    <xf numFmtId="9" fontId="13" fillId="2" borderId="1" xfId="1" applyNumberFormat="1" applyFont="1" applyFill="1" applyBorder="1" applyAlignment="1" applyProtection="1">
      <alignment horizontal="center" vertical="center" wrapText="1"/>
      <protection hidden="1"/>
    </xf>
    <xf numFmtId="1" fontId="14" fillId="0" borderId="9" xfId="0" applyNumberFormat="1" applyFont="1" applyBorder="1" applyAlignment="1" applyProtection="1">
      <alignment vertical="top" wrapText="1"/>
      <protection locked="0"/>
    </xf>
    <xf numFmtId="1" fontId="14" fillId="0" borderId="24" xfId="0" applyNumberFormat="1" applyFont="1" applyBorder="1" applyAlignment="1" applyProtection="1">
      <alignment vertical="top" wrapText="1"/>
      <protection locked="0"/>
    </xf>
    <xf numFmtId="1" fontId="14" fillId="0" borderId="10" xfId="0" applyNumberFormat="1" applyFont="1" applyBorder="1" applyAlignment="1" applyProtection="1">
      <alignment vertical="top" wrapText="1"/>
      <protection locked="0"/>
    </xf>
    <xf numFmtId="0" fontId="16" fillId="2" borderId="1" xfId="1" applyFont="1" applyFill="1" applyBorder="1" applyAlignment="1" applyProtection="1">
      <alignment horizontal="left" vertical="top"/>
      <protection locked="0"/>
    </xf>
    <xf numFmtId="1" fontId="14" fillId="0" borderId="1" xfId="0" applyNumberFormat="1"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top" wrapText="1"/>
      <protection locked="0"/>
    </xf>
    <xf numFmtId="0" fontId="8" fillId="0" borderId="0" xfId="1" applyFont="1" applyAlignment="1">
      <alignment horizontal="center" vertical="center"/>
    </xf>
    <xf numFmtId="0" fontId="13" fillId="0" borderId="1" xfId="1" applyFont="1" applyBorder="1" applyAlignment="1" applyProtection="1">
      <alignment horizontal="left" vertical="top"/>
      <protection locked="0"/>
    </xf>
    <xf numFmtId="0" fontId="13" fillId="0" borderId="20" xfId="1" applyFont="1" applyBorder="1" applyAlignment="1" applyProtection="1">
      <alignment horizontal="left" vertical="top" wrapText="1"/>
      <protection locked="0"/>
    </xf>
    <xf numFmtId="0" fontId="13" fillId="0" borderId="27"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1" fontId="8" fillId="0" borderId="1" xfId="0" applyNumberFormat="1" applyFont="1" applyBorder="1" applyAlignment="1" applyProtection="1">
      <alignment horizontal="center" vertical="top" wrapText="1"/>
      <protection locked="0"/>
    </xf>
    <xf numFmtId="1" fontId="9" fillId="0" borderId="9" xfId="1" applyNumberFormat="1" applyFont="1" applyBorder="1" applyAlignment="1" applyProtection="1">
      <alignment horizontal="center" vertical="center" wrapText="1"/>
      <protection locked="0"/>
    </xf>
    <xf numFmtId="1" fontId="9" fillId="0" borderId="24" xfId="1" applyNumberFormat="1" applyFont="1" applyBorder="1" applyAlignment="1" applyProtection="1">
      <alignment horizontal="center" vertical="center" wrapText="1"/>
      <protection locked="0"/>
    </xf>
    <xf numFmtId="1" fontId="9" fillId="0" borderId="10" xfId="1"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8" fillId="0" borderId="4"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1" fontId="7" fillId="0" borderId="20"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28" xfId="1" applyNumberFormat="1" applyFont="1" applyBorder="1" applyAlignment="1" applyProtection="1">
      <alignment horizontal="center" vertical="center" wrapText="1"/>
      <protection locked="0"/>
    </xf>
    <xf numFmtId="1" fontId="7" fillId="0" borderId="29" xfId="1" applyNumberFormat="1" applyFont="1" applyBorder="1" applyAlignment="1" applyProtection="1">
      <alignment horizontal="center" vertical="center" wrapText="1"/>
      <protection locked="0"/>
    </xf>
    <xf numFmtId="1" fontId="7" fillId="0" borderId="22" xfId="1" applyNumberFormat="1" applyFont="1" applyBorder="1" applyAlignment="1" applyProtection="1">
      <alignment horizontal="center" vertical="center" wrapText="1"/>
      <protection locked="0"/>
    </xf>
    <xf numFmtId="1" fontId="7" fillId="0" borderId="23" xfId="1" applyNumberFormat="1" applyFont="1" applyBorder="1" applyAlignment="1" applyProtection="1">
      <alignment horizontal="center" vertical="center" wrapText="1"/>
      <protection locked="0"/>
    </xf>
    <xf numFmtId="0" fontId="9" fillId="0" borderId="25" xfId="1" applyFont="1" applyBorder="1" applyAlignment="1" applyProtection="1">
      <alignment horizontal="left" vertical="top" wrapText="1"/>
      <protection locked="0"/>
    </xf>
    <xf numFmtId="0" fontId="9" fillId="0" borderId="18" xfId="1" applyFont="1" applyBorder="1" applyAlignment="1" applyProtection="1">
      <alignment horizontal="left" vertical="top" wrapText="1"/>
      <protection locked="0"/>
    </xf>
    <xf numFmtId="0" fontId="9" fillId="0" borderId="16" xfId="1" applyFont="1" applyBorder="1" applyAlignment="1" applyProtection="1">
      <alignment horizontal="left" vertical="top" wrapText="1"/>
      <protection locked="0"/>
    </xf>
    <xf numFmtId="0" fontId="9" fillId="0" borderId="17" xfId="1" applyFont="1" applyBorder="1" applyAlignment="1" applyProtection="1">
      <alignment horizontal="left" vertical="top" wrapText="1"/>
      <protection locked="0"/>
    </xf>
    <xf numFmtId="0" fontId="9" fillId="0" borderId="26" xfId="1" applyFont="1" applyBorder="1" applyAlignment="1" applyProtection="1">
      <alignment horizontal="left" vertical="top" wrapText="1"/>
      <protection locked="0"/>
    </xf>
    <xf numFmtId="9" fontId="8" fillId="2" borderId="1" xfId="1" applyNumberFormat="1" applyFont="1" applyFill="1" applyBorder="1" applyAlignment="1" applyProtection="1">
      <alignment horizontal="center" vertical="center" wrapText="1"/>
      <protection hidden="1"/>
    </xf>
    <xf numFmtId="9" fontId="8" fillId="2" borderId="7" xfId="1" applyNumberFormat="1" applyFont="1" applyFill="1" applyBorder="1" applyAlignment="1" applyProtection="1">
      <alignment horizontal="center" vertical="center" wrapText="1"/>
      <protection hidden="1"/>
    </xf>
    <xf numFmtId="0" fontId="8" fillId="0" borderId="6" xfId="1" applyFont="1" applyBorder="1" applyAlignment="1" applyProtection="1">
      <alignment horizontal="center" vertical="top" wrapText="1"/>
      <protection locked="0"/>
    </xf>
    <xf numFmtId="0" fontId="8" fillId="0" borderId="7" xfId="1" applyFont="1" applyBorder="1" applyAlignment="1" applyProtection="1">
      <alignment horizontal="center" vertical="top" wrapText="1"/>
      <protection locked="0"/>
    </xf>
    <xf numFmtId="1" fontId="5" fillId="0" borderId="3" xfId="1" applyNumberFormat="1" applyFont="1" applyBorder="1" applyAlignment="1" applyProtection="1">
      <alignment horizontal="center" vertical="top" wrapText="1"/>
      <protection locked="0"/>
    </xf>
    <xf numFmtId="1" fontId="5" fillId="0" borderId="19" xfId="1" applyNumberFormat="1" applyFont="1" applyBorder="1" applyAlignment="1" applyProtection="1">
      <alignment horizontal="center" vertical="top" wrapText="1"/>
      <protection locked="0"/>
    </xf>
    <xf numFmtId="1" fontId="9" fillId="0" borderId="20" xfId="1" applyNumberFormat="1" applyFont="1" applyBorder="1" applyAlignment="1" applyProtection="1">
      <alignment horizontal="center" vertical="top" wrapText="1"/>
      <protection locked="0"/>
    </xf>
    <xf numFmtId="1" fontId="9" fillId="0" borderId="21" xfId="1" applyNumberFormat="1" applyFont="1" applyBorder="1" applyAlignment="1" applyProtection="1">
      <alignment horizontal="center" vertical="top" wrapText="1"/>
      <protection locked="0"/>
    </xf>
    <xf numFmtId="1" fontId="9" fillId="0" borderId="22" xfId="1" applyNumberFormat="1" applyFont="1" applyBorder="1" applyAlignment="1" applyProtection="1">
      <alignment horizontal="center" vertical="top" wrapText="1"/>
      <protection locked="0"/>
    </xf>
    <xf numFmtId="1" fontId="9" fillId="0" borderId="23" xfId="1" applyNumberFormat="1" applyFont="1" applyBorder="1" applyAlignment="1" applyProtection="1">
      <alignment horizontal="center" vertical="top" wrapText="1"/>
      <protection locked="0"/>
    </xf>
    <xf numFmtId="1" fontId="9" fillId="0" borderId="3"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0" fontId="14" fillId="0" borderId="31" xfId="1" applyFont="1" applyBorder="1" applyAlignment="1" applyProtection="1">
      <alignment horizontal="center" vertical="center" wrapText="1"/>
      <protection locked="0"/>
    </xf>
    <xf numFmtId="0" fontId="14" fillId="0" borderId="19" xfId="1" applyFont="1" applyBorder="1" applyAlignment="1" applyProtection="1">
      <alignment horizontal="center" vertical="center" wrapText="1"/>
      <protection locked="0"/>
    </xf>
    <xf numFmtId="0" fontId="14" fillId="0" borderId="6" xfId="1" applyFont="1" applyBorder="1" applyAlignment="1" applyProtection="1">
      <alignment horizontal="center" vertical="center" wrapText="1"/>
      <protection locked="0"/>
    </xf>
    <xf numFmtId="0" fontId="14" fillId="0" borderId="7" xfId="1" applyFont="1" applyBorder="1" applyAlignment="1" applyProtection="1">
      <alignment horizontal="center" vertical="center" wrapText="1"/>
      <protection locked="0"/>
    </xf>
    <xf numFmtId="9" fontId="14" fillId="0" borderId="19" xfId="1" applyNumberFormat="1" applyFont="1" applyBorder="1" applyAlignment="1" applyProtection="1">
      <alignment horizontal="center" vertical="center" wrapText="1"/>
      <protection locked="0"/>
    </xf>
    <xf numFmtId="9" fontId="14" fillId="2" borderId="19" xfId="1" applyNumberFormat="1" applyFont="1" applyFill="1" applyBorder="1" applyAlignment="1" applyProtection="1">
      <alignment horizontal="center" vertical="center" wrapText="1"/>
      <protection hidden="1"/>
    </xf>
    <xf numFmtId="9" fontId="14" fillId="2" borderId="7" xfId="1" applyNumberFormat="1" applyFont="1" applyFill="1" applyBorder="1" applyAlignment="1" applyProtection="1">
      <alignment horizontal="center" vertical="center" wrapText="1"/>
      <protection hidden="1"/>
    </xf>
    <xf numFmtId="9" fontId="8" fillId="2" borderId="5" xfId="1" applyNumberFormat="1" applyFont="1" applyFill="1" applyBorder="1" applyAlignment="1" applyProtection="1">
      <alignment horizontal="center" vertical="center" wrapText="1"/>
      <protection hidden="1"/>
    </xf>
    <xf numFmtId="9" fontId="8" fillId="2" borderId="8" xfId="1" applyNumberFormat="1" applyFont="1" applyFill="1" applyBorder="1" applyAlignment="1" applyProtection="1">
      <alignment horizontal="center" vertical="center" wrapText="1"/>
      <protection hidden="1"/>
    </xf>
    <xf numFmtId="0" fontId="11"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13" fillId="0" borderId="22" xfId="1" applyFont="1" applyBorder="1" applyAlignment="1" applyProtection="1">
      <alignment horizontal="left" vertical="top"/>
      <protection locked="0"/>
    </xf>
    <xf numFmtId="0" fontId="13" fillId="0" borderId="2" xfId="1" applyFont="1" applyBorder="1" applyAlignment="1" applyProtection="1">
      <alignment horizontal="left" vertical="top"/>
      <protection locked="0"/>
    </xf>
    <xf numFmtId="0" fontId="13" fillId="0" borderId="23" xfId="1" applyFont="1" applyBorder="1" applyAlignment="1" applyProtection="1">
      <alignment horizontal="left" vertical="top"/>
      <protection locked="0"/>
    </xf>
    <xf numFmtId="0" fontId="9" fillId="0" borderId="1" xfId="1" applyFont="1" applyBorder="1" applyAlignment="1" applyProtection="1">
      <alignment horizontal="center" vertical="top"/>
      <protection locked="0"/>
    </xf>
    <xf numFmtId="0" fontId="8" fillId="0" borderId="1" xfId="0"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top" wrapText="1"/>
      <protection locked="0"/>
    </xf>
    <xf numFmtId="2" fontId="7" fillId="0" borderId="1" xfId="1" applyNumberFormat="1" applyFont="1" applyBorder="1" applyAlignment="1" applyProtection="1">
      <alignment horizontal="left" vertical="top" wrapText="1"/>
      <protection locked="0"/>
    </xf>
    <xf numFmtId="9" fontId="13" fillId="2" borderId="5" xfId="1" applyNumberFormat="1" applyFont="1" applyFill="1" applyBorder="1" applyAlignment="1" applyProtection="1">
      <alignment horizontal="center" vertical="center" wrapText="1"/>
      <protection hidden="1"/>
    </xf>
    <xf numFmtId="9" fontId="13" fillId="2" borderId="7" xfId="1" applyNumberFormat="1" applyFont="1" applyFill="1" applyBorder="1" applyAlignment="1" applyProtection="1">
      <alignment horizontal="center" vertical="center" wrapText="1"/>
      <protection hidden="1"/>
    </xf>
    <xf numFmtId="9" fontId="13" fillId="2" borderId="8" xfId="1" applyNumberFormat="1" applyFont="1" applyFill="1" applyBorder="1" applyAlignment="1" applyProtection="1">
      <alignment horizontal="center" vertical="center" wrapText="1"/>
      <protection hidden="1"/>
    </xf>
    <xf numFmtId="0" fontId="13" fillId="0" borderId="6" xfId="1" applyFont="1" applyBorder="1" applyAlignment="1" applyProtection="1">
      <alignment horizontal="center" vertical="top" wrapText="1"/>
      <protection locked="0"/>
    </xf>
    <xf numFmtId="0" fontId="13" fillId="0" borderId="7" xfId="1" applyFont="1" applyBorder="1" applyAlignment="1" applyProtection="1">
      <alignment horizontal="center" vertical="top" wrapText="1"/>
      <protection locked="0"/>
    </xf>
    <xf numFmtId="1" fontId="7" fillId="0" borderId="1" xfId="1" applyNumberFormat="1" applyFont="1" applyBorder="1" applyAlignment="1" applyProtection="1">
      <alignment horizontal="left" vertical="top" wrapText="1"/>
      <protection locked="0"/>
    </xf>
    <xf numFmtId="165" fontId="7" fillId="0" borderId="1" xfId="1" applyNumberFormat="1" applyFont="1" applyBorder="1" applyAlignment="1" applyProtection="1">
      <alignment horizontal="left" vertical="top"/>
      <protection locked="0"/>
    </xf>
    <xf numFmtId="2" fontId="7" fillId="0" borderId="1" xfId="1" applyNumberFormat="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13" fillId="0" borderId="3"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4" fillId="0" borderId="1" xfId="1" applyFont="1" applyBorder="1" applyAlignment="1" applyProtection="1">
      <alignment horizontal="center" vertical="top"/>
      <protection locked="0"/>
    </xf>
    <xf numFmtId="0" fontId="8" fillId="0" borderId="1" xfId="1" applyFont="1" applyBorder="1" applyAlignment="1" applyProtection="1">
      <alignment horizontal="center"/>
      <protection locked="0"/>
    </xf>
    <xf numFmtId="0" fontId="7"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4" fillId="0" borderId="1" xfId="1" applyFont="1" applyBorder="1" applyAlignment="1" applyProtection="1">
      <alignment horizontal="center"/>
      <protection locked="0"/>
    </xf>
    <xf numFmtId="165" fontId="13"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center" wrapText="1"/>
      <protection locked="0"/>
    </xf>
    <xf numFmtId="0" fontId="13" fillId="0" borderId="1" xfId="1" applyFont="1" applyBorder="1" applyAlignment="1" applyProtection="1">
      <alignment horizontal="left"/>
      <protection locked="0"/>
    </xf>
    <xf numFmtId="0" fontId="7" fillId="2" borderId="1" xfId="1" applyFont="1" applyFill="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167" fontId="7"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left" vertical="top"/>
      <protection locked="0"/>
    </xf>
    <xf numFmtId="0" fontId="13" fillId="2"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167" fontId="13" fillId="0" borderId="1" xfId="1" applyNumberFormat="1" applyFont="1" applyBorder="1" applyAlignment="1" applyProtection="1">
      <alignment horizontal="left" vertical="top" wrapText="1"/>
      <protection locked="0"/>
    </xf>
    <xf numFmtId="0" fontId="13" fillId="0" borderId="9" xfId="1" applyFont="1" applyBorder="1" applyAlignment="1" applyProtection="1">
      <alignment horizontal="left" vertical="top" wrapText="1"/>
      <protection locked="0"/>
    </xf>
    <xf numFmtId="0" fontId="13" fillId="0" borderId="10" xfId="1" applyFont="1" applyBorder="1" applyAlignment="1" applyProtection="1">
      <alignment horizontal="left" vertical="top" wrapText="1"/>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left" vertical="top" wrapText="1"/>
      <protection locked="0"/>
    </xf>
    <xf numFmtId="0" fontId="9" fillId="0" borderId="1" xfId="1" applyFont="1" applyBorder="1" applyAlignment="1" applyProtection="1">
      <alignment vertical="top"/>
      <protection locked="0"/>
    </xf>
    <xf numFmtId="0" fontId="11" fillId="0" borderId="1" xfId="0" applyFont="1" applyBorder="1" applyAlignment="1" applyProtection="1">
      <alignment horizontal="center" vertical="top" wrapText="1"/>
      <protection locked="0"/>
    </xf>
    <xf numFmtId="0" fontId="14" fillId="2" borderId="1" xfId="1" applyFont="1" applyFill="1" applyBorder="1" applyAlignment="1" applyProtection="1">
      <alignment horizontal="left" vertical="top" wrapText="1"/>
      <protection locked="0"/>
    </xf>
    <xf numFmtId="0" fontId="14" fillId="2" borderId="1" xfId="1" applyFont="1" applyFill="1" applyBorder="1" applyAlignment="1" applyProtection="1">
      <alignment horizontal="left" vertical="top"/>
      <protection locked="0"/>
    </xf>
    <xf numFmtId="167" fontId="14" fillId="0" borderId="1" xfId="1" applyNumberFormat="1" applyFont="1" applyBorder="1" applyAlignment="1" applyProtection="1">
      <alignment horizontal="left" vertical="top" wrapText="1"/>
      <protection locked="0"/>
    </xf>
    <xf numFmtId="0" fontId="8" fillId="0" borderId="5" xfId="1" applyFont="1" applyBorder="1" applyAlignment="1" applyProtection="1">
      <alignment horizontal="center" vertical="top" wrapText="1"/>
      <protection locked="0"/>
    </xf>
    <xf numFmtId="0" fontId="13" fillId="0" borderId="28" xfId="1" applyFont="1" applyBorder="1" applyAlignment="1" applyProtection="1">
      <alignment horizontal="left" vertical="top" wrapText="1"/>
      <protection locked="0"/>
    </xf>
    <xf numFmtId="0" fontId="13" fillId="0" borderId="0" xfId="1" applyFont="1" applyAlignment="1" applyProtection="1">
      <alignment horizontal="left" vertical="top" wrapText="1"/>
      <protection locked="0"/>
    </xf>
    <xf numFmtId="0" fontId="7" fillId="0" borderId="1" xfId="1" applyFont="1" applyBorder="1" applyAlignment="1" applyProtection="1">
      <alignment vertical="top"/>
      <protection locked="0"/>
    </xf>
    <xf numFmtId="1" fontId="13" fillId="0" borderId="9" xfId="1" applyNumberFormat="1" applyFont="1" applyBorder="1" applyAlignment="1" applyProtection="1">
      <alignment horizontal="center" vertical="center" wrapText="1"/>
      <protection locked="0"/>
    </xf>
    <xf numFmtId="1" fontId="13" fillId="0" borderId="24" xfId="1" applyNumberFormat="1" applyFont="1" applyBorder="1" applyAlignment="1" applyProtection="1">
      <alignment horizontal="center" vertical="center" wrapText="1"/>
      <protection locked="0"/>
    </xf>
    <xf numFmtId="1" fontId="13" fillId="0" borderId="10" xfId="1"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protection locked="0"/>
    </xf>
    <xf numFmtId="0" fontId="24" fillId="0" borderId="9" xfId="9" applyBorder="1" applyAlignment="1" applyProtection="1">
      <alignment horizontal="left"/>
      <protection locked="0"/>
    </xf>
    <xf numFmtId="0" fontId="8" fillId="0" borderId="24" xfId="1" applyFont="1" applyBorder="1" applyAlignment="1" applyProtection="1">
      <alignment horizontal="left"/>
      <protection locked="0"/>
    </xf>
    <xf numFmtId="0" fontId="8" fillId="0" borderId="10" xfId="1" applyFont="1" applyBorder="1" applyAlignment="1" applyProtection="1">
      <alignment horizontal="left"/>
      <protection locked="0"/>
    </xf>
    <xf numFmtId="49" fontId="13" fillId="0" borderId="9" xfId="1" quotePrefix="1" applyNumberFormat="1" applyFont="1" applyBorder="1" applyAlignment="1" applyProtection="1">
      <alignment horizontal="center" vertical="center" wrapText="1"/>
      <protection locked="0"/>
    </xf>
    <xf numFmtId="49" fontId="13" fillId="0" borderId="24" xfId="1" quotePrefix="1" applyNumberFormat="1" applyFont="1" applyBorder="1" applyAlignment="1" applyProtection="1">
      <alignment horizontal="center" vertical="center" wrapText="1"/>
      <protection locked="0"/>
    </xf>
    <xf numFmtId="49" fontId="13" fillId="0" borderId="10" xfId="1" quotePrefix="1" applyNumberFormat="1" applyFont="1" applyBorder="1" applyAlignment="1" applyProtection="1">
      <alignment horizontal="center" vertical="center" wrapText="1"/>
      <protection locked="0"/>
    </xf>
    <xf numFmtId="0" fontId="0" fillId="3"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xf numFmtId="0" fontId="23" fillId="0" borderId="0" xfId="0" applyFont="1" applyAlignment="1">
      <alignment horizontal="center" vertical="center" wrapText="1"/>
    </xf>
    <xf numFmtId="167" fontId="13" fillId="0" borderId="1" xfId="1" applyNumberFormat="1" applyFont="1" applyFill="1" applyBorder="1" applyAlignment="1" applyProtection="1">
      <alignment horizontal="left" vertical="top" wrapText="1"/>
      <protection locked="0"/>
    </xf>
    <xf numFmtId="1" fontId="14" fillId="0" borderId="9" xfId="0" applyNumberFormat="1" applyFont="1" applyFill="1" applyBorder="1" applyAlignment="1" applyProtection="1">
      <alignment vertical="top" wrapText="1"/>
      <protection locked="0"/>
    </xf>
    <xf numFmtId="1" fontId="14" fillId="0" borderId="24" xfId="0" applyNumberFormat="1" applyFont="1" applyFill="1" applyBorder="1" applyAlignment="1" applyProtection="1">
      <alignment vertical="top" wrapText="1"/>
      <protection locked="0"/>
    </xf>
    <xf numFmtId="1" fontId="14" fillId="0" borderId="10" xfId="0" applyNumberFormat="1" applyFont="1" applyFill="1" applyBorder="1" applyAlignment="1" applyProtection="1">
      <alignment vertical="top" wrapText="1"/>
      <protection locked="0"/>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277564</xdr:colOff>
      <xdr:row>372</xdr:row>
      <xdr:rowOff>22412</xdr:rowOff>
    </xdr:from>
    <xdr:to>
      <xdr:col>6</xdr:col>
      <xdr:colOff>282494</xdr:colOff>
      <xdr:row>386</xdr:row>
      <xdr:rowOff>78529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098179" y="54637297"/>
          <a:ext cx="4459700" cy="2825694"/>
        </a:xfrm>
        <a:prstGeom prst="rect">
          <a:avLst/>
        </a:prstGeom>
        <a:ln>
          <a:solidFill>
            <a:sysClr val="windowText" lastClr="000000"/>
          </a:solidFill>
        </a:ln>
      </xdr:spPr>
    </xdr:pic>
    <xdr:clientData/>
  </xdr:twoCellAnchor>
  <xdr:twoCellAnchor editAs="oneCell">
    <xdr:from>
      <xdr:col>1</xdr:col>
      <xdr:colOff>299976</xdr:colOff>
      <xdr:row>386</xdr:row>
      <xdr:rowOff>165715</xdr:rowOff>
    </xdr:from>
    <xdr:to>
      <xdr:col>6</xdr:col>
      <xdr:colOff>304906</xdr:colOff>
      <xdr:row>401</xdr:row>
      <xdr:rowOff>24763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061976" y="57000405"/>
          <a:ext cx="4163085" cy="2815082"/>
        </a:xfrm>
        <a:prstGeom prst="rect">
          <a:avLst/>
        </a:prstGeom>
        <a:ln>
          <a:solidFill>
            <a:sysClr val="windowText" lastClr="000000"/>
          </a:solidFill>
        </a:ln>
      </xdr:spPr>
    </xdr:pic>
    <xdr:clientData/>
  </xdr:twoCellAnchor>
  <xdr:twoCellAnchor editAs="oneCell">
    <xdr:from>
      <xdr:col>9</xdr:col>
      <xdr:colOff>0</xdr:colOff>
      <xdr:row>48</xdr:row>
      <xdr:rowOff>0</xdr:rowOff>
    </xdr:from>
    <xdr:to>
      <xdr:col>21</xdr:col>
      <xdr:colOff>581945</xdr:colOff>
      <xdr:row>55</xdr:row>
      <xdr:rowOff>190778</xdr:rowOff>
    </xdr:to>
    <xdr:pic>
      <xdr:nvPicPr>
        <xdr:cNvPr id="5" name="Picture 4"/>
        <xdr:cNvPicPr>
          <a:picLocks noChangeAspect="1"/>
        </xdr:cNvPicPr>
      </xdr:nvPicPr>
      <xdr:blipFill>
        <a:blip xmlns:r="http://schemas.openxmlformats.org/officeDocument/2006/relationships" r:embed="rId3"/>
        <a:stretch>
          <a:fillRect/>
        </a:stretch>
      </xdr:blipFill>
      <xdr:spPr>
        <a:xfrm>
          <a:off x="7743825" y="11210925"/>
          <a:ext cx="6592220" cy="1991003"/>
        </a:xfrm>
        <a:prstGeom prst="rect">
          <a:avLst/>
        </a:prstGeom>
      </xdr:spPr>
    </xdr:pic>
    <xdr:clientData/>
  </xdr:twoCellAnchor>
  <xdr:twoCellAnchor>
    <xdr:from>
      <xdr:col>8</xdr:col>
      <xdr:colOff>949325</xdr:colOff>
      <xdr:row>327</xdr:row>
      <xdr:rowOff>34925</xdr:rowOff>
    </xdr:from>
    <xdr:to>
      <xdr:col>11</xdr:col>
      <xdr:colOff>349250</xdr:colOff>
      <xdr:row>330</xdr:row>
      <xdr:rowOff>174625</xdr:rowOff>
    </xdr:to>
    <xdr:sp macro="" textlink="">
      <xdr:nvSpPr>
        <xdr:cNvPr id="14" name="Rectangle 13"/>
        <xdr:cNvSpPr/>
      </xdr:nvSpPr>
      <xdr:spPr>
        <a:xfrm>
          <a:off x="7531100" y="53032025"/>
          <a:ext cx="2028825" cy="730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a:solidFill>
                <a:srgbClr val="C00000"/>
              </a:solidFill>
            </a:rPr>
            <a:t>Part I</a:t>
          </a:r>
        </a:p>
      </xdr:txBody>
    </xdr:sp>
    <xdr:clientData/>
  </xdr:twoCellAnchor>
  <xdr:twoCellAnchor editAs="oneCell">
    <xdr:from>
      <xdr:col>2</xdr:col>
      <xdr:colOff>127811</xdr:colOff>
      <xdr:row>327</xdr:row>
      <xdr:rowOff>28575</xdr:rowOff>
    </xdr:from>
    <xdr:to>
      <xdr:col>6</xdr:col>
      <xdr:colOff>157117</xdr:colOff>
      <xdr:row>352</xdr:row>
      <xdr:rowOff>77475</xdr:rowOff>
    </xdr:to>
    <xdr:pic>
      <xdr:nvPicPr>
        <xdr:cNvPr id="27" name="Picture 26"/>
        <xdr:cNvPicPr>
          <a:picLocks noChangeAspect="1"/>
        </xdr:cNvPicPr>
      </xdr:nvPicPr>
      <xdr:blipFill>
        <a:blip xmlns:r="http://schemas.openxmlformats.org/officeDocument/2006/relationships" r:embed="rId4"/>
        <a:stretch>
          <a:fillRect/>
        </a:stretch>
      </xdr:blipFill>
      <xdr:spPr>
        <a:xfrm>
          <a:off x="1689911" y="61817250"/>
          <a:ext cx="3382106" cy="5040000"/>
        </a:xfrm>
        <a:prstGeom prst="rect">
          <a:avLst/>
        </a:prstGeom>
        <a:ln>
          <a:solidFill>
            <a:schemeClr val="tx1"/>
          </a:solidFill>
        </a:ln>
      </xdr:spPr>
    </xdr:pic>
    <xdr:clientData/>
  </xdr:twoCellAnchor>
  <xdr:twoCellAnchor editAs="oneCell">
    <xdr:from>
      <xdr:col>1</xdr:col>
      <xdr:colOff>657228</xdr:colOff>
      <xdr:row>352</xdr:row>
      <xdr:rowOff>153847</xdr:rowOff>
    </xdr:from>
    <xdr:to>
      <xdr:col>6</xdr:col>
      <xdr:colOff>423238</xdr:colOff>
      <xdr:row>369</xdr:row>
      <xdr:rowOff>65422</xdr:rowOff>
    </xdr:to>
    <xdr:pic>
      <xdr:nvPicPr>
        <xdr:cNvPr id="28" name="Picture 27"/>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419228" y="66933622"/>
          <a:ext cx="3918910" cy="3312000"/>
        </a:xfrm>
        <a:prstGeom prst="rect">
          <a:avLst/>
        </a:prstGeom>
        <a:ln>
          <a:solidFill>
            <a:schemeClr val="tx1"/>
          </a:solidFill>
        </a:ln>
      </xdr:spPr>
    </xdr:pic>
    <xdr:clientData/>
  </xdr:twoCellAnchor>
  <xdr:twoCellAnchor>
    <xdr:from>
      <xdr:col>3</xdr:col>
      <xdr:colOff>33528</xdr:colOff>
      <xdr:row>332</xdr:row>
      <xdr:rowOff>94410</xdr:rowOff>
    </xdr:from>
    <xdr:to>
      <xdr:col>5</xdr:col>
      <xdr:colOff>412623</xdr:colOff>
      <xdr:row>339</xdr:row>
      <xdr:rowOff>10971</xdr:rowOff>
    </xdr:to>
    <xdr:sp macro="" textlink="">
      <xdr:nvSpPr>
        <xdr:cNvPr id="37" name="TextBox 3"/>
        <xdr:cNvSpPr txBox="1"/>
      </xdr:nvSpPr>
      <xdr:spPr>
        <a:xfrm>
          <a:off x="2443353" y="62873685"/>
          <a:ext cx="2103120" cy="1316736"/>
        </a:xfrm>
        <a:prstGeom prst="rect">
          <a:avLst/>
        </a:prstGeom>
        <a:noFill/>
        <a:ln w="57150">
          <a:solidFill>
            <a:srgbClr val="FFFF00"/>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3</xdr:col>
      <xdr:colOff>620858</xdr:colOff>
      <xdr:row>330</xdr:row>
      <xdr:rowOff>125128</xdr:rowOff>
    </xdr:from>
    <xdr:to>
      <xdr:col>4</xdr:col>
      <xdr:colOff>606342</xdr:colOff>
      <xdr:row>332</xdr:row>
      <xdr:rowOff>94410</xdr:rowOff>
    </xdr:to>
    <xdr:sp macro="" textlink="">
      <xdr:nvSpPr>
        <xdr:cNvPr id="38" name="Rectangle 37"/>
        <xdr:cNvSpPr/>
      </xdr:nvSpPr>
      <xdr:spPr>
        <a:xfrm>
          <a:off x="3030683" y="62504353"/>
          <a:ext cx="928459"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twoCellAnchor editAs="oneCell">
    <xdr:from>
      <xdr:col>9</xdr:col>
      <xdr:colOff>161925</xdr:colOff>
      <xdr:row>40</xdr:row>
      <xdr:rowOff>106925</xdr:rowOff>
    </xdr:from>
    <xdr:to>
      <xdr:col>18</xdr:col>
      <xdr:colOff>142125</xdr:colOff>
      <xdr:row>48</xdr:row>
      <xdr:rowOff>9110</xdr:rowOff>
    </xdr:to>
    <xdr:pic>
      <xdr:nvPicPr>
        <xdr:cNvPr id="4" name="Picture 3"/>
        <xdr:cNvPicPr>
          <a:picLocks noChangeAspect="1"/>
        </xdr:cNvPicPr>
      </xdr:nvPicPr>
      <xdr:blipFill>
        <a:blip xmlns:r="http://schemas.openxmlformats.org/officeDocument/2006/relationships" r:embed="rId6"/>
        <a:stretch>
          <a:fillRect/>
        </a:stretch>
      </xdr:blipFill>
      <xdr:spPr>
        <a:xfrm>
          <a:off x="7905750" y="8917550"/>
          <a:ext cx="4161675" cy="2302485"/>
        </a:xfrm>
        <a:prstGeom prst="rect">
          <a:avLst/>
        </a:prstGeom>
      </xdr:spPr>
    </xdr:pic>
    <xdr:clientData/>
  </xdr:twoCellAnchor>
  <xdr:twoCellAnchor>
    <xdr:from>
      <xdr:col>8</xdr:col>
      <xdr:colOff>323850</xdr:colOff>
      <xdr:row>282</xdr:row>
      <xdr:rowOff>76200</xdr:rowOff>
    </xdr:from>
    <xdr:to>
      <xdr:col>20</xdr:col>
      <xdr:colOff>205390</xdr:colOff>
      <xdr:row>312</xdr:row>
      <xdr:rowOff>28350</xdr:rowOff>
    </xdr:to>
    <xdr:grpSp>
      <xdr:nvGrpSpPr>
        <xdr:cNvPr id="10" name="Group 9"/>
        <xdr:cNvGrpSpPr/>
      </xdr:nvGrpSpPr>
      <xdr:grpSpPr>
        <a:xfrm>
          <a:off x="6912909" y="50065641"/>
          <a:ext cx="6436981" cy="5992121"/>
          <a:chOff x="57150" y="49819112"/>
          <a:chExt cx="6452109" cy="5992120"/>
        </a:xfrm>
      </xdr:grpSpPr>
      <xdr:pic>
        <xdr:nvPicPr>
          <xdr:cNvPr id="35" name="Picture 34" descr="https://vsjcllp.vsjadon.com/upload/insp-236375-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957485" y="53726043"/>
            <a:ext cx="1551774" cy="20851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36375-849.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679814" y="53726042"/>
            <a:ext cx="1552334" cy="20851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36375-85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276040" y="49819112"/>
            <a:ext cx="2834383" cy="38021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36375-87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61950" y="49819112"/>
            <a:ext cx="2825419" cy="38021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36375-874.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57150" y="53726043"/>
            <a:ext cx="1543929" cy="20851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36375-1512.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314143" y="53726043"/>
            <a:ext cx="1550093" cy="20851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268941</xdr:colOff>
      <xdr:row>283</xdr:row>
      <xdr:rowOff>134470</xdr:rowOff>
    </xdr:from>
    <xdr:to>
      <xdr:col>7</xdr:col>
      <xdr:colOff>582706</xdr:colOff>
      <xdr:row>314</xdr:row>
      <xdr:rowOff>135483</xdr:rowOff>
    </xdr:to>
    <xdr:grpSp>
      <xdr:nvGrpSpPr>
        <xdr:cNvPr id="18" name="Group 17"/>
        <xdr:cNvGrpSpPr/>
      </xdr:nvGrpSpPr>
      <xdr:grpSpPr>
        <a:xfrm>
          <a:off x="268941" y="50325617"/>
          <a:ext cx="6017559" cy="6242690"/>
          <a:chOff x="-279167" y="115050"/>
          <a:chExt cx="7517676" cy="7183984"/>
        </a:xfrm>
      </xdr:grpSpPr>
      <xdr:pic>
        <xdr:nvPicPr>
          <xdr:cNvPr id="19" name="Picture 18" descr="https://vsjcllp.vsjadon.com/upload/insp-246818-152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414497" y="5139034"/>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46818-843.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878332" y="5139034"/>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46818-851.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79167" y="115050"/>
            <a:ext cx="3665462" cy="48923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6818-874.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573047" y="115050"/>
            <a:ext cx="3665462" cy="48923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46818-925.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646415" y="5139034"/>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3</xdr:col>
      <xdr:colOff>570098</xdr:colOff>
      <xdr:row>28</xdr:row>
      <xdr:rowOff>171000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1333500"/>
          <a:ext cx="6403125" cy="3600000"/>
        </a:xfrm>
        <a:prstGeom prst="rect">
          <a:avLst/>
        </a:prstGeom>
        <a:ln>
          <a:solidFill>
            <a:schemeClr val="tx1"/>
          </a:solidFill>
        </a:ln>
      </xdr:spPr>
    </xdr:pic>
    <xdr:clientData/>
  </xdr:twoCellAnchor>
  <xdr:twoCellAnchor editAs="oneCell">
    <xdr:from>
      <xdr:col>0</xdr:col>
      <xdr:colOff>8282</xdr:colOff>
      <xdr:row>29</xdr:row>
      <xdr:rowOff>165653</xdr:rowOff>
    </xdr:from>
    <xdr:to>
      <xdr:col>3</xdr:col>
      <xdr:colOff>547320</xdr:colOff>
      <xdr:row>48</xdr:row>
      <xdr:rowOff>146153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282" y="5135218"/>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ePwuforJ4enk44KCA"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371"/>
  <sheetViews>
    <sheetView tabSelected="1" view="pageBreakPreview" topLeftCell="A256" zoomScale="85" zoomScaleNormal="100" zoomScaleSheetLayoutView="85" zoomScalePageLayoutView="85" workbookViewId="0">
      <selection activeCell="J264" sqref="J264"/>
    </sheetView>
  </sheetViews>
  <sheetFormatPr defaultColWidth="9.140625" defaultRowHeight="15.75" x14ac:dyDescent="0.25"/>
  <cols>
    <col min="1" max="1" width="11.42578125" style="18" customWidth="1"/>
    <col min="2" max="2" width="12" style="18" customWidth="1"/>
    <col min="3" max="3" width="12.7109375" style="18" customWidth="1"/>
    <col min="4" max="4" width="14.140625" style="18" customWidth="1"/>
    <col min="5" max="7" width="11.7109375" style="18" customWidth="1"/>
    <col min="8" max="8" width="13.28515625" style="18" customWidth="1"/>
    <col min="9" max="9" width="17.42578125" style="8" customWidth="1"/>
    <col min="10" max="10" width="11.42578125" style="8" customWidth="1"/>
    <col min="11" max="11" width="10.5703125" style="8" bestFit="1" customWidth="1"/>
    <col min="12" max="12" width="10.5703125" style="8" customWidth="1"/>
    <col min="13" max="13" width="11.85546875" style="8" customWidth="1"/>
    <col min="14" max="14" width="12.5703125" style="8" hidden="1" customWidth="1"/>
    <col min="15" max="15" width="9.85546875" style="8" hidden="1" customWidth="1"/>
    <col min="16" max="16" width="10.42578125" style="8" hidden="1" customWidth="1"/>
    <col min="17" max="247" width="9.140625" style="8"/>
    <col min="248" max="248" width="8.7109375" style="8" customWidth="1"/>
    <col min="249" max="249" width="9.85546875" style="8" customWidth="1"/>
    <col min="250" max="250" width="14.42578125" style="8" customWidth="1"/>
    <col min="251" max="251" width="7.28515625" style="8" customWidth="1"/>
    <col min="252" max="252" width="5.5703125" style="8" customWidth="1"/>
    <col min="253" max="253" width="9" style="8" customWidth="1"/>
    <col min="254" max="255" width="9.85546875" style="8" customWidth="1"/>
    <col min="256" max="256" width="11.140625" style="8" customWidth="1"/>
    <col min="257" max="257" width="2.85546875" style="8" customWidth="1"/>
    <col min="258" max="258" width="3.5703125" style="8" customWidth="1"/>
    <col min="259" max="503" width="9.140625" style="8"/>
    <col min="504" max="504" width="8.7109375" style="8" customWidth="1"/>
    <col min="505" max="505" width="9.85546875" style="8" customWidth="1"/>
    <col min="506" max="506" width="14.42578125" style="8" customWidth="1"/>
    <col min="507" max="507" width="7.28515625" style="8" customWidth="1"/>
    <col min="508" max="508" width="5.5703125" style="8" customWidth="1"/>
    <col min="509" max="509" width="9" style="8" customWidth="1"/>
    <col min="510" max="511" width="9.85546875" style="8" customWidth="1"/>
    <col min="512" max="512" width="11.140625" style="8" customWidth="1"/>
    <col min="513" max="513" width="2.85546875" style="8" customWidth="1"/>
    <col min="514" max="514" width="3.5703125" style="8" customWidth="1"/>
    <col min="515" max="759" width="9.140625" style="8"/>
    <col min="760" max="760" width="8.7109375" style="8" customWidth="1"/>
    <col min="761" max="761" width="9.85546875" style="8" customWidth="1"/>
    <col min="762" max="762" width="14.42578125" style="8" customWidth="1"/>
    <col min="763" max="763" width="7.28515625" style="8" customWidth="1"/>
    <col min="764" max="764" width="5.5703125" style="8" customWidth="1"/>
    <col min="765" max="765" width="9" style="8" customWidth="1"/>
    <col min="766" max="767" width="9.85546875" style="8" customWidth="1"/>
    <col min="768" max="768" width="11.140625" style="8" customWidth="1"/>
    <col min="769" max="769" width="2.85546875" style="8" customWidth="1"/>
    <col min="770" max="770" width="3.5703125" style="8" customWidth="1"/>
    <col min="771" max="1015" width="9.140625" style="8"/>
    <col min="1016" max="1016" width="8.7109375" style="8" customWidth="1"/>
    <col min="1017" max="1017" width="9.85546875" style="8" customWidth="1"/>
    <col min="1018" max="1018" width="14.42578125" style="8" customWidth="1"/>
    <col min="1019" max="1019" width="7.28515625" style="8" customWidth="1"/>
    <col min="1020" max="1020" width="5.5703125" style="8" customWidth="1"/>
    <col min="1021" max="1021" width="9" style="8" customWidth="1"/>
    <col min="1022" max="1023" width="9.85546875" style="8" customWidth="1"/>
    <col min="1024" max="1024" width="11.140625" style="8" customWidth="1"/>
    <col min="1025" max="1025" width="2.85546875" style="8" customWidth="1"/>
    <col min="1026" max="1026" width="3.5703125" style="8" customWidth="1"/>
    <col min="1027" max="1271" width="9.140625" style="8"/>
    <col min="1272" max="1272" width="8.7109375" style="8" customWidth="1"/>
    <col min="1273" max="1273" width="9.85546875" style="8" customWidth="1"/>
    <col min="1274" max="1274" width="14.42578125" style="8" customWidth="1"/>
    <col min="1275" max="1275" width="7.28515625" style="8" customWidth="1"/>
    <col min="1276" max="1276" width="5.5703125" style="8" customWidth="1"/>
    <col min="1277" max="1277" width="9" style="8" customWidth="1"/>
    <col min="1278" max="1279" width="9.85546875" style="8" customWidth="1"/>
    <col min="1280" max="1280" width="11.140625" style="8" customWidth="1"/>
    <col min="1281" max="1281" width="2.85546875" style="8" customWidth="1"/>
    <col min="1282" max="1282" width="3.5703125" style="8" customWidth="1"/>
    <col min="1283" max="1527" width="9.140625" style="8"/>
    <col min="1528" max="1528" width="8.7109375" style="8" customWidth="1"/>
    <col min="1529" max="1529" width="9.85546875" style="8" customWidth="1"/>
    <col min="1530" max="1530" width="14.42578125" style="8" customWidth="1"/>
    <col min="1531" max="1531" width="7.28515625" style="8" customWidth="1"/>
    <col min="1532" max="1532" width="5.5703125" style="8" customWidth="1"/>
    <col min="1533" max="1533" width="9" style="8" customWidth="1"/>
    <col min="1534" max="1535" width="9.85546875" style="8" customWidth="1"/>
    <col min="1536" max="1536" width="11.140625" style="8" customWidth="1"/>
    <col min="1537" max="1537" width="2.85546875" style="8" customWidth="1"/>
    <col min="1538" max="1538" width="3.5703125" style="8" customWidth="1"/>
    <col min="1539" max="1783" width="9.140625" style="8"/>
    <col min="1784" max="1784" width="8.7109375" style="8" customWidth="1"/>
    <col min="1785" max="1785" width="9.85546875" style="8" customWidth="1"/>
    <col min="1786" max="1786" width="14.42578125" style="8" customWidth="1"/>
    <col min="1787" max="1787" width="7.28515625" style="8" customWidth="1"/>
    <col min="1788" max="1788" width="5.5703125" style="8" customWidth="1"/>
    <col min="1789" max="1789" width="9" style="8" customWidth="1"/>
    <col min="1790" max="1791" width="9.85546875" style="8" customWidth="1"/>
    <col min="1792" max="1792" width="11.140625" style="8" customWidth="1"/>
    <col min="1793" max="1793" width="2.85546875" style="8" customWidth="1"/>
    <col min="1794" max="1794" width="3.5703125" style="8" customWidth="1"/>
    <col min="1795" max="2039" width="9.140625" style="8"/>
    <col min="2040" max="2040" width="8.7109375" style="8" customWidth="1"/>
    <col min="2041" max="2041" width="9.85546875" style="8" customWidth="1"/>
    <col min="2042" max="2042" width="14.42578125" style="8" customWidth="1"/>
    <col min="2043" max="2043" width="7.28515625" style="8" customWidth="1"/>
    <col min="2044" max="2044" width="5.5703125" style="8" customWidth="1"/>
    <col min="2045" max="2045" width="9" style="8" customWidth="1"/>
    <col min="2046" max="2047" width="9.85546875" style="8" customWidth="1"/>
    <col min="2048" max="2048" width="11.140625" style="8" customWidth="1"/>
    <col min="2049" max="2049" width="2.85546875" style="8" customWidth="1"/>
    <col min="2050" max="2050" width="3.5703125" style="8" customWidth="1"/>
    <col min="2051" max="2295" width="9.140625" style="8"/>
    <col min="2296" max="2296" width="8.7109375" style="8" customWidth="1"/>
    <col min="2297" max="2297" width="9.85546875" style="8" customWidth="1"/>
    <col min="2298" max="2298" width="14.42578125" style="8" customWidth="1"/>
    <col min="2299" max="2299" width="7.28515625" style="8" customWidth="1"/>
    <col min="2300" max="2300" width="5.5703125" style="8" customWidth="1"/>
    <col min="2301" max="2301" width="9" style="8" customWidth="1"/>
    <col min="2302" max="2303" width="9.85546875" style="8" customWidth="1"/>
    <col min="2304" max="2304" width="11.140625" style="8" customWidth="1"/>
    <col min="2305" max="2305" width="2.85546875" style="8" customWidth="1"/>
    <col min="2306" max="2306" width="3.5703125" style="8" customWidth="1"/>
    <col min="2307" max="2551" width="9.140625" style="8"/>
    <col min="2552" max="2552" width="8.7109375" style="8" customWidth="1"/>
    <col min="2553" max="2553" width="9.85546875" style="8" customWidth="1"/>
    <col min="2554" max="2554" width="14.42578125" style="8" customWidth="1"/>
    <col min="2555" max="2555" width="7.28515625" style="8" customWidth="1"/>
    <col min="2556" max="2556" width="5.5703125" style="8" customWidth="1"/>
    <col min="2557" max="2557" width="9" style="8" customWidth="1"/>
    <col min="2558" max="2559" width="9.85546875" style="8" customWidth="1"/>
    <col min="2560" max="2560" width="11.140625" style="8" customWidth="1"/>
    <col min="2561" max="2561" width="2.85546875" style="8" customWidth="1"/>
    <col min="2562" max="2562" width="3.5703125" style="8" customWidth="1"/>
    <col min="2563" max="2807" width="9.140625" style="8"/>
    <col min="2808" max="2808" width="8.7109375" style="8" customWidth="1"/>
    <col min="2809" max="2809" width="9.85546875" style="8" customWidth="1"/>
    <col min="2810" max="2810" width="14.42578125" style="8" customWidth="1"/>
    <col min="2811" max="2811" width="7.28515625" style="8" customWidth="1"/>
    <col min="2812" max="2812" width="5.5703125" style="8" customWidth="1"/>
    <col min="2813" max="2813" width="9" style="8" customWidth="1"/>
    <col min="2814" max="2815" width="9.85546875" style="8" customWidth="1"/>
    <col min="2816" max="2816" width="11.140625" style="8" customWidth="1"/>
    <col min="2817" max="2817" width="2.85546875" style="8" customWidth="1"/>
    <col min="2818" max="2818" width="3.5703125" style="8" customWidth="1"/>
    <col min="2819" max="3063" width="9.140625" style="8"/>
    <col min="3064" max="3064" width="8.7109375" style="8" customWidth="1"/>
    <col min="3065" max="3065" width="9.85546875" style="8" customWidth="1"/>
    <col min="3066" max="3066" width="14.42578125" style="8" customWidth="1"/>
    <col min="3067" max="3067" width="7.28515625" style="8" customWidth="1"/>
    <col min="3068" max="3068" width="5.5703125" style="8" customWidth="1"/>
    <col min="3069" max="3069" width="9" style="8" customWidth="1"/>
    <col min="3070" max="3071" width="9.85546875" style="8" customWidth="1"/>
    <col min="3072" max="3072" width="11.140625" style="8" customWidth="1"/>
    <col min="3073" max="3073" width="2.85546875" style="8" customWidth="1"/>
    <col min="3074" max="3074" width="3.5703125" style="8" customWidth="1"/>
    <col min="3075" max="3319" width="9.140625" style="8"/>
    <col min="3320" max="3320" width="8.7109375" style="8" customWidth="1"/>
    <col min="3321" max="3321" width="9.85546875" style="8" customWidth="1"/>
    <col min="3322" max="3322" width="14.42578125" style="8" customWidth="1"/>
    <col min="3323" max="3323" width="7.28515625" style="8" customWidth="1"/>
    <col min="3324" max="3324" width="5.5703125" style="8" customWidth="1"/>
    <col min="3325" max="3325" width="9" style="8" customWidth="1"/>
    <col min="3326" max="3327" width="9.85546875" style="8" customWidth="1"/>
    <col min="3328" max="3328" width="11.140625" style="8" customWidth="1"/>
    <col min="3329" max="3329" width="2.85546875" style="8" customWidth="1"/>
    <col min="3330" max="3330" width="3.5703125" style="8" customWidth="1"/>
    <col min="3331" max="3575" width="9.140625" style="8"/>
    <col min="3576" max="3576" width="8.7109375" style="8" customWidth="1"/>
    <col min="3577" max="3577" width="9.85546875" style="8" customWidth="1"/>
    <col min="3578" max="3578" width="14.42578125" style="8" customWidth="1"/>
    <col min="3579" max="3579" width="7.28515625" style="8" customWidth="1"/>
    <col min="3580" max="3580" width="5.5703125" style="8" customWidth="1"/>
    <col min="3581" max="3581" width="9" style="8" customWidth="1"/>
    <col min="3582" max="3583" width="9.85546875" style="8" customWidth="1"/>
    <col min="3584" max="3584" width="11.140625" style="8" customWidth="1"/>
    <col min="3585" max="3585" width="2.85546875" style="8" customWidth="1"/>
    <col min="3586" max="3586" width="3.5703125" style="8" customWidth="1"/>
    <col min="3587" max="3831" width="9.140625" style="8"/>
    <col min="3832" max="3832" width="8.7109375" style="8" customWidth="1"/>
    <col min="3833" max="3833" width="9.85546875" style="8" customWidth="1"/>
    <col min="3834" max="3834" width="14.42578125" style="8" customWidth="1"/>
    <col min="3835" max="3835" width="7.28515625" style="8" customWidth="1"/>
    <col min="3836" max="3836" width="5.5703125" style="8" customWidth="1"/>
    <col min="3837" max="3837" width="9" style="8" customWidth="1"/>
    <col min="3838" max="3839" width="9.85546875" style="8" customWidth="1"/>
    <col min="3840" max="3840" width="11.140625" style="8" customWidth="1"/>
    <col min="3841" max="3841" width="2.85546875" style="8" customWidth="1"/>
    <col min="3842" max="3842" width="3.5703125" style="8" customWidth="1"/>
    <col min="3843" max="4087" width="9.140625" style="8"/>
    <col min="4088" max="4088" width="8.7109375" style="8" customWidth="1"/>
    <col min="4089" max="4089" width="9.85546875" style="8" customWidth="1"/>
    <col min="4090" max="4090" width="14.42578125" style="8" customWidth="1"/>
    <col min="4091" max="4091" width="7.28515625" style="8" customWidth="1"/>
    <col min="4092" max="4092" width="5.5703125" style="8" customWidth="1"/>
    <col min="4093" max="4093" width="9" style="8" customWidth="1"/>
    <col min="4094" max="4095" width="9.85546875" style="8" customWidth="1"/>
    <col min="4096" max="4096" width="11.140625" style="8" customWidth="1"/>
    <col min="4097" max="4097" width="2.85546875" style="8" customWidth="1"/>
    <col min="4098" max="4098" width="3.5703125" style="8" customWidth="1"/>
    <col min="4099" max="4343" width="9.140625" style="8"/>
    <col min="4344" max="4344" width="8.7109375" style="8" customWidth="1"/>
    <col min="4345" max="4345" width="9.85546875" style="8" customWidth="1"/>
    <col min="4346" max="4346" width="14.42578125" style="8" customWidth="1"/>
    <col min="4347" max="4347" width="7.28515625" style="8" customWidth="1"/>
    <col min="4348" max="4348" width="5.5703125" style="8" customWidth="1"/>
    <col min="4349" max="4349" width="9" style="8" customWidth="1"/>
    <col min="4350" max="4351" width="9.85546875" style="8" customWidth="1"/>
    <col min="4352" max="4352" width="11.140625" style="8" customWidth="1"/>
    <col min="4353" max="4353" width="2.85546875" style="8" customWidth="1"/>
    <col min="4354" max="4354" width="3.5703125" style="8" customWidth="1"/>
    <col min="4355" max="4599" width="9.140625" style="8"/>
    <col min="4600" max="4600" width="8.7109375" style="8" customWidth="1"/>
    <col min="4601" max="4601" width="9.85546875" style="8" customWidth="1"/>
    <col min="4602" max="4602" width="14.42578125" style="8" customWidth="1"/>
    <col min="4603" max="4603" width="7.28515625" style="8" customWidth="1"/>
    <col min="4604" max="4604" width="5.5703125" style="8" customWidth="1"/>
    <col min="4605" max="4605" width="9" style="8" customWidth="1"/>
    <col min="4606" max="4607" width="9.85546875" style="8" customWidth="1"/>
    <col min="4608" max="4608" width="11.140625" style="8" customWidth="1"/>
    <col min="4609" max="4609" width="2.85546875" style="8" customWidth="1"/>
    <col min="4610" max="4610" width="3.5703125" style="8" customWidth="1"/>
    <col min="4611" max="4855" width="9.140625" style="8"/>
    <col min="4856" max="4856" width="8.7109375" style="8" customWidth="1"/>
    <col min="4857" max="4857" width="9.85546875" style="8" customWidth="1"/>
    <col min="4858" max="4858" width="14.42578125" style="8" customWidth="1"/>
    <col min="4859" max="4859" width="7.28515625" style="8" customWidth="1"/>
    <col min="4860" max="4860" width="5.5703125" style="8" customWidth="1"/>
    <col min="4861" max="4861" width="9" style="8" customWidth="1"/>
    <col min="4862" max="4863" width="9.85546875" style="8" customWidth="1"/>
    <col min="4864" max="4864" width="11.140625" style="8" customWidth="1"/>
    <col min="4865" max="4865" width="2.85546875" style="8" customWidth="1"/>
    <col min="4866" max="4866" width="3.5703125" style="8" customWidth="1"/>
    <col min="4867" max="5111" width="9.140625" style="8"/>
    <col min="5112" max="5112" width="8.7109375" style="8" customWidth="1"/>
    <col min="5113" max="5113" width="9.85546875" style="8" customWidth="1"/>
    <col min="5114" max="5114" width="14.42578125" style="8" customWidth="1"/>
    <col min="5115" max="5115" width="7.28515625" style="8" customWidth="1"/>
    <col min="5116" max="5116" width="5.5703125" style="8" customWidth="1"/>
    <col min="5117" max="5117" width="9" style="8" customWidth="1"/>
    <col min="5118" max="5119" width="9.85546875" style="8" customWidth="1"/>
    <col min="5120" max="5120" width="11.140625" style="8" customWidth="1"/>
    <col min="5121" max="5121" width="2.85546875" style="8" customWidth="1"/>
    <col min="5122" max="5122" width="3.5703125" style="8" customWidth="1"/>
    <col min="5123" max="5367" width="9.140625" style="8"/>
    <col min="5368" max="5368" width="8.7109375" style="8" customWidth="1"/>
    <col min="5369" max="5369" width="9.85546875" style="8" customWidth="1"/>
    <col min="5370" max="5370" width="14.42578125" style="8" customWidth="1"/>
    <col min="5371" max="5371" width="7.28515625" style="8" customWidth="1"/>
    <col min="5372" max="5372" width="5.5703125" style="8" customWidth="1"/>
    <col min="5373" max="5373" width="9" style="8" customWidth="1"/>
    <col min="5374" max="5375" width="9.85546875" style="8" customWidth="1"/>
    <col min="5376" max="5376" width="11.140625" style="8" customWidth="1"/>
    <col min="5377" max="5377" width="2.85546875" style="8" customWidth="1"/>
    <col min="5378" max="5378" width="3.5703125" style="8" customWidth="1"/>
    <col min="5379" max="5623" width="9.140625" style="8"/>
    <col min="5624" max="5624" width="8.7109375" style="8" customWidth="1"/>
    <col min="5625" max="5625" width="9.85546875" style="8" customWidth="1"/>
    <col min="5626" max="5626" width="14.42578125" style="8" customWidth="1"/>
    <col min="5627" max="5627" width="7.28515625" style="8" customWidth="1"/>
    <col min="5628" max="5628" width="5.5703125" style="8" customWidth="1"/>
    <col min="5629" max="5629" width="9" style="8" customWidth="1"/>
    <col min="5630" max="5631" width="9.85546875" style="8" customWidth="1"/>
    <col min="5632" max="5632" width="11.140625" style="8" customWidth="1"/>
    <col min="5633" max="5633" width="2.85546875" style="8" customWidth="1"/>
    <col min="5634" max="5634" width="3.5703125" style="8" customWidth="1"/>
    <col min="5635" max="5879" width="9.140625" style="8"/>
    <col min="5880" max="5880" width="8.7109375" style="8" customWidth="1"/>
    <col min="5881" max="5881" width="9.85546875" style="8" customWidth="1"/>
    <col min="5882" max="5882" width="14.42578125" style="8" customWidth="1"/>
    <col min="5883" max="5883" width="7.28515625" style="8" customWidth="1"/>
    <col min="5884" max="5884" width="5.5703125" style="8" customWidth="1"/>
    <col min="5885" max="5885" width="9" style="8" customWidth="1"/>
    <col min="5886" max="5887" width="9.85546875" style="8" customWidth="1"/>
    <col min="5888" max="5888" width="11.140625" style="8" customWidth="1"/>
    <col min="5889" max="5889" width="2.85546875" style="8" customWidth="1"/>
    <col min="5890" max="5890" width="3.5703125" style="8" customWidth="1"/>
    <col min="5891" max="6135" width="9.140625" style="8"/>
    <col min="6136" max="6136" width="8.7109375" style="8" customWidth="1"/>
    <col min="6137" max="6137" width="9.85546875" style="8" customWidth="1"/>
    <col min="6138" max="6138" width="14.42578125" style="8" customWidth="1"/>
    <col min="6139" max="6139" width="7.28515625" style="8" customWidth="1"/>
    <col min="6140" max="6140" width="5.5703125" style="8" customWidth="1"/>
    <col min="6141" max="6141" width="9" style="8" customWidth="1"/>
    <col min="6142" max="6143" width="9.85546875" style="8" customWidth="1"/>
    <col min="6144" max="6144" width="11.140625" style="8" customWidth="1"/>
    <col min="6145" max="6145" width="2.85546875" style="8" customWidth="1"/>
    <col min="6146" max="6146" width="3.5703125" style="8" customWidth="1"/>
    <col min="6147" max="6391" width="9.140625" style="8"/>
    <col min="6392" max="6392" width="8.7109375" style="8" customWidth="1"/>
    <col min="6393" max="6393" width="9.85546875" style="8" customWidth="1"/>
    <col min="6394" max="6394" width="14.42578125" style="8" customWidth="1"/>
    <col min="6395" max="6395" width="7.28515625" style="8" customWidth="1"/>
    <col min="6396" max="6396" width="5.5703125" style="8" customWidth="1"/>
    <col min="6397" max="6397" width="9" style="8" customWidth="1"/>
    <col min="6398" max="6399" width="9.85546875" style="8" customWidth="1"/>
    <col min="6400" max="6400" width="11.140625" style="8" customWidth="1"/>
    <col min="6401" max="6401" width="2.85546875" style="8" customWidth="1"/>
    <col min="6402" max="6402" width="3.5703125" style="8" customWidth="1"/>
    <col min="6403" max="6647" width="9.140625" style="8"/>
    <col min="6648" max="6648" width="8.7109375" style="8" customWidth="1"/>
    <col min="6649" max="6649" width="9.85546875" style="8" customWidth="1"/>
    <col min="6650" max="6650" width="14.42578125" style="8" customWidth="1"/>
    <col min="6651" max="6651" width="7.28515625" style="8" customWidth="1"/>
    <col min="6652" max="6652" width="5.5703125" style="8" customWidth="1"/>
    <col min="6653" max="6653" width="9" style="8" customWidth="1"/>
    <col min="6654" max="6655" width="9.85546875" style="8" customWidth="1"/>
    <col min="6656" max="6656" width="11.140625" style="8" customWidth="1"/>
    <col min="6657" max="6657" width="2.85546875" style="8" customWidth="1"/>
    <col min="6658" max="6658" width="3.5703125" style="8" customWidth="1"/>
    <col min="6659" max="6903" width="9.140625" style="8"/>
    <col min="6904" max="6904" width="8.7109375" style="8" customWidth="1"/>
    <col min="6905" max="6905" width="9.85546875" style="8" customWidth="1"/>
    <col min="6906" max="6906" width="14.42578125" style="8" customWidth="1"/>
    <col min="6907" max="6907" width="7.28515625" style="8" customWidth="1"/>
    <col min="6908" max="6908" width="5.5703125" style="8" customWidth="1"/>
    <col min="6909" max="6909" width="9" style="8" customWidth="1"/>
    <col min="6910" max="6911" width="9.85546875" style="8" customWidth="1"/>
    <col min="6912" max="6912" width="11.140625" style="8" customWidth="1"/>
    <col min="6913" max="6913" width="2.85546875" style="8" customWidth="1"/>
    <col min="6914" max="6914" width="3.5703125" style="8" customWidth="1"/>
    <col min="6915" max="7159" width="9.140625" style="8"/>
    <col min="7160" max="7160" width="8.7109375" style="8" customWidth="1"/>
    <col min="7161" max="7161" width="9.85546875" style="8" customWidth="1"/>
    <col min="7162" max="7162" width="14.42578125" style="8" customWidth="1"/>
    <col min="7163" max="7163" width="7.28515625" style="8" customWidth="1"/>
    <col min="7164" max="7164" width="5.5703125" style="8" customWidth="1"/>
    <col min="7165" max="7165" width="9" style="8" customWidth="1"/>
    <col min="7166" max="7167" width="9.85546875" style="8" customWidth="1"/>
    <col min="7168" max="7168" width="11.140625" style="8" customWidth="1"/>
    <col min="7169" max="7169" width="2.85546875" style="8" customWidth="1"/>
    <col min="7170" max="7170" width="3.5703125" style="8" customWidth="1"/>
    <col min="7171" max="7415" width="9.140625" style="8"/>
    <col min="7416" max="7416" width="8.7109375" style="8" customWidth="1"/>
    <col min="7417" max="7417" width="9.85546875" style="8" customWidth="1"/>
    <col min="7418" max="7418" width="14.42578125" style="8" customWidth="1"/>
    <col min="7419" max="7419" width="7.28515625" style="8" customWidth="1"/>
    <col min="7420" max="7420" width="5.5703125" style="8" customWidth="1"/>
    <col min="7421" max="7421" width="9" style="8" customWidth="1"/>
    <col min="7422" max="7423" width="9.85546875" style="8" customWidth="1"/>
    <col min="7424" max="7424" width="11.140625" style="8" customWidth="1"/>
    <col min="7425" max="7425" width="2.85546875" style="8" customWidth="1"/>
    <col min="7426" max="7426" width="3.5703125" style="8" customWidth="1"/>
    <col min="7427" max="7671" width="9.140625" style="8"/>
    <col min="7672" max="7672" width="8.7109375" style="8" customWidth="1"/>
    <col min="7673" max="7673" width="9.85546875" style="8" customWidth="1"/>
    <col min="7674" max="7674" width="14.42578125" style="8" customWidth="1"/>
    <col min="7675" max="7675" width="7.28515625" style="8" customWidth="1"/>
    <col min="7676" max="7676" width="5.5703125" style="8" customWidth="1"/>
    <col min="7677" max="7677" width="9" style="8" customWidth="1"/>
    <col min="7678" max="7679" width="9.85546875" style="8" customWidth="1"/>
    <col min="7680" max="7680" width="11.140625" style="8" customWidth="1"/>
    <col min="7681" max="7681" width="2.85546875" style="8" customWidth="1"/>
    <col min="7682" max="7682" width="3.5703125" style="8" customWidth="1"/>
    <col min="7683" max="7927" width="9.140625" style="8"/>
    <col min="7928" max="7928" width="8.7109375" style="8" customWidth="1"/>
    <col min="7929" max="7929" width="9.85546875" style="8" customWidth="1"/>
    <col min="7930" max="7930" width="14.42578125" style="8" customWidth="1"/>
    <col min="7931" max="7931" width="7.28515625" style="8" customWidth="1"/>
    <col min="7932" max="7932" width="5.5703125" style="8" customWidth="1"/>
    <col min="7933" max="7933" width="9" style="8" customWidth="1"/>
    <col min="7934" max="7935" width="9.85546875" style="8" customWidth="1"/>
    <col min="7936" max="7936" width="11.140625" style="8" customWidth="1"/>
    <col min="7937" max="7937" width="2.85546875" style="8" customWidth="1"/>
    <col min="7938" max="7938" width="3.5703125" style="8" customWidth="1"/>
    <col min="7939" max="8183" width="9.140625" style="8"/>
    <col min="8184" max="8184" width="8.7109375" style="8" customWidth="1"/>
    <col min="8185" max="8185" width="9.85546875" style="8" customWidth="1"/>
    <col min="8186" max="8186" width="14.42578125" style="8" customWidth="1"/>
    <col min="8187" max="8187" width="7.28515625" style="8" customWidth="1"/>
    <col min="8188" max="8188" width="5.5703125" style="8" customWidth="1"/>
    <col min="8189" max="8189" width="9" style="8" customWidth="1"/>
    <col min="8190" max="8191" width="9.85546875" style="8" customWidth="1"/>
    <col min="8192" max="8192" width="11.140625" style="8" customWidth="1"/>
    <col min="8193" max="8193" width="2.85546875" style="8" customWidth="1"/>
    <col min="8194" max="8194" width="3.5703125" style="8" customWidth="1"/>
    <col min="8195" max="8439" width="9.140625" style="8"/>
    <col min="8440" max="8440" width="8.7109375" style="8" customWidth="1"/>
    <col min="8441" max="8441" width="9.85546875" style="8" customWidth="1"/>
    <col min="8442" max="8442" width="14.42578125" style="8" customWidth="1"/>
    <col min="8443" max="8443" width="7.28515625" style="8" customWidth="1"/>
    <col min="8444" max="8444" width="5.5703125" style="8" customWidth="1"/>
    <col min="8445" max="8445" width="9" style="8" customWidth="1"/>
    <col min="8446" max="8447" width="9.85546875" style="8" customWidth="1"/>
    <col min="8448" max="8448" width="11.140625" style="8" customWidth="1"/>
    <col min="8449" max="8449" width="2.85546875" style="8" customWidth="1"/>
    <col min="8450" max="8450" width="3.5703125" style="8" customWidth="1"/>
    <col min="8451" max="8695" width="9.140625" style="8"/>
    <col min="8696" max="8696" width="8.7109375" style="8" customWidth="1"/>
    <col min="8697" max="8697" width="9.85546875" style="8" customWidth="1"/>
    <col min="8698" max="8698" width="14.42578125" style="8" customWidth="1"/>
    <col min="8699" max="8699" width="7.28515625" style="8" customWidth="1"/>
    <col min="8700" max="8700" width="5.5703125" style="8" customWidth="1"/>
    <col min="8701" max="8701" width="9" style="8" customWidth="1"/>
    <col min="8702" max="8703" width="9.85546875" style="8" customWidth="1"/>
    <col min="8704" max="8704" width="11.140625" style="8" customWidth="1"/>
    <col min="8705" max="8705" width="2.85546875" style="8" customWidth="1"/>
    <col min="8706" max="8706" width="3.5703125" style="8" customWidth="1"/>
    <col min="8707" max="8951" width="9.140625" style="8"/>
    <col min="8952" max="8952" width="8.7109375" style="8" customWidth="1"/>
    <col min="8953" max="8953" width="9.85546875" style="8" customWidth="1"/>
    <col min="8954" max="8954" width="14.42578125" style="8" customWidth="1"/>
    <col min="8955" max="8955" width="7.28515625" style="8" customWidth="1"/>
    <col min="8956" max="8956" width="5.5703125" style="8" customWidth="1"/>
    <col min="8957" max="8957" width="9" style="8" customWidth="1"/>
    <col min="8958" max="8959" width="9.85546875" style="8" customWidth="1"/>
    <col min="8960" max="8960" width="11.140625" style="8" customWidth="1"/>
    <col min="8961" max="8961" width="2.85546875" style="8" customWidth="1"/>
    <col min="8962" max="8962" width="3.5703125" style="8" customWidth="1"/>
    <col min="8963" max="9207" width="9.140625" style="8"/>
    <col min="9208" max="9208" width="8.7109375" style="8" customWidth="1"/>
    <col min="9209" max="9209" width="9.85546875" style="8" customWidth="1"/>
    <col min="9210" max="9210" width="14.42578125" style="8" customWidth="1"/>
    <col min="9211" max="9211" width="7.28515625" style="8" customWidth="1"/>
    <col min="9212" max="9212" width="5.5703125" style="8" customWidth="1"/>
    <col min="9213" max="9213" width="9" style="8" customWidth="1"/>
    <col min="9214" max="9215" width="9.85546875" style="8" customWidth="1"/>
    <col min="9216" max="9216" width="11.140625" style="8" customWidth="1"/>
    <col min="9217" max="9217" width="2.85546875" style="8" customWidth="1"/>
    <col min="9218" max="9218" width="3.5703125" style="8" customWidth="1"/>
    <col min="9219" max="9463" width="9.140625" style="8"/>
    <col min="9464" max="9464" width="8.7109375" style="8" customWidth="1"/>
    <col min="9465" max="9465" width="9.85546875" style="8" customWidth="1"/>
    <col min="9466" max="9466" width="14.42578125" style="8" customWidth="1"/>
    <col min="9467" max="9467" width="7.28515625" style="8" customWidth="1"/>
    <col min="9468" max="9468" width="5.5703125" style="8" customWidth="1"/>
    <col min="9469" max="9469" width="9" style="8" customWidth="1"/>
    <col min="9470" max="9471" width="9.85546875" style="8" customWidth="1"/>
    <col min="9472" max="9472" width="11.140625" style="8" customWidth="1"/>
    <col min="9473" max="9473" width="2.85546875" style="8" customWidth="1"/>
    <col min="9474" max="9474" width="3.5703125" style="8" customWidth="1"/>
    <col min="9475" max="9719" width="9.140625" style="8"/>
    <col min="9720" max="9720" width="8.7109375" style="8" customWidth="1"/>
    <col min="9721" max="9721" width="9.85546875" style="8" customWidth="1"/>
    <col min="9722" max="9722" width="14.42578125" style="8" customWidth="1"/>
    <col min="9723" max="9723" width="7.28515625" style="8" customWidth="1"/>
    <col min="9724" max="9724" width="5.5703125" style="8" customWidth="1"/>
    <col min="9725" max="9725" width="9" style="8" customWidth="1"/>
    <col min="9726" max="9727" width="9.85546875" style="8" customWidth="1"/>
    <col min="9728" max="9728" width="11.140625" style="8" customWidth="1"/>
    <col min="9729" max="9729" width="2.85546875" style="8" customWidth="1"/>
    <col min="9730" max="9730" width="3.5703125" style="8" customWidth="1"/>
    <col min="9731" max="9975" width="9.140625" style="8"/>
    <col min="9976" max="9976" width="8.7109375" style="8" customWidth="1"/>
    <col min="9977" max="9977" width="9.85546875" style="8" customWidth="1"/>
    <col min="9978" max="9978" width="14.42578125" style="8" customWidth="1"/>
    <col min="9979" max="9979" width="7.28515625" style="8" customWidth="1"/>
    <col min="9980" max="9980" width="5.5703125" style="8" customWidth="1"/>
    <col min="9981" max="9981" width="9" style="8" customWidth="1"/>
    <col min="9982" max="9983" width="9.85546875" style="8" customWidth="1"/>
    <col min="9984" max="9984" width="11.140625" style="8" customWidth="1"/>
    <col min="9985" max="9985" width="2.85546875" style="8" customWidth="1"/>
    <col min="9986" max="9986" width="3.5703125" style="8" customWidth="1"/>
    <col min="9987" max="10231" width="9.140625" style="8"/>
    <col min="10232" max="10232" width="8.7109375" style="8" customWidth="1"/>
    <col min="10233" max="10233" width="9.85546875" style="8" customWidth="1"/>
    <col min="10234" max="10234" width="14.42578125" style="8" customWidth="1"/>
    <col min="10235" max="10235" width="7.28515625" style="8" customWidth="1"/>
    <col min="10236" max="10236" width="5.5703125" style="8" customWidth="1"/>
    <col min="10237" max="10237" width="9" style="8" customWidth="1"/>
    <col min="10238" max="10239" width="9.85546875" style="8" customWidth="1"/>
    <col min="10240" max="10240" width="11.140625" style="8" customWidth="1"/>
    <col min="10241" max="10241" width="2.85546875" style="8" customWidth="1"/>
    <col min="10242" max="10242" width="3.5703125" style="8" customWidth="1"/>
    <col min="10243" max="10487" width="9.140625" style="8"/>
    <col min="10488" max="10488" width="8.7109375" style="8" customWidth="1"/>
    <col min="10489" max="10489" width="9.85546875" style="8" customWidth="1"/>
    <col min="10490" max="10490" width="14.42578125" style="8" customWidth="1"/>
    <col min="10491" max="10491" width="7.28515625" style="8" customWidth="1"/>
    <col min="10492" max="10492" width="5.5703125" style="8" customWidth="1"/>
    <col min="10493" max="10493" width="9" style="8" customWidth="1"/>
    <col min="10494" max="10495" width="9.85546875" style="8" customWidth="1"/>
    <col min="10496" max="10496" width="11.140625" style="8" customWidth="1"/>
    <col min="10497" max="10497" width="2.85546875" style="8" customWidth="1"/>
    <col min="10498" max="10498" width="3.5703125" style="8" customWidth="1"/>
    <col min="10499" max="10743" width="9.140625" style="8"/>
    <col min="10744" max="10744" width="8.7109375" style="8" customWidth="1"/>
    <col min="10745" max="10745" width="9.85546875" style="8" customWidth="1"/>
    <col min="10746" max="10746" width="14.42578125" style="8" customWidth="1"/>
    <col min="10747" max="10747" width="7.28515625" style="8" customWidth="1"/>
    <col min="10748" max="10748" width="5.5703125" style="8" customWidth="1"/>
    <col min="10749" max="10749" width="9" style="8" customWidth="1"/>
    <col min="10750" max="10751" width="9.85546875" style="8" customWidth="1"/>
    <col min="10752" max="10752" width="11.140625" style="8" customWidth="1"/>
    <col min="10753" max="10753" width="2.85546875" style="8" customWidth="1"/>
    <col min="10754" max="10754" width="3.5703125" style="8" customWidth="1"/>
    <col min="10755" max="10999" width="9.140625" style="8"/>
    <col min="11000" max="11000" width="8.7109375" style="8" customWidth="1"/>
    <col min="11001" max="11001" width="9.85546875" style="8" customWidth="1"/>
    <col min="11002" max="11002" width="14.42578125" style="8" customWidth="1"/>
    <col min="11003" max="11003" width="7.28515625" style="8" customWidth="1"/>
    <col min="11004" max="11004" width="5.5703125" style="8" customWidth="1"/>
    <col min="11005" max="11005" width="9" style="8" customWidth="1"/>
    <col min="11006" max="11007" width="9.85546875" style="8" customWidth="1"/>
    <col min="11008" max="11008" width="11.140625" style="8" customWidth="1"/>
    <col min="11009" max="11009" width="2.85546875" style="8" customWidth="1"/>
    <col min="11010" max="11010" width="3.5703125" style="8" customWidth="1"/>
    <col min="11011" max="11255" width="9.140625" style="8"/>
    <col min="11256" max="11256" width="8.7109375" style="8" customWidth="1"/>
    <col min="11257" max="11257" width="9.85546875" style="8" customWidth="1"/>
    <col min="11258" max="11258" width="14.42578125" style="8" customWidth="1"/>
    <col min="11259" max="11259" width="7.28515625" style="8" customWidth="1"/>
    <col min="11260" max="11260" width="5.5703125" style="8" customWidth="1"/>
    <col min="11261" max="11261" width="9" style="8" customWidth="1"/>
    <col min="11262" max="11263" width="9.85546875" style="8" customWidth="1"/>
    <col min="11264" max="11264" width="11.140625" style="8" customWidth="1"/>
    <col min="11265" max="11265" width="2.85546875" style="8" customWidth="1"/>
    <col min="11266" max="11266" width="3.5703125" style="8" customWidth="1"/>
    <col min="11267" max="11511" width="9.140625" style="8"/>
    <col min="11512" max="11512" width="8.7109375" style="8" customWidth="1"/>
    <col min="11513" max="11513" width="9.85546875" style="8" customWidth="1"/>
    <col min="11514" max="11514" width="14.42578125" style="8" customWidth="1"/>
    <col min="11515" max="11515" width="7.28515625" style="8" customWidth="1"/>
    <col min="11516" max="11516" width="5.5703125" style="8" customWidth="1"/>
    <col min="11517" max="11517" width="9" style="8" customWidth="1"/>
    <col min="11518" max="11519" width="9.85546875" style="8" customWidth="1"/>
    <col min="11520" max="11520" width="11.140625" style="8" customWidth="1"/>
    <col min="11521" max="11521" width="2.85546875" style="8" customWidth="1"/>
    <col min="11522" max="11522" width="3.5703125" style="8" customWidth="1"/>
    <col min="11523" max="11767" width="9.140625" style="8"/>
    <col min="11768" max="11768" width="8.7109375" style="8" customWidth="1"/>
    <col min="11769" max="11769" width="9.85546875" style="8" customWidth="1"/>
    <col min="11770" max="11770" width="14.42578125" style="8" customWidth="1"/>
    <col min="11771" max="11771" width="7.28515625" style="8" customWidth="1"/>
    <col min="11772" max="11772" width="5.5703125" style="8" customWidth="1"/>
    <col min="11773" max="11773" width="9" style="8" customWidth="1"/>
    <col min="11774" max="11775" width="9.85546875" style="8" customWidth="1"/>
    <col min="11776" max="11776" width="11.140625" style="8" customWidth="1"/>
    <col min="11777" max="11777" width="2.85546875" style="8" customWidth="1"/>
    <col min="11778" max="11778" width="3.5703125" style="8" customWidth="1"/>
    <col min="11779" max="12023" width="9.140625" style="8"/>
    <col min="12024" max="12024" width="8.7109375" style="8" customWidth="1"/>
    <col min="12025" max="12025" width="9.85546875" style="8" customWidth="1"/>
    <col min="12026" max="12026" width="14.42578125" style="8" customWidth="1"/>
    <col min="12027" max="12027" width="7.28515625" style="8" customWidth="1"/>
    <col min="12028" max="12028" width="5.5703125" style="8" customWidth="1"/>
    <col min="12029" max="12029" width="9" style="8" customWidth="1"/>
    <col min="12030" max="12031" width="9.85546875" style="8" customWidth="1"/>
    <col min="12032" max="12032" width="11.140625" style="8" customWidth="1"/>
    <col min="12033" max="12033" width="2.85546875" style="8" customWidth="1"/>
    <col min="12034" max="12034" width="3.5703125" style="8" customWidth="1"/>
    <col min="12035" max="12279" width="9.140625" style="8"/>
    <col min="12280" max="12280" width="8.7109375" style="8" customWidth="1"/>
    <col min="12281" max="12281" width="9.85546875" style="8" customWidth="1"/>
    <col min="12282" max="12282" width="14.42578125" style="8" customWidth="1"/>
    <col min="12283" max="12283" width="7.28515625" style="8" customWidth="1"/>
    <col min="12284" max="12284" width="5.5703125" style="8" customWidth="1"/>
    <col min="12285" max="12285" width="9" style="8" customWidth="1"/>
    <col min="12286" max="12287" width="9.85546875" style="8" customWidth="1"/>
    <col min="12288" max="12288" width="11.140625" style="8" customWidth="1"/>
    <col min="12289" max="12289" width="2.85546875" style="8" customWidth="1"/>
    <col min="12290" max="12290" width="3.5703125" style="8" customWidth="1"/>
    <col min="12291" max="12535" width="9.140625" style="8"/>
    <col min="12536" max="12536" width="8.7109375" style="8" customWidth="1"/>
    <col min="12537" max="12537" width="9.85546875" style="8" customWidth="1"/>
    <col min="12538" max="12538" width="14.42578125" style="8" customWidth="1"/>
    <col min="12539" max="12539" width="7.28515625" style="8" customWidth="1"/>
    <col min="12540" max="12540" width="5.5703125" style="8" customWidth="1"/>
    <col min="12541" max="12541" width="9" style="8" customWidth="1"/>
    <col min="12542" max="12543" width="9.85546875" style="8" customWidth="1"/>
    <col min="12544" max="12544" width="11.140625" style="8" customWidth="1"/>
    <col min="12545" max="12545" width="2.85546875" style="8" customWidth="1"/>
    <col min="12546" max="12546" width="3.5703125" style="8" customWidth="1"/>
    <col min="12547" max="12791" width="9.140625" style="8"/>
    <col min="12792" max="12792" width="8.7109375" style="8" customWidth="1"/>
    <col min="12793" max="12793" width="9.85546875" style="8" customWidth="1"/>
    <col min="12794" max="12794" width="14.42578125" style="8" customWidth="1"/>
    <col min="12795" max="12795" width="7.28515625" style="8" customWidth="1"/>
    <col min="12796" max="12796" width="5.5703125" style="8" customWidth="1"/>
    <col min="12797" max="12797" width="9" style="8" customWidth="1"/>
    <col min="12798" max="12799" width="9.85546875" style="8" customWidth="1"/>
    <col min="12800" max="12800" width="11.140625" style="8" customWidth="1"/>
    <col min="12801" max="12801" width="2.85546875" style="8" customWidth="1"/>
    <col min="12802" max="12802" width="3.5703125" style="8" customWidth="1"/>
    <col min="12803" max="13047" width="9.140625" style="8"/>
    <col min="13048" max="13048" width="8.7109375" style="8" customWidth="1"/>
    <col min="13049" max="13049" width="9.85546875" style="8" customWidth="1"/>
    <col min="13050" max="13050" width="14.42578125" style="8" customWidth="1"/>
    <col min="13051" max="13051" width="7.28515625" style="8" customWidth="1"/>
    <col min="13052" max="13052" width="5.5703125" style="8" customWidth="1"/>
    <col min="13053" max="13053" width="9" style="8" customWidth="1"/>
    <col min="13054" max="13055" width="9.85546875" style="8" customWidth="1"/>
    <col min="13056" max="13056" width="11.140625" style="8" customWidth="1"/>
    <col min="13057" max="13057" width="2.85546875" style="8" customWidth="1"/>
    <col min="13058" max="13058" width="3.5703125" style="8" customWidth="1"/>
    <col min="13059" max="13303" width="9.140625" style="8"/>
    <col min="13304" max="13304" width="8.7109375" style="8" customWidth="1"/>
    <col min="13305" max="13305" width="9.85546875" style="8" customWidth="1"/>
    <col min="13306" max="13306" width="14.42578125" style="8" customWidth="1"/>
    <col min="13307" max="13307" width="7.28515625" style="8" customWidth="1"/>
    <col min="13308" max="13308" width="5.5703125" style="8" customWidth="1"/>
    <col min="13309" max="13309" width="9" style="8" customWidth="1"/>
    <col min="13310" max="13311" width="9.85546875" style="8" customWidth="1"/>
    <col min="13312" max="13312" width="11.140625" style="8" customWidth="1"/>
    <col min="13313" max="13313" width="2.85546875" style="8" customWidth="1"/>
    <col min="13314" max="13314" width="3.5703125" style="8" customWidth="1"/>
    <col min="13315" max="13559" width="9.140625" style="8"/>
    <col min="13560" max="13560" width="8.7109375" style="8" customWidth="1"/>
    <col min="13561" max="13561" width="9.85546875" style="8" customWidth="1"/>
    <col min="13562" max="13562" width="14.42578125" style="8" customWidth="1"/>
    <col min="13563" max="13563" width="7.28515625" style="8" customWidth="1"/>
    <col min="13564" max="13564" width="5.5703125" style="8" customWidth="1"/>
    <col min="13565" max="13565" width="9" style="8" customWidth="1"/>
    <col min="13566" max="13567" width="9.85546875" style="8" customWidth="1"/>
    <col min="13568" max="13568" width="11.140625" style="8" customWidth="1"/>
    <col min="13569" max="13569" width="2.85546875" style="8" customWidth="1"/>
    <col min="13570" max="13570" width="3.5703125" style="8" customWidth="1"/>
    <col min="13571" max="13815" width="9.140625" style="8"/>
    <col min="13816" max="13816" width="8.7109375" style="8" customWidth="1"/>
    <col min="13817" max="13817" width="9.85546875" style="8" customWidth="1"/>
    <col min="13818" max="13818" width="14.42578125" style="8" customWidth="1"/>
    <col min="13819" max="13819" width="7.28515625" style="8" customWidth="1"/>
    <col min="13820" max="13820" width="5.5703125" style="8" customWidth="1"/>
    <col min="13821" max="13821" width="9" style="8" customWidth="1"/>
    <col min="13822" max="13823" width="9.85546875" style="8" customWidth="1"/>
    <col min="13824" max="13824" width="11.140625" style="8" customWidth="1"/>
    <col min="13825" max="13825" width="2.85546875" style="8" customWidth="1"/>
    <col min="13826" max="13826" width="3.5703125" style="8" customWidth="1"/>
    <col min="13827" max="14071" width="9.140625" style="8"/>
    <col min="14072" max="14072" width="8.7109375" style="8" customWidth="1"/>
    <col min="14073" max="14073" width="9.85546875" style="8" customWidth="1"/>
    <col min="14074" max="14074" width="14.42578125" style="8" customWidth="1"/>
    <col min="14075" max="14075" width="7.28515625" style="8" customWidth="1"/>
    <col min="14076" max="14076" width="5.5703125" style="8" customWidth="1"/>
    <col min="14077" max="14077" width="9" style="8" customWidth="1"/>
    <col min="14078" max="14079" width="9.85546875" style="8" customWidth="1"/>
    <col min="14080" max="14080" width="11.140625" style="8" customWidth="1"/>
    <col min="14081" max="14081" width="2.85546875" style="8" customWidth="1"/>
    <col min="14082" max="14082" width="3.5703125" style="8" customWidth="1"/>
    <col min="14083" max="14327" width="9.140625" style="8"/>
    <col min="14328" max="14328" width="8.7109375" style="8" customWidth="1"/>
    <col min="14329" max="14329" width="9.85546875" style="8" customWidth="1"/>
    <col min="14330" max="14330" width="14.42578125" style="8" customWidth="1"/>
    <col min="14331" max="14331" width="7.28515625" style="8" customWidth="1"/>
    <col min="14332" max="14332" width="5.5703125" style="8" customWidth="1"/>
    <col min="14333" max="14333" width="9" style="8" customWidth="1"/>
    <col min="14334" max="14335" width="9.85546875" style="8" customWidth="1"/>
    <col min="14336" max="14336" width="11.140625" style="8" customWidth="1"/>
    <col min="14337" max="14337" width="2.85546875" style="8" customWidth="1"/>
    <col min="14338" max="14338" width="3.5703125" style="8" customWidth="1"/>
    <col min="14339" max="14583" width="9.140625" style="8"/>
    <col min="14584" max="14584" width="8.7109375" style="8" customWidth="1"/>
    <col min="14585" max="14585" width="9.85546875" style="8" customWidth="1"/>
    <col min="14586" max="14586" width="14.42578125" style="8" customWidth="1"/>
    <col min="14587" max="14587" width="7.28515625" style="8" customWidth="1"/>
    <col min="14588" max="14588" width="5.5703125" style="8" customWidth="1"/>
    <col min="14589" max="14589" width="9" style="8" customWidth="1"/>
    <col min="14590" max="14591" width="9.85546875" style="8" customWidth="1"/>
    <col min="14592" max="14592" width="11.140625" style="8" customWidth="1"/>
    <col min="14593" max="14593" width="2.85546875" style="8" customWidth="1"/>
    <col min="14594" max="14594" width="3.5703125" style="8" customWidth="1"/>
    <col min="14595" max="14839" width="9.140625" style="8"/>
    <col min="14840" max="14840" width="8.7109375" style="8" customWidth="1"/>
    <col min="14841" max="14841" width="9.85546875" style="8" customWidth="1"/>
    <col min="14842" max="14842" width="14.42578125" style="8" customWidth="1"/>
    <col min="14843" max="14843" width="7.28515625" style="8" customWidth="1"/>
    <col min="14844" max="14844" width="5.5703125" style="8" customWidth="1"/>
    <col min="14845" max="14845" width="9" style="8" customWidth="1"/>
    <col min="14846" max="14847" width="9.85546875" style="8" customWidth="1"/>
    <col min="14848" max="14848" width="11.140625" style="8" customWidth="1"/>
    <col min="14849" max="14849" width="2.85546875" style="8" customWidth="1"/>
    <col min="14850" max="14850" width="3.5703125" style="8" customWidth="1"/>
    <col min="14851" max="15095" width="9.140625" style="8"/>
    <col min="15096" max="15096" width="8.7109375" style="8" customWidth="1"/>
    <col min="15097" max="15097" width="9.85546875" style="8" customWidth="1"/>
    <col min="15098" max="15098" width="14.42578125" style="8" customWidth="1"/>
    <col min="15099" max="15099" width="7.28515625" style="8" customWidth="1"/>
    <col min="15100" max="15100" width="5.5703125" style="8" customWidth="1"/>
    <col min="15101" max="15101" width="9" style="8" customWidth="1"/>
    <col min="15102" max="15103" width="9.85546875" style="8" customWidth="1"/>
    <col min="15104" max="15104" width="11.140625" style="8" customWidth="1"/>
    <col min="15105" max="15105" width="2.85546875" style="8" customWidth="1"/>
    <col min="15106" max="15106" width="3.5703125" style="8" customWidth="1"/>
    <col min="15107" max="15351" width="9.140625" style="8"/>
    <col min="15352" max="15352" width="8.7109375" style="8" customWidth="1"/>
    <col min="15353" max="15353" width="9.85546875" style="8" customWidth="1"/>
    <col min="15354" max="15354" width="14.42578125" style="8" customWidth="1"/>
    <col min="15355" max="15355" width="7.28515625" style="8" customWidth="1"/>
    <col min="15356" max="15356" width="5.5703125" style="8" customWidth="1"/>
    <col min="15357" max="15357" width="9" style="8" customWidth="1"/>
    <col min="15358" max="15359" width="9.85546875" style="8" customWidth="1"/>
    <col min="15360" max="15360" width="11.140625" style="8" customWidth="1"/>
    <col min="15361" max="15361" width="2.85546875" style="8" customWidth="1"/>
    <col min="15362" max="15362" width="3.5703125" style="8" customWidth="1"/>
    <col min="15363" max="15607" width="9.140625" style="8"/>
    <col min="15608" max="15608" width="8.7109375" style="8" customWidth="1"/>
    <col min="15609" max="15609" width="9.85546875" style="8" customWidth="1"/>
    <col min="15610" max="15610" width="14.42578125" style="8" customWidth="1"/>
    <col min="15611" max="15611" width="7.28515625" style="8" customWidth="1"/>
    <col min="15612" max="15612" width="5.5703125" style="8" customWidth="1"/>
    <col min="15613" max="15613" width="9" style="8" customWidth="1"/>
    <col min="15614" max="15615" width="9.85546875" style="8" customWidth="1"/>
    <col min="15616" max="15616" width="11.140625" style="8" customWidth="1"/>
    <col min="15617" max="15617" width="2.85546875" style="8" customWidth="1"/>
    <col min="15618" max="15618" width="3.5703125" style="8" customWidth="1"/>
    <col min="15619" max="15863" width="9.140625" style="8"/>
    <col min="15864" max="15864" width="8.7109375" style="8" customWidth="1"/>
    <col min="15865" max="15865" width="9.85546875" style="8" customWidth="1"/>
    <col min="15866" max="15866" width="14.42578125" style="8" customWidth="1"/>
    <col min="15867" max="15867" width="7.28515625" style="8" customWidth="1"/>
    <col min="15868" max="15868" width="5.5703125" style="8" customWidth="1"/>
    <col min="15869" max="15869" width="9" style="8" customWidth="1"/>
    <col min="15870" max="15871" width="9.85546875" style="8" customWidth="1"/>
    <col min="15872" max="15872" width="11.140625" style="8" customWidth="1"/>
    <col min="15873" max="15873" width="2.85546875" style="8" customWidth="1"/>
    <col min="15874" max="15874" width="3.5703125" style="8" customWidth="1"/>
    <col min="15875" max="16119" width="9.140625" style="8"/>
    <col min="16120" max="16120" width="8.7109375" style="8" customWidth="1"/>
    <col min="16121" max="16121" width="9.85546875" style="8" customWidth="1"/>
    <col min="16122" max="16122" width="14.42578125" style="8" customWidth="1"/>
    <col min="16123" max="16123" width="7.28515625" style="8" customWidth="1"/>
    <col min="16124" max="16124" width="5.5703125" style="8" customWidth="1"/>
    <col min="16125" max="16125" width="9" style="8" customWidth="1"/>
    <col min="16126" max="16127" width="9.85546875" style="8" customWidth="1"/>
    <col min="16128" max="16128" width="11.140625" style="8" customWidth="1"/>
    <col min="16129" max="16129" width="2.85546875" style="8" customWidth="1"/>
    <col min="16130" max="16130" width="3.5703125" style="8" customWidth="1"/>
    <col min="16131" max="16384" width="9.140625" style="8"/>
  </cols>
  <sheetData>
    <row r="1" spans="1:8" ht="46.5" customHeight="1" x14ac:dyDescent="0.25">
      <c r="A1" s="187" t="s">
        <v>268</v>
      </c>
      <c r="B1" s="187"/>
      <c r="C1" s="187"/>
      <c r="D1" s="187"/>
      <c r="E1" s="187"/>
      <c r="F1" s="187"/>
      <c r="G1" s="187"/>
      <c r="H1" s="187"/>
    </row>
    <row r="2" spans="1:8" ht="16.5" customHeight="1" x14ac:dyDescent="0.25">
      <c r="A2" s="160" t="s">
        <v>0</v>
      </c>
      <c r="B2" s="160"/>
      <c r="C2" s="160"/>
      <c r="D2" s="160"/>
      <c r="E2" s="160"/>
      <c r="F2" s="160"/>
      <c r="G2" s="160"/>
      <c r="H2" s="160"/>
    </row>
    <row r="3" spans="1:8" x14ac:dyDescent="0.25">
      <c r="A3" s="120" t="s">
        <v>1</v>
      </c>
      <c r="B3" s="120"/>
      <c r="C3" s="120"/>
      <c r="D3" s="120"/>
      <c r="E3" s="188" t="str">
        <f ca="1">TEXT(TODAY(),"DD/MM/YYYY")</f>
        <v>15/09/2025</v>
      </c>
      <c r="F3" s="188"/>
      <c r="G3" s="188"/>
      <c r="H3" s="188"/>
    </row>
    <row r="4" spans="1:8" ht="15" customHeight="1" x14ac:dyDescent="0.25">
      <c r="A4" s="120" t="s">
        <v>2</v>
      </c>
      <c r="B4" s="120"/>
      <c r="C4" s="120"/>
      <c r="D4" s="120"/>
      <c r="E4" s="184" t="s">
        <v>225</v>
      </c>
      <c r="F4" s="184"/>
      <c r="G4" s="184"/>
      <c r="H4" s="184"/>
    </row>
    <row r="5" spans="1:8" x14ac:dyDescent="0.25">
      <c r="A5" s="120" t="s">
        <v>3</v>
      </c>
      <c r="B5" s="120"/>
      <c r="C5" s="120"/>
      <c r="D5" s="120"/>
      <c r="E5" s="188">
        <v>45908</v>
      </c>
      <c r="F5" s="188"/>
      <c r="G5" s="188"/>
      <c r="H5" s="188"/>
    </row>
    <row r="6" spans="1:8" ht="16.5" customHeight="1" x14ac:dyDescent="0.25">
      <c r="A6" s="120" t="s">
        <v>4</v>
      </c>
      <c r="B6" s="120"/>
      <c r="C6" s="120"/>
      <c r="D6" s="120"/>
      <c r="E6" s="175" t="s">
        <v>226</v>
      </c>
      <c r="F6" s="175"/>
      <c r="G6" s="175"/>
      <c r="H6" s="175"/>
    </row>
    <row r="7" spans="1:8" ht="15" customHeight="1" x14ac:dyDescent="0.25">
      <c r="A7" s="120" t="s">
        <v>5</v>
      </c>
      <c r="B7" s="120"/>
      <c r="C7" s="120"/>
      <c r="D7" s="120"/>
      <c r="E7" s="175" t="str">
        <f>E6</f>
        <v>M/s.Shree Vastudeep Developers</v>
      </c>
      <c r="F7" s="175"/>
      <c r="G7" s="175"/>
      <c r="H7" s="175"/>
    </row>
    <row r="8" spans="1:8" x14ac:dyDescent="0.25">
      <c r="A8" s="120" t="s">
        <v>6</v>
      </c>
      <c r="B8" s="120"/>
      <c r="C8" s="120"/>
      <c r="D8" s="120"/>
      <c r="E8" s="172" t="s">
        <v>227</v>
      </c>
      <c r="F8" s="172"/>
      <c r="G8" s="172"/>
      <c r="H8" s="172"/>
    </row>
    <row r="9" spans="1:8" x14ac:dyDescent="0.25">
      <c r="A9" s="120" t="s">
        <v>161</v>
      </c>
      <c r="B9" s="120"/>
      <c r="C9" s="120"/>
      <c r="D9" s="120"/>
      <c r="E9" s="120" t="s">
        <v>265</v>
      </c>
      <c r="F9" s="120"/>
      <c r="G9" s="120"/>
      <c r="H9" s="120"/>
    </row>
    <row r="10" spans="1:8" x14ac:dyDescent="0.25">
      <c r="A10" s="109" t="s">
        <v>7</v>
      </c>
      <c r="B10" s="109"/>
      <c r="C10" s="109"/>
      <c r="D10" s="109"/>
      <c r="E10" s="109" t="s">
        <v>228</v>
      </c>
      <c r="F10" s="109"/>
      <c r="G10" s="109"/>
      <c r="H10" s="109"/>
    </row>
    <row r="11" spans="1:8" x14ac:dyDescent="0.25">
      <c r="A11" s="120" t="s">
        <v>8</v>
      </c>
      <c r="B11" s="120"/>
      <c r="C11" s="120"/>
      <c r="D11" s="120"/>
      <c r="E11" s="176" t="s">
        <v>247</v>
      </c>
      <c r="F11" s="176"/>
      <c r="G11" s="176"/>
      <c r="H11" s="176"/>
    </row>
    <row r="12" spans="1:8" x14ac:dyDescent="0.25">
      <c r="A12" s="120" t="s">
        <v>9</v>
      </c>
      <c r="B12" s="120"/>
      <c r="C12" s="120"/>
      <c r="D12" s="120"/>
      <c r="E12" s="176" t="s">
        <v>302</v>
      </c>
      <c r="F12" s="109"/>
      <c r="G12" s="109"/>
      <c r="H12" s="109"/>
    </row>
    <row r="13" spans="1:8" ht="32.25" customHeight="1" x14ac:dyDescent="0.25">
      <c r="A13" s="175" t="s">
        <v>10</v>
      </c>
      <c r="B13" s="175"/>
      <c r="C13" s="175" t="str">
        <f>CONCATENATE((IF(OR(E8="",E8="NA"),"",E8)),", ",(IF(OR(A14="",A14="NA"),"",A14)),".",(IF(OR(C14="",C14="NA"),"",C14)),", near ",(IF(OR(C18="",C18="NA"),"",C18)),", ",(IF(OR(C15="",C15="NA"),"",C15)),", ",(IF(OR(G15="",G15="NA"),"",G15)),", ",(IF(OR(C16="",C16="NA"),"",C16)),", ",(IF(OR(C17="",C17="NA"),"",C17)),", ",(IF(OR(G16="",G16="NA"),"",G16)),".")</f>
        <v>Dadamaharaj Heights, CTS No.224, 225, 226 &amp; 228, near Earth Pillar, Khadilkar Road, Girgaon, Charni Road, Mumbai (Ward ABCD), Mumbai.</v>
      </c>
      <c r="D13" s="175"/>
      <c r="E13" s="175"/>
      <c r="F13" s="175"/>
      <c r="G13" s="175"/>
      <c r="H13" s="175"/>
    </row>
    <row r="14" spans="1:8" x14ac:dyDescent="0.25">
      <c r="A14" s="176" t="s">
        <v>239</v>
      </c>
      <c r="B14" s="176"/>
      <c r="C14" s="176" t="s">
        <v>263</v>
      </c>
      <c r="D14" s="176"/>
      <c r="E14" s="176"/>
      <c r="F14" s="176"/>
      <c r="G14" s="176"/>
      <c r="H14" s="176"/>
    </row>
    <row r="15" spans="1:8" ht="15.75" customHeight="1" x14ac:dyDescent="0.25">
      <c r="A15" s="175" t="s">
        <v>11</v>
      </c>
      <c r="B15" s="175"/>
      <c r="C15" s="109" t="s">
        <v>262</v>
      </c>
      <c r="D15" s="109"/>
      <c r="E15" s="175" t="s">
        <v>230</v>
      </c>
      <c r="F15" s="175"/>
      <c r="G15" s="176" t="s">
        <v>229</v>
      </c>
      <c r="H15" s="176"/>
    </row>
    <row r="16" spans="1:8" x14ac:dyDescent="0.25">
      <c r="A16" s="120" t="s">
        <v>13</v>
      </c>
      <c r="B16" s="120"/>
      <c r="C16" s="176" t="s">
        <v>237</v>
      </c>
      <c r="D16" s="176"/>
      <c r="E16" s="175" t="s">
        <v>12</v>
      </c>
      <c r="F16" s="175"/>
      <c r="G16" s="185" t="s">
        <v>231</v>
      </c>
      <c r="H16" s="185"/>
    </row>
    <row r="17" spans="1:8" x14ac:dyDescent="0.25">
      <c r="A17" s="120" t="s">
        <v>104</v>
      </c>
      <c r="B17" s="120"/>
      <c r="C17" s="185" t="s">
        <v>232</v>
      </c>
      <c r="D17" s="185"/>
      <c r="E17" s="175" t="s">
        <v>14</v>
      </c>
      <c r="F17" s="175"/>
      <c r="G17" s="176">
        <v>400004</v>
      </c>
      <c r="H17" s="176"/>
    </row>
    <row r="18" spans="1:8" ht="32.25" customHeight="1" x14ac:dyDescent="0.25">
      <c r="A18" s="120" t="s">
        <v>164</v>
      </c>
      <c r="B18" s="120"/>
      <c r="C18" s="186" t="s">
        <v>236</v>
      </c>
      <c r="D18" s="186"/>
      <c r="E18" s="175" t="s">
        <v>15</v>
      </c>
      <c r="F18" s="175"/>
      <c r="G18" s="176" t="s">
        <v>238</v>
      </c>
      <c r="H18" s="176"/>
    </row>
    <row r="19" spans="1:8" ht="15" customHeight="1" x14ac:dyDescent="0.25">
      <c r="A19" s="175" t="s">
        <v>109</v>
      </c>
      <c r="B19" s="175"/>
      <c r="C19" s="175"/>
      <c r="D19" s="175"/>
      <c r="E19" s="109" t="s">
        <v>16</v>
      </c>
      <c r="F19" s="109"/>
      <c r="G19" s="109"/>
      <c r="H19" s="109"/>
    </row>
    <row r="20" spans="1:8" ht="18.75" customHeight="1" x14ac:dyDescent="0.25">
      <c r="A20" s="175"/>
      <c r="B20" s="175"/>
      <c r="C20" s="175"/>
      <c r="D20" s="175"/>
      <c r="E20" s="109"/>
      <c r="F20" s="109"/>
      <c r="G20" s="109"/>
      <c r="H20" s="109"/>
    </row>
    <row r="21" spans="1:8" ht="15" customHeight="1" x14ac:dyDescent="0.25">
      <c r="A21" s="175" t="s">
        <v>17</v>
      </c>
      <c r="B21" s="175"/>
      <c r="C21" s="175"/>
      <c r="D21" s="175"/>
      <c r="E21" s="176" t="s">
        <v>18</v>
      </c>
      <c r="F21" s="176"/>
      <c r="G21" s="176"/>
      <c r="H21" s="176"/>
    </row>
    <row r="22" spans="1:8" ht="15" customHeight="1" x14ac:dyDescent="0.25">
      <c r="A22" s="120" t="s">
        <v>19</v>
      </c>
      <c r="B22" s="120"/>
      <c r="C22" s="120"/>
      <c r="D22" s="120"/>
      <c r="E22" s="176" t="str">
        <f>IF(AND(G16="Mumbai"),"Upper Class","Middle Class")</f>
        <v>Upper Class</v>
      </c>
      <c r="F22" s="176"/>
      <c r="G22" s="176"/>
      <c r="H22" s="176"/>
    </row>
    <row r="23" spans="1:8" x14ac:dyDescent="0.25">
      <c r="A23" s="120" t="s">
        <v>20</v>
      </c>
      <c r="B23" s="120"/>
      <c r="C23" s="120"/>
      <c r="D23" s="120"/>
      <c r="E23" s="176" t="s">
        <v>21</v>
      </c>
      <c r="F23" s="176"/>
      <c r="G23" s="176"/>
      <c r="H23" s="176"/>
    </row>
    <row r="24" spans="1:8" ht="15.75" customHeight="1" x14ac:dyDescent="0.25">
      <c r="A24" s="120" t="s">
        <v>22</v>
      </c>
      <c r="B24" s="120"/>
      <c r="C24" s="120"/>
      <c r="D24" s="120"/>
      <c r="E24" s="176" t="str">
        <f>IF(AND(G16="Mumbai"),"Developed","Developing")</f>
        <v>Developed</v>
      </c>
      <c r="F24" s="176"/>
      <c r="G24" s="176"/>
      <c r="H24" s="176"/>
    </row>
    <row r="25" spans="1:8" x14ac:dyDescent="0.25">
      <c r="A25" s="120" t="s">
        <v>23</v>
      </c>
      <c r="B25" s="120"/>
      <c r="C25" s="120"/>
      <c r="D25" s="120"/>
      <c r="E25" s="176" t="s">
        <v>24</v>
      </c>
      <c r="F25" s="176"/>
      <c r="G25" s="176"/>
      <c r="H25" s="176"/>
    </row>
    <row r="26" spans="1:8" x14ac:dyDescent="0.25">
      <c r="A26" s="120" t="s">
        <v>117</v>
      </c>
      <c r="B26" s="120"/>
      <c r="C26" s="120"/>
      <c r="D26" s="120"/>
      <c r="E26" s="176" t="s">
        <v>118</v>
      </c>
      <c r="F26" s="176"/>
      <c r="G26" s="176"/>
      <c r="H26" s="176"/>
    </row>
    <row r="27" spans="1:8" ht="15" customHeight="1" x14ac:dyDescent="0.25">
      <c r="A27" s="175" t="s">
        <v>35</v>
      </c>
      <c r="B27" s="175"/>
      <c r="C27" s="175"/>
      <c r="D27" s="175"/>
      <c r="E27" s="184" t="s">
        <v>113</v>
      </c>
      <c r="F27" s="184"/>
      <c r="G27" s="184"/>
      <c r="H27" s="184"/>
    </row>
    <row r="28" spans="1:8" x14ac:dyDescent="0.25">
      <c r="A28" s="175" t="s">
        <v>129</v>
      </c>
      <c r="B28" s="175"/>
      <c r="C28" s="175"/>
      <c r="D28" s="175"/>
      <c r="E28" s="175" t="s">
        <v>36</v>
      </c>
      <c r="F28" s="175"/>
      <c r="G28" s="175"/>
      <c r="H28" s="175"/>
    </row>
    <row r="29" spans="1:8" s="11" customFormat="1" x14ac:dyDescent="0.25">
      <c r="A29" s="182" t="s">
        <v>130</v>
      </c>
      <c r="B29" s="182"/>
      <c r="C29" s="178" t="s">
        <v>29</v>
      </c>
      <c r="D29" s="178"/>
      <c r="E29" s="178"/>
      <c r="F29" s="178" t="s">
        <v>31</v>
      </c>
      <c r="G29" s="178"/>
      <c r="H29" s="178"/>
    </row>
    <row r="30" spans="1:8" s="11" customFormat="1" x14ac:dyDescent="0.25">
      <c r="A30" s="181" t="s">
        <v>25</v>
      </c>
      <c r="B30" s="181" t="s">
        <v>30</v>
      </c>
      <c r="C30" s="177" t="s">
        <v>30</v>
      </c>
      <c r="D30" s="177"/>
      <c r="E30" s="177"/>
      <c r="F30" s="177" t="s">
        <v>235</v>
      </c>
      <c r="G30" s="177"/>
      <c r="H30" s="177"/>
    </row>
    <row r="31" spans="1:8" x14ac:dyDescent="0.25">
      <c r="A31" s="181" t="s">
        <v>26</v>
      </c>
      <c r="B31" s="181" t="s">
        <v>30</v>
      </c>
      <c r="C31" s="177" t="s">
        <v>30</v>
      </c>
      <c r="D31" s="177"/>
      <c r="E31" s="177"/>
      <c r="F31" s="177" t="s">
        <v>235</v>
      </c>
      <c r="G31" s="177"/>
      <c r="H31" s="177"/>
    </row>
    <row r="32" spans="1:8" s="11" customFormat="1" x14ac:dyDescent="0.25">
      <c r="A32" s="181" t="s">
        <v>28</v>
      </c>
      <c r="B32" s="181" t="s">
        <v>30</v>
      </c>
      <c r="C32" s="177" t="s">
        <v>30</v>
      </c>
      <c r="D32" s="177"/>
      <c r="E32" s="177"/>
      <c r="F32" s="177" t="s">
        <v>233</v>
      </c>
      <c r="G32" s="177"/>
      <c r="H32" s="177"/>
    </row>
    <row r="33" spans="1:9" x14ac:dyDescent="0.25">
      <c r="A33" s="181" t="s">
        <v>27</v>
      </c>
      <c r="B33" s="181" t="s">
        <v>30</v>
      </c>
      <c r="C33" s="177" t="s">
        <v>30</v>
      </c>
      <c r="D33" s="177"/>
      <c r="E33" s="177"/>
      <c r="F33" s="177" t="s">
        <v>234</v>
      </c>
      <c r="G33" s="177"/>
      <c r="H33" s="177"/>
    </row>
    <row r="34" spans="1:9" x14ac:dyDescent="0.25">
      <c r="A34" s="120" t="s">
        <v>32</v>
      </c>
      <c r="B34" s="120"/>
      <c r="C34" s="120"/>
      <c r="D34" s="120"/>
      <c r="E34" s="120"/>
      <c r="F34" s="120"/>
      <c r="G34" s="120"/>
      <c r="H34" s="120"/>
    </row>
    <row r="35" spans="1:9" ht="15.75" customHeight="1" x14ac:dyDescent="0.25">
      <c r="A35" s="160" t="s">
        <v>33</v>
      </c>
      <c r="B35" s="160"/>
      <c r="C35" s="179">
        <v>18.954802099999998</v>
      </c>
      <c r="D35" s="179"/>
      <c r="E35" s="160" t="s">
        <v>34</v>
      </c>
      <c r="F35" s="160"/>
      <c r="G35" s="180">
        <v>72.820360100000002</v>
      </c>
      <c r="H35" s="180"/>
    </row>
    <row r="36" spans="1:9" ht="15.75" customHeight="1" x14ac:dyDescent="0.25">
      <c r="A36" s="160" t="s">
        <v>269</v>
      </c>
      <c r="B36" s="160"/>
      <c r="C36" s="213" t="s">
        <v>270</v>
      </c>
      <c r="D36" s="214"/>
      <c r="E36" s="214"/>
      <c r="F36" s="214"/>
      <c r="G36" s="214"/>
      <c r="H36" s="215"/>
    </row>
    <row r="37" spans="1:9" x14ac:dyDescent="0.25">
      <c r="A37" s="172" t="s">
        <v>37</v>
      </c>
      <c r="B37" s="172"/>
      <c r="C37" s="172"/>
      <c r="D37" s="172"/>
      <c r="E37" s="172"/>
      <c r="F37" s="172"/>
      <c r="G37" s="172"/>
      <c r="H37" s="172"/>
    </row>
    <row r="38" spans="1:9" x14ac:dyDescent="0.25">
      <c r="A38" s="120" t="s">
        <v>38</v>
      </c>
      <c r="B38" s="120"/>
      <c r="C38" s="120"/>
      <c r="D38" s="120"/>
      <c r="E38" s="163">
        <v>2352.58</v>
      </c>
      <c r="F38" s="163"/>
      <c r="G38" s="163"/>
      <c r="H38" s="163"/>
    </row>
    <row r="39" spans="1:9" x14ac:dyDescent="0.25">
      <c r="A39" s="120" t="s">
        <v>39</v>
      </c>
      <c r="B39" s="120"/>
      <c r="C39" s="120"/>
      <c r="D39" s="120"/>
      <c r="E39" s="183">
        <v>1</v>
      </c>
      <c r="F39" s="183"/>
      <c r="G39" s="183"/>
      <c r="H39" s="183"/>
      <c r="I39" s="76">
        <f>E38/13813.63</f>
        <v>0.17030860099771022</v>
      </c>
    </row>
    <row r="40" spans="1:9" x14ac:dyDescent="0.25">
      <c r="A40" s="120" t="s">
        <v>40</v>
      </c>
      <c r="B40" s="120"/>
      <c r="C40" s="120"/>
      <c r="D40" s="120"/>
      <c r="E40" s="170">
        <f>E42/E38-E39</f>
        <v>4.8349811696095353</v>
      </c>
      <c r="F40" s="170"/>
      <c r="G40" s="170"/>
      <c r="H40" s="170"/>
    </row>
    <row r="41" spans="1:9" x14ac:dyDescent="0.25">
      <c r="A41" s="120" t="s">
        <v>41</v>
      </c>
      <c r="B41" s="120"/>
      <c r="C41" s="120"/>
      <c r="D41" s="120"/>
      <c r="E41" s="170">
        <f>E39+E40</f>
        <v>5.8349811696095353</v>
      </c>
      <c r="F41" s="170"/>
      <c r="G41" s="170"/>
      <c r="H41" s="170"/>
    </row>
    <row r="42" spans="1:9" x14ac:dyDescent="0.25">
      <c r="A42" s="120" t="s">
        <v>128</v>
      </c>
      <c r="B42" s="120"/>
      <c r="C42" s="120"/>
      <c r="D42" s="120"/>
      <c r="E42" s="171">
        <v>13727.26</v>
      </c>
      <c r="F42" s="171"/>
      <c r="G42" s="171"/>
      <c r="H42" s="171"/>
    </row>
    <row r="43" spans="1:9" x14ac:dyDescent="0.25">
      <c r="A43" s="109" t="s">
        <v>42</v>
      </c>
      <c r="B43" s="109"/>
      <c r="C43" s="109"/>
      <c r="D43" s="109"/>
      <c r="E43" s="109" t="s">
        <v>162</v>
      </c>
      <c r="F43" s="109"/>
      <c r="G43" s="109"/>
      <c r="H43" s="109"/>
    </row>
    <row r="44" spans="1:9" x14ac:dyDescent="0.25">
      <c r="A44" s="172" t="s">
        <v>43</v>
      </c>
      <c r="B44" s="172"/>
      <c r="C44" s="172"/>
      <c r="D44" s="172"/>
      <c r="E44" s="172"/>
      <c r="F44" s="172"/>
      <c r="G44" s="172"/>
      <c r="H44" s="172"/>
    </row>
    <row r="45" spans="1:9" x14ac:dyDescent="0.25">
      <c r="A45" s="176" t="s">
        <v>44</v>
      </c>
      <c r="B45" s="176"/>
      <c r="C45" s="190" t="s">
        <v>275</v>
      </c>
      <c r="D45" s="190"/>
      <c r="E45" s="190"/>
      <c r="F45" s="52" t="s">
        <v>45</v>
      </c>
      <c r="G45" s="192">
        <v>45562</v>
      </c>
      <c r="H45" s="192"/>
    </row>
    <row r="46" spans="1:9" x14ac:dyDescent="0.25">
      <c r="A46" s="109" t="s">
        <v>46</v>
      </c>
      <c r="B46" s="109"/>
      <c r="C46" s="190" t="str">
        <f>C45</f>
        <v>CHE/CTY/1316/D/337</v>
      </c>
      <c r="D46" s="190"/>
      <c r="E46" s="190"/>
      <c r="F46" s="52" t="s">
        <v>45</v>
      </c>
      <c r="G46" s="192">
        <f>G45</f>
        <v>45562</v>
      </c>
      <c r="H46" s="192"/>
    </row>
    <row r="47" spans="1:9" s="10" customFormat="1" ht="31.5" customHeight="1" x14ac:dyDescent="0.25">
      <c r="A47" s="176" t="s">
        <v>47</v>
      </c>
      <c r="B47" s="176"/>
      <c r="C47" s="190" t="s">
        <v>274</v>
      </c>
      <c r="D47" s="191"/>
      <c r="E47" s="191"/>
      <c r="F47" s="13" t="s">
        <v>45</v>
      </c>
      <c r="G47" s="192">
        <v>45569</v>
      </c>
      <c r="H47" s="192"/>
    </row>
    <row r="48" spans="1:9" s="10" customFormat="1" ht="63.6" customHeight="1" x14ac:dyDescent="0.25">
      <c r="A48" s="176"/>
      <c r="B48" s="176"/>
      <c r="C48" s="190" t="s">
        <v>304</v>
      </c>
      <c r="D48" s="191"/>
      <c r="E48" s="191"/>
      <c r="F48" s="33" t="s">
        <v>163</v>
      </c>
      <c r="G48" s="223">
        <v>45884</v>
      </c>
      <c r="H48" s="223"/>
    </row>
    <row r="49" spans="1:14" s="10" customFormat="1" ht="47.25" customHeight="1" x14ac:dyDescent="0.25">
      <c r="A49" s="193" t="s">
        <v>248</v>
      </c>
      <c r="B49" s="194"/>
      <c r="C49" s="190" t="s">
        <v>249</v>
      </c>
      <c r="D49" s="191"/>
      <c r="E49" s="191"/>
      <c r="F49" s="13" t="s">
        <v>45</v>
      </c>
      <c r="G49" s="192" t="s">
        <v>250</v>
      </c>
      <c r="H49" s="192"/>
    </row>
    <row r="50" spans="1:14" s="10" customFormat="1" x14ac:dyDescent="0.25">
      <c r="A50" s="193" t="s">
        <v>251</v>
      </c>
      <c r="B50" s="194"/>
      <c r="C50" s="190" t="s">
        <v>252</v>
      </c>
      <c r="D50" s="191"/>
      <c r="E50" s="191"/>
      <c r="F50" s="13" t="s">
        <v>45</v>
      </c>
      <c r="G50" s="192" t="s">
        <v>253</v>
      </c>
      <c r="H50" s="192"/>
    </row>
    <row r="51" spans="1:14" x14ac:dyDescent="0.25">
      <c r="A51" s="96" t="s">
        <v>48</v>
      </c>
      <c r="B51" s="96"/>
      <c r="C51" s="202" t="s">
        <v>145</v>
      </c>
      <c r="D51" s="203"/>
      <c r="E51" s="203" t="s">
        <v>49</v>
      </c>
      <c r="F51" s="56" t="s">
        <v>45</v>
      </c>
      <c r="G51" s="204" t="s">
        <v>30</v>
      </c>
      <c r="H51" s="204"/>
    </row>
    <row r="52" spans="1:14" x14ac:dyDescent="0.25">
      <c r="A52" s="200" t="s">
        <v>51</v>
      </c>
      <c r="B52" s="200"/>
      <c r="C52" s="200"/>
      <c r="D52" s="200"/>
      <c r="E52" s="200"/>
      <c r="F52" s="200"/>
      <c r="G52" s="200"/>
      <c r="H52" s="200"/>
    </row>
    <row r="53" spans="1:14" x14ac:dyDescent="0.25">
      <c r="A53" s="175" t="s">
        <v>127</v>
      </c>
      <c r="B53" s="175"/>
      <c r="C53" s="175"/>
      <c r="D53" s="120">
        <f>E42</f>
        <v>13727.26</v>
      </c>
      <c r="E53" s="120"/>
      <c r="F53" s="120"/>
      <c r="G53" s="120"/>
      <c r="H53" s="120"/>
    </row>
    <row r="54" spans="1:14" ht="15.75" customHeight="1" x14ac:dyDescent="0.25">
      <c r="A54" s="110" t="s">
        <v>52</v>
      </c>
      <c r="B54" s="111"/>
      <c r="C54" s="112"/>
      <c r="D54" s="109" t="s">
        <v>299</v>
      </c>
      <c r="E54" s="109"/>
      <c r="F54" s="109"/>
      <c r="G54" s="109"/>
      <c r="H54" s="109"/>
      <c r="I54" s="36"/>
    </row>
    <row r="55" spans="1:14" ht="15.75" customHeight="1" x14ac:dyDescent="0.25">
      <c r="A55" s="113"/>
      <c r="B55" s="114"/>
      <c r="C55" s="115"/>
      <c r="D55" s="109" t="s">
        <v>300</v>
      </c>
      <c r="E55" s="109"/>
      <c r="F55" s="109"/>
      <c r="G55" s="109"/>
      <c r="H55" s="109"/>
      <c r="I55" s="36"/>
    </row>
    <row r="56" spans="1:14" ht="17.25" customHeight="1" x14ac:dyDescent="0.25">
      <c r="A56" s="110" t="s">
        <v>53</v>
      </c>
      <c r="B56" s="111"/>
      <c r="C56" s="112"/>
      <c r="D56" s="173" t="s">
        <v>284</v>
      </c>
      <c r="E56" s="174"/>
      <c r="F56" s="174"/>
      <c r="G56" s="174"/>
      <c r="H56" s="174"/>
    </row>
    <row r="57" spans="1:14" x14ac:dyDescent="0.25">
      <c r="A57" s="110" t="s">
        <v>125</v>
      </c>
      <c r="B57" s="111"/>
      <c r="C57" s="111"/>
      <c r="D57" s="109" t="s">
        <v>255</v>
      </c>
      <c r="E57" s="109"/>
      <c r="F57" s="109"/>
      <c r="G57" s="109"/>
      <c r="H57" s="109"/>
    </row>
    <row r="58" spans="1:14" ht="15.75" hidden="1" customHeight="1" x14ac:dyDescent="0.25">
      <c r="A58" s="206"/>
      <c r="B58" s="207"/>
      <c r="C58" s="207"/>
      <c r="D58" s="109" t="s">
        <v>285</v>
      </c>
      <c r="E58" s="109"/>
      <c r="F58" s="109"/>
      <c r="G58" s="109"/>
      <c r="H58" s="109"/>
    </row>
    <row r="59" spans="1:14" ht="15.75" customHeight="1" x14ac:dyDescent="0.25">
      <c r="A59" s="120" t="s">
        <v>50</v>
      </c>
      <c r="B59" s="120"/>
      <c r="C59" s="120"/>
      <c r="D59" s="175" t="s">
        <v>303</v>
      </c>
      <c r="E59" s="175"/>
      <c r="F59" s="175"/>
      <c r="G59" s="175"/>
      <c r="H59" s="175"/>
      <c r="J59" s="35"/>
      <c r="K59" s="36"/>
      <c r="N59" s="36"/>
    </row>
    <row r="60" spans="1:14" ht="15.75" customHeight="1" x14ac:dyDescent="0.25">
      <c r="A60" s="120" t="s">
        <v>123</v>
      </c>
      <c r="B60" s="120"/>
      <c r="C60" s="120"/>
      <c r="D60" s="169" t="str">
        <f>(IF(G51="NA","60 Years After Completion",IF(G51&lt;&gt;"NA",""&amp;ROUNDDOWN((E3-G51)/360,0)&amp;" Years"," ")))</f>
        <v>60 Years After Completion</v>
      </c>
      <c r="E60" s="169"/>
      <c r="F60" s="169"/>
      <c r="G60" s="169"/>
      <c r="H60" s="169"/>
      <c r="N60" s="36"/>
    </row>
    <row r="61" spans="1:14" ht="15.75" customHeight="1" x14ac:dyDescent="0.25">
      <c r="A61" s="120" t="s">
        <v>124</v>
      </c>
      <c r="B61" s="120"/>
      <c r="C61" s="120"/>
      <c r="D61" s="175" t="s">
        <v>24</v>
      </c>
      <c r="E61" s="175"/>
      <c r="F61" s="175"/>
      <c r="G61" s="175"/>
      <c r="H61" s="175"/>
      <c r="J61" s="20"/>
      <c r="K61" s="20"/>
    </row>
    <row r="62" spans="1:14" ht="15.75" customHeight="1" thickBot="1" x14ac:dyDescent="0.3">
      <c r="A62" s="189" t="s">
        <v>122</v>
      </c>
      <c r="B62" s="189"/>
      <c r="C62" s="189"/>
      <c r="D62" s="173" t="str">
        <f ca="1">(IF(G67&gt;95%,"Nothing",IF(G67&gt;0%,"Cement, Aggregate, Steel, etc",IF(G67=0%,"Work not yet Started"))))</f>
        <v>Cement, Aggregate, Steel, etc</v>
      </c>
      <c r="E62" s="173"/>
      <c r="F62" s="173"/>
      <c r="G62" s="173"/>
      <c r="H62" s="173"/>
      <c r="J62" s="20"/>
    </row>
    <row r="63" spans="1:14" ht="15.75" hidden="1" customHeight="1" x14ac:dyDescent="0.25">
      <c r="A63" s="89" t="s">
        <v>182</v>
      </c>
      <c r="B63" s="90"/>
      <c r="C63" s="91" t="s">
        <v>295</v>
      </c>
      <c r="D63" s="92"/>
      <c r="E63" s="92"/>
      <c r="F63" s="92"/>
      <c r="G63" s="92"/>
      <c r="H63" s="93"/>
      <c r="I63" s="39" t="str">
        <f ca="1">(IF(E67&gt;99%,"All work completed. Please provide OC.",IF(E67&gt;89.8%,"Plinth, RCC, Brick, Plaster, Flooring, Painting work Completed. Finishing work is in process.",IF(E67&lt;94%,(IF(C67=0,"Work not yet Started.",IF(D67=25%,"Piling work in process",IF(D67=50%,"Excavation work in process",IF(D67=100%,"Excavation work Completed. ","0")))&amp;(IF(C68=0%,"",IF(C68=J69,"Footing work is process",IF(C68=J70,"Footing work Completed",IF(C68=J71,"1st Basement Completed",IF(C68=J72,"1st &amp; 2nd Basement Completed",IF(C68=J73,"1st to 3rd Basement Completed",IF(C68=J74,"1st to 4th Basement Completed",IF(C68=J75,"Plinth work is process",IF(C68=J76,"Plinth work completed","0")))))))))))&amp;(IF(C69=(D64+F64+H64),", RCC Slab",IF(C69&gt;0,", RCC upto "&amp;C69&amp;" Slab",""))&amp;(IF(C70=H64,", Brickwork",IF(C70&gt;0,", Brickwork upto "&amp;C70&amp;" Floor",""))&amp;(IF(C71=H64,", Internal Plaster",IF(C71&gt;0,", Internal Plaster upto "&amp;C71&amp;" Floor",""))&amp;(IF(C72=H64,", External Plaster",IF(C72&gt;0,", External Plaster upto "&amp;C72&amp;" Floor",""))&amp;(IF(C73=H64,", Flooring",IF(C73&gt;0,", Flooring upto "&amp;C73&amp;" Floor",""))&amp;(IF(C74=H64,", Painting",IF(C74&gt;0,", Painting upto "&amp;C74&amp;" Floor",""))&amp;(IF(C75&gt;0,", Finishing upto "&amp;C75&amp;" Floor","")&amp;(IF(C69&gt;0.5," Completed",""))))))))))))))</f>
        <v>Excavation work Completed. Plinth work completed, RCC upto 23 Slab, Brickwork upto 20 Floor, Internal Plaster upto 18 Floor, External Plaster upto 10 Floor, Flooring upto 7 Floor, Painting upto 7 Floor Completed</v>
      </c>
      <c r="J63" s="22"/>
    </row>
    <row r="64" spans="1:14" hidden="1" x14ac:dyDescent="0.25">
      <c r="A64" s="45" t="s">
        <v>184</v>
      </c>
      <c r="B64" s="49">
        <v>0</v>
      </c>
      <c r="C64" s="49" t="s">
        <v>103</v>
      </c>
      <c r="D64" s="49">
        <v>1</v>
      </c>
      <c r="E64" s="49" t="s">
        <v>102</v>
      </c>
      <c r="F64" s="49">
        <v>0</v>
      </c>
      <c r="G64" s="49" t="s">
        <v>116</v>
      </c>
      <c r="H64" s="51">
        <f ca="1">--TRIM(RIGHT(SUBSTITUTE(LEFT(C63,_xlfn.AGGREGATE(16,6,FIND({0,1,2,3,4,5,6,7,8,9},C63,ROW(INDIRECT("1:"&amp;LEN(C63)))),1))," ",REPT(" ",LEN(C63))),LEN(C63)))</f>
        <v>23</v>
      </c>
      <c r="I64" s="20"/>
      <c r="J64" s="23"/>
    </row>
    <row r="65" spans="1:12" ht="49.5" hidden="1" customHeight="1" x14ac:dyDescent="0.25">
      <c r="A65" s="94" t="s">
        <v>126</v>
      </c>
      <c r="B65" s="95"/>
      <c r="C65" s="96" t="str">
        <f ca="1">I63</f>
        <v>Excavation work Completed. Plinth work completed, RCC upto 23 Slab, Brickwork upto 20 Floor, Internal Plaster upto 18 Floor, External Plaster upto 10 Floor, Flooring upto 7 Floor, Painting upto 7 Floor Completed</v>
      </c>
      <c r="D65" s="96"/>
      <c r="E65" s="96"/>
      <c r="F65" s="96"/>
      <c r="G65" s="96"/>
      <c r="H65" s="97"/>
      <c r="I65" s="20" t="s">
        <v>144</v>
      </c>
      <c r="J65" s="23"/>
    </row>
    <row r="66" spans="1:12" ht="15.75" hidden="1" customHeight="1" x14ac:dyDescent="0.25">
      <c r="A66" s="98" t="s">
        <v>54</v>
      </c>
      <c r="B66" s="99"/>
      <c r="C66" s="57" t="s">
        <v>181</v>
      </c>
      <c r="D66" s="57" t="s">
        <v>119</v>
      </c>
      <c r="E66" s="99" t="s">
        <v>121</v>
      </c>
      <c r="F66" s="99"/>
      <c r="G66" s="99" t="s">
        <v>120</v>
      </c>
      <c r="H66" s="100"/>
      <c r="I66" s="34" t="s">
        <v>183</v>
      </c>
      <c r="J66" s="24">
        <f ca="1">H64*25%</f>
        <v>5.75</v>
      </c>
    </row>
    <row r="67" spans="1:12" hidden="1" x14ac:dyDescent="0.25">
      <c r="A67" s="98" t="s">
        <v>170</v>
      </c>
      <c r="B67" s="99"/>
      <c r="C67" s="58">
        <f ca="1">J68</f>
        <v>23</v>
      </c>
      <c r="D67" s="68">
        <f ca="1">((100/H64)*C67)/100</f>
        <v>1</v>
      </c>
      <c r="E67" s="101">
        <f ca="1">(((C68/H64*10)+(40/(D64+F64+H64)*C69)+(7.5/(H64)*C70)+(7.5/(H64)*C71)+(10/H64*C72)+(10/H64*C73)+(5/H64*C74)+(5/H64*C75)+(5/H64*C76))/100)</f>
        <v>0.69637681159420284</v>
      </c>
      <c r="F67" s="101"/>
      <c r="G67" s="101">
        <f ca="1">((((C67/H64)*20)+((C68/H64)*25)+(30/(H64+F64+D64)*C69)+(5/H64*C70)+(5/H64*C71)+(5/H64*C72)+(5/H64*C73)+(0/H64*C74)+(0/H64*C75)+(5/H64*C76))/100)</f>
        <v>0.85706521739130437</v>
      </c>
      <c r="H67" s="164"/>
      <c r="I67" s="34" t="s">
        <v>139</v>
      </c>
      <c r="J67" s="38">
        <f ca="1">H64*50%</f>
        <v>11.5</v>
      </c>
    </row>
    <row r="68" spans="1:12" hidden="1" x14ac:dyDescent="0.25">
      <c r="A68" s="98" t="s">
        <v>55</v>
      </c>
      <c r="B68" s="99"/>
      <c r="C68" s="70">
        <f ca="1">J76</f>
        <v>23</v>
      </c>
      <c r="D68" s="68">
        <f ca="1">((100/H64)*C68)/100</f>
        <v>1</v>
      </c>
      <c r="E68" s="101"/>
      <c r="F68" s="101"/>
      <c r="G68" s="101"/>
      <c r="H68" s="164"/>
      <c r="I68" s="34" t="s">
        <v>140</v>
      </c>
      <c r="J68" s="38">
        <f ca="1">H64</f>
        <v>23</v>
      </c>
    </row>
    <row r="69" spans="1:12" ht="15.75" hidden="1" customHeight="1" x14ac:dyDescent="0.25">
      <c r="A69" s="98" t="s">
        <v>240</v>
      </c>
      <c r="B69" s="99"/>
      <c r="C69" s="70">
        <v>23</v>
      </c>
      <c r="D69" s="68">
        <f ca="1">((100/(D64+F64+H64))*C69)/100</f>
        <v>0.95833333333333348</v>
      </c>
      <c r="E69" s="101"/>
      <c r="F69" s="101"/>
      <c r="G69" s="101"/>
      <c r="H69" s="164"/>
      <c r="I69" s="34" t="s">
        <v>141</v>
      </c>
      <c r="J69" s="42">
        <f ca="1">(IF(B64&gt;1,(H64/(B64+2)),H64/4))</f>
        <v>5.75</v>
      </c>
      <c r="L69" s="11" t="s">
        <v>297</v>
      </c>
    </row>
    <row r="70" spans="1:12" ht="15.75" hidden="1" customHeight="1" x14ac:dyDescent="0.25">
      <c r="A70" s="98" t="s">
        <v>178</v>
      </c>
      <c r="B70" s="99" t="s">
        <v>172</v>
      </c>
      <c r="C70" s="58">
        <v>20</v>
      </c>
      <c r="D70" s="68">
        <f ca="1">((100/H64)*C70)/100</f>
        <v>0.86956521739130432</v>
      </c>
      <c r="E70" s="101"/>
      <c r="F70" s="101"/>
      <c r="G70" s="101"/>
      <c r="H70" s="164"/>
      <c r="I70" s="34" t="s">
        <v>142</v>
      </c>
      <c r="J70" s="42">
        <f ca="1">(IF(B64&gt;1,(H64/(B64+2)+J69),H64/4+J69))</f>
        <v>11.5</v>
      </c>
      <c r="L70" s="8" t="s">
        <v>298</v>
      </c>
    </row>
    <row r="71" spans="1:12" ht="15.75" hidden="1" customHeight="1" x14ac:dyDescent="0.25">
      <c r="A71" s="98" t="s">
        <v>179</v>
      </c>
      <c r="B71" s="99" t="s">
        <v>172</v>
      </c>
      <c r="C71" s="58">
        <v>18</v>
      </c>
      <c r="D71" s="68">
        <f ca="1">((100/H64)*C71)/100</f>
        <v>0.78260869565217395</v>
      </c>
      <c r="E71" s="101"/>
      <c r="F71" s="101"/>
      <c r="G71" s="101"/>
      <c r="H71" s="164"/>
      <c r="I71" s="34" t="s">
        <v>188</v>
      </c>
      <c r="J71" s="42">
        <f>(IF(B64&gt;1,(H64/(B64+2)+J70),0))</f>
        <v>0</v>
      </c>
    </row>
    <row r="72" spans="1:12" ht="15" hidden="1" customHeight="1" x14ac:dyDescent="0.25">
      <c r="A72" s="98" t="s">
        <v>177</v>
      </c>
      <c r="B72" s="99" t="s">
        <v>174</v>
      </c>
      <c r="C72" s="58">
        <v>10</v>
      </c>
      <c r="D72" s="68">
        <f ca="1">((100/(H64))*C72)/100</f>
        <v>0.43478260869565216</v>
      </c>
      <c r="E72" s="101"/>
      <c r="F72" s="101"/>
      <c r="G72" s="101"/>
      <c r="H72" s="164"/>
      <c r="I72" s="34" t="s">
        <v>185</v>
      </c>
      <c r="J72" s="42">
        <f>(IF(B64&gt;2,(H64/(B64+2)+J71),0))</f>
        <v>0</v>
      </c>
    </row>
    <row r="73" spans="1:12" ht="15.75" hidden="1" customHeight="1" x14ac:dyDescent="0.25">
      <c r="A73" s="98" t="s">
        <v>173</v>
      </c>
      <c r="B73" s="99" t="s">
        <v>173</v>
      </c>
      <c r="C73" s="58">
        <v>7</v>
      </c>
      <c r="D73" s="68">
        <f ca="1">((100/H64)*C73)/100</f>
        <v>0.30434782608695649</v>
      </c>
      <c r="E73" s="101"/>
      <c r="F73" s="101"/>
      <c r="G73" s="101"/>
      <c r="H73" s="164"/>
      <c r="I73" s="34" t="s">
        <v>186</v>
      </c>
      <c r="J73" s="43">
        <f>(IF(B64&gt;3,(H64/(B64+2)+J72),0))</f>
        <v>0</v>
      </c>
    </row>
    <row r="74" spans="1:12" ht="15.75" hidden="1" customHeight="1" x14ac:dyDescent="0.25">
      <c r="A74" s="98" t="s">
        <v>180</v>
      </c>
      <c r="B74" s="99"/>
      <c r="C74" s="58">
        <v>7</v>
      </c>
      <c r="D74" s="68">
        <f ca="1">((100/H64)*C74)/100</f>
        <v>0.30434782608695649</v>
      </c>
      <c r="E74" s="101"/>
      <c r="F74" s="101"/>
      <c r="G74" s="101"/>
      <c r="H74" s="164"/>
      <c r="I74" s="34" t="s">
        <v>187</v>
      </c>
      <c r="J74" s="42">
        <f>(IF(B64&gt;4,(H64/(B64+2)+J73),0))</f>
        <v>0</v>
      </c>
    </row>
    <row r="75" spans="1:12" ht="15.75" hidden="1" customHeight="1" x14ac:dyDescent="0.25">
      <c r="A75" s="98" t="s">
        <v>175</v>
      </c>
      <c r="B75" s="99" t="s">
        <v>175</v>
      </c>
      <c r="C75" s="58">
        <v>0</v>
      </c>
      <c r="D75" s="68">
        <f ca="1">((100/(H64))*C75)/100</f>
        <v>0</v>
      </c>
      <c r="E75" s="101"/>
      <c r="F75" s="101"/>
      <c r="G75" s="101"/>
      <c r="H75" s="164"/>
      <c r="I75" s="34" t="s">
        <v>189</v>
      </c>
      <c r="J75" s="42">
        <f ca="1">(IF(B64=1,(H64/(B64+3)+J70),IF(B64=0,(H64/4+J70),IF(B64&gt;1,0))))</f>
        <v>17.25</v>
      </c>
    </row>
    <row r="76" spans="1:12" ht="16.5" hidden="1" thickBot="1" x14ac:dyDescent="0.3">
      <c r="A76" s="167" t="s">
        <v>176</v>
      </c>
      <c r="B76" s="168"/>
      <c r="C76" s="59">
        <v>0</v>
      </c>
      <c r="D76" s="69">
        <f ca="1">((100/(H64))*C76)/100</f>
        <v>0</v>
      </c>
      <c r="E76" s="165"/>
      <c r="F76" s="165"/>
      <c r="G76" s="165"/>
      <c r="H76" s="166"/>
      <c r="I76" s="41" t="s">
        <v>143</v>
      </c>
      <c r="J76" s="44">
        <f ca="1">(IF(B64&gt;1.5,(H64/(B64+2)+J70+MAX(0,J71-J70)+MAX(0,J72-J71)+MAX(0,J73-J72)+MAX(0,J74-J73)+MAX(0,J75-J74)),IF(B64=1,(H64/(B64+3)+J75),IF(B64=0,H64/4+J75))))</f>
        <v>23</v>
      </c>
    </row>
    <row r="77" spans="1:12" ht="15.75" hidden="1" customHeight="1" x14ac:dyDescent="0.25">
      <c r="A77" s="129" t="s">
        <v>182</v>
      </c>
      <c r="B77" s="130"/>
      <c r="C77" s="131" t="str">
        <f>D58</f>
        <v>B Wing = BS + Gr. + 1st to 23rd Floor.</v>
      </c>
      <c r="D77" s="132"/>
      <c r="E77" s="132"/>
      <c r="F77" s="132"/>
      <c r="G77" s="132"/>
      <c r="H77" s="133"/>
      <c r="I77" s="39" t="str">
        <f ca="1">(IF(E81&gt;99%,"All work completed. Please provide OC.",IF(E81&gt;89.8%,"Plinth, RCC, Brick, Plaster, Flooring, Painting work Completed. Finishing work is in process.",IF(E81&lt;94%,(IF(C81=0,"Work not yet Started.",IF(D81=25%,"Piling work in process",IF(D81=50%,"Excavation work in process",IF(D81=100%,"Excavation work Completed. ","0")))&amp;(IF(C82=0%,"",IF(C82=J83,"Footing work is process",IF(C82=J84,"Footing work Completed",IF(C82=J85,"1st Basement Completed",IF(C82=J86,"1st &amp; 2nd Basement Completed",IF(C82=J87,"1st to 3rd Basement Completed",IF(C82=J88,"1st to 4th Basement Completed",IF(C82=J89,"Plinth work is process",IF(C82=J90,"Plinth work completed","0")))))))))))&amp;(IF(C83=(D78+F78+H78),", RCC Slab",IF(C83&gt;0,", RCC upto "&amp;C83&amp;" Slab",""))&amp;(IF(C84=H78,", Brickwork",IF(C84&gt;0,", Brickwork upto "&amp;C84&amp;" Floor",""))&amp;(IF(C85=H78,", Internal Plaster",IF(C85&gt;0,", Internal Plaster upto "&amp;C85&amp;" Floor",""))&amp;(IF(C86=H78,", External Plaster",IF(C86&gt;0,", External Plaster upto "&amp;C86&amp;" Floor",""))&amp;(IF(C87=H78,", Flooring",IF(C87&gt;0,", Flooring upto "&amp;C87&amp;" Floor",""))&amp;(IF(C88=H78,", Painting",IF(C88&gt;0,", Painting upto "&amp;C88&amp;" Floor",""))&amp;(IF(C89&gt;0,", Finishing upto "&amp;C89&amp;" Floor","")&amp;(IF(C83&gt;0.5," Completed",""))))))))))))))</f>
        <v>Excavation work Completed. Plinth work completed, RCC Slab Completed</v>
      </c>
      <c r="J77" s="22"/>
    </row>
    <row r="78" spans="1:12" hidden="1" x14ac:dyDescent="0.25">
      <c r="A78" s="45" t="s">
        <v>184</v>
      </c>
      <c r="B78" s="40">
        <v>0</v>
      </c>
      <c r="C78" s="49" t="s">
        <v>103</v>
      </c>
      <c r="D78" s="49">
        <v>1</v>
      </c>
      <c r="E78" s="49" t="s">
        <v>102</v>
      </c>
      <c r="F78" s="40">
        <v>0</v>
      </c>
      <c r="G78" s="50" t="s">
        <v>116</v>
      </c>
      <c r="H78" s="51">
        <f ca="1">--TRIM(RIGHT(SUBSTITUTE(LEFT(C77,_xlfn.AGGREGATE(16,6,FIND({0,1,2,3,4,5,6,7,8,9},C77,ROW(INDIRECT("1:"&amp;LEN(C77)))),1))," ",REPT(" ",LEN(C77))),LEN(C77)))</f>
        <v>23</v>
      </c>
      <c r="I78" s="20"/>
      <c r="J78" s="23"/>
    </row>
    <row r="79" spans="1:12" ht="15.75" hidden="1" customHeight="1" x14ac:dyDescent="0.25">
      <c r="A79" s="94" t="s">
        <v>126</v>
      </c>
      <c r="B79" s="95"/>
      <c r="C79" s="96" t="str">
        <f ca="1">I77</f>
        <v>Excavation work Completed. Plinth work completed, RCC Slab Completed</v>
      </c>
      <c r="D79" s="96"/>
      <c r="E79" s="96"/>
      <c r="F79" s="96"/>
      <c r="G79" s="96"/>
      <c r="H79" s="97"/>
      <c r="I79" s="20" t="s">
        <v>144</v>
      </c>
      <c r="J79" s="23"/>
    </row>
    <row r="80" spans="1:12" ht="15.75" hidden="1" customHeight="1" x14ac:dyDescent="0.25">
      <c r="A80" s="121" t="s">
        <v>54</v>
      </c>
      <c r="B80" s="122"/>
      <c r="C80" s="46" t="s">
        <v>181</v>
      </c>
      <c r="D80" s="46" t="s">
        <v>119</v>
      </c>
      <c r="E80" s="122" t="s">
        <v>121</v>
      </c>
      <c r="F80" s="122"/>
      <c r="G80" s="122" t="s">
        <v>120</v>
      </c>
      <c r="H80" s="205"/>
      <c r="I80" s="34" t="s">
        <v>183</v>
      </c>
      <c r="J80" s="24">
        <f ca="1">H78*25%</f>
        <v>5.75</v>
      </c>
    </row>
    <row r="81" spans="1:10" hidden="1" x14ac:dyDescent="0.25">
      <c r="A81" s="121" t="s">
        <v>170</v>
      </c>
      <c r="B81" s="122"/>
      <c r="C81" s="14">
        <f ca="1">J82</f>
        <v>23</v>
      </c>
      <c r="D81" s="47">
        <f ca="1">((100/H78)*C81)/100</f>
        <v>1</v>
      </c>
      <c r="E81" s="134">
        <f ca="1">(((C82/H78*10)+(40/(D78+F78+H78)*C83)+(7.5/(H78)*C84)+(7.5/(H78)*C85)+(10/H78*C86)+(10/H78*C87)+(5/H78*C88)+(5/H78*C89)+(5/H78*C90))/100)</f>
        <v>0.5</v>
      </c>
      <c r="F81" s="134"/>
      <c r="G81" s="134">
        <f ca="1">((((C81/H78)*20)+((C82/H78)*25)+(30/(H78+F78+D78)*C83)+(5/H78*C84)+(5/H78*C85)+(5/H78*C86)+(5/H78*C87)+(0/H78*C88)+(0/H78*C89)+(5/H78*C90))/100)</f>
        <v>0.75</v>
      </c>
      <c r="H81" s="153"/>
      <c r="I81" s="34" t="s">
        <v>139</v>
      </c>
      <c r="J81" s="38">
        <f ca="1">H78*50%</f>
        <v>11.5</v>
      </c>
    </row>
    <row r="82" spans="1:10" hidden="1" x14ac:dyDescent="0.25">
      <c r="A82" s="121" t="s">
        <v>55</v>
      </c>
      <c r="B82" s="122"/>
      <c r="C82" s="15">
        <f ca="1">J90</f>
        <v>23</v>
      </c>
      <c r="D82" s="47">
        <f ca="1">((100/H78)*C82)/100</f>
        <v>1</v>
      </c>
      <c r="E82" s="134"/>
      <c r="F82" s="134"/>
      <c r="G82" s="134"/>
      <c r="H82" s="153"/>
      <c r="I82" s="34" t="s">
        <v>140</v>
      </c>
      <c r="J82" s="38">
        <f ca="1">H78</f>
        <v>23</v>
      </c>
    </row>
    <row r="83" spans="1:10" ht="15.75" hidden="1" customHeight="1" x14ac:dyDescent="0.25">
      <c r="A83" s="121" t="s">
        <v>171</v>
      </c>
      <c r="B83" s="122"/>
      <c r="C83" s="15">
        <f ca="1">D78+H78</f>
        <v>24</v>
      </c>
      <c r="D83" s="47">
        <f ca="1">((100/(D78+F78+H78))*C83)/100</f>
        <v>1</v>
      </c>
      <c r="E83" s="134"/>
      <c r="F83" s="134"/>
      <c r="G83" s="134"/>
      <c r="H83" s="153"/>
      <c r="I83" s="34" t="s">
        <v>141</v>
      </c>
      <c r="J83" s="42">
        <f ca="1">(IF(B78&gt;1,(H78/(B78+2)),H78/4))</f>
        <v>5.75</v>
      </c>
    </row>
    <row r="84" spans="1:10" ht="15.75" hidden="1" customHeight="1" x14ac:dyDescent="0.25">
      <c r="A84" s="121" t="s">
        <v>178</v>
      </c>
      <c r="B84" s="122" t="s">
        <v>172</v>
      </c>
      <c r="C84" s="14">
        <v>0</v>
      </c>
      <c r="D84" s="47">
        <f ca="1">((100/H78)*C84)/100</f>
        <v>0</v>
      </c>
      <c r="E84" s="134"/>
      <c r="F84" s="134"/>
      <c r="G84" s="134"/>
      <c r="H84" s="153"/>
      <c r="I84" s="34" t="s">
        <v>142</v>
      </c>
      <c r="J84" s="42">
        <f ca="1">(IF(B78&gt;1,(H78/(B78+2)+J83),H78/4+J83))</f>
        <v>11.5</v>
      </c>
    </row>
    <row r="85" spans="1:10" ht="15.75" hidden="1" customHeight="1" x14ac:dyDescent="0.25">
      <c r="A85" s="121" t="s">
        <v>179</v>
      </c>
      <c r="B85" s="122" t="s">
        <v>172</v>
      </c>
      <c r="C85" s="14">
        <v>0</v>
      </c>
      <c r="D85" s="47">
        <f ca="1">((100/H78)*C85)/100</f>
        <v>0</v>
      </c>
      <c r="E85" s="134"/>
      <c r="F85" s="134"/>
      <c r="G85" s="134"/>
      <c r="H85" s="153"/>
      <c r="I85" s="34" t="s">
        <v>188</v>
      </c>
      <c r="J85" s="42">
        <f>(IF(B78&gt;1,(H78/(B78+2)+J84),0))</f>
        <v>0</v>
      </c>
    </row>
    <row r="86" spans="1:10" ht="15" hidden="1" customHeight="1" x14ac:dyDescent="0.25">
      <c r="A86" s="121" t="s">
        <v>177</v>
      </c>
      <c r="B86" s="122" t="s">
        <v>174</v>
      </c>
      <c r="C86" s="14">
        <v>0</v>
      </c>
      <c r="D86" s="47">
        <f ca="1">((100/(H78))*C86)/100</f>
        <v>0</v>
      </c>
      <c r="E86" s="134"/>
      <c r="F86" s="134"/>
      <c r="G86" s="134"/>
      <c r="H86" s="153"/>
      <c r="I86" s="34" t="s">
        <v>185</v>
      </c>
      <c r="J86" s="42">
        <f>(IF(B78&gt;2,(H78/(B78+2)+J85),0))</f>
        <v>0</v>
      </c>
    </row>
    <row r="87" spans="1:10" ht="15.75" hidden="1" customHeight="1" x14ac:dyDescent="0.25">
      <c r="A87" s="121" t="s">
        <v>173</v>
      </c>
      <c r="B87" s="122" t="s">
        <v>173</v>
      </c>
      <c r="C87" s="14">
        <v>0</v>
      </c>
      <c r="D87" s="47">
        <f ca="1">((100/H78)*C87)/100</f>
        <v>0</v>
      </c>
      <c r="E87" s="134"/>
      <c r="F87" s="134"/>
      <c r="G87" s="134"/>
      <c r="H87" s="153"/>
      <c r="I87" s="34" t="s">
        <v>186</v>
      </c>
      <c r="J87" s="43">
        <f>(IF(B78&gt;3,(H78/(B78+2)+J86),0))</f>
        <v>0</v>
      </c>
    </row>
    <row r="88" spans="1:10" ht="15.75" hidden="1" customHeight="1" x14ac:dyDescent="0.25">
      <c r="A88" s="121" t="s">
        <v>180</v>
      </c>
      <c r="B88" s="122"/>
      <c r="C88" s="14">
        <v>0</v>
      </c>
      <c r="D88" s="47">
        <f ca="1">((100/H78)*C88)/100</f>
        <v>0</v>
      </c>
      <c r="E88" s="134"/>
      <c r="F88" s="134"/>
      <c r="G88" s="134"/>
      <c r="H88" s="153"/>
      <c r="I88" s="34" t="s">
        <v>187</v>
      </c>
      <c r="J88" s="42">
        <f>(IF(B78&gt;4,(H78/(B78+2)+J87),0))</f>
        <v>0</v>
      </c>
    </row>
    <row r="89" spans="1:10" ht="15.75" hidden="1" customHeight="1" x14ac:dyDescent="0.25">
      <c r="A89" s="121" t="s">
        <v>175</v>
      </c>
      <c r="B89" s="122" t="s">
        <v>175</v>
      </c>
      <c r="C89" s="14">
        <v>0</v>
      </c>
      <c r="D89" s="47">
        <f ca="1">((100/(H78))*C89)/100</f>
        <v>0</v>
      </c>
      <c r="E89" s="134"/>
      <c r="F89" s="134"/>
      <c r="G89" s="134"/>
      <c r="H89" s="153"/>
      <c r="I89" s="34" t="s">
        <v>189</v>
      </c>
      <c r="J89" s="42">
        <f ca="1">(IF(B78=1,(H78/(B78+3)+J84),IF(B78=0,(H78/4+J84),IF(B78&gt;1,0))))</f>
        <v>17.25</v>
      </c>
    </row>
    <row r="90" spans="1:10" ht="16.5" hidden="1" thickBot="1" x14ac:dyDescent="0.3">
      <c r="A90" s="136" t="s">
        <v>176</v>
      </c>
      <c r="B90" s="137"/>
      <c r="C90" s="21">
        <v>0</v>
      </c>
      <c r="D90" s="48">
        <f ca="1">((100/(H78))*C90)/100</f>
        <v>0</v>
      </c>
      <c r="E90" s="135"/>
      <c r="F90" s="135"/>
      <c r="G90" s="135"/>
      <c r="H90" s="154"/>
      <c r="I90" s="41" t="s">
        <v>143</v>
      </c>
      <c r="J90" s="44">
        <f ca="1">(IF(B78&gt;1.5,(H78/(B78+2)+J84+MAX(0,J85-J84)+MAX(0,J86-J85)+MAX(0,J87-J86)+MAX(0,J88-J87)+MAX(0,J89-J88)),IF(B78=1,(H78/(B78+3)+J89),IF(B78=0,H78/4+J89))))</f>
        <v>23</v>
      </c>
    </row>
    <row r="91" spans="1:10" ht="15.75" hidden="1" customHeight="1" x14ac:dyDescent="0.25">
      <c r="A91" s="129" t="s">
        <v>182</v>
      </c>
      <c r="B91" s="130"/>
      <c r="C91" s="131" t="e">
        <f>#REF!</f>
        <v>#REF!</v>
      </c>
      <c r="D91" s="132"/>
      <c r="E91" s="132"/>
      <c r="F91" s="132"/>
      <c r="G91" s="132"/>
      <c r="H91" s="133"/>
      <c r="I91" s="39" t="e">
        <f ca="1">(IF(E95&gt;99%,"All work completed. Please provide OC.",IF(E95&gt;89.8%,"Plinth, RCC, Brick, Plaster, Flooring, Painting work Completed. Finishing work is in process.",IF(E95&lt;94%,(IF(C95=0,"Work not yet Started.",IF(D95=25%,"Piling work in process",IF(D95=50%,"Excavation work in process",IF(D95=100%,"Excavation work Completed. ","0")))&amp;(IF(C96=0%,"",IF(C96=J97,"Footing work is process",IF(C96=J98,"Footing work Completed",IF(C96=J99,"1st Basement Completed",IF(C96=J100,"1st &amp; 2nd Basement Completed",IF(C96=J101,"1st to 3rd Basement Completed",IF(C96=J102,"1st to 4th Basement Completed",IF(C96=J103,"Plinth work is process",IF(C96=J104,"Plinth work completed","0")))))))))))&amp;(IF(C97=(D92+F92+H92),", RCC Slab",IF(C97&gt;0,", RCC upto "&amp;C97&amp;" Slab",""))&amp;(IF(C98=H92,", Brickwork",IF(C98&gt;0,", Brickwork upto "&amp;C98&amp;" Floor",""))&amp;(IF(C99=H92,", Internal Plaster",IF(C99&gt;0,", Internal Plaster upto "&amp;C99&amp;" Floor",""))&amp;(IF(C100=H92,", External Plaster",IF(C100&gt;0,", External Plaster upto "&amp;C100&amp;" Floor",""))&amp;(IF(C101=H92,", Flooring",IF(C101&gt;0,", Flooring upto "&amp;C101&amp;" Floor",""))&amp;(IF(C102=H92,", Painting",IF(C102&gt;0,", Painting upto "&amp;C102&amp;" Floor",""))&amp;(IF(C103&gt;0,", Finishing upto "&amp;C103&amp;" Floor","")&amp;(IF(C97&gt;0.5," Completed",""))))))))))))))</f>
        <v>#REF!</v>
      </c>
      <c r="J91" s="22"/>
    </row>
    <row r="92" spans="1:10" hidden="1" x14ac:dyDescent="0.25">
      <c r="A92" s="45" t="s">
        <v>184</v>
      </c>
      <c r="B92" s="40">
        <v>0</v>
      </c>
      <c r="C92" s="49" t="s">
        <v>103</v>
      </c>
      <c r="D92" s="49">
        <v>1</v>
      </c>
      <c r="E92" s="49" t="s">
        <v>102</v>
      </c>
      <c r="F92" s="40">
        <v>0</v>
      </c>
      <c r="G92" s="50" t="s">
        <v>116</v>
      </c>
      <c r="H92" s="51" t="e">
        <f ca="1">--TRIM(RIGHT(SUBSTITUTE(LEFT(C91,_xlfn.AGGREGATE(16,6,FIND({0,1,2,3,4,5,6,7,8,9},C91,ROW(INDIRECT("1:"&amp;LEN(C91)))),1))," ",REPT(" ",LEN(C91))),LEN(C91)))</f>
        <v>#REF!</v>
      </c>
      <c r="I92" s="20"/>
      <c r="J92" s="23"/>
    </row>
    <row r="93" spans="1:10" ht="15.75" hidden="1" customHeight="1" x14ac:dyDescent="0.25">
      <c r="A93" s="94" t="s">
        <v>126</v>
      </c>
      <c r="B93" s="95"/>
      <c r="C93" s="96" t="e">
        <f ca="1">I91</f>
        <v>#REF!</v>
      </c>
      <c r="D93" s="96"/>
      <c r="E93" s="96"/>
      <c r="F93" s="96"/>
      <c r="G93" s="96"/>
      <c r="H93" s="97"/>
      <c r="I93" s="20" t="s">
        <v>144</v>
      </c>
      <c r="J93" s="23"/>
    </row>
    <row r="94" spans="1:10" ht="15.75" hidden="1" customHeight="1" x14ac:dyDescent="0.25">
      <c r="A94" s="121" t="s">
        <v>54</v>
      </c>
      <c r="B94" s="122"/>
      <c r="C94" s="46" t="s">
        <v>181</v>
      </c>
      <c r="D94" s="46" t="s">
        <v>119</v>
      </c>
      <c r="E94" s="122" t="s">
        <v>121</v>
      </c>
      <c r="F94" s="122"/>
      <c r="G94" s="122" t="s">
        <v>120</v>
      </c>
      <c r="H94" s="205"/>
      <c r="I94" s="34" t="s">
        <v>183</v>
      </c>
      <c r="J94" s="24" t="e">
        <f ca="1">H92*25%</f>
        <v>#REF!</v>
      </c>
    </row>
    <row r="95" spans="1:10" hidden="1" x14ac:dyDescent="0.25">
      <c r="A95" s="121" t="s">
        <v>170</v>
      </c>
      <c r="B95" s="122"/>
      <c r="C95" s="14" t="e">
        <f ca="1">J96</f>
        <v>#REF!</v>
      </c>
      <c r="D95" s="47" t="e">
        <f ca="1">((100/H92)*C95)/100</f>
        <v>#REF!</v>
      </c>
      <c r="E95" s="134" t="e">
        <f ca="1">(((C96/H92*10)+(40/(D92+F92+H92)*C97)+(7.5/(H92)*C98)+(7.5/(H92)*C99)+(10/H92*C100)+(10/H92*C101)+(5/H92*C102)+(5/H92*C103)+(5/H92*C104))/100)</f>
        <v>#REF!</v>
      </c>
      <c r="F95" s="134"/>
      <c r="G95" s="134" t="e">
        <f ca="1">((((C95/H92)*20)+((C96/H92)*25)+(30/(H92+F92+D92)*C97)+(5/H92*C98)+(5/H92*C99)+(5/H92*C100)+(5/H92*C101)+(0/H92*C102)+(0/H92*C103)+(5/H92*C104))/100)</f>
        <v>#REF!</v>
      </c>
      <c r="H95" s="153"/>
      <c r="I95" s="34" t="s">
        <v>139</v>
      </c>
      <c r="J95" s="38" t="e">
        <f ca="1">H92*50%</f>
        <v>#REF!</v>
      </c>
    </row>
    <row r="96" spans="1:10" hidden="1" x14ac:dyDescent="0.25">
      <c r="A96" s="121" t="s">
        <v>55</v>
      </c>
      <c r="B96" s="122"/>
      <c r="C96" s="15" t="e">
        <f ca="1">J104</f>
        <v>#REF!</v>
      </c>
      <c r="D96" s="47" t="e">
        <f ca="1">((100/H92)*C96)/100</f>
        <v>#REF!</v>
      </c>
      <c r="E96" s="134"/>
      <c r="F96" s="134"/>
      <c r="G96" s="134"/>
      <c r="H96" s="153"/>
      <c r="I96" s="34" t="s">
        <v>140</v>
      </c>
      <c r="J96" s="38" t="e">
        <f ca="1">H92</f>
        <v>#REF!</v>
      </c>
    </row>
    <row r="97" spans="1:10" ht="15.75" hidden="1" customHeight="1" x14ac:dyDescent="0.25">
      <c r="A97" s="121" t="s">
        <v>171</v>
      </c>
      <c r="B97" s="122"/>
      <c r="C97" s="15" t="e">
        <f ca="1">D92+H92</f>
        <v>#REF!</v>
      </c>
      <c r="D97" s="47" t="e">
        <f ca="1">((100/(D92+F92+H92))*C97)/100</f>
        <v>#REF!</v>
      </c>
      <c r="E97" s="134"/>
      <c r="F97" s="134"/>
      <c r="G97" s="134"/>
      <c r="H97" s="153"/>
      <c r="I97" s="34" t="s">
        <v>141</v>
      </c>
      <c r="J97" s="42" t="e">
        <f ca="1">(IF(B92&gt;1,(H92/(B92+2)),H92/4))</f>
        <v>#REF!</v>
      </c>
    </row>
    <row r="98" spans="1:10" ht="15.75" hidden="1" customHeight="1" x14ac:dyDescent="0.25">
      <c r="A98" s="121" t="s">
        <v>178</v>
      </c>
      <c r="B98" s="122" t="s">
        <v>172</v>
      </c>
      <c r="C98" s="14">
        <v>0</v>
      </c>
      <c r="D98" s="47" t="e">
        <f ca="1">((100/H92)*C98)/100</f>
        <v>#REF!</v>
      </c>
      <c r="E98" s="134"/>
      <c r="F98" s="134"/>
      <c r="G98" s="134"/>
      <c r="H98" s="153"/>
      <c r="I98" s="34" t="s">
        <v>142</v>
      </c>
      <c r="J98" s="42" t="e">
        <f ca="1">(IF(B92&gt;1,(H92/(B92+2)+J97),H92/4+J97))</f>
        <v>#REF!</v>
      </c>
    </row>
    <row r="99" spans="1:10" ht="15.75" hidden="1" customHeight="1" x14ac:dyDescent="0.25">
      <c r="A99" s="121" t="s">
        <v>179</v>
      </c>
      <c r="B99" s="122" t="s">
        <v>172</v>
      </c>
      <c r="C99" s="14">
        <v>0</v>
      </c>
      <c r="D99" s="47" t="e">
        <f ca="1">((100/H92)*C99)/100</f>
        <v>#REF!</v>
      </c>
      <c r="E99" s="134"/>
      <c r="F99" s="134"/>
      <c r="G99" s="134"/>
      <c r="H99" s="153"/>
      <c r="I99" s="34" t="s">
        <v>188</v>
      </c>
      <c r="J99" s="42">
        <f>(IF(B92&gt;1,(H92/(B92+2)+J98),0))</f>
        <v>0</v>
      </c>
    </row>
    <row r="100" spans="1:10" ht="15" hidden="1" customHeight="1" x14ac:dyDescent="0.25">
      <c r="A100" s="121" t="s">
        <v>177</v>
      </c>
      <c r="B100" s="122" t="s">
        <v>174</v>
      </c>
      <c r="C100" s="14">
        <v>0</v>
      </c>
      <c r="D100" s="47" t="e">
        <f ca="1">((100/(H92))*C100)/100</f>
        <v>#REF!</v>
      </c>
      <c r="E100" s="134"/>
      <c r="F100" s="134"/>
      <c r="G100" s="134"/>
      <c r="H100" s="153"/>
      <c r="I100" s="34" t="s">
        <v>185</v>
      </c>
      <c r="J100" s="42">
        <f>(IF(B92&gt;2,(H92/(B92+2)+J99),0))</f>
        <v>0</v>
      </c>
    </row>
    <row r="101" spans="1:10" ht="15.75" hidden="1" customHeight="1" x14ac:dyDescent="0.25">
      <c r="A101" s="121" t="s">
        <v>173</v>
      </c>
      <c r="B101" s="122" t="s">
        <v>173</v>
      </c>
      <c r="C101" s="14">
        <v>0</v>
      </c>
      <c r="D101" s="47" t="e">
        <f ca="1">((100/H92)*C101)/100</f>
        <v>#REF!</v>
      </c>
      <c r="E101" s="134"/>
      <c r="F101" s="134"/>
      <c r="G101" s="134"/>
      <c r="H101" s="153"/>
      <c r="I101" s="34" t="s">
        <v>186</v>
      </c>
      <c r="J101" s="43">
        <f>(IF(B92&gt;3,(H92/(B92+2)+J100),0))</f>
        <v>0</v>
      </c>
    </row>
    <row r="102" spans="1:10" ht="15.75" hidden="1" customHeight="1" x14ac:dyDescent="0.25">
      <c r="A102" s="121" t="s">
        <v>180</v>
      </c>
      <c r="B102" s="122"/>
      <c r="C102" s="14">
        <v>0</v>
      </c>
      <c r="D102" s="47" t="e">
        <f ca="1">((100/H92)*C102)/100</f>
        <v>#REF!</v>
      </c>
      <c r="E102" s="134"/>
      <c r="F102" s="134"/>
      <c r="G102" s="134"/>
      <c r="H102" s="153"/>
      <c r="I102" s="34" t="s">
        <v>187</v>
      </c>
      <c r="J102" s="42">
        <f>(IF(B92&gt;4,(H92/(B92+2)+J101),0))</f>
        <v>0</v>
      </c>
    </row>
    <row r="103" spans="1:10" ht="15.75" hidden="1" customHeight="1" x14ac:dyDescent="0.25">
      <c r="A103" s="121" t="s">
        <v>175</v>
      </c>
      <c r="B103" s="122" t="s">
        <v>175</v>
      </c>
      <c r="C103" s="14">
        <v>0</v>
      </c>
      <c r="D103" s="47" t="e">
        <f ca="1">((100/(H92))*C103)/100</f>
        <v>#REF!</v>
      </c>
      <c r="E103" s="134"/>
      <c r="F103" s="134"/>
      <c r="G103" s="134"/>
      <c r="H103" s="153"/>
      <c r="I103" s="34" t="s">
        <v>189</v>
      </c>
      <c r="J103" s="42" t="e">
        <f ca="1">(IF(B92=1,(H92/(B92+3)+J98),IF(B92=0,(H92/4+J98),IF(B92&gt;1,0))))</f>
        <v>#REF!</v>
      </c>
    </row>
    <row r="104" spans="1:10" ht="16.5" hidden="1" thickBot="1" x14ac:dyDescent="0.3">
      <c r="A104" s="136" t="s">
        <v>176</v>
      </c>
      <c r="B104" s="137"/>
      <c r="C104" s="21">
        <v>0</v>
      </c>
      <c r="D104" s="48" t="e">
        <f ca="1">((100/(H92))*C104)/100</f>
        <v>#REF!</v>
      </c>
      <c r="E104" s="135"/>
      <c r="F104" s="135"/>
      <c r="G104" s="135"/>
      <c r="H104" s="154"/>
      <c r="I104" s="41" t="s">
        <v>143</v>
      </c>
      <c r="J104" s="44" t="e">
        <f ca="1">(IF(B92&gt;1.5,(H92/(B92+2)+J98+MAX(0,J99-J98)+MAX(0,J100-J99)+MAX(0,J101-J100)+MAX(0,J102-J101)+MAX(0,J103-J102)),IF(B92=1,(H92/(B92+3)+J103),IF(B92=0,H92/4+J103))))</f>
        <v>#REF!</v>
      </c>
    </row>
    <row r="105" spans="1:10" ht="15.75" customHeight="1" x14ac:dyDescent="0.25">
      <c r="A105" s="89" t="s">
        <v>182</v>
      </c>
      <c r="B105" s="90"/>
      <c r="C105" s="91" t="s">
        <v>255</v>
      </c>
      <c r="D105" s="92"/>
      <c r="E105" s="92"/>
      <c r="F105" s="92"/>
      <c r="G105" s="92"/>
      <c r="H105" s="93"/>
      <c r="I105" s="39" t="str">
        <f ca="1">(IF(E109&gt;99%,"All work completed. Please provide OC.",IF(E109&gt;89.8%,"Plinth, RCC, Brick, Plaster, Flooring, Painting work Completed. Finishing work is in process.",IF(E109&lt;94%,(IF(C109=0,"Work not yet Started.",IF(D109=25%,"Piling work in process",IF(D109=50%,"Excavation work in process",IF(D109=100%,"Excavation work Completed. ","0")))&amp;(IF(C110=0%,"",IF(C110=J111,"Footing work is process",IF(C110=J112,"Footing work Completed",IF(C110=J113,"1st Basement Completed",IF(C110=J114,"1st &amp; 2nd Basement Completed",IF(C110=J115,"1st to 3rd Basement Completed",IF(C110=J116,"1st to 4th Basement Completed",IF(C110=J117,"Plinth work is process",IF(C110=J118,"Plinth work completed","0")))))))))))&amp;(IF(C111=(D106+F106+H106),", RCC Slab",IF(C111&gt;0,", RCC upto "&amp;C111&amp;" Slab",""))&amp;(IF(C112=H106,", Brickwork",IF(C112&gt;0,", Brickwork upto "&amp;C112&amp;" Floor",""))&amp;(IF(C113=H106,", Internal Plaster",IF(C113&gt;0,", Internal Plaster upto "&amp;C113&amp;" Floor",""))&amp;(IF(C114=H106,", External Plaster",IF(C114&gt;0,", External Plaster upto "&amp;C114&amp;" Floor",""))&amp;(IF(C115=H106,", Flooring",IF(C115&gt;0,", Flooring upto "&amp;C115&amp;" Floor",""))&amp;(IF(C116=H106,", Painting",IF(C116&gt;0,", Painting upto "&amp;C116&amp;" Floor",""))&amp;(IF(C117&gt;0,", Finishing upto "&amp;C117&amp;" Floor","")&amp;(IF(C111&gt;0.5," Completed",""))))))))))))))</f>
        <v>Excavation work Completed. Plinth work completed, RCC upto 20 Slab, Brickwork upto 18 Floor, Internal Plaster upto 18 Floor, External Plaster upto 15 Floor, Flooring upto 13 Floor, Painting upto 13 Floor Completed</v>
      </c>
      <c r="J105" s="22"/>
    </row>
    <row r="106" spans="1:10" x14ac:dyDescent="0.25">
      <c r="A106" s="45" t="s">
        <v>184</v>
      </c>
      <c r="B106" s="75">
        <v>0</v>
      </c>
      <c r="C106" s="75" t="s">
        <v>103</v>
      </c>
      <c r="D106" s="75">
        <v>1</v>
      </c>
      <c r="E106" s="75" t="s">
        <v>102</v>
      </c>
      <c r="F106" s="75">
        <v>0</v>
      </c>
      <c r="G106" s="75" t="s">
        <v>116</v>
      </c>
      <c r="H106" s="51">
        <f ca="1">--TRIM(RIGHT(SUBSTITUTE(LEFT(C105,_xlfn.AGGREGATE(16,6,FIND({0,1,2,3,4,5,6,7,8,9},C105,ROW(INDIRECT("1:"&amp;LEN(C105)))),1))," ",REPT(" ",LEN(C105))),LEN(C105)))</f>
        <v>23</v>
      </c>
      <c r="I106" s="20"/>
      <c r="J106" s="23"/>
    </row>
    <row r="107" spans="1:10" ht="49.5" customHeight="1" x14ac:dyDescent="0.25">
      <c r="A107" s="94" t="s">
        <v>126</v>
      </c>
      <c r="B107" s="95"/>
      <c r="C107" s="96" t="str">
        <f ca="1">I105</f>
        <v>Excavation work Completed. Plinth work completed, RCC upto 20 Slab, Brickwork upto 18 Floor, Internal Plaster upto 18 Floor, External Plaster upto 15 Floor, Flooring upto 13 Floor, Painting upto 13 Floor Completed</v>
      </c>
      <c r="D107" s="96"/>
      <c r="E107" s="96"/>
      <c r="F107" s="96"/>
      <c r="G107" s="96"/>
      <c r="H107" s="97"/>
      <c r="I107" s="20" t="s">
        <v>144</v>
      </c>
      <c r="J107" s="23"/>
    </row>
    <row r="108" spans="1:10" ht="15.75" customHeight="1" x14ac:dyDescent="0.25">
      <c r="A108" s="98" t="s">
        <v>54</v>
      </c>
      <c r="B108" s="99"/>
      <c r="C108" s="74" t="s">
        <v>181</v>
      </c>
      <c r="D108" s="74" t="s">
        <v>119</v>
      </c>
      <c r="E108" s="99" t="s">
        <v>121</v>
      </c>
      <c r="F108" s="99"/>
      <c r="G108" s="99" t="s">
        <v>120</v>
      </c>
      <c r="H108" s="100"/>
      <c r="I108" s="34" t="s">
        <v>183</v>
      </c>
      <c r="J108" s="24">
        <f ca="1">H106*25%</f>
        <v>5.75</v>
      </c>
    </row>
    <row r="109" spans="1:10" x14ac:dyDescent="0.25">
      <c r="A109" s="99" t="s">
        <v>170</v>
      </c>
      <c r="B109" s="99"/>
      <c r="C109" s="58">
        <f ca="1">J110</f>
        <v>23</v>
      </c>
      <c r="D109" s="83">
        <f ca="1">((100/H106)*C109)/100</f>
        <v>1</v>
      </c>
      <c r="E109" s="101">
        <f ca="1">(((C110/H106*10)+(40/(D106+F106+H106)*C111)+(7.5/(H106)*C112)+(7.5/(H106)*C113)+(10/H106*C114)+(10/H106*C115)+(5/H106*C116)+(5/H106*C117)+(5/H106*C118))/100)</f>
        <v>0.70072463768115933</v>
      </c>
      <c r="F109" s="101"/>
      <c r="G109" s="101">
        <f ca="1">((((C109/H106)*20)+((C110/H106)*25)+(30/(H106+F106+D106)*C111)+(5/H106*C112)+(5/H106*C113)+(5/H106*C114)+(5/H106*C115)+(0/H106*C116)+(0/H106*C117)+(5/H106*C118))/100)</f>
        <v>0.83913043478260874</v>
      </c>
      <c r="H109" s="101"/>
      <c r="I109" s="34" t="s">
        <v>139</v>
      </c>
      <c r="J109" s="38">
        <f ca="1">H106*50%</f>
        <v>11.5</v>
      </c>
    </row>
    <row r="110" spans="1:10" x14ac:dyDescent="0.25">
      <c r="A110" s="99" t="s">
        <v>55</v>
      </c>
      <c r="B110" s="99"/>
      <c r="C110" s="70">
        <f ca="1">J118</f>
        <v>23</v>
      </c>
      <c r="D110" s="83">
        <f ca="1">((100/H106)*C110)/100</f>
        <v>1</v>
      </c>
      <c r="E110" s="101"/>
      <c r="F110" s="101"/>
      <c r="G110" s="101"/>
      <c r="H110" s="101"/>
      <c r="I110" s="34" t="s">
        <v>140</v>
      </c>
      <c r="J110" s="38">
        <f ca="1">H106</f>
        <v>23</v>
      </c>
    </row>
    <row r="111" spans="1:10" ht="15.75" customHeight="1" x14ac:dyDescent="0.25">
      <c r="A111" s="99" t="s">
        <v>240</v>
      </c>
      <c r="B111" s="99"/>
      <c r="C111" s="70">
        <v>20</v>
      </c>
      <c r="D111" s="83">
        <f ca="1">((100/(D106+F106+H106))*C111)/100</f>
        <v>0.83333333333333348</v>
      </c>
      <c r="E111" s="101"/>
      <c r="F111" s="101"/>
      <c r="G111" s="101"/>
      <c r="H111" s="101"/>
      <c r="I111" s="34" t="s">
        <v>141</v>
      </c>
      <c r="J111" s="42">
        <f ca="1">(IF(B106&gt;1,(H106/(B106+2)),H106/4))</f>
        <v>5.75</v>
      </c>
    </row>
    <row r="112" spans="1:10" ht="15.75" customHeight="1" x14ac:dyDescent="0.25">
      <c r="A112" s="99" t="s">
        <v>178</v>
      </c>
      <c r="B112" s="99" t="s">
        <v>172</v>
      </c>
      <c r="C112" s="58">
        <v>18</v>
      </c>
      <c r="D112" s="83">
        <f ca="1">((100/H106)*C112)/100</f>
        <v>0.78260869565217395</v>
      </c>
      <c r="E112" s="101"/>
      <c r="F112" s="101"/>
      <c r="G112" s="101"/>
      <c r="H112" s="101"/>
      <c r="I112" s="34" t="s">
        <v>142</v>
      </c>
      <c r="J112" s="42">
        <f ca="1">(IF(B106&gt;1,(H106/(B106+2)+J111),H106/4+J111))</f>
        <v>11.5</v>
      </c>
    </row>
    <row r="113" spans="1:10" ht="15.75" customHeight="1" x14ac:dyDescent="0.25">
      <c r="A113" s="99" t="s">
        <v>179</v>
      </c>
      <c r="B113" s="99" t="s">
        <v>172</v>
      </c>
      <c r="C113" s="58">
        <v>18</v>
      </c>
      <c r="D113" s="83">
        <f ca="1">((100/H106)*C113)/100</f>
        <v>0.78260869565217395</v>
      </c>
      <c r="E113" s="101"/>
      <c r="F113" s="101"/>
      <c r="G113" s="101"/>
      <c r="H113" s="101"/>
      <c r="I113" s="34" t="s">
        <v>188</v>
      </c>
      <c r="J113" s="42">
        <f>(IF(B106&gt;1,(H106/(B106+2)+J112),0))</f>
        <v>0</v>
      </c>
    </row>
    <row r="114" spans="1:10" ht="15" customHeight="1" x14ac:dyDescent="0.25">
      <c r="A114" s="99" t="s">
        <v>177</v>
      </c>
      <c r="B114" s="99" t="s">
        <v>174</v>
      </c>
      <c r="C114" s="58">
        <v>15</v>
      </c>
      <c r="D114" s="83">
        <f ca="1">((100/(H106))*C114)/100</f>
        <v>0.65217391304347827</v>
      </c>
      <c r="E114" s="101"/>
      <c r="F114" s="101"/>
      <c r="G114" s="101"/>
      <c r="H114" s="101"/>
      <c r="I114" s="34" t="s">
        <v>185</v>
      </c>
      <c r="J114" s="42">
        <f>(IF(B106&gt;2,(H106/(B106+2)+J113),0))</f>
        <v>0</v>
      </c>
    </row>
    <row r="115" spans="1:10" ht="15.75" customHeight="1" x14ac:dyDescent="0.25">
      <c r="A115" s="99" t="s">
        <v>173</v>
      </c>
      <c r="B115" s="99" t="s">
        <v>173</v>
      </c>
      <c r="C115" s="58">
        <v>13</v>
      </c>
      <c r="D115" s="83">
        <f ca="1">((100/H106)*C115)/100</f>
        <v>0.56521739130434778</v>
      </c>
      <c r="E115" s="101"/>
      <c r="F115" s="101"/>
      <c r="G115" s="101"/>
      <c r="H115" s="101"/>
      <c r="I115" s="34" t="s">
        <v>186</v>
      </c>
      <c r="J115" s="43">
        <f>(IF(B106&gt;3,(H106/(B106+2)+J114),0))</f>
        <v>0</v>
      </c>
    </row>
    <row r="116" spans="1:10" ht="15.75" customHeight="1" x14ac:dyDescent="0.25">
      <c r="A116" s="99" t="s">
        <v>180</v>
      </c>
      <c r="B116" s="99"/>
      <c r="C116" s="58">
        <v>13</v>
      </c>
      <c r="D116" s="83">
        <f ca="1">((100/H106)*C116)/100</f>
        <v>0.56521739130434778</v>
      </c>
      <c r="E116" s="101"/>
      <c r="F116" s="101"/>
      <c r="G116" s="101"/>
      <c r="H116" s="101"/>
      <c r="I116" s="34" t="s">
        <v>187</v>
      </c>
      <c r="J116" s="42">
        <f>(IF(B106&gt;4,(H106/(B106+2)+J115),0))</f>
        <v>0</v>
      </c>
    </row>
    <row r="117" spans="1:10" ht="15.75" customHeight="1" x14ac:dyDescent="0.25">
      <c r="A117" s="99" t="s">
        <v>175</v>
      </c>
      <c r="B117" s="99" t="s">
        <v>175</v>
      </c>
      <c r="C117" s="58">
        <v>0</v>
      </c>
      <c r="D117" s="83">
        <f ca="1">((100/(H106))*C117)/100</f>
        <v>0</v>
      </c>
      <c r="E117" s="101"/>
      <c r="F117" s="101"/>
      <c r="G117" s="101"/>
      <c r="H117" s="101"/>
      <c r="I117" s="34" t="s">
        <v>189</v>
      </c>
      <c r="J117" s="42">
        <f ca="1">(IF(B106=1,(H106/(B106+3)+J112),IF(B106=0,(H106/4+J112),IF(B106&gt;1,0))))</f>
        <v>17.25</v>
      </c>
    </row>
    <row r="118" spans="1:10" ht="16.5" thickBot="1" x14ac:dyDescent="0.3">
      <c r="A118" s="99" t="s">
        <v>176</v>
      </c>
      <c r="B118" s="99"/>
      <c r="C118" s="58">
        <v>0</v>
      </c>
      <c r="D118" s="83">
        <f ca="1">((100/(H106))*C118)/100</f>
        <v>0</v>
      </c>
      <c r="E118" s="101"/>
      <c r="F118" s="101"/>
      <c r="G118" s="101"/>
      <c r="H118" s="101"/>
      <c r="I118" s="41" t="s">
        <v>143</v>
      </c>
      <c r="J118" s="44">
        <f ca="1">(IF(B106&gt;1.5,(H106/(B106+2)+J112+MAX(0,J113-J112)+MAX(0,J114-J113)+MAX(0,J115-J114)+MAX(0,J116-J115)+MAX(0,J117-J116)),IF(B106=1,(H106/(B106+3)+J117),IF(B106=0,H106/4+J117))))</f>
        <v>23</v>
      </c>
    </row>
    <row r="119" spans="1:10" ht="15.75" hidden="1" customHeight="1" x14ac:dyDescent="0.25">
      <c r="A119" s="146" t="s">
        <v>272</v>
      </c>
      <c r="B119" s="147"/>
      <c r="C119" s="150">
        <f ca="1">AVERAGE(E67,E109)</f>
        <v>0.69855072463768109</v>
      </c>
      <c r="D119" s="147"/>
      <c r="E119" s="151" t="s">
        <v>271</v>
      </c>
      <c r="F119" s="151"/>
      <c r="G119" s="85">
        <f ca="1">AVERAGE(G67,G109)</f>
        <v>0.8480978260869565</v>
      </c>
      <c r="H119" s="86"/>
      <c r="I119" s="34" t="s">
        <v>189</v>
      </c>
      <c r="J119" s="42">
        <f>(IF(B108=1,(H108/(B108+3)+J114),IF(B108=0,(H108/4+J114),IF(B108&gt;1,0))))</f>
        <v>0</v>
      </c>
    </row>
    <row r="120" spans="1:10" ht="16.5" hidden="1" thickBot="1" x14ac:dyDescent="0.3">
      <c r="A120" s="148"/>
      <c r="B120" s="149"/>
      <c r="C120" s="149"/>
      <c r="D120" s="149"/>
      <c r="E120" s="152"/>
      <c r="F120" s="152"/>
      <c r="G120" s="87"/>
      <c r="H120" s="88"/>
      <c r="I120" s="41" t="s">
        <v>143</v>
      </c>
      <c r="J120" s="44">
        <f>(IF(B108&gt;1.5,(H108/(B108+2)+J114+MAX(0,J115-J114)+MAX(0,J116-J115)+MAX(0,J117-J116)+MAX(0,J118-J117)+MAX(0,J119-J118)),IF(B108=1,(H108/(B108+3)+J119),IF(B108=0,H108/4+J119))))</f>
        <v>0</v>
      </c>
    </row>
    <row r="121" spans="1:10" x14ac:dyDescent="0.25">
      <c r="A121" s="157" t="s">
        <v>156</v>
      </c>
      <c r="B121" s="158"/>
      <c r="C121" s="158"/>
      <c r="D121" s="158"/>
      <c r="E121" s="159"/>
      <c r="F121" s="157" t="str">
        <f ca="1">(IF(D62="Nothing","Yes",IF(D62="Cement, Aggregate, Steel, etc","Under Construction",IF(D62="Work not yet Started","Work not yet Started"))))</f>
        <v>Under Construction</v>
      </c>
      <c r="G121" s="158"/>
      <c r="H121" s="159"/>
    </row>
    <row r="122" spans="1:10" x14ac:dyDescent="0.25">
      <c r="A122" s="120" t="s">
        <v>56</v>
      </c>
      <c r="B122" s="120"/>
      <c r="C122" s="120"/>
      <c r="D122" s="120"/>
      <c r="E122" s="120"/>
      <c r="F122" s="120"/>
      <c r="G122" s="120"/>
      <c r="H122" s="120"/>
    </row>
    <row r="123" spans="1:10" ht="15" customHeight="1" x14ac:dyDescent="0.25">
      <c r="A123" s="95" t="s">
        <v>105</v>
      </c>
      <c r="B123" s="95"/>
      <c r="C123" s="96" t="s">
        <v>106</v>
      </c>
      <c r="D123" s="96"/>
      <c r="E123" s="96"/>
      <c r="F123" s="96"/>
      <c r="G123" s="96"/>
      <c r="H123" s="96"/>
    </row>
    <row r="124" spans="1:10" x14ac:dyDescent="0.25">
      <c r="A124" s="172" t="s">
        <v>57</v>
      </c>
      <c r="B124" s="172"/>
      <c r="C124" s="172"/>
      <c r="D124" s="172"/>
      <c r="E124" s="172"/>
      <c r="F124" s="172"/>
      <c r="G124" s="172"/>
      <c r="H124" s="172"/>
      <c r="I124" s="8" t="s">
        <v>242</v>
      </c>
    </row>
    <row r="125" spans="1:10" x14ac:dyDescent="0.25">
      <c r="A125" s="120" t="s">
        <v>107</v>
      </c>
      <c r="B125" s="120"/>
      <c r="C125" s="120"/>
      <c r="D125" s="120"/>
      <c r="E125" s="120"/>
      <c r="F125" s="191">
        <v>28000</v>
      </c>
      <c r="G125" s="191"/>
      <c r="H125" s="191"/>
    </row>
    <row r="126" spans="1:10" x14ac:dyDescent="0.25">
      <c r="A126" s="120" t="s">
        <v>114</v>
      </c>
      <c r="B126" s="120"/>
      <c r="C126" s="120"/>
      <c r="D126" s="120"/>
      <c r="E126" s="120"/>
      <c r="F126" s="191" t="s">
        <v>258</v>
      </c>
      <c r="G126" s="191"/>
      <c r="H126" s="191"/>
    </row>
    <row r="127" spans="1:10" hidden="1" x14ac:dyDescent="0.25">
      <c r="A127" s="120" t="s">
        <v>115</v>
      </c>
      <c r="B127" s="120"/>
      <c r="C127" s="120"/>
      <c r="D127" s="120"/>
      <c r="E127" s="120"/>
      <c r="F127" s="105"/>
      <c r="G127" s="105"/>
      <c r="H127" s="105"/>
    </row>
    <row r="128" spans="1:10" s="12" customFormat="1" hidden="1" x14ac:dyDescent="0.25">
      <c r="A128" s="120" t="s">
        <v>131</v>
      </c>
      <c r="B128" s="120"/>
      <c r="C128" s="120"/>
      <c r="D128" s="120"/>
      <c r="E128" s="120"/>
      <c r="F128" s="105" t="s">
        <v>30</v>
      </c>
      <c r="G128" s="105"/>
      <c r="H128" s="105"/>
    </row>
    <row r="129" spans="1:8" s="12" customFormat="1" hidden="1" x14ac:dyDescent="0.25">
      <c r="A129" s="120" t="s">
        <v>132</v>
      </c>
      <c r="B129" s="120"/>
      <c r="C129" s="120"/>
      <c r="D129" s="120"/>
      <c r="E129" s="120"/>
      <c r="F129" s="105" t="s">
        <v>30</v>
      </c>
      <c r="G129" s="105"/>
      <c r="H129" s="105"/>
    </row>
    <row r="130" spans="1:8" s="12" customFormat="1" hidden="1" x14ac:dyDescent="0.25">
      <c r="A130" s="120" t="s">
        <v>133</v>
      </c>
      <c r="B130" s="120"/>
      <c r="C130" s="120"/>
      <c r="D130" s="120"/>
      <c r="E130" s="120"/>
      <c r="F130" s="105" t="s">
        <v>30</v>
      </c>
      <c r="G130" s="105"/>
      <c r="H130" s="105"/>
    </row>
    <row r="131" spans="1:8" s="12" customFormat="1" hidden="1" x14ac:dyDescent="0.25">
      <c r="A131" s="120" t="s">
        <v>134</v>
      </c>
      <c r="B131" s="120"/>
      <c r="C131" s="120"/>
      <c r="D131" s="120"/>
      <c r="E131" s="120"/>
      <c r="F131" s="105" t="s">
        <v>30</v>
      </c>
      <c r="G131" s="105"/>
      <c r="H131" s="105"/>
    </row>
    <row r="132" spans="1:8" s="12" customFormat="1" hidden="1" x14ac:dyDescent="0.25">
      <c r="A132" s="120" t="s">
        <v>135</v>
      </c>
      <c r="B132" s="120"/>
      <c r="C132" s="120"/>
      <c r="D132" s="120"/>
      <c r="E132" s="120"/>
      <c r="F132" s="105" t="s">
        <v>30</v>
      </c>
      <c r="G132" s="105"/>
      <c r="H132" s="105"/>
    </row>
    <row r="133" spans="1:8" s="12" customFormat="1" hidden="1" x14ac:dyDescent="0.25">
      <c r="A133" s="120" t="s">
        <v>136</v>
      </c>
      <c r="B133" s="120"/>
      <c r="C133" s="120"/>
      <c r="D133" s="120"/>
      <c r="E133" s="120"/>
      <c r="F133" s="105" t="s">
        <v>30</v>
      </c>
      <c r="G133" s="105"/>
      <c r="H133" s="105"/>
    </row>
    <row r="134" spans="1:8" s="12" customFormat="1" hidden="1" x14ac:dyDescent="0.25">
      <c r="A134" s="120" t="s">
        <v>137</v>
      </c>
      <c r="B134" s="120"/>
      <c r="C134" s="120"/>
      <c r="D134" s="120"/>
      <c r="E134" s="120"/>
      <c r="F134" s="105" t="s">
        <v>30</v>
      </c>
      <c r="G134" s="105"/>
      <c r="H134" s="105"/>
    </row>
    <row r="135" spans="1:8" s="12" customFormat="1" hidden="1" x14ac:dyDescent="0.25">
      <c r="A135" s="120" t="s">
        <v>138</v>
      </c>
      <c r="B135" s="120"/>
      <c r="C135" s="120"/>
      <c r="D135" s="120"/>
      <c r="E135" s="120"/>
      <c r="F135" s="105" t="s">
        <v>30</v>
      </c>
      <c r="G135" s="105"/>
      <c r="H135" s="105"/>
    </row>
    <row r="136" spans="1:8" x14ac:dyDescent="0.25">
      <c r="A136" s="120" t="s">
        <v>58</v>
      </c>
      <c r="B136" s="120"/>
      <c r="C136" s="120"/>
      <c r="D136" s="120"/>
      <c r="E136" s="120"/>
      <c r="F136" s="190" t="s">
        <v>245</v>
      </c>
      <c r="G136" s="190"/>
      <c r="H136" s="190"/>
    </row>
    <row r="137" spans="1:8" s="9" customFormat="1" x14ac:dyDescent="0.25">
      <c r="A137" s="172" t="s">
        <v>59</v>
      </c>
      <c r="B137" s="172"/>
      <c r="C137" s="172"/>
      <c r="D137" s="172"/>
      <c r="E137" s="172"/>
      <c r="F137" s="191">
        <f>F125*0.8</f>
        <v>22400</v>
      </c>
      <c r="G137" s="191"/>
      <c r="H137" s="191"/>
    </row>
    <row r="138" spans="1:8" s="1" customFormat="1" ht="15.75" customHeight="1" x14ac:dyDescent="0.25">
      <c r="A138" s="197" t="s">
        <v>108</v>
      </c>
      <c r="B138" s="197"/>
      <c r="C138" s="197"/>
      <c r="D138" s="197"/>
      <c r="E138" s="197"/>
      <c r="F138" s="197"/>
      <c r="G138" s="197"/>
      <c r="H138" s="197"/>
    </row>
    <row r="139" spans="1:8" s="1" customFormat="1" ht="15.75" customHeight="1" x14ac:dyDescent="0.25">
      <c r="A139" s="156" t="s">
        <v>60</v>
      </c>
      <c r="B139" s="156"/>
      <c r="C139" s="155" t="s">
        <v>111</v>
      </c>
      <c r="D139" s="155"/>
      <c r="E139" s="201" t="s">
        <v>61</v>
      </c>
      <c r="F139" s="201"/>
      <c r="G139" s="156" t="s">
        <v>62</v>
      </c>
      <c r="H139" s="156"/>
    </row>
    <row r="140" spans="1:8" s="1" customFormat="1" x14ac:dyDescent="0.25">
      <c r="A140" s="198" t="s">
        <v>224</v>
      </c>
      <c r="B140" s="198"/>
      <c r="C140" s="116">
        <f>COUNT(D163:D166)</f>
        <v>4</v>
      </c>
      <c r="D140" s="161"/>
      <c r="E140" s="116">
        <f>SUM(D163:D166)</f>
        <v>2219.1719003999997</v>
      </c>
      <c r="F140" s="161"/>
      <c r="G140" s="116">
        <f>SUM(F163:F166)</f>
        <v>3550.6750406400001</v>
      </c>
      <c r="H140" s="161"/>
    </row>
    <row r="141" spans="1:8" s="1" customFormat="1" x14ac:dyDescent="0.25">
      <c r="A141" s="198" t="s">
        <v>256</v>
      </c>
      <c r="B141" s="198"/>
      <c r="C141" s="116">
        <f>COUNT(D155:D161)+COUNT(D167)+COUNT(D170:D174)+COUNT(D176)+COUNT(D169)+COUNT(D177)</f>
        <v>16</v>
      </c>
      <c r="D141" s="161"/>
      <c r="E141" s="116">
        <f>SUM(D155:D161)+SUM(D167)+SUM(D169:D174)+SUM(D176,D177)</f>
        <v>7852.3379999999997</v>
      </c>
      <c r="F141" s="161"/>
      <c r="G141" s="116">
        <f>SUM(F155:F161)+SUM(F167)+SUM(F169:F174)+SUM(F176,F177)</f>
        <v>12563.7408</v>
      </c>
      <c r="H141" s="161"/>
    </row>
    <row r="142" spans="1:8" s="72" customFormat="1" x14ac:dyDescent="0.25">
      <c r="A142" s="197" t="s">
        <v>64</v>
      </c>
      <c r="B142" s="197"/>
      <c r="C142" s="212">
        <f>SUM(C140:D141)</f>
        <v>20</v>
      </c>
      <c r="D142" s="155"/>
      <c r="E142" s="162">
        <f>SUM(E140:E141)</f>
        <v>10071.5099004</v>
      </c>
      <c r="F142" s="201"/>
      <c r="G142" s="156">
        <f>SUM(G140:G141)</f>
        <v>16114.41584064</v>
      </c>
      <c r="H142" s="156"/>
    </row>
    <row r="143" spans="1:8" s="1" customFormat="1" x14ac:dyDescent="0.25">
      <c r="A143" s="197" t="s">
        <v>101</v>
      </c>
      <c r="B143" s="197"/>
      <c r="C143" s="197"/>
      <c r="D143" s="197"/>
      <c r="E143" s="197"/>
      <c r="F143" s="197"/>
      <c r="G143" s="197"/>
      <c r="H143" s="197"/>
    </row>
    <row r="144" spans="1:8" s="1" customFormat="1" ht="15.75" customHeight="1" x14ac:dyDescent="0.25">
      <c r="A144" s="156" t="s">
        <v>60</v>
      </c>
      <c r="B144" s="156"/>
      <c r="C144" s="155" t="s">
        <v>111</v>
      </c>
      <c r="D144" s="155"/>
      <c r="E144" s="201" t="s">
        <v>61</v>
      </c>
      <c r="F144" s="201"/>
      <c r="G144" s="156" t="s">
        <v>62</v>
      </c>
      <c r="H144" s="156"/>
    </row>
    <row r="145" spans="1:14" s="1" customFormat="1" x14ac:dyDescent="0.25">
      <c r="A145" s="198" t="s">
        <v>223</v>
      </c>
      <c r="B145" s="198"/>
      <c r="C145" s="116">
        <f>COUNT(D190)+COUNT(D192:D196)+COUNT(D199:D202)+COUNT(D204:D208)*4+COUNT(D222:D226)*2+COUNT(D229:D232)+COUNT(D234:D238)*2+COUNT(D246:D250)+COUNT(D252:D256)</f>
        <v>64</v>
      </c>
      <c r="D145" s="116"/>
      <c r="E145" s="116">
        <f>SUM(D190)+SUM(D192:D196)+SUM(D199:D202)+SUM(D204:D208)*4+SUM(D222:D226)*2+SUM(D229:D232)+SUM(D234:D238)*2+SUM(D246:D250)+SUM(D252:D256)</f>
        <v>36975.524040000004</v>
      </c>
      <c r="F145" s="116"/>
      <c r="G145" s="116">
        <f>SUM(F190)+SUM(F192:F196)+SUM(F199:F202)+SUM(F204:F208)*4+SUM(F222:F226)*2+SUM(F229:F232)+SUM(F234:F238)*2+SUM(F246:F250)+SUM(F252:F256)</f>
        <v>59160.838464000008</v>
      </c>
      <c r="H145" s="116"/>
    </row>
    <row r="146" spans="1:14" s="1" customFormat="1" x14ac:dyDescent="0.25">
      <c r="A146" s="198" t="s">
        <v>257</v>
      </c>
      <c r="B146" s="198"/>
      <c r="C146" s="116">
        <f>COUNT(D183:D185)+COUNT(D187:D189)</f>
        <v>6</v>
      </c>
      <c r="D146" s="116"/>
      <c r="E146" s="116">
        <f>SUM(D183:D185)+SUM(D187:D189)</f>
        <v>5048.9618399999999</v>
      </c>
      <c r="F146" s="116"/>
      <c r="G146" s="116">
        <f>SUM(F183:F185)+SUM(F187:F189)</f>
        <v>8078.3389440000001</v>
      </c>
      <c r="H146" s="116"/>
    </row>
    <row r="147" spans="1:14" s="71" customFormat="1" x14ac:dyDescent="0.25">
      <c r="A147" s="106" t="s">
        <v>64</v>
      </c>
      <c r="B147" s="106"/>
      <c r="C147" s="162">
        <f>SUM(C145:C146)</f>
        <v>70</v>
      </c>
      <c r="D147" s="162"/>
      <c r="E147" s="107">
        <f>SUM(E145:E146)</f>
        <v>42024.485880000007</v>
      </c>
      <c r="F147" s="107"/>
      <c r="G147" s="107">
        <f>SUM(G145:G146)</f>
        <v>67239.177408000003</v>
      </c>
      <c r="H147" s="107"/>
    </row>
    <row r="148" spans="1:14" s="9" customFormat="1" x14ac:dyDescent="0.25">
      <c r="A148" s="160" t="s">
        <v>65</v>
      </c>
      <c r="B148" s="160"/>
      <c r="C148" s="160"/>
      <c r="D148" s="160"/>
      <c r="E148" s="160"/>
      <c r="F148" s="160"/>
      <c r="G148" s="160"/>
      <c r="H148" s="160"/>
    </row>
    <row r="149" spans="1:14" x14ac:dyDescent="0.25">
      <c r="A149" s="160" t="s">
        <v>66</v>
      </c>
      <c r="B149" s="160"/>
      <c r="C149" s="160"/>
      <c r="D149" s="160"/>
      <c r="E149" s="160"/>
      <c r="F149" s="160"/>
      <c r="G149" s="160"/>
      <c r="H149" s="160"/>
    </row>
    <row r="150" spans="1:14" ht="47.25" customHeight="1" x14ac:dyDescent="0.25">
      <c r="A150" s="144" t="s">
        <v>160</v>
      </c>
      <c r="B150" s="144" t="s">
        <v>159</v>
      </c>
      <c r="C150" s="144" t="s">
        <v>67</v>
      </c>
      <c r="D150" s="144" t="s">
        <v>68</v>
      </c>
      <c r="E150" s="138" t="s">
        <v>69</v>
      </c>
      <c r="F150" s="29" t="s">
        <v>157</v>
      </c>
      <c r="G150" s="140" t="s">
        <v>70</v>
      </c>
      <c r="H150" s="141"/>
    </row>
    <row r="151" spans="1:14" s="2" customFormat="1" x14ac:dyDescent="0.25">
      <c r="A151" s="145"/>
      <c r="B151" s="145"/>
      <c r="C151" s="145"/>
      <c r="D151" s="145"/>
      <c r="E151" s="139"/>
      <c r="F151" s="30">
        <v>0.6</v>
      </c>
      <c r="G151" s="142"/>
      <c r="H151" s="143"/>
    </row>
    <row r="152" spans="1:14" s="2" customFormat="1" x14ac:dyDescent="0.25">
      <c r="A152" s="117" t="s">
        <v>228</v>
      </c>
      <c r="B152" s="118"/>
      <c r="C152" s="118"/>
      <c r="D152" s="118"/>
      <c r="E152" s="118"/>
      <c r="F152" s="118"/>
      <c r="G152" s="118"/>
      <c r="H152" s="119"/>
    </row>
    <row r="153" spans="1:14" s="2" customFormat="1" x14ac:dyDescent="0.25">
      <c r="A153" s="117" t="s">
        <v>190</v>
      </c>
      <c r="B153" s="118"/>
      <c r="C153" s="118"/>
      <c r="D153" s="118"/>
      <c r="E153" s="118"/>
      <c r="F153" s="118"/>
      <c r="G153" s="118"/>
      <c r="H153" s="119"/>
    </row>
    <row r="154" spans="1:14" s="2" customFormat="1" x14ac:dyDescent="0.25">
      <c r="A154" s="117" t="s">
        <v>191</v>
      </c>
      <c r="B154" s="118"/>
      <c r="C154" s="118"/>
      <c r="D154" s="118"/>
      <c r="E154" s="118"/>
      <c r="F154" s="118"/>
      <c r="G154" s="118"/>
      <c r="H154" s="119"/>
    </row>
    <row r="155" spans="1:14" s="2" customFormat="1" ht="15.75" customHeight="1" x14ac:dyDescent="0.25">
      <c r="A155" s="53" t="s">
        <v>192</v>
      </c>
      <c r="B155" s="53" t="s">
        <v>199</v>
      </c>
      <c r="C155" s="54" t="s">
        <v>200</v>
      </c>
      <c r="D155" s="54">
        <f>24.95*10.764</f>
        <v>268.56179999999995</v>
      </c>
      <c r="E155" s="31">
        <v>0</v>
      </c>
      <c r="F155" s="31">
        <f>D155*(($F$151)+1)+E155</f>
        <v>429.69887999999992</v>
      </c>
      <c r="G155" s="123" t="str">
        <f>A154</f>
        <v>Ground Floor for Commercial &amp; Parking</v>
      </c>
      <c r="H155" s="124"/>
      <c r="I155" s="32"/>
      <c r="L155" s="108"/>
      <c r="M155" s="108"/>
      <c r="N155" s="32"/>
    </row>
    <row r="156" spans="1:14" s="2" customFormat="1" ht="15.75" customHeight="1" x14ac:dyDescent="0.25">
      <c r="A156" s="53" t="s">
        <v>193</v>
      </c>
      <c r="B156" s="53" t="s">
        <v>199</v>
      </c>
      <c r="C156" s="54" t="s">
        <v>200</v>
      </c>
      <c r="D156" s="54">
        <f>12.3*10.764</f>
        <v>132.3972</v>
      </c>
      <c r="E156" s="31">
        <v>0</v>
      </c>
      <c r="F156" s="31">
        <f>D156*(($F$151)+1)+E156</f>
        <v>211.83552</v>
      </c>
      <c r="G156" s="125"/>
      <c r="H156" s="126"/>
      <c r="I156" s="32"/>
      <c r="L156" s="108"/>
      <c r="M156" s="108"/>
      <c r="N156" s="32"/>
    </row>
    <row r="157" spans="1:14" s="2" customFormat="1" ht="15.75" customHeight="1" x14ac:dyDescent="0.25">
      <c r="A157" s="53" t="s">
        <v>194</v>
      </c>
      <c r="B157" s="53" t="s">
        <v>199</v>
      </c>
      <c r="C157" s="54" t="s">
        <v>200</v>
      </c>
      <c r="D157" s="54">
        <f>4.82*10.764</f>
        <v>51.882480000000001</v>
      </c>
      <c r="E157" s="31">
        <v>0</v>
      </c>
      <c r="F157" s="31">
        <f t="shared" ref="F157" si="0">D157*(($F$151)+1)+E157</f>
        <v>83.01196800000001</v>
      </c>
      <c r="G157" s="125"/>
      <c r="H157" s="126"/>
      <c r="I157" s="32"/>
      <c r="L157" s="108"/>
      <c r="M157" s="108"/>
      <c r="N157" s="32"/>
    </row>
    <row r="158" spans="1:14" s="2" customFormat="1" ht="15.75" customHeight="1" x14ac:dyDescent="0.25">
      <c r="A158" s="53" t="s">
        <v>195</v>
      </c>
      <c r="B158" s="53" t="s">
        <v>199</v>
      </c>
      <c r="C158" s="54" t="s">
        <v>200</v>
      </c>
      <c r="D158" s="54">
        <f>35.82*10.764</f>
        <v>385.56647999999996</v>
      </c>
      <c r="E158" s="31">
        <v>0</v>
      </c>
      <c r="F158" s="31">
        <f t="shared" ref="F158:F159" si="1">D158*(($F$151)+1)+E158</f>
        <v>616.90636799999993</v>
      </c>
      <c r="G158" s="125"/>
      <c r="H158" s="126"/>
      <c r="I158" s="32"/>
      <c r="L158" s="108"/>
      <c r="M158" s="108"/>
      <c r="N158" s="32"/>
    </row>
    <row r="159" spans="1:14" s="2" customFormat="1" ht="15.75" customHeight="1" x14ac:dyDescent="0.25">
      <c r="A159" s="53" t="s">
        <v>196</v>
      </c>
      <c r="B159" s="53" t="s">
        <v>199</v>
      </c>
      <c r="C159" s="54" t="s">
        <v>200</v>
      </c>
      <c r="D159" s="54">
        <f>37.72*10.764</f>
        <v>406.01807999999994</v>
      </c>
      <c r="E159" s="31">
        <v>0</v>
      </c>
      <c r="F159" s="31">
        <f t="shared" si="1"/>
        <v>649.62892799999997</v>
      </c>
      <c r="G159" s="125"/>
      <c r="H159" s="126"/>
      <c r="I159" s="32"/>
      <c r="L159" s="108"/>
      <c r="M159" s="108"/>
      <c r="N159" s="32"/>
    </row>
    <row r="160" spans="1:14" s="2" customFormat="1" ht="31.5" customHeight="1" x14ac:dyDescent="0.25">
      <c r="A160" s="53" t="s">
        <v>197</v>
      </c>
      <c r="B160" s="53" t="s">
        <v>199</v>
      </c>
      <c r="C160" s="54" t="s">
        <v>200</v>
      </c>
      <c r="D160" s="54">
        <f>75.67*10.764</f>
        <v>814.51188000000002</v>
      </c>
      <c r="E160" s="31">
        <v>0</v>
      </c>
      <c r="F160" s="31">
        <f t="shared" ref="F160:F161" si="2">D160*(($F$151)+1)+E160</f>
        <v>1303.219008</v>
      </c>
      <c r="G160" s="125"/>
      <c r="H160" s="126"/>
      <c r="I160" s="32"/>
      <c r="L160" s="108"/>
      <c r="M160" s="108"/>
      <c r="N160" s="32"/>
    </row>
    <row r="161" spans="1:14" s="2" customFormat="1" ht="15.75" customHeight="1" x14ac:dyDescent="0.25">
      <c r="A161" s="53" t="s">
        <v>198</v>
      </c>
      <c r="B161" s="53" t="s">
        <v>199</v>
      </c>
      <c r="C161" s="54" t="s">
        <v>201</v>
      </c>
      <c r="D161" s="54">
        <f>7.89*10.764</f>
        <v>84.927959999999985</v>
      </c>
      <c r="E161" s="31">
        <v>0</v>
      </c>
      <c r="F161" s="31">
        <f t="shared" si="2"/>
        <v>135.88473599999998</v>
      </c>
      <c r="G161" s="127"/>
      <c r="H161" s="128"/>
      <c r="I161" s="32"/>
      <c r="L161" s="108"/>
      <c r="M161" s="108"/>
      <c r="N161" s="32"/>
    </row>
    <row r="162" spans="1:14" s="2" customFormat="1" x14ac:dyDescent="0.25">
      <c r="A162" s="117" t="s">
        <v>202</v>
      </c>
      <c r="B162" s="118"/>
      <c r="C162" s="118"/>
      <c r="D162" s="118"/>
      <c r="E162" s="118"/>
      <c r="F162" s="118"/>
      <c r="G162" s="118"/>
      <c r="H162" s="119"/>
    </row>
    <row r="163" spans="1:14" s="2" customFormat="1" x14ac:dyDescent="0.25">
      <c r="A163" s="53" t="s">
        <v>192</v>
      </c>
      <c r="B163" s="53" t="s">
        <v>205</v>
      </c>
      <c r="C163" s="54" t="s">
        <v>200</v>
      </c>
      <c r="D163" s="54">
        <f>(1.2*0.27+3.73*1.42+3.64*2.16+1.25*1.22+2.33*1.57)*10.764</f>
        <v>200.9219004</v>
      </c>
      <c r="E163" s="31">
        <v>0</v>
      </c>
      <c r="F163" s="31">
        <f>D163*(($F$151)+1)+E163</f>
        <v>321.47504064000003</v>
      </c>
      <c r="G163" s="123" t="str">
        <f>A162</f>
        <v xml:space="preserve">1st Floor </v>
      </c>
      <c r="H163" s="124"/>
      <c r="I163" s="32">
        <f>40000*F163</f>
        <v>12859001.625600001</v>
      </c>
      <c r="L163" s="108"/>
      <c r="M163" s="108"/>
      <c r="N163" s="32"/>
    </row>
    <row r="164" spans="1:14" s="2" customFormat="1" x14ac:dyDescent="0.25">
      <c r="A164" s="53" t="s">
        <v>193</v>
      </c>
      <c r="B164" s="53" t="s">
        <v>205</v>
      </c>
      <c r="C164" s="54" t="s">
        <v>200</v>
      </c>
      <c r="D164" s="54">
        <f>92.22*10.764</f>
        <v>992.65607999999997</v>
      </c>
      <c r="E164" s="31">
        <v>0</v>
      </c>
      <c r="F164" s="31">
        <f t="shared" ref="F164:F167" si="3">D164*(($F$151)+1)+E164</f>
        <v>1588.249728</v>
      </c>
      <c r="G164" s="125"/>
      <c r="H164" s="126"/>
      <c r="I164" s="32">
        <f t="shared" ref="I164:I166" si="4">40000*F164</f>
        <v>63529989.119999997</v>
      </c>
      <c r="L164" s="108"/>
      <c r="M164" s="108"/>
      <c r="N164" s="32"/>
    </row>
    <row r="165" spans="1:14" s="2" customFormat="1" x14ac:dyDescent="0.25">
      <c r="A165" s="53" t="s">
        <v>194</v>
      </c>
      <c r="B165" s="53" t="s">
        <v>205</v>
      </c>
      <c r="C165" s="54" t="s">
        <v>200</v>
      </c>
      <c r="D165" s="54">
        <f>43.44*10.764</f>
        <v>467.58815999999996</v>
      </c>
      <c r="E165" s="31">
        <v>0</v>
      </c>
      <c r="F165" s="31">
        <f t="shared" si="3"/>
        <v>748.14105599999994</v>
      </c>
      <c r="G165" s="125"/>
      <c r="H165" s="126"/>
      <c r="I165" s="32">
        <f t="shared" si="4"/>
        <v>29925642.239999998</v>
      </c>
      <c r="L165" s="108"/>
      <c r="M165" s="108"/>
      <c r="N165" s="32"/>
    </row>
    <row r="166" spans="1:14" s="2" customFormat="1" x14ac:dyDescent="0.25">
      <c r="A166" s="53" t="s">
        <v>203</v>
      </c>
      <c r="B166" s="53" t="s">
        <v>205</v>
      </c>
      <c r="C166" s="54" t="s">
        <v>200</v>
      </c>
      <c r="D166" s="54">
        <f>51.84*10.764</f>
        <v>558.00576000000001</v>
      </c>
      <c r="E166" s="31">
        <v>0</v>
      </c>
      <c r="F166" s="31">
        <f t="shared" si="3"/>
        <v>892.80921600000011</v>
      </c>
      <c r="G166" s="125"/>
      <c r="H166" s="126"/>
      <c r="I166" s="32">
        <f t="shared" si="4"/>
        <v>35712368.640000001</v>
      </c>
      <c r="L166" s="108"/>
      <c r="M166" s="108"/>
      <c r="N166" s="32"/>
    </row>
    <row r="167" spans="1:14" s="2" customFormat="1" x14ac:dyDescent="0.25">
      <c r="A167" s="53" t="s">
        <v>204</v>
      </c>
      <c r="B167" s="53" t="s">
        <v>199</v>
      </c>
      <c r="C167" s="54" t="s">
        <v>200</v>
      </c>
      <c r="D167" s="54">
        <f>9.34*10.764</f>
        <v>100.53576</v>
      </c>
      <c r="E167" s="31">
        <v>0</v>
      </c>
      <c r="F167" s="31">
        <f t="shared" si="3"/>
        <v>160.85721599999999</v>
      </c>
      <c r="G167" s="127"/>
      <c r="H167" s="128"/>
      <c r="I167" s="32"/>
      <c r="L167" s="108"/>
      <c r="M167" s="108"/>
      <c r="N167" s="32"/>
    </row>
    <row r="168" spans="1:14" s="2" customFormat="1" x14ac:dyDescent="0.25">
      <c r="A168" s="117" t="s">
        <v>158</v>
      </c>
      <c r="B168" s="118"/>
      <c r="C168" s="118"/>
      <c r="D168" s="118"/>
      <c r="E168" s="118"/>
      <c r="F168" s="118"/>
      <c r="G168" s="118"/>
      <c r="H168" s="119"/>
    </row>
    <row r="169" spans="1:14" s="2" customFormat="1" ht="31.5" customHeight="1" x14ac:dyDescent="0.25">
      <c r="A169" s="53" t="s">
        <v>198</v>
      </c>
      <c r="B169" s="53" t="s">
        <v>199</v>
      </c>
      <c r="C169" s="54" t="s">
        <v>208</v>
      </c>
      <c r="D169" s="54">
        <f>23.2*10.764</f>
        <v>249.72479999999999</v>
      </c>
      <c r="E169" s="31">
        <v>0</v>
      </c>
      <c r="F169" s="31">
        <f>D169*(($F$151)+1)+E169</f>
        <v>399.55968000000001</v>
      </c>
      <c r="G169" s="123" t="str">
        <f>A168</f>
        <v>2nd Floor</v>
      </c>
      <c r="H169" s="124"/>
      <c r="I169" s="32"/>
      <c r="L169" s="108"/>
      <c r="M169" s="108"/>
      <c r="N169" s="32"/>
    </row>
    <row r="170" spans="1:14" s="2" customFormat="1" x14ac:dyDescent="0.25">
      <c r="A170" s="53" t="s">
        <v>193</v>
      </c>
      <c r="B170" s="53" t="s">
        <v>199</v>
      </c>
      <c r="C170" s="54" t="s">
        <v>200</v>
      </c>
      <c r="D170" s="54">
        <f>27.95*10.764</f>
        <v>300.85379999999998</v>
      </c>
      <c r="E170" s="31">
        <v>0</v>
      </c>
      <c r="F170" s="31">
        <f t="shared" ref="F170:F173" si="5">D170*(($F$151)+1)+E170</f>
        <v>481.36608000000001</v>
      </c>
      <c r="G170" s="125"/>
      <c r="H170" s="126"/>
      <c r="I170" s="32"/>
      <c r="L170" s="108"/>
      <c r="M170" s="108"/>
      <c r="N170" s="32"/>
    </row>
    <row r="171" spans="1:14" s="2" customFormat="1" x14ac:dyDescent="0.25">
      <c r="A171" s="53" t="s">
        <v>203</v>
      </c>
      <c r="B171" s="53" t="s">
        <v>199</v>
      </c>
      <c r="C171" s="54" t="s">
        <v>200</v>
      </c>
      <c r="D171" s="54">
        <f>57.11*10.764</f>
        <v>614.73203999999998</v>
      </c>
      <c r="E171" s="31">
        <v>0</v>
      </c>
      <c r="F171" s="31">
        <f t="shared" si="5"/>
        <v>983.57126400000004</v>
      </c>
      <c r="G171" s="125"/>
      <c r="H171" s="126"/>
      <c r="I171" s="32"/>
      <c r="L171" s="108"/>
      <c r="M171" s="108"/>
      <c r="N171" s="32"/>
    </row>
    <row r="172" spans="1:14" s="2" customFormat="1" x14ac:dyDescent="0.25">
      <c r="A172" s="53" t="s">
        <v>206</v>
      </c>
      <c r="B172" s="53" t="s">
        <v>199</v>
      </c>
      <c r="C172" s="54" t="s">
        <v>200</v>
      </c>
      <c r="D172" s="54">
        <f>7.92*10.764</f>
        <v>85.250879999999995</v>
      </c>
      <c r="E172" s="31">
        <v>0</v>
      </c>
      <c r="F172" s="31">
        <f t="shared" si="5"/>
        <v>136.401408</v>
      </c>
      <c r="G172" s="125"/>
      <c r="H172" s="126"/>
      <c r="I172" s="32"/>
      <c r="L172" s="108"/>
      <c r="M172" s="108"/>
      <c r="N172" s="32"/>
    </row>
    <row r="173" spans="1:14" s="2" customFormat="1" x14ac:dyDescent="0.25">
      <c r="A173" s="53" t="s">
        <v>207</v>
      </c>
      <c r="B173" s="53" t="s">
        <v>199</v>
      </c>
      <c r="C173" s="54" t="s">
        <v>200</v>
      </c>
      <c r="D173" s="54">
        <f>21.81*10.764</f>
        <v>234.76283999999998</v>
      </c>
      <c r="E173" s="31">
        <v>0</v>
      </c>
      <c r="F173" s="31">
        <f t="shared" si="5"/>
        <v>375.620544</v>
      </c>
      <c r="G173" s="125"/>
      <c r="H173" s="126"/>
      <c r="I173" s="32"/>
      <c r="L173" s="108"/>
      <c r="M173" s="108"/>
      <c r="N173" s="32"/>
    </row>
    <row r="174" spans="1:14" s="2" customFormat="1" x14ac:dyDescent="0.25">
      <c r="A174" s="53" t="s">
        <v>193</v>
      </c>
      <c r="B174" s="53" t="s">
        <v>199</v>
      </c>
      <c r="C174" s="54" t="s">
        <v>209</v>
      </c>
      <c r="D174" s="54">
        <f>114.91*10.764</f>
        <v>1236.8912399999999</v>
      </c>
      <c r="E174" s="31">
        <v>0</v>
      </c>
      <c r="F174" s="31">
        <f t="shared" ref="F174" si="6">D174*(($F$151)+1)+E174</f>
        <v>1979.0259839999999</v>
      </c>
      <c r="G174" s="127"/>
      <c r="H174" s="128"/>
      <c r="I174" s="32"/>
      <c r="L174" s="108"/>
      <c r="M174" s="108"/>
      <c r="N174" s="32"/>
    </row>
    <row r="175" spans="1:14" s="2" customFormat="1" x14ac:dyDescent="0.25">
      <c r="A175" s="117" t="s">
        <v>210</v>
      </c>
      <c r="B175" s="118"/>
      <c r="C175" s="118"/>
      <c r="D175" s="118"/>
      <c r="E175" s="118"/>
      <c r="F175" s="118"/>
      <c r="G175" s="118"/>
      <c r="H175" s="119"/>
    </row>
    <row r="176" spans="1:14" s="2" customFormat="1" x14ac:dyDescent="0.25">
      <c r="A176" s="53" t="s">
        <v>192</v>
      </c>
      <c r="B176" s="53" t="s">
        <v>199</v>
      </c>
      <c r="C176" s="54" t="s">
        <v>200</v>
      </c>
      <c r="D176" s="54">
        <f>166*10.764</f>
        <v>1786.8239999999998</v>
      </c>
      <c r="E176" s="31">
        <v>0</v>
      </c>
      <c r="F176" s="31">
        <f>D176*(($F$151)+1)+E176</f>
        <v>2858.9184</v>
      </c>
      <c r="G176" s="123" t="str">
        <f>A175</f>
        <v>3rd Floor</v>
      </c>
      <c r="H176" s="124"/>
      <c r="I176" s="32"/>
      <c r="L176" s="108"/>
      <c r="M176" s="108"/>
      <c r="N176" s="32"/>
    </row>
    <row r="177" spans="1:16" s="2" customFormat="1" x14ac:dyDescent="0.25">
      <c r="A177" s="53" t="s">
        <v>193</v>
      </c>
      <c r="B177" s="53" t="s">
        <v>199</v>
      </c>
      <c r="C177" s="54" t="s">
        <v>200</v>
      </c>
      <c r="D177" s="54">
        <f>102.09*10.764</f>
        <v>1098.8967599999999</v>
      </c>
      <c r="E177" s="31">
        <v>0</v>
      </c>
      <c r="F177" s="31">
        <f>D177*(($F$151)+1)+E177</f>
        <v>1758.2348159999999</v>
      </c>
      <c r="G177" s="127"/>
      <c r="H177" s="128"/>
      <c r="I177" s="32"/>
      <c r="L177" s="108"/>
      <c r="M177" s="108"/>
      <c r="N177" s="32"/>
    </row>
    <row r="178" spans="1:16" s="2" customFormat="1" x14ac:dyDescent="0.25">
      <c r="A178" s="216"/>
      <c r="B178" s="217"/>
      <c r="C178" s="217"/>
      <c r="D178" s="217"/>
      <c r="E178" s="217"/>
      <c r="F178" s="217"/>
      <c r="G178" s="217"/>
      <c r="H178" s="218"/>
      <c r="I178" s="32"/>
      <c r="L178" s="108"/>
      <c r="M178" s="108"/>
      <c r="N178" s="32"/>
    </row>
    <row r="179" spans="1:16" ht="47.25" customHeight="1" x14ac:dyDescent="0.25">
      <c r="A179" s="144" t="s">
        <v>160</v>
      </c>
      <c r="B179" s="144" t="s">
        <v>159</v>
      </c>
      <c r="C179" s="144" t="s">
        <v>67</v>
      </c>
      <c r="D179" s="144" t="s">
        <v>68</v>
      </c>
      <c r="E179" s="138" t="s">
        <v>69</v>
      </c>
      <c r="F179" s="29" t="s">
        <v>157</v>
      </c>
      <c r="G179" s="140" t="s">
        <v>70</v>
      </c>
      <c r="H179" s="141"/>
    </row>
    <row r="180" spans="1:16" s="2" customFormat="1" x14ac:dyDescent="0.25">
      <c r="A180" s="145"/>
      <c r="B180" s="145"/>
      <c r="C180" s="145"/>
      <c r="D180" s="145"/>
      <c r="E180" s="139"/>
      <c r="F180" s="30">
        <v>0.6</v>
      </c>
      <c r="G180" s="142"/>
      <c r="H180" s="143"/>
    </row>
    <row r="181" spans="1:16" s="2" customFormat="1" x14ac:dyDescent="0.25">
      <c r="A181" s="117" t="s">
        <v>211</v>
      </c>
      <c r="B181" s="118"/>
      <c r="C181" s="118"/>
      <c r="D181" s="118"/>
      <c r="E181" s="118"/>
      <c r="F181" s="118"/>
      <c r="G181" s="118"/>
      <c r="H181" s="119"/>
    </row>
    <row r="182" spans="1:16" s="2" customFormat="1" ht="15.75" customHeight="1" x14ac:dyDescent="0.25">
      <c r="A182" s="117" t="s">
        <v>212</v>
      </c>
      <c r="B182" s="118"/>
      <c r="C182" s="118"/>
      <c r="D182" s="118"/>
      <c r="E182" s="118"/>
      <c r="F182" s="118"/>
      <c r="G182" s="118"/>
      <c r="H182" s="119"/>
      <c r="I182" s="32"/>
    </row>
    <row r="183" spans="1:16" s="2" customFormat="1" x14ac:dyDescent="0.25">
      <c r="A183" s="53" t="s">
        <v>192</v>
      </c>
      <c r="B183" s="53" t="s">
        <v>199</v>
      </c>
      <c r="C183" s="54" t="s">
        <v>213</v>
      </c>
      <c r="D183" s="54">
        <f>50.72*10.764</f>
        <v>545.95007999999996</v>
      </c>
      <c r="E183" s="31">
        <v>0</v>
      </c>
      <c r="F183" s="31">
        <f>D183*(($F$180)+1)+E183</f>
        <v>873.520128</v>
      </c>
      <c r="G183" s="123" t="str">
        <f>A182</f>
        <v xml:space="preserve">5th Floor </v>
      </c>
      <c r="H183" s="124"/>
      <c r="I183" s="32"/>
      <c r="N183" s="2" t="e">
        <f t="shared" ref="N183:N196" ca="1" si="7">O183&amp;""&amp;",..,"&amp;""&amp;P183</f>
        <v>#REF!</v>
      </c>
      <c r="O183" s="2" t="e">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10^ROW(INDIRECT("1:"&amp;LEN((LEFT(A182,SUM(LEN(A182)-LEN(SUBSTITUTE(A182,{"0","1","2"},""))))))))/10))*100+1</f>
        <v>#REF!</v>
      </c>
      <c r="P183" s="2">
        <f ca="1">(SUMPRODUCT(MID(0&amp;(--TRIM(RIGHT(SUBSTITUTE(LEFT(A182,_xlfn.AGGREGATE(16,6,FIND({0,1,2,3,4,5,6,7,8,9},A182,ROW(INDIRECT("1:"&amp;LEN(A182)))),1)),"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",LEN(A182))),LEN(A182)))))))/10))*100+1</f>
        <v>501</v>
      </c>
    </row>
    <row r="184" spans="1:16" s="2" customFormat="1" ht="31.5" x14ac:dyDescent="0.25">
      <c r="A184" s="53" t="s">
        <v>286</v>
      </c>
      <c r="B184" s="53" t="s">
        <v>199</v>
      </c>
      <c r="C184" s="54" t="s">
        <v>214</v>
      </c>
      <c r="D184" s="54">
        <f>167.72*10.764</f>
        <v>1805.33808</v>
      </c>
      <c r="E184" s="31">
        <v>0</v>
      </c>
      <c r="F184" s="31">
        <f t="shared" ref="F184:F185" si="8">D184*(($F$180)+1)+E184</f>
        <v>2888.5409280000003</v>
      </c>
      <c r="G184" s="125"/>
      <c r="H184" s="126"/>
      <c r="I184" s="32"/>
      <c r="N184" s="2" t="e">
        <f t="shared" ca="1" si="7"/>
        <v>#REF!</v>
      </c>
      <c r="O184" s="2" t="e">
        <f t="shared" ref="O184:P185" ca="1" si="9">O183+1</f>
        <v>#REF!</v>
      </c>
      <c r="P184" s="2">
        <f t="shared" ca="1" si="9"/>
        <v>502</v>
      </c>
    </row>
    <row r="185" spans="1:16" s="2" customFormat="1" x14ac:dyDescent="0.25">
      <c r="A185" s="53" t="s">
        <v>206</v>
      </c>
      <c r="B185" s="53" t="s">
        <v>199</v>
      </c>
      <c r="C185" s="54" t="s">
        <v>213</v>
      </c>
      <c r="D185" s="54">
        <f>34.69*10.764</f>
        <v>373.40315999999996</v>
      </c>
      <c r="E185" s="31">
        <v>0</v>
      </c>
      <c r="F185" s="31">
        <f t="shared" si="8"/>
        <v>597.44505599999991</v>
      </c>
      <c r="G185" s="127"/>
      <c r="H185" s="128"/>
      <c r="I185" s="32">
        <f>35000000/F185</f>
        <v>58582.792925480338</v>
      </c>
      <c r="N185" s="2" t="e">
        <f t="shared" ca="1" si="7"/>
        <v>#REF!</v>
      </c>
      <c r="O185" s="2" t="e">
        <f t="shared" ca="1" si="9"/>
        <v>#REF!</v>
      </c>
      <c r="P185" s="2">
        <f t="shared" ca="1" si="9"/>
        <v>503</v>
      </c>
    </row>
    <row r="186" spans="1:16" s="2" customFormat="1" ht="15.75" customHeight="1" x14ac:dyDescent="0.25">
      <c r="A186" s="117" t="s">
        <v>215</v>
      </c>
      <c r="B186" s="118"/>
      <c r="C186" s="118"/>
      <c r="D186" s="118"/>
      <c r="E186" s="118"/>
      <c r="F186" s="118"/>
      <c r="G186" s="118"/>
      <c r="H186" s="119"/>
      <c r="I186" s="32"/>
    </row>
    <row r="187" spans="1:16" s="2" customFormat="1" x14ac:dyDescent="0.25">
      <c r="A187" s="53" t="s">
        <v>276</v>
      </c>
      <c r="B187" s="53" t="s">
        <v>199</v>
      </c>
      <c r="C187" s="54" t="s">
        <v>216</v>
      </c>
      <c r="D187" s="54">
        <f>55.02*10.764</f>
        <v>592.23527999999999</v>
      </c>
      <c r="E187" s="31">
        <v>0</v>
      </c>
      <c r="F187" s="31">
        <f t="shared" ref="F187:F190" si="10">D187*(($F$180)+1)+E187</f>
        <v>947.57644800000003</v>
      </c>
      <c r="G187" s="123" t="str">
        <f>A186</f>
        <v xml:space="preserve">6th Floor </v>
      </c>
      <c r="H187" s="124"/>
      <c r="I187" s="32"/>
      <c r="N187" s="2" t="e">
        <f t="shared" ref="N187:N189" ca="1" si="11">O187&amp;""&amp;",..,"&amp;""&amp;P187</f>
        <v>#REF!</v>
      </c>
      <c r="O187" s="2" t="e">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10^ROW(INDIRECT("1:"&amp;LEN((LEFT(A186,SUM(LEN(A186)-LEN(SUBSTITUTE(A186,{"0","1","2"},""))))))))/10))*100+1</f>
        <v>#REF!</v>
      </c>
      <c r="P187" s="2">
        <f ca="1">(SUMPRODUCT(MID(0&amp;(--TRIM(RIGHT(SUBSTITUTE(LEFT(A186,_xlfn.AGGREGATE(16,6,FIND({0,1,2,3,4,5,6,7,8,9},A186,ROW(INDIRECT("1:"&amp;LEN(A186)))),1)),"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",LEN(A186))),LEN(A186)))))))/10))*100+1</f>
        <v>601</v>
      </c>
    </row>
    <row r="188" spans="1:16" s="2" customFormat="1" x14ac:dyDescent="0.25">
      <c r="A188" s="53" t="s">
        <v>277</v>
      </c>
      <c r="B188" s="53" t="s">
        <v>199</v>
      </c>
      <c r="C188" s="54" t="s">
        <v>213</v>
      </c>
      <c r="D188" s="54">
        <f>44.85*10.764</f>
        <v>482.7654</v>
      </c>
      <c r="E188" s="31">
        <v>0</v>
      </c>
      <c r="F188" s="31">
        <f t="shared" si="10"/>
        <v>772.42464000000007</v>
      </c>
      <c r="G188" s="125"/>
      <c r="H188" s="126"/>
      <c r="I188" s="32"/>
      <c r="J188" s="2">
        <f>1*(3.05+2.75)</f>
        <v>5.8</v>
      </c>
      <c r="N188" s="2" t="e">
        <f t="shared" ca="1" si="11"/>
        <v>#REF!</v>
      </c>
      <c r="O188" s="2" t="e">
        <f t="shared" ref="O188:P188" ca="1" si="12">O187+1</f>
        <v>#REF!</v>
      </c>
      <c r="P188" s="2">
        <f t="shared" ca="1" si="12"/>
        <v>602</v>
      </c>
    </row>
    <row r="189" spans="1:16" s="2" customFormat="1" x14ac:dyDescent="0.25">
      <c r="A189" s="82" t="s">
        <v>287</v>
      </c>
      <c r="B189" s="53" t="s">
        <v>199</v>
      </c>
      <c r="C189" s="54" t="s">
        <v>152</v>
      </c>
      <c r="D189" s="54">
        <f>116.06*10.764</f>
        <v>1249.2698399999999</v>
      </c>
      <c r="E189" s="31">
        <v>0</v>
      </c>
      <c r="F189" s="31">
        <f t="shared" si="10"/>
        <v>1998.8317440000001</v>
      </c>
      <c r="G189" s="125"/>
      <c r="H189" s="126"/>
      <c r="I189" s="32"/>
      <c r="N189" s="2" t="e">
        <f t="shared" ca="1" si="11"/>
        <v>#REF!</v>
      </c>
      <c r="O189" s="2" t="e">
        <f t="shared" ref="O189:P190" ca="1" si="13">O188+1</f>
        <v>#REF!</v>
      </c>
      <c r="P189" s="2">
        <f t="shared" ca="1" si="13"/>
        <v>603</v>
      </c>
    </row>
    <row r="190" spans="1:16" s="2" customFormat="1" x14ac:dyDescent="0.25">
      <c r="A190" s="53" t="s">
        <v>278</v>
      </c>
      <c r="B190" s="77" t="s">
        <v>205</v>
      </c>
      <c r="C190" s="54" t="s">
        <v>213</v>
      </c>
      <c r="D190" s="54">
        <f>(40+4.02)*10.764</f>
        <v>473.83127999999994</v>
      </c>
      <c r="E190" s="31">
        <v>0</v>
      </c>
      <c r="F190" s="31">
        <f t="shared" si="10"/>
        <v>758.13004799999999</v>
      </c>
      <c r="G190" s="127"/>
      <c r="H190" s="128"/>
      <c r="I190" s="32">
        <f>2.75*4.25+2.1*3.18+2.68*2.23+2.83*1.12+2.07*1.28+1.39*2.18+1.32*2.33+2.25*1</f>
        <v>38.5169</v>
      </c>
      <c r="J190" s="78">
        <f>0.83*(2.75+2.68)</f>
        <v>4.5068999999999999</v>
      </c>
      <c r="N190" s="2" t="e">
        <f t="shared" ref="N190" ca="1" si="14">O190&amp;""&amp;",..,"&amp;""&amp;P190</f>
        <v>#REF!</v>
      </c>
      <c r="O190" s="2" t="e">
        <f t="shared" ca="1" si="13"/>
        <v>#REF!</v>
      </c>
      <c r="P190" s="2">
        <f t="shared" ca="1" si="13"/>
        <v>604</v>
      </c>
    </row>
    <row r="191" spans="1:16" s="2" customFormat="1" ht="15.75" customHeight="1" x14ac:dyDescent="0.25">
      <c r="A191" s="117" t="s">
        <v>217</v>
      </c>
      <c r="B191" s="118"/>
      <c r="C191" s="118"/>
      <c r="D191" s="118"/>
      <c r="E191" s="118"/>
      <c r="F191" s="118"/>
      <c r="G191" s="118"/>
      <c r="H191" s="119"/>
      <c r="I191" s="32"/>
    </row>
    <row r="192" spans="1:16" s="2" customFormat="1" x14ac:dyDescent="0.25">
      <c r="A192" s="55" t="s">
        <v>279</v>
      </c>
      <c r="B192" s="77" t="s">
        <v>205</v>
      </c>
      <c r="C192" s="54" t="s">
        <v>216</v>
      </c>
      <c r="D192" s="54">
        <f>(55.71+4.85)*10.764</f>
        <v>651.86784</v>
      </c>
      <c r="E192" s="31">
        <v>0</v>
      </c>
      <c r="F192" s="31">
        <f t="shared" ref="F192:F196" si="15">D192*(($F$180)+1)+E192</f>
        <v>1042.988544</v>
      </c>
      <c r="G192" s="123" t="str">
        <f>A191</f>
        <v xml:space="preserve">7th Floor </v>
      </c>
      <c r="H192" s="124"/>
      <c r="I192" s="79">
        <f>3.18*5.77+3.25*2.1+3.32*2.75+3.4*2.54+2.18*1.1+2.18*1.1+1.07*0.9+1.22*1.1+0.83*6.55</f>
        <v>55.477100000000007</v>
      </c>
      <c r="N192" s="2" t="e">
        <f t="shared" ref="N192:N195" ca="1" si="16">O192&amp;""&amp;",..,"&amp;""&amp;P192</f>
        <v>#REF!</v>
      </c>
      <c r="O192" s="2" t="e">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10^ROW(INDIRECT("1:"&amp;LEN((LEFT(A191,SUM(LEN(A191)-LEN(SUBSTITUTE(A191,{"0","1","2"},""))))))))/10))*100+1</f>
        <v>#REF!</v>
      </c>
      <c r="P192" s="2">
        <f ca="1">(SUMPRODUCT(MID(0&amp;(--TRIM(RIGHT(SUBSTITUTE(LEFT(A191,_xlfn.AGGREGATE(16,6,FIND({0,1,2,3,4,5,6,7,8,9},A191,ROW(INDIRECT("1:"&amp;LEN(A191)))),1)),"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",LEN(A191))),LEN(A191)))))))/10))*100+1</f>
        <v>701</v>
      </c>
    </row>
    <row r="193" spans="1:16" s="2" customFormat="1" x14ac:dyDescent="0.25">
      <c r="A193" s="55" t="s">
        <v>280</v>
      </c>
      <c r="B193" s="77" t="s">
        <v>205</v>
      </c>
      <c r="C193" s="54" t="s">
        <v>213</v>
      </c>
      <c r="D193" s="54">
        <f>(41.46+6.63)*10.764</f>
        <v>517.64076</v>
      </c>
      <c r="E193" s="31">
        <v>0</v>
      </c>
      <c r="F193" s="31">
        <f t="shared" si="15"/>
        <v>828.22521600000005</v>
      </c>
      <c r="G193" s="125"/>
      <c r="H193" s="126"/>
      <c r="I193" s="32"/>
      <c r="J193" s="2">
        <f>5.58*3.13+3.45*1.93+3.25*2.75+2.1*1.18+1.2*1.85+1*2.08</f>
        <v>39.839399999999998</v>
      </c>
      <c r="N193" s="2" t="e">
        <f t="shared" ca="1" si="16"/>
        <v>#REF!</v>
      </c>
      <c r="O193" s="2" t="e">
        <f t="shared" ref="O193:P193" ca="1" si="17">O192+1</f>
        <v>#REF!</v>
      </c>
      <c r="P193" s="2">
        <f t="shared" ca="1" si="17"/>
        <v>702</v>
      </c>
    </row>
    <row r="194" spans="1:16" s="2" customFormat="1" x14ac:dyDescent="0.25">
      <c r="A194" s="55" t="s">
        <v>281</v>
      </c>
      <c r="B194" s="77" t="s">
        <v>205</v>
      </c>
      <c r="C194" s="54" t="s">
        <v>216</v>
      </c>
      <c r="D194" s="54">
        <f>(62.81+9.58)*10.764</f>
        <v>779.20596</v>
      </c>
      <c r="E194" s="31">
        <v>0</v>
      </c>
      <c r="F194" s="31">
        <f t="shared" si="15"/>
        <v>1246.7295360000001</v>
      </c>
      <c r="G194" s="125"/>
      <c r="H194" s="126"/>
      <c r="I194" s="32">
        <f>35000000/F194</f>
        <v>28073.45056754956</v>
      </c>
      <c r="N194" s="2" t="e">
        <f t="shared" ca="1" si="16"/>
        <v>#REF!</v>
      </c>
      <c r="O194" s="2" t="e">
        <f t="shared" ref="O194:P194" ca="1" si="18">O193+1</f>
        <v>#REF!</v>
      </c>
      <c r="P194" s="2">
        <f t="shared" ca="1" si="18"/>
        <v>703</v>
      </c>
    </row>
    <row r="195" spans="1:16" s="2" customFormat="1" x14ac:dyDescent="0.25">
      <c r="A195" s="55" t="s">
        <v>282</v>
      </c>
      <c r="B195" s="77" t="s">
        <v>205</v>
      </c>
      <c r="C195" s="54" t="s">
        <v>213</v>
      </c>
      <c r="D195" s="54">
        <f>(41.04+4.07)*10.764</f>
        <v>485.56403999999998</v>
      </c>
      <c r="E195" s="31">
        <v>0</v>
      </c>
      <c r="F195" s="31">
        <f t="shared" si="15"/>
        <v>776.90246400000001</v>
      </c>
      <c r="G195" s="125"/>
      <c r="H195" s="126"/>
      <c r="I195" s="32"/>
      <c r="N195" s="2" t="e">
        <f t="shared" ca="1" si="16"/>
        <v>#REF!</v>
      </c>
      <c r="O195" s="2" t="e">
        <f t="shared" ref="O195:P195" ca="1" si="19">O194+1</f>
        <v>#REF!</v>
      </c>
      <c r="P195" s="2">
        <f t="shared" ca="1" si="19"/>
        <v>704</v>
      </c>
    </row>
    <row r="196" spans="1:16" s="2" customFormat="1" x14ac:dyDescent="0.25">
      <c r="A196" s="55" t="s">
        <v>283</v>
      </c>
      <c r="B196" s="77" t="s">
        <v>205</v>
      </c>
      <c r="C196" s="54" t="s">
        <v>213</v>
      </c>
      <c r="D196" s="54">
        <f>(40+4.02)*10.764</f>
        <v>473.83127999999994</v>
      </c>
      <c r="E196" s="31">
        <v>0</v>
      </c>
      <c r="F196" s="31">
        <f t="shared" si="15"/>
        <v>758.13004799999999</v>
      </c>
      <c r="G196" s="127"/>
      <c r="H196" s="128"/>
      <c r="I196" s="32"/>
      <c r="N196" s="2" t="e">
        <f t="shared" ca="1" si="7"/>
        <v>#REF!</v>
      </c>
      <c r="O196" s="2" t="e">
        <f ca="1">O185+1</f>
        <v>#REF!</v>
      </c>
      <c r="P196" s="2">
        <f ca="1">P185+1</f>
        <v>504</v>
      </c>
    </row>
    <row r="197" spans="1:16" s="2" customFormat="1" ht="15.75" customHeight="1" x14ac:dyDescent="0.25">
      <c r="A197" s="117" t="s">
        <v>218</v>
      </c>
      <c r="B197" s="118"/>
      <c r="C197" s="118"/>
      <c r="D197" s="118"/>
      <c r="E197" s="118"/>
      <c r="F197" s="118"/>
      <c r="G197" s="118"/>
      <c r="H197" s="119"/>
      <c r="I197" s="32"/>
    </row>
    <row r="198" spans="1:16" s="2" customFormat="1" ht="15.75" customHeight="1" x14ac:dyDescent="0.25">
      <c r="A198" s="55" t="s">
        <v>192</v>
      </c>
      <c r="B198" s="53" t="s">
        <v>198</v>
      </c>
      <c r="C198" s="209" t="s">
        <v>219</v>
      </c>
      <c r="D198" s="210"/>
      <c r="E198" s="210"/>
      <c r="F198" s="211"/>
      <c r="G198" s="123" t="str">
        <f>A197</f>
        <v>8th Floor (Part Refuge Area)</v>
      </c>
      <c r="H198" s="124"/>
      <c r="I198" s="32"/>
      <c r="N198" s="2" t="e">
        <f t="shared" ref="N198:N202" ca="1" si="20">O198&amp;""&amp;",..,"&amp;""&amp;P198</f>
        <v>#REF!</v>
      </c>
      <c r="O198" s="2" t="e">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10^ROW(INDIRECT("1:"&amp;LEN((LEFT(A197,SUM(LEN(A197)-LEN(SUBSTITUTE(A197,{"0","1","2"},""))))))))/10))*100+1</f>
        <v>#REF!</v>
      </c>
      <c r="P198" s="2">
        <f ca="1">(SUMPRODUCT(MID(0&amp;(--TRIM(RIGHT(SUBSTITUTE(LEFT(A197,_xlfn.AGGREGATE(16,6,FIND({0,1,2,3,4,5,6,7,8,9},A197,ROW(INDIRECT("1:"&amp;LEN(A197)))),1)),"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",LEN(A197))),LEN(A197)))))))/10))*100+1</f>
        <v>801</v>
      </c>
    </row>
    <row r="199" spans="1:16" s="2" customFormat="1" ht="15.75" customHeight="1" x14ac:dyDescent="0.25">
      <c r="A199" s="55" t="s">
        <v>193</v>
      </c>
      <c r="B199" s="77" t="s">
        <v>205</v>
      </c>
      <c r="C199" s="54" t="s">
        <v>213</v>
      </c>
      <c r="D199" s="54">
        <f>(41.46+6.63)*10.764</f>
        <v>517.64076</v>
      </c>
      <c r="E199" s="31">
        <v>0</v>
      </c>
      <c r="F199" s="31">
        <f t="shared" ref="F199:F202" si="21">D199*(($F$180)+1)+E199</f>
        <v>828.22521600000005</v>
      </c>
      <c r="G199" s="125"/>
      <c r="H199" s="126"/>
      <c r="I199" s="32"/>
      <c r="N199" s="2" t="e">
        <f t="shared" ca="1" si="20"/>
        <v>#REF!</v>
      </c>
      <c r="O199" s="2" t="e">
        <f t="shared" ref="O199:P199" ca="1" si="22">O198+1</f>
        <v>#REF!</v>
      </c>
      <c r="P199" s="2">
        <f t="shared" ca="1" si="22"/>
        <v>802</v>
      </c>
    </row>
    <row r="200" spans="1:16" s="2" customFormat="1" ht="15.75" customHeight="1" x14ac:dyDescent="0.25">
      <c r="A200" s="55" t="s">
        <v>194</v>
      </c>
      <c r="B200" s="77" t="s">
        <v>205</v>
      </c>
      <c r="C200" s="54" t="s">
        <v>216</v>
      </c>
      <c r="D200" s="54">
        <f>(62.81+9.58)*10.764</f>
        <v>779.20596</v>
      </c>
      <c r="E200" s="31">
        <v>0</v>
      </c>
      <c r="F200" s="31">
        <f t="shared" si="21"/>
        <v>1246.7295360000001</v>
      </c>
      <c r="G200" s="125"/>
      <c r="H200" s="126"/>
      <c r="I200" s="32"/>
      <c r="N200" s="2" t="e">
        <f t="shared" ca="1" si="20"/>
        <v>#REF!</v>
      </c>
      <c r="O200" s="2" t="e">
        <f t="shared" ref="O200:P200" ca="1" si="23">O199+1</f>
        <v>#REF!</v>
      </c>
      <c r="P200" s="2">
        <f t="shared" ca="1" si="23"/>
        <v>803</v>
      </c>
    </row>
    <row r="201" spans="1:16" s="2" customFormat="1" ht="15.75" customHeight="1" x14ac:dyDescent="0.25">
      <c r="A201" s="55" t="s">
        <v>203</v>
      </c>
      <c r="B201" s="77" t="s">
        <v>205</v>
      </c>
      <c r="C201" s="54" t="s">
        <v>213</v>
      </c>
      <c r="D201" s="54">
        <f>(41.04+4.07)*10.764</f>
        <v>485.56403999999998</v>
      </c>
      <c r="E201" s="31">
        <v>0</v>
      </c>
      <c r="F201" s="31">
        <f t="shared" si="21"/>
        <v>776.90246400000001</v>
      </c>
      <c r="G201" s="125"/>
      <c r="H201" s="126"/>
      <c r="I201" s="32"/>
      <c r="N201" s="2" t="e">
        <f t="shared" ca="1" si="20"/>
        <v>#REF!</v>
      </c>
      <c r="O201" s="2" t="e">
        <f t="shared" ref="O201:P201" ca="1" si="24">O200+1</f>
        <v>#REF!</v>
      </c>
      <c r="P201" s="2">
        <f t="shared" ca="1" si="24"/>
        <v>804</v>
      </c>
    </row>
    <row r="202" spans="1:16" s="2" customFormat="1" x14ac:dyDescent="0.25">
      <c r="A202" s="55" t="s">
        <v>206</v>
      </c>
      <c r="B202" s="77" t="s">
        <v>205</v>
      </c>
      <c r="C202" s="54" t="s">
        <v>213</v>
      </c>
      <c r="D202" s="54">
        <f>(40+4.02)*10.764</f>
        <v>473.83127999999994</v>
      </c>
      <c r="E202" s="31">
        <v>0</v>
      </c>
      <c r="F202" s="31">
        <f t="shared" si="21"/>
        <v>758.13004799999999</v>
      </c>
      <c r="G202" s="127"/>
      <c r="H202" s="128"/>
      <c r="I202" s="32"/>
      <c r="N202" s="2" t="str">
        <f t="shared" si="20"/>
        <v>1,..,1</v>
      </c>
      <c r="O202" s="2">
        <f>O191+1</f>
        <v>1</v>
      </c>
      <c r="P202" s="2">
        <f>P191+1</f>
        <v>1</v>
      </c>
    </row>
    <row r="203" spans="1:16" s="2" customFormat="1" ht="15.75" customHeight="1" x14ac:dyDescent="0.25">
      <c r="A203" s="117" t="s">
        <v>289</v>
      </c>
      <c r="B203" s="118"/>
      <c r="C203" s="118"/>
      <c r="D203" s="118"/>
      <c r="E203" s="118"/>
      <c r="F203" s="118"/>
      <c r="G203" s="118"/>
      <c r="H203" s="119"/>
      <c r="I203" s="32"/>
    </row>
    <row r="204" spans="1:16" s="2" customFormat="1" ht="15.75" customHeight="1" x14ac:dyDescent="0.25">
      <c r="A204" s="55" t="s">
        <v>192</v>
      </c>
      <c r="B204" s="77" t="s">
        <v>205</v>
      </c>
      <c r="C204" s="54" t="s">
        <v>216</v>
      </c>
      <c r="D204" s="54">
        <f>(55.71+4.85)*10.764</f>
        <v>651.86784</v>
      </c>
      <c r="E204" s="31">
        <v>0</v>
      </c>
      <c r="F204" s="31">
        <f t="shared" ref="F204:F208" si="25">D204*(($F$180)+1)+E204</f>
        <v>1042.988544</v>
      </c>
      <c r="G204" s="123" t="str">
        <f>A203</f>
        <v xml:space="preserve">9th, 11th &amp; 12th Floor </v>
      </c>
      <c r="H204" s="124"/>
      <c r="I204" s="32"/>
      <c r="N204" s="2" t="str">
        <f t="shared" ref="N204:N208" ca="1" si="26">O204&amp;""&amp;",..,"&amp;""&amp;P204</f>
        <v>901,..,1201</v>
      </c>
      <c r="O204" s="2">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10^ROW(INDIRECT("1:"&amp;LEN((LEFT(A203,SUM(LEN(A203)-LEN(SUBSTITUTE(A203,{"0","1","2"},""))))))))/10))*100+1</f>
        <v>901</v>
      </c>
      <c r="P204" s="2">
        <f ca="1">(SUMPRODUCT(MID(0&amp;(--TRIM(RIGHT(SUBSTITUTE(LEFT(A203,_xlfn.AGGREGATE(16,6,FIND({0,1,2,3,4,5,6,7,8,9},A203,ROW(INDIRECT("1:"&amp;LEN(A203)))),1)),"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",LEN(A203))),LEN(A203)))))))/10))*100+1</f>
        <v>1201</v>
      </c>
    </row>
    <row r="205" spans="1:16" s="2" customFormat="1" ht="15.75" customHeight="1" x14ac:dyDescent="0.25">
      <c r="A205" s="55" t="s">
        <v>193</v>
      </c>
      <c r="B205" s="77" t="s">
        <v>205</v>
      </c>
      <c r="C205" s="54" t="s">
        <v>213</v>
      </c>
      <c r="D205" s="54">
        <f>(41.46+6.63)*10.764</f>
        <v>517.64076</v>
      </c>
      <c r="E205" s="31">
        <v>0</v>
      </c>
      <c r="F205" s="31">
        <f t="shared" si="25"/>
        <v>828.22521600000005</v>
      </c>
      <c r="G205" s="125"/>
      <c r="H205" s="126"/>
      <c r="I205" s="32"/>
      <c r="N205" s="2" t="str">
        <f t="shared" ca="1" si="26"/>
        <v>902,..,1202</v>
      </c>
      <c r="O205" s="2">
        <f t="shared" ref="O205:P205" ca="1" si="27">O204+1</f>
        <v>902</v>
      </c>
      <c r="P205" s="2">
        <f t="shared" ca="1" si="27"/>
        <v>1202</v>
      </c>
    </row>
    <row r="206" spans="1:16" s="2" customFormat="1" ht="15.75" customHeight="1" x14ac:dyDescent="0.25">
      <c r="A206" s="55" t="s">
        <v>194</v>
      </c>
      <c r="B206" s="77" t="s">
        <v>205</v>
      </c>
      <c r="C206" s="54" t="s">
        <v>216</v>
      </c>
      <c r="D206" s="54">
        <f>(62.81+9.58)*10.764</f>
        <v>779.20596</v>
      </c>
      <c r="E206" s="31">
        <v>0</v>
      </c>
      <c r="F206" s="31">
        <f t="shared" si="25"/>
        <v>1246.7295360000001</v>
      </c>
      <c r="G206" s="125"/>
      <c r="H206" s="126"/>
      <c r="I206" s="32"/>
      <c r="N206" s="2" t="str">
        <f t="shared" ca="1" si="26"/>
        <v>903,..,1203</v>
      </c>
      <c r="O206" s="2">
        <f t="shared" ref="O206:P206" ca="1" si="28">O205+1</f>
        <v>903</v>
      </c>
      <c r="P206" s="2">
        <f t="shared" ca="1" si="28"/>
        <v>1203</v>
      </c>
    </row>
    <row r="207" spans="1:16" s="2" customFormat="1" ht="15.75" customHeight="1" x14ac:dyDescent="0.25">
      <c r="A207" s="55" t="s">
        <v>203</v>
      </c>
      <c r="B207" s="77" t="s">
        <v>205</v>
      </c>
      <c r="C207" s="54" t="s">
        <v>213</v>
      </c>
      <c r="D207" s="54">
        <f>(41.04+4.07)*10.764</f>
        <v>485.56403999999998</v>
      </c>
      <c r="E207" s="31">
        <v>0</v>
      </c>
      <c r="F207" s="31">
        <f t="shared" si="25"/>
        <v>776.90246400000001</v>
      </c>
      <c r="G207" s="125"/>
      <c r="H207" s="126"/>
      <c r="I207" s="32"/>
      <c r="N207" s="2" t="str">
        <f t="shared" ca="1" si="26"/>
        <v>904,..,1204</v>
      </c>
      <c r="O207" s="2">
        <f t="shared" ref="O207:P207" ca="1" si="29">O206+1</f>
        <v>904</v>
      </c>
      <c r="P207" s="2">
        <f t="shared" ca="1" si="29"/>
        <v>1204</v>
      </c>
    </row>
    <row r="208" spans="1:16" s="2" customFormat="1" x14ac:dyDescent="0.25">
      <c r="A208" s="55" t="s">
        <v>206</v>
      </c>
      <c r="B208" s="77" t="s">
        <v>205</v>
      </c>
      <c r="C208" s="54" t="s">
        <v>213</v>
      </c>
      <c r="D208" s="54">
        <f>(40+4.02)*10.764</f>
        <v>473.83127999999994</v>
      </c>
      <c r="E208" s="31">
        <v>0</v>
      </c>
      <c r="F208" s="31">
        <f t="shared" si="25"/>
        <v>758.13004799999999</v>
      </c>
      <c r="G208" s="127"/>
      <c r="H208" s="128"/>
      <c r="I208" s="32"/>
      <c r="N208" s="2" t="str">
        <f t="shared" si="26"/>
        <v>1,..,1</v>
      </c>
      <c r="O208" s="2">
        <f>O197+1</f>
        <v>1</v>
      </c>
      <c r="P208" s="2">
        <f>P197+1</f>
        <v>1</v>
      </c>
    </row>
    <row r="209" spans="1:16" s="80" customFormat="1" ht="15.75" customHeight="1" x14ac:dyDescent="0.25">
      <c r="A209" s="117" t="s">
        <v>288</v>
      </c>
      <c r="B209" s="118"/>
      <c r="C209" s="118"/>
      <c r="D209" s="118"/>
      <c r="E209" s="118"/>
      <c r="F209" s="118"/>
      <c r="G209" s="118"/>
      <c r="H209" s="119"/>
      <c r="I209" s="32"/>
    </row>
    <row r="210" spans="1:16" s="80" customFormat="1" ht="15.75" customHeight="1" x14ac:dyDescent="0.25">
      <c r="A210" s="55" t="s">
        <v>192</v>
      </c>
      <c r="B210" s="77" t="s">
        <v>205</v>
      </c>
      <c r="C210" s="54" t="s">
        <v>216</v>
      </c>
      <c r="D210" s="54">
        <f>(55.71+4.85)*10.764</f>
        <v>651.86784</v>
      </c>
      <c r="E210" s="31">
        <v>0</v>
      </c>
      <c r="F210" s="31">
        <f t="shared" ref="F210:F214" si="30">D210*(($F$180)+1)+E210</f>
        <v>1042.988544</v>
      </c>
      <c r="G210" s="123" t="str">
        <f>A209</f>
        <v xml:space="preserve">10th Floor </v>
      </c>
      <c r="H210" s="124"/>
      <c r="I210" s="32"/>
      <c r="N210" s="80" t="str">
        <f t="shared" ref="N210:N214" ca="1" si="31">O210&amp;""&amp;",..,"&amp;""&amp;P210</f>
        <v>1001,..,1001</v>
      </c>
      <c r="O210" s="80">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10^ROW(INDIRECT("1:"&amp;LEN((LEFT(A209,SUM(LEN(A209)-LEN(SUBSTITUTE(A209,{"0","1","2"},""))))))))/10))*100+1</f>
        <v>1001</v>
      </c>
      <c r="P210" s="80">
        <f ca="1">(SUMPRODUCT(MID(0&amp;(--TRIM(RIGHT(SUBSTITUTE(LEFT(A209,_xlfn.AGGREGATE(16,6,FIND({0,1,2,3,4,5,6,7,8,9},A209,ROW(INDIRECT("1:"&amp;LEN(A209)))),1)),"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",LEN(A209))),LEN(A209)))))))/10))*100+1</f>
        <v>1001</v>
      </c>
    </row>
    <row r="211" spans="1:16" s="80" customFormat="1" ht="15.75" customHeight="1" x14ac:dyDescent="0.25">
      <c r="A211" s="55" t="s">
        <v>193</v>
      </c>
      <c r="B211" s="77" t="s">
        <v>205</v>
      </c>
      <c r="C211" s="54" t="s">
        <v>213</v>
      </c>
      <c r="D211" s="54">
        <f>(41.46+6.63)*10.764</f>
        <v>517.64076</v>
      </c>
      <c r="E211" s="31">
        <v>0</v>
      </c>
      <c r="F211" s="31">
        <f t="shared" si="30"/>
        <v>828.22521600000005</v>
      </c>
      <c r="G211" s="125"/>
      <c r="H211" s="126"/>
      <c r="I211" s="32"/>
      <c r="N211" s="80" t="str">
        <f t="shared" ca="1" si="31"/>
        <v>1002,..,1002</v>
      </c>
      <c r="O211" s="80">
        <f t="shared" ref="O211:P211" ca="1" si="32">O210+1</f>
        <v>1002</v>
      </c>
      <c r="P211" s="80">
        <f t="shared" ca="1" si="32"/>
        <v>1002</v>
      </c>
    </row>
    <row r="212" spans="1:16" s="80" customFormat="1" ht="15.75" customHeight="1" x14ac:dyDescent="0.25">
      <c r="A212" s="55" t="s">
        <v>194</v>
      </c>
      <c r="B212" s="77" t="s">
        <v>205</v>
      </c>
      <c r="C212" s="54" t="s">
        <v>216</v>
      </c>
      <c r="D212" s="54">
        <f>(62.81+9.58)*10.764</f>
        <v>779.20596</v>
      </c>
      <c r="E212" s="31">
        <v>0</v>
      </c>
      <c r="F212" s="31">
        <f t="shared" si="30"/>
        <v>1246.7295360000001</v>
      </c>
      <c r="G212" s="125"/>
      <c r="H212" s="126"/>
      <c r="I212" s="32"/>
      <c r="N212" s="80" t="str">
        <f t="shared" ca="1" si="31"/>
        <v>1003,..,1003</v>
      </c>
      <c r="O212" s="80">
        <f t="shared" ref="O212:P212" ca="1" si="33">O211+1</f>
        <v>1003</v>
      </c>
      <c r="P212" s="80">
        <f t="shared" ca="1" si="33"/>
        <v>1003</v>
      </c>
    </row>
    <row r="213" spans="1:16" s="80" customFormat="1" ht="15.75" customHeight="1" x14ac:dyDescent="0.25">
      <c r="A213" s="55" t="s">
        <v>203</v>
      </c>
      <c r="B213" s="77" t="s">
        <v>205</v>
      </c>
      <c r="C213" s="54" t="s">
        <v>213</v>
      </c>
      <c r="D213" s="54">
        <f>(41.04+4.07)*10.764</f>
        <v>485.56403999999998</v>
      </c>
      <c r="E213" s="31">
        <v>0</v>
      </c>
      <c r="F213" s="31">
        <f t="shared" si="30"/>
        <v>776.90246400000001</v>
      </c>
      <c r="G213" s="125"/>
      <c r="H213" s="126"/>
      <c r="I213" s="32"/>
      <c r="N213" s="80" t="str">
        <f t="shared" ca="1" si="31"/>
        <v>1004,..,1004</v>
      </c>
      <c r="O213" s="80">
        <f t="shared" ref="O213:P213" ca="1" si="34">O212+1</f>
        <v>1004</v>
      </c>
      <c r="P213" s="80">
        <f t="shared" ca="1" si="34"/>
        <v>1004</v>
      </c>
    </row>
    <row r="214" spans="1:16" s="80" customFormat="1" x14ac:dyDescent="0.25">
      <c r="A214" s="55" t="s">
        <v>206</v>
      </c>
      <c r="B214" s="77" t="s">
        <v>205</v>
      </c>
      <c r="C214" s="54" t="s">
        <v>213</v>
      </c>
      <c r="D214" s="54">
        <f>(40+4.02)*10.764</f>
        <v>473.83127999999994</v>
      </c>
      <c r="E214" s="31">
        <v>0</v>
      </c>
      <c r="F214" s="31">
        <f t="shared" si="30"/>
        <v>758.13004799999999</v>
      </c>
      <c r="G214" s="127"/>
      <c r="H214" s="128"/>
      <c r="I214" s="32"/>
      <c r="N214" s="80" t="str">
        <f t="shared" si="31"/>
        <v>1,..,1</v>
      </c>
      <c r="O214" s="80">
        <f>O203+1</f>
        <v>1</v>
      </c>
      <c r="P214" s="80">
        <f>P203+1</f>
        <v>1</v>
      </c>
    </row>
    <row r="215" spans="1:16" s="80" customFormat="1" ht="15.75" customHeight="1" x14ac:dyDescent="0.25">
      <c r="A215" s="117" t="s">
        <v>290</v>
      </c>
      <c r="B215" s="118"/>
      <c r="C215" s="118"/>
      <c r="D215" s="118"/>
      <c r="E215" s="118"/>
      <c r="F215" s="118"/>
      <c r="G215" s="118"/>
      <c r="H215" s="119"/>
      <c r="I215" s="32"/>
    </row>
    <row r="216" spans="1:16" s="80" customFormat="1" ht="15.75" customHeight="1" x14ac:dyDescent="0.25">
      <c r="A216" s="55" t="s">
        <v>192</v>
      </c>
      <c r="B216" s="77" t="s">
        <v>205</v>
      </c>
      <c r="C216" s="54" t="s">
        <v>216</v>
      </c>
      <c r="D216" s="54">
        <f>(55.71+4.85)*10.764</f>
        <v>651.86784</v>
      </c>
      <c r="E216" s="31">
        <v>0</v>
      </c>
      <c r="F216" s="31">
        <f t="shared" ref="F216:F220" si="35">D216*(($F$180)+1)+E216</f>
        <v>1042.988544</v>
      </c>
      <c r="G216" s="123" t="str">
        <f>A215</f>
        <v xml:space="preserve">13th Floor </v>
      </c>
      <c r="H216" s="124"/>
      <c r="I216" s="32"/>
      <c r="N216" s="80" t="str">
        <f t="shared" ref="N216:N220" ca="1" si="36">O216&amp;""&amp;",..,"&amp;""&amp;P216</f>
        <v>101,..,1301</v>
      </c>
      <c r="O216" s="80">
        <f ca="1">(SUMPRODUCT(MID(0&amp;(LEFT(A215,SUM(LEN(A215)-LEN(SUBSTITUTE(A215,{"0","1","2"},""))))), LARGE(INDEX(ISNUMBER(--MID((LEFT(A215,SUM(LEN(A215)-LEN(SUBSTITUTE(A215,{"0","1","2"},""))))), ROW(INDIRECT("1:"&amp;LEN((LEFT(A215,SUM(LEN(A215)-LEN(SUBSTITUTE(A215,{"0","1","2"},"")))))))), 1)) * ROW(INDIRECT("1:"&amp;LEN((LEFT(A215,SUM(LEN(A215)-LEN(SUBSTITUTE(A215,{"0","1","2"},"")))))))), 0), ROW(INDIRECT("1:"&amp;LEN((LEFT(A215,SUM(LEN(A215)-LEN(SUBSTITUTE(A215,{"0","1","2"},"")))))))))+1, 1) * 10^ROW(INDIRECT("1:"&amp;LEN((LEFT(A215,SUM(LEN(A215)-LEN(SUBSTITUTE(A215,{"0","1","2"},""))))))))/10))*100+1</f>
        <v>101</v>
      </c>
      <c r="P216" s="80">
        <f ca="1">(SUMPRODUCT(MID(0&amp;(--TRIM(RIGHT(SUBSTITUTE(LEFT(A215,_xlfn.AGGREGATE(16,6,FIND({0,1,2,3,4,5,6,7,8,9},A215,ROW(INDIRECT("1:"&amp;LEN(A215)))),1))," ",REPT(" ",LEN(A215))),LEN(A215)))), LARGE(INDEX(ISNUMBER(--MID((--TRIM(RIGHT(SUBSTITUTE(LEFT(A215,_xlfn.AGGREGATE(16,6,FIND({0,1,2,3,4,5,6,7,8,9},A215,ROW(INDIRECT("1:"&amp;LEN(A215)))),1))," ",REPT(" ",LEN(A215))),LEN(A215)))), ROW(INDIRECT("1:"&amp;LEN((--TRIM(RIGHT(SUBSTITUTE(LEFT(A215,_xlfn.AGGREGATE(16,6,FIND({0,1,2,3,4,5,6,7,8,9},A215,ROW(INDIRECT("1:"&amp;LEN(A215)))),1))," ",REPT(" ",LEN(A215))),LEN(A215))))))), 1)) * ROW(INDIRECT("1:"&amp;LEN((--TRIM(RIGHT(SUBSTITUTE(LEFT(A215,_xlfn.AGGREGATE(16,6,FIND({0,1,2,3,4,5,6,7,8,9},A215,ROW(INDIRECT("1:"&amp;LEN(A215)))),1))," ",REPT(" ",LEN(A215))),LEN(A215))))))), 0), ROW(INDIRECT("1:"&amp;LEN((--TRIM(RIGHT(SUBSTITUTE(LEFT(A215,_xlfn.AGGREGATE(16,6,FIND({0,1,2,3,4,5,6,7,8,9},A215,ROW(INDIRECT("1:"&amp;LEN(A215)))),1))," ",REPT(" ",LEN(A215))),LEN(A215))))))))+1, 1) * 10^ROW(INDIRECT("1:"&amp;LEN((--TRIM(RIGHT(SUBSTITUTE(LEFT(A215,_xlfn.AGGREGATE(16,6,FIND({0,1,2,3,4,5,6,7,8,9},A215,ROW(INDIRECT("1:"&amp;LEN(A215)))),1))," ",REPT(" ",LEN(A215))),LEN(A215)))))))/10))*100+1</f>
        <v>1301</v>
      </c>
    </row>
    <row r="217" spans="1:16" s="80" customFormat="1" ht="15.75" customHeight="1" x14ac:dyDescent="0.25">
      <c r="A217" s="55" t="s">
        <v>193</v>
      </c>
      <c r="B217" s="77" t="s">
        <v>205</v>
      </c>
      <c r="C217" s="54" t="s">
        <v>213</v>
      </c>
      <c r="D217" s="54">
        <f>(41.46+6.63)*10.764</f>
        <v>517.64076</v>
      </c>
      <c r="E217" s="31">
        <v>0</v>
      </c>
      <c r="F217" s="31">
        <f t="shared" si="35"/>
        <v>828.22521600000005</v>
      </c>
      <c r="G217" s="125"/>
      <c r="H217" s="126"/>
      <c r="I217" s="32"/>
      <c r="N217" s="80" t="str">
        <f t="shared" ca="1" si="36"/>
        <v>102,..,1302</v>
      </c>
      <c r="O217" s="80">
        <f t="shared" ref="O217:P217" ca="1" si="37">O216+1</f>
        <v>102</v>
      </c>
      <c r="P217" s="80">
        <f t="shared" ca="1" si="37"/>
        <v>1302</v>
      </c>
    </row>
    <row r="218" spans="1:16" s="80" customFormat="1" ht="15.75" customHeight="1" x14ac:dyDescent="0.25">
      <c r="A218" s="55" t="s">
        <v>194</v>
      </c>
      <c r="B218" s="77" t="s">
        <v>205</v>
      </c>
      <c r="C218" s="54" t="s">
        <v>216</v>
      </c>
      <c r="D218" s="54">
        <f>(62.81+9.58)*10.764</f>
        <v>779.20596</v>
      </c>
      <c r="E218" s="31">
        <v>0</v>
      </c>
      <c r="F218" s="31">
        <f t="shared" si="35"/>
        <v>1246.7295360000001</v>
      </c>
      <c r="G218" s="125"/>
      <c r="H218" s="126"/>
      <c r="I218" s="32"/>
      <c r="N218" s="80" t="str">
        <f t="shared" ca="1" si="36"/>
        <v>103,..,1303</v>
      </c>
      <c r="O218" s="80">
        <f t="shared" ref="O218:P218" ca="1" si="38">O217+1</f>
        <v>103</v>
      </c>
      <c r="P218" s="80">
        <f t="shared" ca="1" si="38"/>
        <v>1303</v>
      </c>
    </row>
    <row r="219" spans="1:16" s="80" customFormat="1" ht="15.75" customHeight="1" x14ac:dyDescent="0.25">
      <c r="A219" s="55" t="s">
        <v>203</v>
      </c>
      <c r="B219" s="77" t="s">
        <v>205</v>
      </c>
      <c r="C219" s="54" t="s">
        <v>213</v>
      </c>
      <c r="D219" s="54">
        <f>(41.04+4.07)*10.764</f>
        <v>485.56403999999998</v>
      </c>
      <c r="E219" s="31">
        <v>0</v>
      </c>
      <c r="F219" s="31">
        <f t="shared" si="35"/>
        <v>776.90246400000001</v>
      </c>
      <c r="G219" s="125"/>
      <c r="H219" s="126"/>
      <c r="I219" s="32"/>
      <c r="N219" s="80" t="str">
        <f t="shared" ca="1" si="36"/>
        <v>104,..,1304</v>
      </c>
      <c r="O219" s="80">
        <f t="shared" ref="O219:P219" ca="1" si="39">O218+1</f>
        <v>104</v>
      </c>
      <c r="P219" s="80">
        <f t="shared" ca="1" si="39"/>
        <v>1304</v>
      </c>
    </row>
    <row r="220" spans="1:16" s="80" customFormat="1" x14ac:dyDescent="0.25">
      <c r="A220" s="55" t="s">
        <v>206</v>
      </c>
      <c r="B220" s="77" t="s">
        <v>205</v>
      </c>
      <c r="C220" s="54" t="s">
        <v>213</v>
      </c>
      <c r="D220" s="54">
        <f>(40+4.02)*10.764</f>
        <v>473.83127999999994</v>
      </c>
      <c r="E220" s="31">
        <v>0</v>
      </c>
      <c r="F220" s="31">
        <f t="shared" si="35"/>
        <v>758.13004799999999</v>
      </c>
      <c r="G220" s="127"/>
      <c r="H220" s="128"/>
      <c r="I220" s="32"/>
      <c r="N220" s="80" t="str">
        <f t="shared" si="36"/>
        <v>1,..,1</v>
      </c>
      <c r="O220" s="80">
        <f>O209+1</f>
        <v>1</v>
      </c>
      <c r="P220" s="80">
        <f>P209+1</f>
        <v>1</v>
      </c>
    </row>
    <row r="221" spans="1:16" s="2" customFormat="1" ht="15.75" customHeight="1" x14ac:dyDescent="0.25">
      <c r="A221" s="117" t="s">
        <v>291</v>
      </c>
      <c r="B221" s="118"/>
      <c r="C221" s="118"/>
      <c r="D221" s="118"/>
      <c r="E221" s="118"/>
      <c r="F221" s="118"/>
      <c r="G221" s="118"/>
      <c r="H221" s="119"/>
      <c r="I221" s="32"/>
    </row>
    <row r="222" spans="1:16" s="2" customFormat="1" ht="15.75" customHeight="1" x14ac:dyDescent="0.25">
      <c r="A222" s="55" t="s">
        <v>192</v>
      </c>
      <c r="B222" s="77" t="s">
        <v>205</v>
      </c>
      <c r="C222" s="54" t="s">
        <v>216</v>
      </c>
      <c r="D222" s="54">
        <f>(55.71+4.85)*10.764</f>
        <v>651.86784</v>
      </c>
      <c r="E222" s="31">
        <v>0</v>
      </c>
      <c r="F222" s="31">
        <f t="shared" ref="F222:F226" si="40">D222*(($F$180)+1)+E222</f>
        <v>1042.988544</v>
      </c>
      <c r="G222" s="123" t="str">
        <f>A221</f>
        <v>14th Floor</v>
      </c>
      <c r="H222" s="124"/>
      <c r="I222" s="32"/>
      <c r="N222" s="2" t="str">
        <f t="shared" ref="N222:N226" ca="1" si="41">O222&amp;""&amp;",..,"&amp;""&amp;P222</f>
        <v>101,..,1401</v>
      </c>
      <c r="O222" s="2">
        <f ca="1">(SUMPRODUCT(MID(0&amp;(LEFT(A221,SUM(LEN(A221)-LEN(SUBSTITUTE(A221,{"0","1","2"},""))))), LARGE(INDEX(ISNUMBER(--MID((LEFT(A221,SUM(LEN(A221)-LEN(SUBSTITUTE(A221,{"0","1","2"},""))))), ROW(INDIRECT("1:"&amp;LEN((LEFT(A221,SUM(LEN(A221)-LEN(SUBSTITUTE(A221,{"0","1","2"},"")))))))), 1)) * ROW(INDIRECT("1:"&amp;LEN((LEFT(A221,SUM(LEN(A221)-LEN(SUBSTITUTE(A221,{"0","1","2"},"")))))))), 0), ROW(INDIRECT("1:"&amp;LEN((LEFT(A221,SUM(LEN(A221)-LEN(SUBSTITUTE(A221,{"0","1","2"},"")))))))))+1, 1) * 10^ROW(INDIRECT("1:"&amp;LEN((LEFT(A221,SUM(LEN(A221)-LEN(SUBSTITUTE(A221,{"0","1","2"},""))))))))/10))*100+1</f>
        <v>101</v>
      </c>
      <c r="P222" s="2">
        <f ca="1">(SUMPRODUCT(MID(0&amp;(--TRIM(RIGHT(SUBSTITUTE(LEFT(A221,_xlfn.AGGREGATE(16,6,FIND({0,1,2,3,4,5,6,7,8,9},A221,ROW(INDIRECT("1:"&amp;LEN(A221)))),1))," ",REPT(" ",LEN(A221))),LEN(A221)))), LARGE(INDEX(ISNUMBER(--MID((--TRIM(RIGHT(SUBSTITUTE(LEFT(A221,_xlfn.AGGREGATE(16,6,FIND({0,1,2,3,4,5,6,7,8,9},A221,ROW(INDIRECT("1:"&amp;LEN(A221)))),1))," ",REPT(" ",LEN(A221))),LEN(A221)))), ROW(INDIRECT("1:"&amp;LEN((--TRIM(RIGHT(SUBSTITUTE(LEFT(A221,_xlfn.AGGREGATE(16,6,FIND({0,1,2,3,4,5,6,7,8,9},A221,ROW(INDIRECT("1:"&amp;LEN(A221)))),1))," ",REPT(" ",LEN(A221))),LEN(A221))))))), 1)) * ROW(INDIRECT("1:"&amp;LEN((--TRIM(RIGHT(SUBSTITUTE(LEFT(A221,_xlfn.AGGREGATE(16,6,FIND({0,1,2,3,4,5,6,7,8,9},A221,ROW(INDIRECT("1:"&amp;LEN(A221)))),1))," ",REPT(" ",LEN(A221))),LEN(A221))))))), 0), ROW(INDIRECT("1:"&amp;LEN((--TRIM(RIGHT(SUBSTITUTE(LEFT(A221,_xlfn.AGGREGATE(16,6,FIND({0,1,2,3,4,5,6,7,8,9},A221,ROW(INDIRECT("1:"&amp;LEN(A221)))),1))," ",REPT(" ",LEN(A221))),LEN(A221))))))))+1, 1) * 10^ROW(INDIRECT("1:"&amp;LEN((--TRIM(RIGHT(SUBSTITUTE(LEFT(A221,_xlfn.AGGREGATE(16,6,FIND({0,1,2,3,4,5,6,7,8,9},A221,ROW(INDIRECT("1:"&amp;LEN(A221)))),1))," ",REPT(" ",LEN(A221))),LEN(A221)))))))/10))*100+1</f>
        <v>1401</v>
      </c>
    </row>
    <row r="223" spans="1:16" s="2" customFormat="1" ht="15.75" customHeight="1" x14ac:dyDescent="0.25">
      <c r="A223" s="55" t="s">
        <v>193</v>
      </c>
      <c r="B223" s="77" t="s">
        <v>205</v>
      </c>
      <c r="C223" s="54" t="s">
        <v>213</v>
      </c>
      <c r="D223" s="54">
        <f>(41.46+6.63)*10.764</f>
        <v>517.64076</v>
      </c>
      <c r="E223" s="31">
        <v>0</v>
      </c>
      <c r="F223" s="31">
        <f t="shared" si="40"/>
        <v>828.22521600000005</v>
      </c>
      <c r="G223" s="125"/>
      <c r="H223" s="126"/>
      <c r="I223" s="32"/>
      <c r="N223" s="2" t="str">
        <f t="shared" ca="1" si="41"/>
        <v>102,..,1402</v>
      </c>
      <c r="O223" s="2">
        <f t="shared" ref="O223:P223" ca="1" si="42">O222+1</f>
        <v>102</v>
      </c>
      <c r="P223" s="2">
        <f t="shared" ca="1" si="42"/>
        <v>1402</v>
      </c>
    </row>
    <row r="224" spans="1:16" s="2" customFormat="1" ht="15.75" customHeight="1" x14ac:dyDescent="0.25">
      <c r="A224" s="55" t="s">
        <v>194</v>
      </c>
      <c r="B224" s="77" t="s">
        <v>205</v>
      </c>
      <c r="C224" s="54" t="s">
        <v>216</v>
      </c>
      <c r="D224" s="54">
        <f>(62.81+9.58)*10.764</f>
        <v>779.20596</v>
      </c>
      <c r="E224" s="31">
        <v>0</v>
      </c>
      <c r="F224" s="31">
        <f t="shared" si="40"/>
        <v>1246.7295360000001</v>
      </c>
      <c r="G224" s="125"/>
      <c r="H224" s="126"/>
      <c r="I224" s="32"/>
      <c r="N224" s="2" t="str">
        <f t="shared" ca="1" si="41"/>
        <v>103,..,1403</v>
      </c>
      <c r="O224" s="2">
        <f t="shared" ref="O224:P224" ca="1" si="43">O223+1</f>
        <v>103</v>
      </c>
      <c r="P224" s="2">
        <f t="shared" ca="1" si="43"/>
        <v>1403</v>
      </c>
    </row>
    <row r="225" spans="1:16" s="2" customFormat="1" ht="15.75" customHeight="1" x14ac:dyDescent="0.25">
      <c r="A225" s="55" t="s">
        <v>203</v>
      </c>
      <c r="B225" s="77" t="s">
        <v>205</v>
      </c>
      <c r="C225" s="54" t="s">
        <v>213</v>
      </c>
      <c r="D225" s="54">
        <f>(41.04+4.07)*10.764</f>
        <v>485.56403999999998</v>
      </c>
      <c r="E225" s="31">
        <v>0</v>
      </c>
      <c r="F225" s="31">
        <f t="shared" si="40"/>
        <v>776.90246400000001</v>
      </c>
      <c r="G225" s="125"/>
      <c r="H225" s="126"/>
      <c r="I225" s="32"/>
      <c r="N225" s="2" t="str">
        <f t="shared" ca="1" si="41"/>
        <v>104,..,1404</v>
      </c>
      <c r="O225" s="2">
        <f t="shared" ref="O225:P225" ca="1" si="44">O224+1</f>
        <v>104</v>
      </c>
      <c r="P225" s="2">
        <f t="shared" ca="1" si="44"/>
        <v>1404</v>
      </c>
    </row>
    <row r="226" spans="1:16" s="2" customFormat="1" x14ac:dyDescent="0.25">
      <c r="A226" s="55" t="s">
        <v>206</v>
      </c>
      <c r="B226" s="77" t="s">
        <v>205</v>
      </c>
      <c r="C226" s="54" t="s">
        <v>213</v>
      </c>
      <c r="D226" s="54">
        <f>(40+4.02)*10.764</f>
        <v>473.83127999999994</v>
      </c>
      <c r="E226" s="31">
        <v>0</v>
      </c>
      <c r="F226" s="31">
        <f t="shared" si="40"/>
        <v>758.13004799999999</v>
      </c>
      <c r="G226" s="127"/>
      <c r="H226" s="128"/>
      <c r="I226" s="32"/>
      <c r="N226" s="2" t="str">
        <f t="shared" si="41"/>
        <v>1,..,1</v>
      </c>
      <c r="O226" s="2">
        <f>O203+1</f>
        <v>1</v>
      </c>
      <c r="P226" s="2">
        <f>P203+1</f>
        <v>1</v>
      </c>
    </row>
    <row r="227" spans="1:16" s="2" customFormat="1" ht="15.75" customHeight="1" x14ac:dyDescent="0.25">
      <c r="A227" s="117" t="s">
        <v>220</v>
      </c>
      <c r="B227" s="118"/>
      <c r="C227" s="118"/>
      <c r="D227" s="118"/>
      <c r="E227" s="118"/>
      <c r="F227" s="118"/>
      <c r="G227" s="118"/>
      <c r="H227" s="119"/>
      <c r="I227" s="32"/>
    </row>
    <row r="228" spans="1:16" s="2" customFormat="1" ht="15.75" customHeight="1" x14ac:dyDescent="0.25">
      <c r="A228" s="55" t="s">
        <v>192</v>
      </c>
      <c r="B228" s="53" t="s">
        <v>198</v>
      </c>
      <c r="C228" s="209" t="s">
        <v>219</v>
      </c>
      <c r="D228" s="210"/>
      <c r="E228" s="210"/>
      <c r="F228" s="211"/>
      <c r="G228" s="123" t="str">
        <f>A227</f>
        <v>15th Floor (Part Refuge Area)</v>
      </c>
      <c r="H228" s="124"/>
      <c r="I228" s="32"/>
      <c r="N228" s="2" t="str">
        <f t="shared" ref="N228:N232" ca="1" si="45">O228&amp;""&amp;",..,"&amp;""&amp;P228</f>
        <v>101,..,1501</v>
      </c>
      <c r="O228" s="2">
        <f ca="1">(SUMPRODUCT(MID(0&amp;(LEFT(A227,SUM(LEN(A227)-LEN(SUBSTITUTE(A227,{"0","1","2"},""))))), LARGE(INDEX(ISNUMBER(--MID((LEFT(A227,SUM(LEN(A227)-LEN(SUBSTITUTE(A227,{"0","1","2"},""))))), ROW(INDIRECT("1:"&amp;LEN((LEFT(A227,SUM(LEN(A227)-LEN(SUBSTITUTE(A227,{"0","1","2"},"")))))))), 1)) * ROW(INDIRECT("1:"&amp;LEN((LEFT(A227,SUM(LEN(A227)-LEN(SUBSTITUTE(A227,{"0","1","2"},"")))))))), 0), ROW(INDIRECT("1:"&amp;LEN((LEFT(A227,SUM(LEN(A227)-LEN(SUBSTITUTE(A227,{"0","1","2"},"")))))))))+1, 1) * 10^ROW(INDIRECT("1:"&amp;LEN((LEFT(A227,SUM(LEN(A227)-LEN(SUBSTITUTE(A227,{"0","1","2"},""))))))))/10))*100+1</f>
        <v>101</v>
      </c>
      <c r="P228" s="2">
        <f ca="1">(SUMPRODUCT(MID(0&amp;(--TRIM(RIGHT(SUBSTITUTE(LEFT(A227,_xlfn.AGGREGATE(16,6,FIND({0,1,2,3,4,5,6,7,8,9},A227,ROW(INDIRECT("1:"&amp;LEN(A227)))),1))," ",REPT(" ",LEN(A227))),LEN(A227)))), LARGE(INDEX(ISNUMBER(--MID((--TRIM(RIGHT(SUBSTITUTE(LEFT(A227,_xlfn.AGGREGATE(16,6,FIND({0,1,2,3,4,5,6,7,8,9},A227,ROW(INDIRECT("1:"&amp;LEN(A227)))),1))," ",REPT(" ",LEN(A227))),LEN(A227)))), ROW(INDIRECT("1:"&amp;LEN((--TRIM(RIGHT(SUBSTITUTE(LEFT(A227,_xlfn.AGGREGATE(16,6,FIND({0,1,2,3,4,5,6,7,8,9},A227,ROW(INDIRECT("1:"&amp;LEN(A227)))),1))," ",REPT(" ",LEN(A227))),LEN(A227))))))), 1)) * ROW(INDIRECT("1:"&amp;LEN((--TRIM(RIGHT(SUBSTITUTE(LEFT(A227,_xlfn.AGGREGATE(16,6,FIND({0,1,2,3,4,5,6,7,8,9},A227,ROW(INDIRECT("1:"&amp;LEN(A227)))),1))," ",REPT(" ",LEN(A227))),LEN(A227))))))), 0), ROW(INDIRECT("1:"&amp;LEN((--TRIM(RIGHT(SUBSTITUTE(LEFT(A227,_xlfn.AGGREGATE(16,6,FIND({0,1,2,3,4,5,6,7,8,9},A227,ROW(INDIRECT("1:"&amp;LEN(A227)))),1))," ",REPT(" ",LEN(A227))),LEN(A227))))))))+1, 1) * 10^ROW(INDIRECT("1:"&amp;LEN((--TRIM(RIGHT(SUBSTITUTE(LEFT(A227,_xlfn.AGGREGATE(16,6,FIND({0,1,2,3,4,5,6,7,8,9},A227,ROW(INDIRECT("1:"&amp;LEN(A227)))),1))," ",REPT(" ",LEN(A227))),LEN(A227)))))))/10))*100+1</f>
        <v>1501</v>
      </c>
    </row>
    <row r="229" spans="1:16" s="2" customFormat="1" ht="15.75" customHeight="1" x14ac:dyDescent="0.25">
      <c r="A229" s="55" t="s">
        <v>193</v>
      </c>
      <c r="B229" s="77" t="s">
        <v>205</v>
      </c>
      <c r="C229" s="54" t="s">
        <v>213</v>
      </c>
      <c r="D229" s="54">
        <f>(41.46+6.63)*10.764</f>
        <v>517.64076</v>
      </c>
      <c r="E229" s="31">
        <v>0</v>
      </c>
      <c r="F229" s="31">
        <f t="shared" ref="F229:F232" si="46">D229*(($F$180)+1)+E229</f>
        <v>828.22521600000005</v>
      </c>
      <c r="G229" s="125"/>
      <c r="H229" s="126"/>
      <c r="I229" s="32"/>
      <c r="N229" s="2" t="str">
        <f t="shared" ca="1" si="45"/>
        <v>102,..,1502</v>
      </c>
      <c r="O229" s="2">
        <f t="shared" ref="O229:P229" ca="1" si="47">O228+1</f>
        <v>102</v>
      </c>
      <c r="P229" s="2">
        <f t="shared" ca="1" si="47"/>
        <v>1502</v>
      </c>
    </row>
    <row r="230" spans="1:16" s="2" customFormat="1" ht="15.75" customHeight="1" x14ac:dyDescent="0.25">
      <c r="A230" s="55" t="s">
        <v>194</v>
      </c>
      <c r="B230" s="77" t="s">
        <v>205</v>
      </c>
      <c r="C230" s="54" t="s">
        <v>216</v>
      </c>
      <c r="D230" s="54">
        <f>(62.81+9.58)*10.764</f>
        <v>779.20596</v>
      </c>
      <c r="E230" s="31">
        <v>0</v>
      </c>
      <c r="F230" s="31">
        <f t="shared" si="46"/>
        <v>1246.7295360000001</v>
      </c>
      <c r="G230" s="125"/>
      <c r="H230" s="126"/>
      <c r="I230" s="32"/>
      <c r="N230" s="2" t="str">
        <f t="shared" ca="1" si="45"/>
        <v>103,..,1503</v>
      </c>
      <c r="O230" s="2">
        <f t="shared" ref="O230:P230" ca="1" si="48">O229+1</f>
        <v>103</v>
      </c>
      <c r="P230" s="2">
        <f t="shared" ca="1" si="48"/>
        <v>1503</v>
      </c>
    </row>
    <row r="231" spans="1:16" s="2" customFormat="1" ht="15.75" customHeight="1" x14ac:dyDescent="0.25">
      <c r="A231" s="55" t="s">
        <v>203</v>
      </c>
      <c r="B231" s="77" t="s">
        <v>205</v>
      </c>
      <c r="C231" s="54" t="s">
        <v>213</v>
      </c>
      <c r="D231" s="54">
        <f>(41.04+4.07)*10.764</f>
        <v>485.56403999999998</v>
      </c>
      <c r="E231" s="31">
        <v>0</v>
      </c>
      <c r="F231" s="31">
        <f t="shared" si="46"/>
        <v>776.90246400000001</v>
      </c>
      <c r="G231" s="125"/>
      <c r="H231" s="126"/>
      <c r="I231" s="32"/>
      <c r="N231" s="2" t="str">
        <f t="shared" ca="1" si="45"/>
        <v>104,..,1504</v>
      </c>
      <c r="O231" s="2">
        <f t="shared" ref="O231:P231" ca="1" si="49">O230+1</f>
        <v>104</v>
      </c>
      <c r="P231" s="2">
        <f t="shared" ca="1" si="49"/>
        <v>1504</v>
      </c>
    </row>
    <row r="232" spans="1:16" s="2" customFormat="1" x14ac:dyDescent="0.25">
      <c r="A232" s="55" t="s">
        <v>206</v>
      </c>
      <c r="B232" s="77" t="s">
        <v>205</v>
      </c>
      <c r="C232" s="54" t="s">
        <v>213</v>
      </c>
      <c r="D232" s="54">
        <f>(40+4.02)*10.764</f>
        <v>473.83127999999994</v>
      </c>
      <c r="E232" s="31">
        <v>0</v>
      </c>
      <c r="F232" s="31">
        <f t="shared" si="46"/>
        <v>758.13004799999999</v>
      </c>
      <c r="G232" s="127"/>
      <c r="H232" s="128"/>
      <c r="I232" s="32"/>
      <c r="N232" s="2" t="str">
        <f t="shared" si="45"/>
        <v>1,..,1</v>
      </c>
      <c r="O232" s="2">
        <f>O203+1</f>
        <v>1</v>
      </c>
      <c r="P232" s="2">
        <f>P203+1</f>
        <v>1</v>
      </c>
    </row>
    <row r="233" spans="1:16" s="2" customFormat="1" ht="15.75" customHeight="1" x14ac:dyDescent="0.25">
      <c r="A233" s="117" t="s">
        <v>292</v>
      </c>
      <c r="B233" s="118"/>
      <c r="C233" s="118"/>
      <c r="D233" s="118"/>
      <c r="E233" s="118"/>
      <c r="F233" s="118"/>
      <c r="G233" s="118"/>
      <c r="H233" s="119"/>
      <c r="I233" s="32"/>
    </row>
    <row r="234" spans="1:16" s="2" customFormat="1" ht="15.75" customHeight="1" x14ac:dyDescent="0.25">
      <c r="A234" s="55" t="s">
        <v>192</v>
      </c>
      <c r="B234" s="77" t="s">
        <v>205</v>
      </c>
      <c r="C234" s="54" t="s">
        <v>216</v>
      </c>
      <c r="D234" s="54">
        <f>(55.71+4.85)*10.764</f>
        <v>651.86784</v>
      </c>
      <c r="E234" s="31">
        <v>0</v>
      </c>
      <c r="F234" s="31">
        <f t="shared" ref="F234:F238" si="50">D234*(($F$180)+1)+E234</f>
        <v>1042.988544</v>
      </c>
      <c r="G234" s="123" t="str">
        <f>A233</f>
        <v xml:space="preserve">16th Floor </v>
      </c>
      <c r="H234" s="124"/>
      <c r="I234" s="32"/>
      <c r="N234" s="2" t="str">
        <f t="shared" ref="N234:N238" ca="1" si="51">O234&amp;""&amp;",..,"&amp;""&amp;P234</f>
        <v>101,..,1601</v>
      </c>
      <c r="O234" s="2">
        <f ca="1">(SUMPRODUCT(MID(0&amp;(LEFT(A233,SUM(LEN(A233)-LEN(SUBSTITUTE(A233,{"0","1","2"},""))))), LARGE(INDEX(ISNUMBER(--MID((LEFT(A233,SUM(LEN(A233)-LEN(SUBSTITUTE(A233,{"0","1","2"},""))))), ROW(INDIRECT("1:"&amp;LEN((LEFT(A233,SUM(LEN(A233)-LEN(SUBSTITUTE(A233,{"0","1","2"},"")))))))), 1)) * ROW(INDIRECT("1:"&amp;LEN((LEFT(A233,SUM(LEN(A233)-LEN(SUBSTITUTE(A233,{"0","1","2"},"")))))))), 0), ROW(INDIRECT("1:"&amp;LEN((LEFT(A233,SUM(LEN(A233)-LEN(SUBSTITUTE(A233,{"0","1","2"},"")))))))))+1, 1) * 10^ROW(INDIRECT("1:"&amp;LEN((LEFT(A233,SUM(LEN(A233)-LEN(SUBSTITUTE(A233,{"0","1","2"},""))))))))/10))*100+1</f>
        <v>101</v>
      </c>
      <c r="P234" s="2">
        <f ca="1">(SUMPRODUCT(MID(0&amp;(--TRIM(RIGHT(SUBSTITUTE(LEFT(A233,_xlfn.AGGREGATE(16,6,FIND({0,1,2,3,4,5,6,7,8,9},A233,ROW(INDIRECT("1:"&amp;LEN(A233)))),1))," ",REPT(" ",LEN(A233))),LEN(A233)))), LARGE(INDEX(ISNUMBER(--MID((--TRIM(RIGHT(SUBSTITUTE(LEFT(A233,_xlfn.AGGREGATE(16,6,FIND({0,1,2,3,4,5,6,7,8,9},A233,ROW(INDIRECT("1:"&amp;LEN(A233)))),1))," ",REPT(" ",LEN(A233))),LEN(A233)))), ROW(INDIRECT("1:"&amp;LEN((--TRIM(RIGHT(SUBSTITUTE(LEFT(A233,_xlfn.AGGREGATE(16,6,FIND({0,1,2,3,4,5,6,7,8,9},A233,ROW(INDIRECT("1:"&amp;LEN(A233)))),1))," ",REPT(" ",LEN(A233))),LEN(A233))))))), 1)) * ROW(INDIRECT("1:"&amp;LEN((--TRIM(RIGHT(SUBSTITUTE(LEFT(A233,_xlfn.AGGREGATE(16,6,FIND({0,1,2,3,4,5,6,7,8,9},A233,ROW(INDIRECT("1:"&amp;LEN(A233)))),1))," ",REPT(" ",LEN(A233))),LEN(A233))))))), 0), ROW(INDIRECT("1:"&amp;LEN((--TRIM(RIGHT(SUBSTITUTE(LEFT(A233,_xlfn.AGGREGATE(16,6,FIND({0,1,2,3,4,5,6,7,8,9},A233,ROW(INDIRECT("1:"&amp;LEN(A233)))),1))," ",REPT(" ",LEN(A233))),LEN(A233))))))))+1, 1) * 10^ROW(INDIRECT("1:"&amp;LEN((--TRIM(RIGHT(SUBSTITUTE(LEFT(A233,_xlfn.AGGREGATE(16,6,FIND({0,1,2,3,4,5,6,7,8,9},A233,ROW(INDIRECT("1:"&amp;LEN(A233)))),1))," ",REPT(" ",LEN(A233))),LEN(A233)))))))/10))*100+1</f>
        <v>1601</v>
      </c>
    </row>
    <row r="235" spans="1:16" s="2" customFormat="1" ht="15.75" customHeight="1" x14ac:dyDescent="0.25">
      <c r="A235" s="55" t="s">
        <v>193</v>
      </c>
      <c r="B235" s="77" t="s">
        <v>205</v>
      </c>
      <c r="C235" s="54" t="s">
        <v>213</v>
      </c>
      <c r="D235" s="54">
        <f>(41.46+6.63)*10.764</f>
        <v>517.64076</v>
      </c>
      <c r="E235" s="31">
        <v>0</v>
      </c>
      <c r="F235" s="31">
        <f t="shared" si="50"/>
        <v>828.22521600000005</v>
      </c>
      <c r="G235" s="125"/>
      <c r="H235" s="126"/>
      <c r="I235" s="32"/>
      <c r="N235" s="2" t="str">
        <f t="shared" ca="1" si="51"/>
        <v>102,..,1602</v>
      </c>
      <c r="O235" s="2">
        <f t="shared" ref="O235:P235" ca="1" si="52">O234+1</f>
        <v>102</v>
      </c>
      <c r="P235" s="2">
        <f t="shared" ca="1" si="52"/>
        <v>1602</v>
      </c>
    </row>
    <row r="236" spans="1:16" s="2" customFormat="1" ht="15.75" customHeight="1" x14ac:dyDescent="0.25">
      <c r="A236" s="55" t="s">
        <v>194</v>
      </c>
      <c r="B236" s="77" t="s">
        <v>205</v>
      </c>
      <c r="C236" s="54" t="s">
        <v>216</v>
      </c>
      <c r="D236" s="54">
        <f>(62.81+9.58)*10.764</f>
        <v>779.20596</v>
      </c>
      <c r="E236" s="31">
        <v>0</v>
      </c>
      <c r="F236" s="31">
        <f t="shared" si="50"/>
        <v>1246.7295360000001</v>
      </c>
      <c r="G236" s="125"/>
      <c r="H236" s="126"/>
      <c r="I236" s="32"/>
      <c r="N236" s="2" t="str">
        <f t="shared" ca="1" si="51"/>
        <v>103,..,1603</v>
      </c>
      <c r="O236" s="2">
        <f t="shared" ref="O236:P236" ca="1" si="53">O235+1</f>
        <v>103</v>
      </c>
      <c r="P236" s="2">
        <f t="shared" ca="1" si="53"/>
        <v>1603</v>
      </c>
    </row>
    <row r="237" spans="1:16" s="2" customFormat="1" ht="15.75" customHeight="1" x14ac:dyDescent="0.25">
      <c r="A237" s="55" t="s">
        <v>203</v>
      </c>
      <c r="B237" s="77" t="s">
        <v>205</v>
      </c>
      <c r="C237" s="54" t="s">
        <v>213</v>
      </c>
      <c r="D237" s="54">
        <f>(41.04+4.07)*10.764</f>
        <v>485.56403999999998</v>
      </c>
      <c r="E237" s="31">
        <v>0</v>
      </c>
      <c r="F237" s="31">
        <f t="shared" si="50"/>
        <v>776.90246400000001</v>
      </c>
      <c r="G237" s="125"/>
      <c r="H237" s="126"/>
      <c r="I237" s="32"/>
      <c r="N237" s="2" t="str">
        <f t="shared" ca="1" si="51"/>
        <v>104,..,1604</v>
      </c>
      <c r="O237" s="2">
        <f t="shared" ref="O237:P237" ca="1" si="54">O236+1</f>
        <v>104</v>
      </c>
      <c r="P237" s="2">
        <f t="shared" ca="1" si="54"/>
        <v>1604</v>
      </c>
    </row>
    <row r="238" spans="1:16" s="2" customFormat="1" x14ac:dyDescent="0.25">
      <c r="A238" s="55" t="s">
        <v>206</v>
      </c>
      <c r="B238" s="77" t="s">
        <v>205</v>
      </c>
      <c r="C238" s="54" t="s">
        <v>213</v>
      </c>
      <c r="D238" s="54">
        <f>(40+4.02)*10.764</f>
        <v>473.83127999999994</v>
      </c>
      <c r="E238" s="31">
        <v>0</v>
      </c>
      <c r="F238" s="31">
        <f t="shared" si="50"/>
        <v>758.13004799999999</v>
      </c>
      <c r="G238" s="127"/>
      <c r="H238" s="128"/>
      <c r="I238" s="32"/>
      <c r="N238" s="2" t="str">
        <f t="shared" si="51"/>
        <v>1,..,1</v>
      </c>
      <c r="O238" s="2">
        <f>O227+1</f>
        <v>1</v>
      </c>
      <c r="P238" s="2">
        <f>P227+1</f>
        <v>1</v>
      </c>
    </row>
    <row r="239" spans="1:16" s="80" customFormat="1" ht="15.75" customHeight="1" x14ac:dyDescent="0.25">
      <c r="A239" s="117" t="s">
        <v>294</v>
      </c>
      <c r="B239" s="118"/>
      <c r="C239" s="118"/>
      <c r="D239" s="118"/>
      <c r="E239" s="118"/>
      <c r="F239" s="118"/>
      <c r="G239" s="118"/>
      <c r="H239" s="119"/>
      <c r="I239" s="32"/>
    </row>
    <row r="240" spans="1:16" s="80" customFormat="1" ht="15.75" customHeight="1" x14ac:dyDescent="0.25">
      <c r="A240" s="55" t="s">
        <v>192</v>
      </c>
      <c r="B240" s="77" t="s">
        <v>205</v>
      </c>
      <c r="C240" s="54" t="s">
        <v>216</v>
      </c>
      <c r="D240" s="54">
        <f>(55.71+4.85)*10.764</f>
        <v>651.86784</v>
      </c>
      <c r="E240" s="31">
        <v>0</v>
      </c>
      <c r="F240" s="31">
        <f t="shared" ref="F240:F244" si="55">D240*(($F$180)+1)+E240</f>
        <v>1042.988544</v>
      </c>
      <c r="G240" s="123" t="str">
        <f>A239</f>
        <v xml:space="preserve">17th Floor </v>
      </c>
      <c r="H240" s="124"/>
      <c r="I240" s="32"/>
      <c r="N240" s="80" t="str">
        <f t="shared" ref="N240:N244" ca="1" si="56">O240&amp;""&amp;",..,"&amp;""&amp;P240</f>
        <v>101,..,1701</v>
      </c>
      <c r="O240" s="80">
        <f ca="1">(SUMPRODUCT(MID(0&amp;(LEFT(A239,SUM(LEN(A239)-LEN(SUBSTITUTE(A239,{"0","1","2"},""))))), LARGE(INDEX(ISNUMBER(--MID((LEFT(A239,SUM(LEN(A239)-LEN(SUBSTITUTE(A239,{"0","1","2"},""))))), ROW(INDIRECT("1:"&amp;LEN((LEFT(A239,SUM(LEN(A239)-LEN(SUBSTITUTE(A239,{"0","1","2"},"")))))))), 1)) * ROW(INDIRECT("1:"&amp;LEN((LEFT(A239,SUM(LEN(A239)-LEN(SUBSTITUTE(A239,{"0","1","2"},"")))))))), 0), ROW(INDIRECT("1:"&amp;LEN((LEFT(A239,SUM(LEN(A239)-LEN(SUBSTITUTE(A239,{"0","1","2"},"")))))))))+1, 1) * 10^ROW(INDIRECT("1:"&amp;LEN((LEFT(A239,SUM(LEN(A239)-LEN(SUBSTITUTE(A239,{"0","1","2"},""))))))))/10))*100+1</f>
        <v>101</v>
      </c>
      <c r="P240" s="80">
        <f ca="1">(SUMPRODUCT(MID(0&amp;(--TRIM(RIGHT(SUBSTITUTE(LEFT(A239,_xlfn.AGGREGATE(16,6,FIND({0,1,2,3,4,5,6,7,8,9},A239,ROW(INDIRECT("1:"&amp;LEN(A239)))),1))," ",REPT(" ",LEN(A239))),LEN(A239)))), LARGE(INDEX(ISNUMBER(--MID((--TRIM(RIGHT(SUBSTITUTE(LEFT(A239,_xlfn.AGGREGATE(16,6,FIND({0,1,2,3,4,5,6,7,8,9},A239,ROW(INDIRECT("1:"&amp;LEN(A239)))),1))," ",REPT(" ",LEN(A239))),LEN(A239)))), ROW(INDIRECT("1:"&amp;LEN((--TRIM(RIGHT(SUBSTITUTE(LEFT(A239,_xlfn.AGGREGATE(16,6,FIND({0,1,2,3,4,5,6,7,8,9},A239,ROW(INDIRECT("1:"&amp;LEN(A239)))),1))," ",REPT(" ",LEN(A239))),LEN(A239))))))), 1)) * ROW(INDIRECT("1:"&amp;LEN((--TRIM(RIGHT(SUBSTITUTE(LEFT(A239,_xlfn.AGGREGATE(16,6,FIND({0,1,2,3,4,5,6,7,8,9},A239,ROW(INDIRECT("1:"&amp;LEN(A239)))),1))," ",REPT(" ",LEN(A239))),LEN(A239))))))), 0), ROW(INDIRECT("1:"&amp;LEN((--TRIM(RIGHT(SUBSTITUTE(LEFT(A239,_xlfn.AGGREGATE(16,6,FIND({0,1,2,3,4,5,6,7,8,9},A239,ROW(INDIRECT("1:"&amp;LEN(A239)))),1))," ",REPT(" ",LEN(A239))),LEN(A239))))))))+1, 1) * 10^ROW(INDIRECT("1:"&amp;LEN((--TRIM(RIGHT(SUBSTITUTE(LEFT(A239,_xlfn.AGGREGATE(16,6,FIND({0,1,2,3,4,5,6,7,8,9},A239,ROW(INDIRECT("1:"&amp;LEN(A239)))),1))," ",REPT(" ",LEN(A239))),LEN(A239)))))))/10))*100+1</f>
        <v>1701</v>
      </c>
    </row>
    <row r="241" spans="1:16" s="80" customFormat="1" ht="15.75" customHeight="1" x14ac:dyDescent="0.25">
      <c r="A241" s="55" t="s">
        <v>193</v>
      </c>
      <c r="B241" s="77" t="s">
        <v>205</v>
      </c>
      <c r="C241" s="54" t="s">
        <v>213</v>
      </c>
      <c r="D241" s="54">
        <f>(41.46+6.63)*10.764</f>
        <v>517.64076</v>
      </c>
      <c r="E241" s="31">
        <v>0</v>
      </c>
      <c r="F241" s="31">
        <f t="shared" si="55"/>
        <v>828.22521600000005</v>
      </c>
      <c r="G241" s="125"/>
      <c r="H241" s="126"/>
      <c r="I241" s="32"/>
      <c r="N241" s="80" t="str">
        <f t="shared" ca="1" si="56"/>
        <v>102,..,1702</v>
      </c>
      <c r="O241" s="80">
        <f t="shared" ref="O241:P241" ca="1" si="57">O240+1</f>
        <v>102</v>
      </c>
      <c r="P241" s="80">
        <f t="shared" ca="1" si="57"/>
        <v>1702</v>
      </c>
    </row>
    <row r="242" spans="1:16" s="80" customFormat="1" ht="15.75" customHeight="1" x14ac:dyDescent="0.25">
      <c r="A242" s="55" t="s">
        <v>194</v>
      </c>
      <c r="B242" s="77" t="s">
        <v>205</v>
      </c>
      <c r="C242" s="54" t="s">
        <v>216</v>
      </c>
      <c r="D242" s="54">
        <f>(62.81+9.58)*10.764</f>
        <v>779.20596</v>
      </c>
      <c r="E242" s="31">
        <v>0</v>
      </c>
      <c r="F242" s="31">
        <f t="shared" si="55"/>
        <v>1246.7295360000001</v>
      </c>
      <c r="G242" s="125"/>
      <c r="H242" s="126"/>
      <c r="I242" s="32"/>
      <c r="N242" s="80" t="str">
        <f t="shared" ca="1" si="56"/>
        <v>103,..,1703</v>
      </c>
      <c r="O242" s="80">
        <f t="shared" ref="O242:P242" ca="1" si="58">O241+1</f>
        <v>103</v>
      </c>
      <c r="P242" s="80">
        <f t="shared" ca="1" si="58"/>
        <v>1703</v>
      </c>
    </row>
    <row r="243" spans="1:16" s="80" customFormat="1" ht="15.75" customHeight="1" x14ac:dyDescent="0.25">
      <c r="A243" s="55" t="s">
        <v>203</v>
      </c>
      <c r="B243" s="77" t="s">
        <v>205</v>
      </c>
      <c r="C243" s="54" t="s">
        <v>213</v>
      </c>
      <c r="D243" s="54">
        <f>(41.04+4.07)*10.764</f>
        <v>485.56403999999998</v>
      </c>
      <c r="E243" s="31">
        <v>0</v>
      </c>
      <c r="F243" s="31">
        <f t="shared" si="55"/>
        <v>776.90246400000001</v>
      </c>
      <c r="G243" s="125"/>
      <c r="H243" s="126"/>
      <c r="I243" s="32"/>
      <c r="N243" s="80" t="str">
        <f t="shared" ca="1" si="56"/>
        <v>104,..,1704</v>
      </c>
      <c r="O243" s="80">
        <f t="shared" ref="O243:P243" ca="1" si="59">O242+1</f>
        <v>104</v>
      </c>
      <c r="P243" s="80">
        <f t="shared" ca="1" si="59"/>
        <v>1704</v>
      </c>
    </row>
    <row r="244" spans="1:16" s="80" customFormat="1" x14ac:dyDescent="0.25">
      <c r="A244" s="55" t="s">
        <v>206</v>
      </c>
      <c r="B244" s="77" t="s">
        <v>205</v>
      </c>
      <c r="C244" s="54" t="s">
        <v>213</v>
      </c>
      <c r="D244" s="54">
        <f>(40+4.02)*10.764</f>
        <v>473.83127999999994</v>
      </c>
      <c r="E244" s="31">
        <v>0</v>
      </c>
      <c r="F244" s="31">
        <f t="shared" si="55"/>
        <v>758.13004799999999</v>
      </c>
      <c r="G244" s="127"/>
      <c r="H244" s="128"/>
      <c r="I244" s="32"/>
      <c r="N244" s="80" t="str">
        <f t="shared" si="56"/>
        <v>1,..,1</v>
      </c>
      <c r="O244" s="80">
        <f>O233+1</f>
        <v>1</v>
      </c>
      <c r="P244" s="80">
        <f>P233+1</f>
        <v>1</v>
      </c>
    </row>
    <row r="245" spans="1:16" s="2" customFormat="1" ht="15.75" customHeight="1" x14ac:dyDescent="0.25">
      <c r="A245" s="117" t="s">
        <v>221</v>
      </c>
      <c r="B245" s="118"/>
      <c r="C245" s="118"/>
      <c r="D245" s="118"/>
      <c r="E245" s="118"/>
      <c r="F245" s="118"/>
      <c r="G245" s="118"/>
      <c r="H245" s="119"/>
      <c r="I245" s="32"/>
    </row>
    <row r="246" spans="1:16" s="2" customFormat="1" x14ac:dyDescent="0.25">
      <c r="A246" s="55" t="s">
        <v>192</v>
      </c>
      <c r="B246" s="77" t="s">
        <v>205</v>
      </c>
      <c r="C246" s="54" t="s">
        <v>216</v>
      </c>
      <c r="D246" s="54">
        <f>(55.71+4.85)*10.764</f>
        <v>651.86784</v>
      </c>
      <c r="E246" s="31">
        <v>0</v>
      </c>
      <c r="F246" s="31">
        <f t="shared" ref="F246:F250" si="60">D246*(($F$180)+1)+E246</f>
        <v>1042.988544</v>
      </c>
      <c r="G246" s="123" t="str">
        <f>A245</f>
        <v xml:space="preserve">18th Floor </v>
      </c>
      <c r="H246" s="124"/>
      <c r="I246" s="32"/>
      <c r="N246" s="2" t="str">
        <f t="shared" ref="N246:N250" ca="1" si="61">O246&amp;""&amp;",..,"&amp;""&amp;P246</f>
        <v>101,..,1801</v>
      </c>
      <c r="O246" s="2">
        <f ca="1">(SUMPRODUCT(MID(0&amp;(LEFT(A245,SUM(LEN(A245)-LEN(SUBSTITUTE(A245,{"0","1","2"},""))))), LARGE(INDEX(ISNUMBER(--MID((LEFT(A245,SUM(LEN(A245)-LEN(SUBSTITUTE(A245,{"0","1","2"},""))))), ROW(INDIRECT("1:"&amp;LEN((LEFT(A245,SUM(LEN(A245)-LEN(SUBSTITUTE(A245,{"0","1","2"},"")))))))), 1)) * ROW(INDIRECT("1:"&amp;LEN((LEFT(A245,SUM(LEN(A245)-LEN(SUBSTITUTE(A245,{"0","1","2"},"")))))))), 0), ROW(INDIRECT("1:"&amp;LEN((LEFT(A245,SUM(LEN(A245)-LEN(SUBSTITUTE(A245,{"0","1","2"},"")))))))))+1, 1) * 10^ROW(INDIRECT("1:"&amp;LEN((LEFT(A245,SUM(LEN(A245)-LEN(SUBSTITUTE(A245,{"0","1","2"},""))))))))/10))*100+1</f>
        <v>101</v>
      </c>
      <c r="P246" s="2">
        <f ca="1">(SUMPRODUCT(MID(0&amp;(--TRIM(RIGHT(SUBSTITUTE(LEFT(A245,_xlfn.AGGREGATE(16,6,FIND({0,1,2,3,4,5,6,7,8,9},A245,ROW(INDIRECT("1:"&amp;LEN(A245)))),1))," ",REPT(" ",LEN(A245))),LEN(A245)))), LARGE(INDEX(ISNUMBER(--MID((--TRIM(RIGHT(SUBSTITUTE(LEFT(A245,_xlfn.AGGREGATE(16,6,FIND({0,1,2,3,4,5,6,7,8,9},A245,ROW(INDIRECT("1:"&amp;LEN(A245)))),1))," ",REPT(" ",LEN(A245))),LEN(A245)))), ROW(INDIRECT("1:"&amp;LEN((--TRIM(RIGHT(SUBSTITUTE(LEFT(A245,_xlfn.AGGREGATE(16,6,FIND({0,1,2,3,4,5,6,7,8,9},A245,ROW(INDIRECT("1:"&amp;LEN(A245)))),1))," ",REPT(" ",LEN(A245))),LEN(A245))))))), 1)) * ROW(INDIRECT("1:"&amp;LEN((--TRIM(RIGHT(SUBSTITUTE(LEFT(A245,_xlfn.AGGREGATE(16,6,FIND({0,1,2,3,4,5,6,7,8,9},A245,ROW(INDIRECT("1:"&amp;LEN(A245)))),1))," ",REPT(" ",LEN(A245))),LEN(A245))))))), 0), ROW(INDIRECT("1:"&amp;LEN((--TRIM(RIGHT(SUBSTITUTE(LEFT(A245,_xlfn.AGGREGATE(16,6,FIND({0,1,2,3,4,5,6,7,8,9},A245,ROW(INDIRECT("1:"&amp;LEN(A245)))),1))," ",REPT(" ",LEN(A245))),LEN(A245))))))))+1, 1) * 10^ROW(INDIRECT("1:"&amp;LEN((--TRIM(RIGHT(SUBSTITUTE(LEFT(A245,_xlfn.AGGREGATE(16,6,FIND({0,1,2,3,4,5,6,7,8,9},A245,ROW(INDIRECT("1:"&amp;LEN(A245)))),1))," ",REPT(" ",LEN(A245))),LEN(A245)))))))/10))*100+1</f>
        <v>1801</v>
      </c>
    </row>
    <row r="247" spans="1:16" s="2" customFormat="1" x14ac:dyDescent="0.25">
      <c r="A247" s="55" t="s">
        <v>193</v>
      </c>
      <c r="B247" s="77" t="s">
        <v>205</v>
      </c>
      <c r="C247" s="54" t="s">
        <v>213</v>
      </c>
      <c r="D247" s="54">
        <f>(41.46+6.63)*10.764</f>
        <v>517.64076</v>
      </c>
      <c r="E247" s="31">
        <v>0</v>
      </c>
      <c r="F247" s="31">
        <f t="shared" si="60"/>
        <v>828.22521600000005</v>
      </c>
      <c r="G247" s="125"/>
      <c r="H247" s="126"/>
      <c r="I247" s="32"/>
      <c r="N247" s="2" t="str">
        <f t="shared" ca="1" si="61"/>
        <v>102,..,1802</v>
      </c>
      <c r="O247" s="2">
        <f t="shared" ref="O247:P247" ca="1" si="62">O246+1</f>
        <v>102</v>
      </c>
      <c r="P247" s="2">
        <f t="shared" ca="1" si="62"/>
        <v>1802</v>
      </c>
    </row>
    <row r="248" spans="1:16" s="2" customFormat="1" x14ac:dyDescent="0.25">
      <c r="A248" s="55" t="s">
        <v>194</v>
      </c>
      <c r="B248" s="77" t="s">
        <v>205</v>
      </c>
      <c r="C248" s="54" t="s">
        <v>216</v>
      </c>
      <c r="D248" s="54">
        <f>(62.81+9.58)*10.764</f>
        <v>779.20596</v>
      </c>
      <c r="E248" s="31">
        <v>0</v>
      </c>
      <c r="F248" s="31">
        <f t="shared" si="60"/>
        <v>1246.7295360000001</v>
      </c>
      <c r="G248" s="125"/>
      <c r="H248" s="126"/>
      <c r="I248" s="32"/>
      <c r="N248" s="2" t="str">
        <f t="shared" ca="1" si="61"/>
        <v>103,..,1803</v>
      </c>
      <c r="O248" s="2">
        <f t="shared" ref="O248:P248" ca="1" si="63">O247+1</f>
        <v>103</v>
      </c>
      <c r="P248" s="2">
        <f t="shared" ca="1" si="63"/>
        <v>1803</v>
      </c>
    </row>
    <row r="249" spans="1:16" s="2" customFormat="1" x14ac:dyDescent="0.25">
      <c r="A249" s="55" t="s">
        <v>203</v>
      </c>
      <c r="B249" s="77" t="s">
        <v>205</v>
      </c>
      <c r="C249" s="54" t="s">
        <v>213</v>
      </c>
      <c r="D249" s="54">
        <f>(41.04+4.07)*10.764</f>
        <v>485.56403999999998</v>
      </c>
      <c r="E249" s="31">
        <v>0</v>
      </c>
      <c r="F249" s="31">
        <f t="shared" si="60"/>
        <v>776.90246400000001</v>
      </c>
      <c r="G249" s="125"/>
      <c r="H249" s="126"/>
      <c r="I249" s="32"/>
      <c r="N249" s="2" t="str">
        <f t="shared" ca="1" si="61"/>
        <v>104,..,1804</v>
      </c>
      <c r="O249" s="2">
        <f t="shared" ref="O249:P249" ca="1" si="64">O248+1</f>
        <v>104</v>
      </c>
      <c r="P249" s="2">
        <f t="shared" ca="1" si="64"/>
        <v>1804</v>
      </c>
    </row>
    <row r="250" spans="1:16" s="2" customFormat="1" x14ac:dyDescent="0.25">
      <c r="A250" s="55" t="s">
        <v>206</v>
      </c>
      <c r="B250" s="77" t="s">
        <v>205</v>
      </c>
      <c r="C250" s="54" t="s">
        <v>213</v>
      </c>
      <c r="D250" s="54">
        <f>(40+4.02)*10.764</f>
        <v>473.83127999999994</v>
      </c>
      <c r="E250" s="31">
        <v>0</v>
      </c>
      <c r="F250" s="31">
        <f t="shared" si="60"/>
        <v>758.13004799999999</v>
      </c>
      <c r="G250" s="127"/>
      <c r="H250" s="128"/>
      <c r="I250" s="32"/>
      <c r="N250" s="2" t="str">
        <f t="shared" si="61"/>
        <v>1,..,1</v>
      </c>
      <c r="O250" s="2">
        <f>O233+1</f>
        <v>1</v>
      </c>
      <c r="P250" s="2">
        <f>P233+1</f>
        <v>1</v>
      </c>
    </row>
    <row r="251" spans="1:16" s="2" customFormat="1" ht="15.75" customHeight="1" x14ac:dyDescent="0.25">
      <c r="A251" s="117" t="s">
        <v>222</v>
      </c>
      <c r="B251" s="118"/>
      <c r="C251" s="118"/>
      <c r="D251" s="118"/>
      <c r="E251" s="118"/>
      <c r="F251" s="118"/>
      <c r="G251" s="118"/>
      <c r="H251" s="119"/>
      <c r="I251" s="32"/>
    </row>
    <row r="252" spans="1:16" s="2" customFormat="1" x14ac:dyDescent="0.25">
      <c r="A252" s="55" t="s">
        <v>192</v>
      </c>
      <c r="B252" s="77" t="s">
        <v>205</v>
      </c>
      <c r="C252" s="54" t="s">
        <v>216</v>
      </c>
      <c r="D252" s="54">
        <f>(55.71+4.85)*10.764</f>
        <v>651.86784</v>
      </c>
      <c r="E252" s="31">
        <v>0</v>
      </c>
      <c r="F252" s="31">
        <f t="shared" ref="F252:F256" si="65">D252*(($F$180)+1)+E252</f>
        <v>1042.988544</v>
      </c>
      <c r="G252" s="123" t="str">
        <f>A251</f>
        <v xml:space="preserve">19th Floor </v>
      </c>
      <c r="H252" s="124"/>
      <c r="I252" s="32"/>
      <c r="N252" s="2" t="str">
        <f t="shared" ref="N252:N256" ca="1" si="66">O252&amp;""&amp;",..,"&amp;""&amp;P252</f>
        <v>101,..,1901</v>
      </c>
      <c r="O252" s="2">
        <f ca="1">(SUMPRODUCT(MID(0&amp;(LEFT(A251,SUM(LEN(A251)-LEN(SUBSTITUTE(A251,{"0","1","2"},""))))), LARGE(INDEX(ISNUMBER(--MID((LEFT(A251,SUM(LEN(A251)-LEN(SUBSTITUTE(A251,{"0","1","2"},""))))), ROW(INDIRECT("1:"&amp;LEN((LEFT(A251,SUM(LEN(A251)-LEN(SUBSTITUTE(A251,{"0","1","2"},"")))))))), 1)) * ROW(INDIRECT("1:"&amp;LEN((LEFT(A251,SUM(LEN(A251)-LEN(SUBSTITUTE(A251,{"0","1","2"},"")))))))), 0), ROW(INDIRECT("1:"&amp;LEN((LEFT(A251,SUM(LEN(A251)-LEN(SUBSTITUTE(A251,{"0","1","2"},"")))))))))+1, 1) * 10^ROW(INDIRECT("1:"&amp;LEN((LEFT(A251,SUM(LEN(A251)-LEN(SUBSTITUTE(A251,{"0","1","2"},""))))))))/10))*100+1</f>
        <v>101</v>
      </c>
      <c r="P252" s="2">
        <f ca="1">(SUMPRODUCT(MID(0&amp;(--TRIM(RIGHT(SUBSTITUTE(LEFT(A251,_xlfn.AGGREGATE(16,6,FIND({0,1,2,3,4,5,6,7,8,9},A251,ROW(INDIRECT("1:"&amp;LEN(A251)))),1))," ",REPT(" ",LEN(A251))),LEN(A251)))), LARGE(INDEX(ISNUMBER(--MID((--TRIM(RIGHT(SUBSTITUTE(LEFT(A251,_xlfn.AGGREGATE(16,6,FIND({0,1,2,3,4,5,6,7,8,9},A251,ROW(INDIRECT("1:"&amp;LEN(A251)))),1))," ",REPT(" ",LEN(A251))),LEN(A251)))), ROW(INDIRECT("1:"&amp;LEN((--TRIM(RIGHT(SUBSTITUTE(LEFT(A251,_xlfn.AGGREGATE(16,6,FIND({0,1,2,3,4,5,6,7,8,9},A251,ROW(INDIRECT("1:"&amp;LEN(A251)))),1))," ",REPT(" ",LEN(A251))),LEN(A251))))))), 1)) * ROW(INDIRECT("1:"&amp;LEN((--TRIM(RIGHT(SUBSTITUTE(LEFT(A251,_xlfn.AGGREGATE(16,6,FIND({0,1,2,3,4,5,6,7,8,9},A251,ROW(INDIRECT("1:"&amp;LEN(A251)))),1))," ",REPT(" ",LEN(A251))),LEN(A251))))))), 0), ROW(INDIRECT("1:"&amp;LEN((--TRIM(RIGHT(SUBSTITUTE(LEFT(A251,_xlfn.AGGREGATE(16,6,FIND({0,1,2,3,4,5,6,7,8,9},A251,ROW(INDIRECT("1:"&amp;LEN(A251)))),1))," ",REPT(" ",LEN(A251))),LEN(A251))))))))+1, 1) * 10^ROW(INDIRECT("1:"&amp;LEN((--TRIM(RIGHT(SUBSTITUTE(LEFT(A251,_xlfn.AGGREGATE(16,6,FIND({0,1,2,3,4,5,6,7,8,9},A251,ROW(INDIRECT("1:"&amp;LEN(A251)))),1))," ",REPT(" ",LEN(A251))),LEN(A251)))))))/10))*100+1</f>
        <v>1901</v>
      </c>
    </row>
    <row r="253" spans="1:16" s="2" customFormat="1" x14ac:dyDescent="0.25">
      <c r="A253" s="55" t="s">
        <v>193</v>
      </c>
      <c r="B253" s="77" t="s">
        <v>205</v>
      </c>
      <c r="C253" s="54" t="s">
        <v>213</v>
      </c>
      <c r="D253" s="54">
        <f>(41.46+6.63)*10.764</f>
        <v>517.64076</v>
      </c>
      <c r="E253" s="31">
        <v>0</v>
      </c>
      <c r="F253" s="31">
        <f t="shared" si="65"/>
        <v>828.22521600000005</v>
      </c>
      <c r="G253" s="125"/>
      <c r="H253" s="126"/>
      <c r="I253" s="32"/>
      <c r="N253" s="2" t="str">
        <f t="shared" ca="1" si="66"/>
        <v>102,..,1902</v>
      </c>
      <c r="O253" s="2">
        <f t="shared" ref="O253:P253" ca="1" si="67">O252+1</f>
        <v>102</v>
      </c>
      <c r="P253" s="2">
        <f t="shared" ca="1" si="67"/>
        <v>1902</v>
      </c>
    </row>
    <row r="254" spans="1:16" s="2" customFormat="1" x14ac:dyDescent="0.25">
      <c r="A254" s="55" t="s">
        <v>194</v>
      </c>
      <c r="B254" s="77" t="s">
        <v>205</v>
      </c>
      <c r="C254" s="54" t="s">
        <v>216</v>
      </c>
      <c r="D254" s="54">
        <f>(62.81+9.58)*10.764</f>
        <v>779.20596</v>
      </c>
      <c r="E254" s="31">
        <v>0</v>
      </c>
      <c r="F254" s="31">
        <f t="shared" si="65"/>
        <v>1246.7295360000001</v>
      </c>
      <c r="G254" s="125"/>
      <c r="H254" s="126"/>
      <c r="I254" s="32"/>
      <c r="N254" s="2" t="str">
        <f t="shared" ca="1" si="66"/>
        <v>103,..,1903</v>
      </c>
      <c r="O254" s="2">
        <f t="shared" ref="O254:P254" ca="1" si="68">O253+1</f>
        <v>103</v>
      </c>
      <c r="P254" s="2">
        <f t="shared" ca="1" si="68"/>
        <v>1903</v>
      </c>
    </row>
    <row r="255" spans="1:16" s="2" customFormat="1" x14ac:dyDescent="0.25">
      <c r="A255" s="55" t="s">
        <v>203</v>
      </c>
      <c r="B255" s="77" t="s">
        <v>205</v>
      </c>
      <c r="C255" s="54" t="s">
        <v>213</v>
      </c>
      <c r="D255" s="54">
        <f>(41.04+4.07)*10.764</f>
        <v>485.56403999999998</v>
      </c>
      <c r="E255" s="31">
        <v>0</v>
      </c>
      <c r="F255" s="31">
        <f t="shared" si="65"/>
        <v>776.90246400000001</v>
      </c>
      <c r="G255" s="125"/>
      <c r="H255" s="126"/>
      <c r="I255" s="32"/>
      <c r="N255" s="2" t="str">
        <f t="shared" ca="1" si="66"/>
        <v>104,..,1904</v>
      </c>
      <c r="O255" s="2">
        <f t="shared" ref="O255:P255" ca="1" si="69">O254+1</f>
        <v>104</v>
      </c>
      <c r="P255" s="2">
        <f t="shared" ca="1" si="69"/>
        <v>1904</v>
      </c>
    </row>
    <row r="256" spans="1:16" s="2" customFormat="1" x14ac:dyDescent="0.25">
      <c r="A256" s="55" t="s">
        <v>206</v>
      </c>
      <c r="B256" s="77" t="s">
        <v>205</v>
      </c>
      <c r="C256" s="54" t="s">
        <v>213</v>
      </c>
      <c r="D256" s="54">
        <f>(40+4.02)*10.764</f>
        <v>473.83127999999994</v>
      </c>
      <c r="E256" s="31">
        <v>0</v>
      </c>
      <c r="F256" s="31">
        <f t="shared" si="65"/>
        <v>758.13004799999999</v>
      </c>
      <c r="G256" s="127"/>
      <c r="H256" s="128"/>
      <c r="I256" s="32"/>
      <c r="N256" s="2" t="str">
        <f t="shared" si="66"/>
        <v>1,..,1</v>
      </c>
      <c r="O256" s="2">
        <f>O245+1</f>
        <v>1</v>
      </c>
      <c r="P256" s="2">
        <f>P245+1</f>
        <v>1</v>
      </c>
    </row>
    <row r="257" spans="1:10" s="1" customFormat="1" x14ac:dyDescent="0.25">
      <c r="A257" s="199" t="s">
        <v>78</v>
      </c>
      <c r="B257" s="199"/>
      <c r="C257" s="199"/>
      <c r="D257" s="199"/>
      <c r="E257" s="199"/>
      <c r="F257" s="199"/>
      <c r="G257" s="199"/>
      <c r="H257" s="199"/>
    </row>
    <row r="258" spans="1:10" s="1" customFormat="1" ht="35.25" customHeight="1" x14ac:dyDescent="0.25">
      <c r="A258" s="37">
        <v>1</v>
      </c>
      <c r="B258" s="224" t="s">
        <v>306</v>
      </c>
      <c r="C258" s="225"/>
      <c r="D258" s="225"/>
      <c r="E258" s="225"/>
      <c r="F258" s="225"/>
      <c r="G258" s="225"/>
      <c r="H258" s="226"/>
    </row>
    <row r="259" spans="1:10" s="1" customFormat="1" x14ac:dyDescent="0.25">
      <c r="A259" s="37">
        <f>A258+1</f>
        <v>2</v>
      </c>
      <c r="B259" s="102" t="s">
        <v>246</v>
      </c>
      <c r="C259" s="103"/>
      <c r="D259" s="103"/>
      <c r="E259" s="103"/>
      <c r="F259" s="103"/>
      <c r="G259" s="103"/>
      <c r="H259" s="104"/>
    </row>
    <row r="260" spans="1:10" s="1" customFormat="1" x14ac:dyDescent="0.25">
      <c r="A260" s="37">
        <f t="shared" ref="A260:A268" si="70">A259+1</f>
        <v>3</v>
      </c>
      <c r="B260" s="102" t="s">
        <v>165</v>
      </c>
      <c r="C260" s="103"/>
      <c r="D260" s="103"/>
      <c r="E260" s="103"/>
      <c r="F260" s="103"/>
      <c r="G260" s="103"/>
      <c r="H260" s="104"/>
    </row>
    <row r="261" spans="1:10" s="1" customFormat="1" x14ac:dyDescent="0.25">
      <c r="A261" s="37">
        <f t="shared" si="70"/>
        <v>4</v>
      </c>
      <c r="B261" s="102" t="s">
        <v>241</v>
      </c>
      <c r="C261" s="103"/>
      <c r="D261" s="103"/>
      <c r="E261" s="103"/>
      <c r="F261" s="103"/>
      <c r="G261" s="103"/>
      <c r="H261" s="104"/>
    </row>
    <row r="262" spans="1:10" s="1" customFormat="1" x14ac:dyDescent="0.25">
      <c r="A262" s="37">
        <f t="shared" si="70"/>
        <v>5</v>
      </c>
      <c r="B262" s="102" t="s">
        <v>166</v>
      </c>
      <c r="C262" s="103"/>
      <c r="D262" s="103"/>
      <c r="E262" s="103"/>
      <c r="F262" s="103"/>
      <c r="G262" s="103"/>
      <c r="H262" s="104"/>
      <c r="J262" s="1" t="s">
        <v>301</v>
      </c>
    </row>
    <row r="263" spans="1:10" s="1" customFormat="1" ht="35.25" customHeight="1" x14ac:dyDescent="0.25">
      <c r="A263" s="37">
        <f t="shared" si="70"/>
        <v>6</v>
      </c>
      <c r="B263" s="102" t="s">
        <v>259</v>
      </c>
      <c r="C263" s="103"/>
      <c r="D263" s="103"/>
      <c r="E263" s="103"/>
      <c r="F263" s="103"/>
      <c r="G263" s="103"/>
      <c r="H263" s="104"/>
    </row>
    <row r="264" spans="1:10" s="1" customFormat="1" x14ac:dyDescent="0.25">
      <c r="A264" s="37">
        <f t="shared" si="70"/>
        <v>7</v>
      </c>
      <c r="B264" s="102" t="s">
        <v>167</v>
      </c>
      <c r="C264" s="103"/>
      <c r="D264" s="103"/>
      <c r="E264" s="103"/>
      <c r="F264" s="103"/>
      <c r="G264" s="103"/>
      <c r="H264" s="104"/>
    </row>
    <row r="265" spans="1:10" s="1" customFormat="1" ht="33" hidden="1" customHeight="1" x14ac:dyDescent="0.25">
      <c r="A265" s="37">
        <f t="shared" si="70"/>
        <v>8</v>
      </c>
      <c r="B265" s="102" t="s">
        <v>266</v>
      </c>
      <c r="C265" s="103"/>
      <c r="D265" s="103"/>
      <c r="E265" s="103"/>
      <c r="F265" s="103"/>
      <c r="G265" s="103"/>
      <c r="H265" s="104"/>
    </row>
    <row r="266" spans="1:10" s="1" customFormat="1" x14ac:dyDescent="0.25">
      <c r="A266" s="37">
        <f t="shared" si="70"/>
        <v>9</v>
      </c>
      <c r="B266" s="102" t="s">
        <v>261</v>
      </c>
      <c r="C266" s="103"/>
      <c r="D266" s="103"/>
      <c r="E266" s="103"/>
      <c r="F266" s="103"/>
      <c r="G266" s="103"/>
      <c r="H266" s="104"/>
    </row>
    <row r="267" spans="1:10" s="1" customFormat="1" x14ac:dyDescent="0.25">
      <c r="A267" s="37">
        <f t="shared" si="70"/>
        <v>10</v>
      </c>
      <c r="B267" s="102" t="s">
        <v>264</v>
      </c>
      <c r="C267" s="103"/>
      <c r="D267" s="103"/>
      <c r="E267" s="103"/>
      <c r="F267" s="103"/>
      <c r="G267" s="103"/>
      <c r="H267" s="104"/>
    </row>
    <row r="268" spans="1:10" s="1" customFormat="1" hidden="1" x14ac:dyDescent="0.25">
      <c r="A268" s="73">
        <f t="shared" si="70"/>
        <v>11</v>
      </c>
      <c r="B268" s="102" t="s">
        <v>273</v>
      </c>
      <c r="C268" s="103"/>
      <c r="D268" s="103"/>
      <c r="E268" s="103"/>
      <c r="F268" s="103"/>
      <c r="G268" s="103"/>
      <c r="H268" s="104"/>
    </row>
    <row r="269" spans="1:10" s="1" customFormat="1" x14ac:dyDescent="0.25">
      <c r="A269" s="84">
        <f>A267+1</f>
        <v>11</v>
      </c>
      <c r="B269" s="102" t="s">
        <v>293</v>
      </c>
      <c r="C269" s="103"/>
      <c r="D269" s="103"/>
      <c r="E269" s="103"/>
      <c r="F269" s="103"/>
      <c r="G269" s="103"/>
      <c r="H269" s="104"/>
    </row>
    <row r="270" spans="1:10" s="1" customFormat="1" x14ac:dyDescent="0.25">
      <c r="A270" s="81">
        <f>A268+1</f>
        <v>12</v>
      </c>
      <c r="B270" s="102" t="s">
        <v>307</v>
      </c>
      <c r="C270" s="103"/>
      <c r="D270" s="103"/>
      <c r="E270" s="103"/>
      <c r="F270" s="103"/>
      <c r="G270" s="103"/>
      <c r="H270" s="104"/>
    </row>
    <row r="271" spans="1:10" x14ac:dyDescent="0.25">
      <c r="A271" s="200" t="s">
        <v>71</v>
      </c>
      <c r="B271" s="200"/>
      <c r="C271" s="200"/>
      <c r="D271" s="200"/>
      <c r="E271" s="200"/>
      <c r="F271" s="200"/>
      <c r="G271" s="200"/>
      <c r="H271" s="200"/>
    </row>
    <row r="272" spans="1:10" x14ac:dyDescent="0.25">
      <c r="A272" s="120" t="s">
        <v>72</v>
      </c>
      <c r="B272" s="120"/>
      <c r="C272" s="120"/>
      <c r="D272" s="120"/>
      <c r="E272" s="120"/>
      <c r="F272" s="120"/>
      <c r="G272" s="120"/>
      <c r="H272" s="120"/>
    </row>
    <row r="273" spans="1:8" ht="15.75" customHeight="1" x14ac:dyDescent="0.25">
      <c r="A273" s="208" t="s">
        <v>73</v>
      </c>
      <c r="B273" s="208"/>
      <c r="C273" s="208"/>
      <c r="D273" s="208"/>
      <c r="E273" s="208"/>
      <c r="F273" s="208"/>
      <c r="G273" s="208"/>
      <c r="H273" s="208"/>
    </row>
    <row r="274" spans="1:8" x14ac:dyDescent="0.25">
      <c r="A274" s="120" t="s">
        <v>74</v>
      </c>
      <c r="B274" s="120"/>
      <c r="C274" s="120"/>
      <c r="D274" s="120"/>
      <c r="E274" s="120"/>
      <c r="F274" s="120"/>
      <c r="G274" s="120"/>
      <c r="H274" s="120"/>
    </row>
    <row r="275" spans="1:8" x14ac:dyDescent="0.25">
      <c r="A275" s="120" t="s">
        <v>75</v>
      </c>
      <c r="B275" s="120"/>
      <c r="C275" s="120"/>
      <c r="D275" s="120"/>
      <c r="E275" s="120"/>
      <c r="F275" s="120"/>
      <c r="G275" s="120"/>
      <c r="H275" s="120"/>
    </row>
    <row r="276" spans="1:8" x14ac:dyDescent="0.25">
      <c r="A276" s="120" t="s">
        <v>168</v>
      </c>
      <c r="B276" s="120"/>
      <c r="C276" s="120"/>
      <c r="D276" s="120"/>
      <c r="E276" s="120"/>
      <c r="F276" s="120"/>
      <c r="G276" s="120"/>
      <c r="H276" s="120"/>
    </row>
    <row r="277" spans="1:8" ht="20.25" customHeight="1" x14ac:dyDescent="0.25">
      <c r="A277" s="175" t="s">
        <v>169</v>
      </c>
      <c r="B277" s="175"/>
      <c r="C277" s="175"/>
      <c r="D277" s="175"/>
      <c r="E277" s="175"/>
      <c r="F277" s="175"/>
      <c r="G277" s="175"/>
      <c r="H277" s="175"/>
    </row>
    <row r="278" spans="1:8" x14ac:dyDescent="0.25">
      <c r="A278" s="196" t="s">
        <v>110</v>
      </c>
      <c r="B278" s="196"/>
      <c r="C278" s="196" t="s">
        <v>267</v>
      </c>
      <c r="D278" s="196"/>
      <c r="E278" s="196" t="s">
        <v>146</v>
      </c>
      <c r="F278" s="196"/>
      <c r="G278" s="196" t="s">
        <v>305</v>
      </c>
      <c r="H278" s="196"/>
    </row>
    <row r="279" spans="1:8" x14ac:dyDescent="0.25">
      <c r="A279" s="195" t="s">
        <v>112</v>
      </c>
      <c r="B279" s="195"/>
      <c r="C279" s="195"/>
      <c r="D279" s="195"/>
      <c r="E279" s="195"/>
      <c r="F279" s="195"/>
      <c r="G279" s="195"/>
      <c r="H279" s="195"/>
    </row>
    <row r="280" spans="1:8" x14ac:dyDescent="0.25">
      <c r="A280" s="195"/>
      <c r="B280" s="195"/>
      <c r="C280" s="195"/>
      <c r="D280" s="195"/>
      <c r="E280" s="195"/>
      <c r="F280" s="195"/>
      <c r="G280" s="195"/>
      <c r="H280" s="195"/>
    </row>
    <row r="281" spans="1:8" x14ac:dyDescent="0.25">
      <c r="A281" s="195"/>
      <c r="B281" s="195"/>
      <c r="C281" s="195"/>
      <c r="D281" s="195"/>
      <c r="E281" s="195"/>
      <c r="F281" s="195"/>
      <c r="G281" s="195"/>
      <c r="H281" s="195"/>
    </row>
    <row r="282" spans="1:8" x14ac:dyDescent="0.25">
      <c r="A282" s="195"/>
      <c r="B282" s="195"/>
      <c r="C282" s="195"/>
      <c r="D282" s="195"/>
      <c r="E282" s="195"/>
      <c r="F282" s="195"/>
      <c r="G282" s="195"/>
      <c r="H282" s="195"/>
    </row>
    <row r="283" spans="1:8" x14ac:dyDescent="0.25">
      <c r="A283" s="16" t="s">
        <v>76</v>
      </c>
      <c r="B283" s="17"/>
      <c r="C283" s="17"/>
      <c r="D283" s="16" t="str">
        <f>E8</f>
        <v>Dadamaharaj Heights</v>
      </c>
      <c r="F283" s="17"/>
      <c r="G283" s="17"/>
      <c r="H283" s="17"/>
    </row>
    <row r="284" spans="1:8" x14ac:dyDescent="0.25">
      <c r="A284" s="17"/>
      <c r="B284" s="17"/>
      <c r="C284" s="17"/>
      <c r="D284" s="17"/>
      <c r="E284" s="17"/>
      <c r="F284" s="17"/>
      <c r="G284" s="17"/>
      <c r="H284" s="17"/>
    </row>
    <row r="285" spans="1:8" x14ac:dyDescent="0.25">
      <c r="A285" s="17"/>
      <c r="B285" s="17"/>
      <c r="C285" s="17"/>
      <c r="D285" s="17"/>
      <c r="E285" s="17"/>
      <c r="F285" s="17"/>
      <c r="G285" s="17"/>
      <c r="H285" s="17"/>
    </row>
    <row r="286" spans="1:8" ht="15" customHeight="1" x14ac:dyDescent="0.25"/>
    <row r="319" hidden="1" x14ac:dyDescent="0.25"/>
    <row r="320" hidden="1" x14ac:dyDescent="0.25"/>
    <row r="321" spans="1:8" hidden="1" x14ac:dyDescent="0.25"/>
    <row r="322" spans="1:8" hidden="1" x14ac:dyDescent="0.25"/>
    <row r="323" spans="1:8" hidden="1" x14ac:dyDescent="0.25"/>
    <row r="327" spans="1:8" x14ac:dyDescent="0.25">
      <c r="A327" s="16" t="s">
        <v>296</v>
      </c>
      <c r="B327" s="17"/>
      <c r="C327" s="17"/>
      <c r="D327" s="16"/>
      <c r="F327" s="17"/>
      <c r="G327" s="17"/>
      <c r="H327" s="17"/>
    </row>
    <row r="328" spans="1:8" x14ac:dyDescent="0.25">
      <c r="A328" s="17"/>
      <c r="B328" s="17"/>
      <c r="C328" s="17"/>
      <c r="D328" s="17"/>
      <c r="E328" s="17"/>
      <c r="F328" s="17"/>
      <c r="G328" s="17"/>
      <c r="H328" s="17"/>
    </row>
    <row r="329" spans="1:8" x14ac:dyDescent="0.25">
      <c r="A329" s="17"/>
      <c r="B329" s="17"/>
      <c r="C329" s="17"/>
      <c r="D329" s="17"/>
      <c r="E329" s="17"/>
      <c r="F329" s="17"/>
      <c r="G329" s="17"/>
      <c r="H329" s="17"/>
    </row>
    <row r="330" spans="1:8" ht="15" customHeight="1" x14ac:dyDescent="0.25"/>
    <row r="371" spans="1:1" x14ac:dyDescent="0.25">
      <c r="A371" s="19" t="s">
        <v>77</v>
      </c>
    </row>
  </sheetData>
  <mergeCells count="382">
    <mergeCell ref="B269:H269"/>
    <mergeCell ref="A239:H239"/>
    <mergeCell ref="G240:H244"/>
    <mergeCell ref="B270:H270"/>
    <mergeCell ref="C36:H36"/>
    <mergeCell ref="L176:M176"/>
    <mergeCell ref="L177:M177"/>
    <mergeCell ref="A181:H181"/>
    <mergeCell ref="A179:A180"/>
    <mergeCell ref="B179:B180"/>
    <mergeCell ref="C179:C180"/>
    <mergeCell ref="D179:D180"/>
    <mergeCell ref="E179:E180"/>
    <mergeCell ref="G179:H180"/>
    <mergeCell ref="L178:M178"/>
    <mergeCell ref="A178:H178"/>
    <mergeCell ref="G176:H177"/>
    <mergeCell ref="L173:M173"/>
    <mergeCell ref="L174:M174"/>
    <mergeCell ref="L167:M167"/>
    <mergeCell ref="L169:M169"/>
    <mergeCell ref="A168:H168"/>
    <mergeCell ref="L170:M170"/>
    <mergeCell ref="L171:M171"/>
    <mergeCell ref="L172:M172"/>
    <mergeCell ref="A175:H175"/>
    <mergeCell ref="A141:B141"/>
    <mergeCell ref="C141:D141"/>
    <mergeCell ref="A276:H276"/>
    <mergeCell ref="A273:H273"/>
    <mergeCell ref="A144:B144"/>
    <mergeCell ref="A85:B85"/>
    <mergeCell ref="A86:B86"/>
    <mergeCell ref="A87:B87"/>
    <mergeCell ref="A186:H186"/>
    <mergeCell ref="A191:H191"/>
    <mergeCell ref="A197:H197"/>
    <mergeCell ref="C198:F198"/>
    <mergeCell ref="A203:H203"/>
    <mergeCell ref="C228:F228"/>
    <mergeCell ref="A233:H233"/>
    <mergeCell ref="A221:H221"/>
    <mergeCell ref="G222:H226"/>
    <mergeCell ref="E141:F141"/>
    <mergeCell ref="G141:H141"/>
    <mergeCell ref="A142:B142"/>
    <mergeCell ref="C142:D142"/>
    <mergeCell ref="E142:F142"/>
    <mergeCell ref="G142:H142"/>
    <mergeCell ref="A77:B77"/>
    <mergeCell ref="C77:H77"/>
    <mergeCell ref="A101:B101"/>
    <mergeCell ref="F125:H125"/>
    <mergeCell ref="A122:H122"/>
    <mergeCell ref="A123:B123"/>
    <mergeCell ref="A124:H124"/>
    <mergeCell ref="G140:H140"/>
    <mergeCell ref="A104:B104"/>
    <mergeCell ref="C123:H123"/>
    <mergeCell ref="F126:H126"/>
    <mergeCell ref="A126:E126"/>
    <mergeCell ref="A102:B102"/>
    <mergeCell ref="A103:B103"/>
    <mergeCell ref="A96:B96"/>
    <mergeCell ref="A97:B97"/>
    <mergeCell ref="G81:H90"/>
    <mergeCell ref="A82:B82"/>
    <mergeCell ref="A83:B83"/>
    <mergeCell ref="A84:B84"/>
    <mergeCell ref="A95:B95"/>
    <mergeCell ref="E95:F104"/>
    <mergeCell ref="A94:B94"/>
    <mergeCell ref="E94:F94"/>
    <mergeCell ref="A45:B45"/>
    <mergeCell ref="C45:E45"/>
    <mergeCell ref="C48:E48"/>
    <mergeCell ref="G48:H48"/>
    <mergeCell ref="G45:H45"/>
    <mergeCell ref="G47:H47"/>
    <mergeCell ref="D53:H53"/>
    <mergeCell ref="C47:E47"/>
    <mergeCell ref="A57:C58"/>
    <mergeCell ref="D57:H57"/>
    <mergeCell ref="D58:H58"/>
    <mergeCell ref="C46:E46"/>
    <mergeCell ref="A51:B51"/>
    <mergeCell ref="G46:H46"/>
    <mergeCell ref="A60:C60"/>
    <mergeCell ref="D59:H59"/>
    <mergeCell ref="G94:H94"/>
    <mergeCell ref="A50:B50"/>
    <mergeCell ref="C50:E50"/>
    <mergeCell ref="G50:H50"/>
    <mergeCell ref="A146:B146"/>
    <mergeCell ref="C146:D146"/>
    <mergeCell ref="E146:F146"/>
    <mergeCell ref="C51:E51"/>
    <mergeCell ref="A52:H52"/>
    <mergeCell ref="A53:C53"/>
    <mergeCell ref="D54:H54"/>
    <mergeCell ref="G51:H51"/>
    <mergeCell ref="A79:B79"/>
    <mergeCell ref="C79:H79"/>
    <mergeCell ref="A80:B80"/>
    <mergeCell ref="E80:F80"/>
    <mergeCell ref="G80:H80"/>
    <mergeCell ref="A130:E130"/>
    <mergeCell ref="F130:H130"/>
    <mergeCell ref="A131:E131"/>
    <mergeCell ref="A133:E133"/>
    <mergeCell ref="F127:H127"/>
    <mergeCell ref="A128:E128"/>
    <mergeCell ref="A72:B72"/>
    <mergeCell ref="F131:H131"/>
    <mergeCell ref="A125:E125"/>
    <mergeCell ref="A59:C59"/>
    <mergeCell ref="E67:F76"/>
    <mergeCell ref="A279:H282"/>
    <mergeCell ref="A278:B278"/>
    <mergeCell ref="E278:F278"/>
    <mergeCell ref="C278:D278"/>
    <mergeCell ref="G278:H278"/>
    <mergeCell ref="A138:H138"/>
    <mergeCell ref="A136:E136"/>
    <mergeCell ref="F136:H136"/>
    <mergeCell ref="A137:E137"/>
    <mergeCell ref="F137:H137"/>
    <mergeCell ref="A145:B145"/>
    <mergeCell ref="A140:B140"/>
    <mergeCell ref="A274:H274"/>
    <mergeCell ref="A143:H143"/>
    <mergeCell ref="A277:H277"/>
    <mergeCell ref="A275:H275"/>
    <mergeCell ref="A257:H257"/>
    <mergeCell ref="C150:C151"/>
    <mergeCell ref="A182:H182"/>
    <mergeCell ref="A271:H271"/>
    <mergeCell ref="A272:H272"/>
    <mergeCell ref="E144:F144"/>
    <mergeCell ref="E139:F139"/>
    <mergeCell ref="A149:H149"/>
    <mergeCell ref="A10:D10"/>
    <mergeCell ref="E10:H10"/>
    <mergeCell ref="A5:D5"/>
    <mergeCell ref="E5:H5"/>
    <mergeCell ref="A6:D6"/>
    <mergeCell ref="E6:H6"/>
    <mergeCell ref="A7:D7"/>
    <mergeCell ref="E7:H7"/>
    <mergeCell ref="A73:B73"/>
    <mergeCell ref="A66:B66"/>
    <mergeCell ref="A69:B69"/>
    <mergeCell ref="A62:C62"/>
    <mergeCell ref="D62:H62"/>
    <mergeCell ref="A67:B67"/>
    <mergeCell ref="G66:H66"/>
    <mergeCell ref="A65:B65"/>
    <mergeCell ref="A63:B63"/>
    <mergeCell ref="C63:H63"/>
    <mergeCell ref="A71:B71"/>
    <mergeCell ref="A46:B46"/>
    <mergeCell ref="C49:E49"/>
    <mergeCell ref="G49:H49"/>
    <mergeCell ref="A49:B49"/>
    <mergeCell ref="A14:B14"/>
    <mergeCell ref="A1:H1"/>
    <mergeCell ref="A2:H2"/>
    <mergeCell ref="A3:D3"/>
    <mergeCell ref="E3:H3"/>
    <mergeCell ref="A4:D4"/>
    <mergeCell ref="A8:D8"/>
    <mergeCell ref="E8:H8"/>
    <mergeCell ref="A9:D9"/>
    <mergeCell ref="E9:H9"/>
    <mergeCell ref="E4:H4"/>
    <mergeCell ref="A11:D11"/>
    <mergeCell ref="E11:H11"/>
    <mergeCell ref="A12:D12"/>
    <mergeCell ref="A19:D20"/>
    <mergeCell ref="E19:H20"/>
    <mergeCell ref="E12:H12"/>
    <mergeCell ref="A13:B13"/>
    <mergeCell ref="C13:H13"/>
    <mergeCell ref="C14:H14"/>
    <mergeCell ref="A21:D21"/>
    <mergeCell ref="E21:H21"/>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C33:E33"/>
    <mergeCell ref="E23:H23"/>
    <mergeCell ref="A25:D25"/>
    <mergeCell ref="E25:H25"/>
    <mergeCell ref="A22:D22"/>
    <mergeCell ref="E22:H22"/>
    <mergeCell ref="A26:D26"/>
    <mergeCell ref="E26:H26"/>
    <mergeCell ref="A23:D23"/>
    <mergeCell ref="A32:B32"/>
    <mergeCell ref="C32:E32"/>
    <mergeCell ref="A27:D27"/>
    <mergeCell ref="E27:H27"/>
    <mergeCell ref="A28:D28"/>
    <mergeCell ref="E28:H28"/>
    <mergeCell ref="A24:D24"/>
    <mergeCell ref="E24:H24"/>
    <mergeCell ref="F129:H129"/>
    <mergeCell ref="E66:F66"/>
    <mergeCell ref="A47:B48"/>
    <mergeCell ref="F30:H30"/>
    <mergeCell ref="F31:H31"/>
    <mergeCell ref="C29:E29"/>
    <mergeCell ref="F32:H32"/>
    <mergeCell ref="F33:H33"/>
    <mergeCell ref="A35:B35"/>
    <mergeCell ref="E35:F35"/>
    <mergeCell ref="C35:D35"/>
    <mergeCell ref="G35:H35"/>
    <mergeCell ref="F29:H29"/>
    <mergeCell ref="A30:B30"/>
    <mergeCell ref="A29:B29"/>
    <mergeCell ref="C30:E30"/>
    <mergeCell ref="A31:B31"/>
    <mergeCell ref="C31:E31"/>
    <mergeCell ref="A34:H34"/>
    <mergeCell ref="A33:B33"/>
    <mergeCell ref="A37:H37"/>
    <mergeCell ref="E39:H39"/>
    <mergeCell ref="A39:D39"/>
    <mergeCell ref="A36:B36"/>
    <mergeCell ref="E147:F147"/>
    <mergeCell ref="A129:E129"/>
    <mergeCell ref="A38:D38"/>
    <mergeCell ref="E38:H38"/>
    <mergeCell ref="G67:H76"/>
    <mergeCell ref="A75:B75"/>
    <mergeCell ref="A76:B76"/>
    <mergeCell ref="D60:H60"/>
    <mergeCell ref="A40:D40"/>
    <mergeCell ref="E40:H40"/>
    <mergeCell ref="E41:H41"/>
    <mergeCell ref="E42:H42"/>
    <mergeCell ref="E43:H43"/>
    <mergeCell ref="A41:D41"/>
    <mergeCell ref="A42:D42"/>
    <mergeCell ref="A43:D43"/>
    <mergeCell ref="A44:H44"/>
    <mergeCell ref="D56:H56"/>
    <mergeCell ref="A56:C56"/>
    <mergeCell ref="A61:C61"/>
    <mergeCell ref="D61:H61"/>
    <mergeCell ref="C65:H65"/>
    <mergeCell ref="A68:B68"/>
    <mergeCell ref="A70:B70"/>
    <mergeCell ref="G183:H185"/>
    <mergeCell ref="A100:B100"/>
    <mergeCell ref="D150:D151"/>
    <mergeCell ref="G95:H104"/>
    <mergeCell ref="A135:E135"/>
    <mergeCell ref="A127:E127"/>
    <mergeCell ref="C144:D144"/>
    <mergeCell ref="G144:H144"/>
    <mergeCell ref="A152:H152"/>
    <mergeCell ref="A153:H153"/>
    <mergeCell ref="A121:E121"/>
    <mergeCell ref="F121:H121"/>
    <mergeCell ref="A148:H148"/>
    <mergeCell ref="A139:B139"/>
    <mergeCell ref="F132:H132"/>
    <mergeCell ref="C139:D139"/>
    <mergeCell ref="F128:H128"/>
    <mergeCell ref="F135:H135"/>
    <mergeCell ref="F133:H133"/>
    <mergeCell ref="G139:H139"/>
    <mergeCell ref="A134:E134"/>
    <mergeCell ref="C140:D140"/>
    <mergeCell ref="E140:F140"/>
    <mergeCell ref="C147:D147"/>
    <mergeCell ref="B264:H264"/>
    <mergeCell ref="B265:H265"/>
    <mergeCell ref="B258:H258"/>
    <mergeCell ref="B259:H259"/>
    <mergeCell ref="B260:H260"/>
    <mergeCell ref="B261:H261"/>
    <mergeCell ref="B262:H262"/>
    <mergeCell ref="G187:H190"/>
    <mergeCell ref="G192:H196"/>
    <mergeCell ref="G198:H202"/>
    <mergeCell ref="G204:H208"/>
    <mergeCell ref="G228:H232"/>
    <mergeCell ref="G234:H238"/>
    <mergeCell ref="G246:H250"/>
    <mergeCell ref="G252:H256"/>
    <mergeCell ref="A251:H251"/>
    <mergeCell ref="A227:H227"/>
    <mergeCell ref="A245:H245"/>
    <mergeCell ref="B263:H263"/>
    <mergeCell ref="A209:H209"/>
    <mergeCell ref="G210:H214"/>
    <mergeCell ref="A215:H215"/>
    <mergeCell ref="G216:H220"/>
    <mergeCell ref="G155:H161"/>
    <mergeCell ref="G163:H167"/>
    <mergeCell ref="G169:H174"/>
    <mergeCell ref="A74:B74"/>
    <mergeCell ref="A91:B91"/>
    <mergeCell ref="C91:H91"/>
    <mergeCell ref="A81:B81"/>
    <mergeCell ref="E81:F90"/>
    <mergeCell ref="A88:B88"/>
    <mergeCell ref="A89:B89"/>
    <mergeCell ref="A90:B90"/>
    <mergeCell ref="A93:B93"/>
    <mergeCell ref="C93:H93"/>
    <mergeCell ref="C145:D145"/>
    <mergeCell ref="E145:F145"/>
    <mergeCell ref="G145:H145"/>
    <mergeCell ref="A154:H154"/>
    <mergeCell ref="E150:E151"/>
    <mergeCell ref="G150:H151"/>
    <mergeCell ref="B150:B151"/>
    <mergeCell ref="A150:A151"/>
    <mergeCell ref="A119:B120"/>
    <mergeCell ref="C119:D120"/>
    <mergeCell ref="E119:F120"/>
    <mergeCell ref="B268:H268"/>
    <mergeCell ref="F134:H134"/>
    <mergeCell ref="A147:B147"/>
    <mergeCell ref="G147:H147"/>
    <mergeCell ref="B267:H267"/>
    <mergeCell ref="B266:H266"/>
    <mergeCell ref="L166:M166"/>
    <mergeCell ref="D55:H55"/>
    <mergeCell ref="A54:C55"/>
    <mergeCell ref="L163:M163"/>
    <mergeCell ref="G146:H146"/>
    <mergeCell ref="L165:M165"/>
    <mergeCell ref="A162:H162"/>
    <mergeCell ref="L161:M161"/>
    <mergeCell ref="L160:M160"/>
    <mergeCell ref="L159:M159"/>
    <mergeCell ref="L158:M158"/>
    <mergeCell ref="L157:M157"/>
    <mergeCell ref="L156:M156"/>
    <mergeCell ref="L155:M155"/>
    <mergeCell ref="L164:M164"/>
    <mergeCell ref="A132:E132"/>
    <mergeCell ref="A98:B98"/>
    <mergeCell ref="A99:B99"/>
    <mergeCell ref="G119:H120"/>
    <mergeCell ref="A105:B105"/>
    <mergeCell ref="C105:H105"/>
    <mergeCell ref="A107:B107"/>
    <mergeCell ref="C107:H107"/>
    <mergeCell ref="A108:B108"/>
    <mergeCell ref="E108:F108"/>
    <mergeCell ref="G108:H108"/>
    <mergeCell ref="A109:B109"/>
    <mergeCell ref="E109:F118"/>
    <mergeCell ref="G109:H118"/>
    <mergeCell ref="A110:B110"/>
    <mergeCell ref="A111:B111"/>
    <mergeCell ref="A112:B112"/>
    <mergeCell ref="A113:B113"/>
    <mergeCell ref="A114:B114"/>
    <mergeCell ref="A115:B115"/>
    <mergeCell ref="A116:B116"/>
    <mergeCell ref="A117:B117"/>
    <mergeCell ref="A118:B118"/>
  </mergeCells>
  <hyperlinks>
    <hyperlink ref="C36" r:id="rId1"/>
  </hyperlinks>
  <printOptions horizontalCentered="1"/>
  <pageMargins left="0.39370078740157499" right="0.39370078740157499" top="0.78740157480314998" bottom="0.78740157480314998" header="0.196850393700787" footer="0.196850393700787"/>
  <pageSetup paperSize="9" scale="96" fitToHeight="0" orientation="portrait" r:id="rId2"/>
  <headerFooter>
    <oddHeader>&amp;C&amp;G</oddHeader>
    <oddFooter>&amp;L&amp;"Times New Roman,Bold"&amp;12Ref No: &amp;F&amp;C&amp;G&amp;R&amp;"Times New Roman,Bold"&amp;12                                                  &amp;P</oddFooter>
  </headerFooter>
  <rowBreaks count="4" manualBreakCount="4">
    <brk id="256" max="7" man="1"/>
    <brk id="282" max="16383" man="1"/>
    <brk id="326" max="16383" man="1"/>
    <brk id="37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6"/>
  <sheetViews>
    <sheetView topLeftCell="A4" workbookViewId="0">
      <selection activeCell="F21" sqref="F21"/>
    </sheetView>
  </sheetViews>
  <sheetFormatPr defaultRowHeight="15" x14ac:dyDescent="0.25"/>
  <cols>
    <col min="2" max="2" width="12.28515625" customWidth="1"/>
  </cols>
  <sheetData>
    <row r="2" spans="1:12" x14ac:dyDescent="0.25">
      <c r="B2" s="3" t="s">
        <v>79</v>
      </c>
      <c r="C2" s="219"/>
      <c r="D2" s="219"/>
    </row>
    <row r="3" spans="1:12" x14ac:dyDescent="0.25">
      <c r="D3" s="4"/>
      <c r="E3" s="4"/>
      <c r="F3" s="4"/>
      <c r="G3" s="4"/>
      <c r="H3" s="4"/>
      <c r="I3" s="4"/>
    </row>
    <row r="4" spans="1:12" x14ac:dyDescent="0.25">
      <c r="A4" s="3" t="s">
        <v>80</v>
      </c>
      <c r="B4" s="5" t="s">
        <v>81</v>
      </c>
      <c r="C4" s="220" t="s">
        <v>82</v>
      </c>
      <c r="D4" s="220"/>
      <c r="E4" s="220"/>
      <c r="F4" s="6"/>
      <c r="G4" s="220" t="s">
        <v>83</v>
      </c>
      <c r="H4" s="220"/>
      <c r="I4" s="220"/>
      <c r="J4" s="220" t="s">
        <v>84</v>
      </c>
      <c r="K4" s="220"/>
      <c r="L4" s="220"/>
    </row>
    <row r="5" spans="1:12" x14ac:dyDescent="0.25">
      <c r="A5" s="3">
        <v>202</v>
      </c>
      <c r="B5" s="5"/>
      <c r="C5" s="5" t="s">
        <v>85</v>
      </c>
      <c r="D5" s="5" t="s">
        <v>86</v>
      </c>
      <c r="E5" s="5" t="s">
        <v>63</v>
      </c>
      <c r="F5" s="5"/>
      <c r="G5" s="5" t="s">
        <v>85</v>
      </c>
      <c r="H5" s="5" t="s">
        <v>86</v>
      </c>
      <c r="I5" s="5" t="s">
        <v>63</v>
      </c>
      <c r="J5" s="5" t="s">
        <v>85</v>
      </c>
      <c r="K5" s="5" t="s">
        <v>86</v>
      </c>
      <c r="L5" s="5" t="s">
        <v>63</v>
      </c>
    </row>
    <row r="6" spans="1:12" x14ac:dyDescent="0.25">
      <c r="B6" s="7" t="s">
        <v>87</v>
      </c>
      <c r="C6" s="7"/>
      <c r="D6" s="7"/>
      <c r="E6" s="7">
        <f>C6*D6</f>
        <v>0</v>
      </c>
      <c r="F6" s="7" t="s">
        <v>88</v>
      </c>
      <c r="G6" s="7"/>
      <c r="H6" s="7"/>
      <c r="I6" s="7">
        <f>G6*H6</f>
        <v>0</v>
      </c>
      <c r="J6" s="7"/>
      <c r="K6" s="7"/>
      <c r="L6" s="7">
        <f>J6*K6</f>
        <v>0</v>
      </c>
    </row>
    <row r="7" spans="1:12" x14ac:dyDescent="0.25">
      <c r="B7" s="7"/>
      <c r="C7" s="7"/>
      <c r="D7" s="7"/>
      <c r="E7" s="7">
        <f t="shared" ref="E7:E33" si="0">C7*D7</f>
        <v>0</v>
      </c>
      <c r="F7" s="7" t="s">
        <v>89</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90</v>
      </c>
      <c r="C9" s="7"/>
      <c r="D9" s="7"/>
      <c r="E9" s="7">
        <f t="shared" si="0"/>
        <v>0</v>
      </c>
      <c r="F9" s="7" t="s">
        <v>88</v>
      </c>
      <c r="G9" s="7"/>
      <c r="H9" s="7"/>
      <c r="I9" s="7">
        <f t="shared" si="1"/>
        <v>0</v>
      </c>
      <c r="J9" s="7"/>
      <c r="K9" s="7"/>
      <c r="L9" s="7">
        <f t="shared" si="2"/>
        <v>0</v>
      </c>
    </row>
    <row r="10" spans="1:12" x14ac:dyDescent="0.25">
      <c r="B10" s="7"/>
      <c r="C10" s="7"/>
      <c r="D10" s="7"/>
      <c r="E10" s="7">
        <f t="shared" si="0"/>
        <v>0</v>
      </c>
      <c r="F10" s="7" t="s">
        <v>89</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91</v>
      </c>
      <c r="C13" s="7"/>
      <c r="D13" s="7"/>
      <c r="E13" s="7">
        <f t="shared" si="0"/>
        <v>0</v>
      </c>
      <c r="F13" s="7" t="s">
        <v>88</v>
      </c>
      <c r="G13" s="7"/>
      <c r="H13" s="7"/>
      <c r="I13" s="7">
        <f t="shared" si="1"/>
        <v>0</v>
      </c>
      <c r="J13" s="7"/>
      <c r="K13" s="7"/>
      <c r="L13" s="7">
        <f t="shared" si="2"/>
        <v>0</v>
      </c>
    </row>
    <row r="14" spans="1:12" x14ac:dyDescent="0.25">
      <c r="B14" s="7"/>
      <c r="C14" s="7"/>
      <c r="D14" s="7"/>
      <c r="E14" s="7">
        <f t="shared" si="0"/>
        <v>0</v>
      </c>
      <c r="F14" s="7" t="s">
        <v>89</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92</v>
      </c>
      <c r="C17" s="7"/>
      <c r="D17" s="7"/>
      <c r="E17" s="7">
        <f t="shared" si="0"/>
        <v>0</v>
      </c>
      <c r="F17" s="7" t="s">
        <v>88</v>
      </c>
      <c r="G17" s="7"/>
      <c r="H17" s="7"/>
      <c r="I17" s="7">
        <f t="shared" si="1"/>
        <v>0</v>
      </c>
      <c r="J17" s="7"/>
      <c r="K17" s="7"/>
      <c r="L17" s="7">
        <f t="shared" si="2"/>
        <v>0</v>
      </c>
    </row>
    <row r="18" spans="2:12" x14ac:dyDescent="0.25">
      <c r="B18" s="7"/>
      <c r="C18" s="7"/>
      <c r="D18" s="7"/>
      <c r="E18" s="7">
        <f t="shared" si="0"/>
        <v>0</v>
      </c>
      <c r="F18" s="7" t="s">
        <v>89</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92</v>
      </c>
      <c r="C20" s="7"/>
      <c r="D20" s="7"/>
      <c r="E20" s="7">
        <f t="shared" si="0"/>
        <v>0</v>
      </c>
      <c r="F20" s="7" t="s">
        <v>88</v>
      </c>
      <c r="G20" s="7"/>
      <c r="H20" s="7"/>
      <c r="I20" s="7">
        <f t="shared" si="1"/>
        <v>0</v>
      </c>
      <c r="J20" s="7"/>
      <c r="K20" s="7"/>
      <c r="L20" s="7">
        <f t="shared" si="2"/>
        <v>0</v>
      </c>
    </row>
    <row r="21" spans="2:12" x14ac:dyDescent="0.25">
      <c r="B21" s="7"/>
      <c r="C21" s="7"/>
      <c r="D21" s="7"/>
      <c r="E21" s="7">
        <f t="shared" si="0"/>
        <v>0</v>
      </c>
      <c r="F21" s="7" t="s">
        <v>89</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93</v>
      </c>
      <c r="C23" s="7"/>
      <c r="D23" s="7"/>
      <c r="E23" s="7">
        <f t="shared" si="0"/>
        <v>0</v>
      </c>
      <c r="F23" s="7" t="s">
        <v>94</v>
      </c>
      <c r="G23" s="7"/>
      <c r="H23" s="7"/>
      <c r="I23" s="7">
        <f t="shared" si="1"/>
        <v>0</v>
      </c>
      <c r="J23" s="7"/>
      <c r="K23" s="7"/>
      <c r="L23" s="7">
        <f t="shared" si="2"/>
        <v>0</v>
      </c>
    </row>
    <row r="24" spans="2:12" x14ac:dyDescent="0.25">
      <c r="B24" s="7" t="s">
        <v>95</v>
      </c>
      <c r="C24" s="7"/>
      <c r="D24" s="7"/>
      <c r="E24" s="7">
        <f t="shared" si="0"/>
        <v>0</v>
      </c>
      <c r="F24" s="7" t="s">
        <v>94</v>
      </c>
      <c r="G24" s="7"/>
      <c r="H24" s="7"/>
      <c r="I24" s="7">
        <f t="shared" si="1"/>
        <v>0</v>
      </c>
      <c r="J24" s="7"/>
      <c r="K24" s="7"/>
      <c r="L24" s="7">
        <f t="shared" si="2"/>
        <v>0</v>
      </c>
    </row>
    <row r="25" spans="2:12" x14ac:dyDescent="0.25">
      <c r="B25" s="7" t="s">
        <v>96</v>
      </c>
      <c r="C25" s="7"/>
      <c r="D25" s="7"/>
      <c r="E25" s="7">
        <f t="shared" si="0"/>
        <v>0</v>
      </c>
      <c r="F25" s="7" t="s">
        <v>94</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97</v>
      </c>
      <c r="C27" s="7"/>
      <c r="D27" s="7"/>
      <c r="E27" s="7">
        <f t="shared" si="0"/>
        <v>0</v>
      </c>
      <c r="F27" s="7"/>
      <c r="G27" s="7"/>
      <c r="H27" s="7"/>
      <c r="I27" s="7">
        <f t="shared" si="1"/>
        <v>0</v>
      </c>
      <c r="J27" s="7"/>
      <c r="K27" s="7"/>
      <c r="L27" s="7">
        <f t="shared" si="2"/>
        <v>0</v>
      </c>
    </row>
    <row r="28" spans="2:12" x14ac:dyDescent="0.25">
      <c r="B28" s="7" t="s">
        <v>98</v>
      </c>
      <c r="C28" s="7"/>
      <c r="D28" s="7"/>
      <c r="E28" s="7">
        <f t="shared" si="0"/>
        <v>0</v>
      </c>
      <c r="F28" s="7"/>
      <c r="G28" s="7"/>
      <c r="H28" s="7"/>
      <c r="I28" s="7">
        <f t="shared" si="1"/>
        <v>0</v>
      </c>
      <c r="J28" s="7"/>
      <c r="K28" s="7"/>
      <c r="L28" s="7">
        <f t="shared" si="2"/>
        <v>0</v>
      </c>
    </row>
    <row r="29" spans="2:12" x14ac:dyDescent="0.25">
      <c r="B29" s="7" t="s">
        <v>99</v>
      </c>
      <c r="C29" s="7"/>
      <c r="D29" s="7"/>
      <c r="E29" s="7">
        <f t="shared" si="0"/>
        <v>0</v>
      </c>
      <c r="F29" s="7"/>
      <c r="G29" s="7"/>
      <c r="H29" s="7"/>
      <c r="I29" s="7">
        <f t="shared" si="1"/>
        <v>0</v>
      </c>
      <c r="J29" s="7"/>
      <c r="K29" s="7"/>
      <c r="L29" s="7">
        <f t="shared" si="2"/>
        <v>0</v>
      </c>
    </row>
    <row r="30" spans="2:12" x14ac:dyDescent="0.25">
      <c r="B30" s="7" t="s">
        <v>100</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64</v>
      </c>
      <c r="C34" s="7"/>
      <c r="D34" s="7">
        <f>E34*10.764</f>
        <v>0</v>
      </c>
      <c r="E34" s="7">
        <f>SUM(E6:E33)</f>
        <v>0</v>
      </c>
      <c r="F34" s="7"/>
      <c r="G34" s="7"/>
      <c r="H34" s="7">
        <f>I34*10.764</f>
        <v>0</v>
      </c>
      <c r="I34" s="7">
        <f>SUM(I6:I33)</f>
        <v>0</v>
      </c>
      <c r="J34" s="7"/>
      <c r="K34" s="7">
        <f>L34*10.764</f>
        <v>0</v>
      </c>
      <c r="L34" s="7">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9"/>
  <sheetViews>
    <sheetView zoomScale="115" zoomScaleNormal="115" workbookViewId="0">
      <selection activeCell="F14" sqref="F14"/>
    </sheetView>
  </sheetViews>
  <sheetFormatPr defaultRowHeight="15" x14ac:dyDescent="0.25"/>
  <cols>
    <col min="1" max="1" width="27.85546875" customWidth="1"/>
    <col min="2" max="2" width="41.7109375" customWidth="1"/>
    <col min="3" max="3" width="18.42578125" customWidth="1"/>
    <col min="4" max="4" width="16.28515625" customWidth="1"/>
    <col min="5" max="5" width="15.42578125" customWidth="1"/>
    <col min="6" max="6" width="14.5703125" customWidth="1"/>
    <col min="7" max="7" width="27" customWidth="1"/>
  </cols>
  <sheetData>
    <row r="1" spans="1:7" x14ac:dyDescent="0.25">
      <c r="A1" s="221" t="s">
        <v>147</v>
      </c>
      <c r="B1" s="221"/>
      <c r="C1" s="221"/>
      <c r="D1" s="221"/>
      <c r="E1" s="221"/>
      <c r="F1" s="221"/>
      <c r="G1" s="221"/>
    </row>
    <row r="2" spans="1:7" ht="15" customHeight="1" x14ac:dyDescent="0.25">
      <c r="A2" s="25" t="s">
        <v>148</v>
      </c>
      <c r="B2" s="25" t="s">
        <v>149</v>
      </c>
      <c r="C2" s="25" t="s">
        <v>80</v>
      </c>
      <c r="D2" s="25" t="s">
        <v>150</v>
      </c>
      <c r="E2" s="25" t="s">
        <v>154</v>
      </c>
      <c r="F2" s="25" t="s">
        <v>155</v>
      </c>
      <c r="G2" s="25" t="s">
        <v>151</v>
      </c>
    </row>
    <row r="3" spans="1:7" ht="15.75" customHeight="1" x14ac:dyDescent="0.25">
      <c r="A3" s="60" t="s">
        <v>243</v>
      </c>
      <c r="B3" s="61" t="s">
        <v>227</v>
      </c>
      <c r="C3" s="62" t="s">
        <v>216</v>
      </c>
      <c r="D3" s="26">
        <v>645</v>
      </c>
      <c r="E3" s="63">
        <f>D3*1.6</f>
        <v>1032</v>
      </c>
      <c r="F3" s="27">
        <f>G3/E3</f>
        <v>33914.728682170542</v>
      </c>
      <c r="G3" s="64">
        <v>35000000</v>
      </c>
    </row>
    <row r="4" spans="1:7" hidden="1" x14ac:dyDescent="0.25">
      <c r="A4" s="60" t="s">
        <v>243</v>
      </c>
      <c r="B4" s="61" t="s">
        <v>227</v>
      </c>
      <c r="C4" s="62" t="s">
        <v>152</v>
      </c>
      <c r="D4" s="26">
        <v>0</v>
      </c>
      <c r="E4" s="27">
        <v>2278</v>
      </c>
      <c r="F4" s="27">
        <f t="shared" ref="F4:F6" si="0">G4/E4</f>
        <v>15364.354697102721</v>
      </c>
      <c r="G4" s="64">
        <v>35000000</v>
      </c>
    </row>
    <row r="5" spans="1:7" ht="15" hidden="1" customHeight="1" x14ac:dyDescent="0.25">
      <c r="A5" s="60" t="s">
        <v>243</v>
      </c>
      <c r="B5" s="61" t="s">
        <v>227</v>
      </c>
      <c r="C5" s="62" t="s">
        <v>152</v>
      </c>
      <c r="D5" s="27">
        <v>1381</v>
      </c>
      <c r="E5" s="27">
        <f>D5*1.6</f>
        <v>2209.6</v>
      </c>
      <c r="F5" s="27">
        <f t="shared" si="0"/>
        <v>16654.598117306301</v>
      </c>
      <c r="G5" s="64">
        <v>36800000</v>
      </c>
    </row>
    <row r="6" spans="1:7" hidden="1" x14ac:dyDescent="0.25">
      <c r="A6" s="60" t="s">
        <v>243</v>
      </c>
      <c r="B6" s="61" t="s">
        <v>227</v>
      </c>
      <c r="C6" s="62" t="s">
        <v>152</v>
      </c>
      <c r="D6" s="26">
        <v>1397</v>
      </c>
      <c r="E6" s="27">
        <f>D6*1.6</f>
        <v>2235.2000000000003</v>
      </c>
      <c r="F6" s="27">
        <f t="shared" si="0"/>
        <v>15882.247673586255</v>
      </c>
      <c r="G6" s="64">
        <v>35500000</v>
      </c>
    </row>
    <row r="7" spans="1:7" ht="15.75" customHeight="1" x14ac:dyDescent="0.25">
      <c r="A7" s="60" t="s">
        <v>254</v>
      </c>
      <c r="B7" s="61" t="s">
        <v>227</v>
      </c>
      <c r="C7" s="62" t="s">
        <v>216</v>
      </c>
      <c r="D7" s="26">
        <v>645</v>
      </c>
      <c r="E7" s="63">
        <f>D7*1.6</f>
        <v>1032</v>
      </c>
      <c r="F7" s="27">
        <f>G7/E7</f>
        <v>28682.17054263566</v>
      </c>
      <c r="G7" s="64">
        <v>29600000</v>
      </c>
    </row>
    <row r="8" spans="1:7" x14ac:dyDescent="0.25">
      <c r="A8" s="25" t="s">
        <v>153</v>
      </c>
      <c r="B8" s="65"/>
      <c r="C8" s="62"/>
      <c r="D8" s="26"/>
      <c r="E8" s="27"/>
      <c r="F8" s="28">
        <f>AVERAGE(F3)</f>
        <v>33914.728682170542</v>
      </c>
      <c r="G8" s="64"/>
    </row>
    <row r="9" spans="1:7" x14ac:dyDescent="0.25">
      <c r="A9" s="25" t="s">
        <v>244</v>
      </c>
      <c r="B9" s="65"/>
      <c r="C9" s="66"/>
      <c r="D9" s="26"/>
      <c r="E9" s="27"/>
      <c r="F9" s="67">
        <v>34000</v>
      </c>
      <c r="G9" s="64"/>
    </row>
  </sheetData>
  <mergeCells count="1">
    <mergeCell ref="A1:G1"/>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F8:I21"/>
  <sheetViews>
    <sheetView workbookViewId="0">
      <selection activeCell="F8" sqref="F8:I21"/>
    </sheetView>
  </sheetViews>
  <sheetFormatPr defaultRowHeight="15" x14ac:dyDescent="0.25"/>
  <sheetData>
    <row r="8" spans="6:9" x14ac:dyDescent="0.25">
      <c r="F8" s="222" t="s">
        <v>260</v>
      </c>
      <c r="G8" s="222"/>
      <c r="H8" s="222"/>
      <c r="I8" s="222"/>
    </row>
    <row r="9" spans="6:9" x14ac:dyDescent="0.25">
      <c r="F9" s="222"/>
      <c r="G9" s="222"/>
      <c r="H9" s="222"/>
      <c r="I9" s="222"/>
    </row>
    <row r="10" spans="6:9" x14ac:dyDescent="0.25">
      <c r="F10" s="222"/>
      <c r="G10" s="222"/>
      <c r="H10" s="222"/>
      <c r="I10" s="222"/>
    </row>
    <row r="11" spans="6:9" x14ac:dyDescent="0.25">
      <c r="F11" s="222"/>
      <c r="G11" s="222"/>
      <c r="H11" s="222"/>
      <c r="I11" s="222"/>
    </row>
    <row r="12" spans="6:9" x14ac:dyDescent="0.25">
      <c r="F12" s="222"/>
      <c r="G12" s="222"/>
      <c r="H12" s="222"/>
      <c r="I12" s="222"/>
    </row>
    <row r="13" spans="6:9" x14ac:dyDescent="0.25">
      <c r="F13" s="222"/>
      <c r="G13" s="222"/>
      <c r="H13" s="222"/>
      <c r="I13" s="222"/>
    </row>
    <row r="14" spans="6:9" x14ac:dyDescent="0.25">
      <c r="F14" s="222"/>
      <c r="G14" s="222"/>
      <c r="H14" s="222"/>
      <c r="I14" s="222"/>
    </row>
    <row r="15" spans="6:9" x14ac:dyDescent="0.25">
      <c r="F15" s="222"/>
      <c r="G15" s="222"/>
      <c r="H15" s="222"/>
      <c r="I15" s="222"/>
    </row>
    <row r="16" spans="6:9" x14ac:dyDescent="0.25">
      <c r="F16" s="222"/>
      <c r="G16" s="222"/>
      <c r="H16" s="222"/>
      <c r="I16" s="222"/>
    </row>
    <row r="17" spans="6:9" x14ac:dyDescent="0.25">
      <c r="F17" s="222"/>
      <c r="G17" s="222"/>
      <c r="H17" s="222"/>
      <c r="I17" s="222"/>
    </row>
    <row r="18" spans="6:9" x14ac:dyDescent="0.25">
      <c r="F18" s="222"/>
      <c r="G18" s="222"/>
      <c r="H18" s="222"/>
      <c r="I18" s="222"/>
    </row>
    <row r="19" spans="6:9" x14ac:dyDescent="0.25">
      <c r="F19" s="222"/>
      <c r="G19" s="222"/>
      <c r="H19" s="222"/>
      <c r="I19" s="222"/>
    </row>
    <row r="20" spans="6:9" x14ac:dyDescent="0.25">
      <c r="F20" s="222"/>
      <c r="G20" s="222"/>
      <c r="H20" s="222"/>
      <c r="I20" s="222"/>
    </row>
    <row r="21" spans="6:9" x14ac:dyDescent="0.25">
      <c r="F21" s="222"/>
      <c r="G21" s="222"/>
      <c r="H21" s="222"/>
      <c r="I21" s="222"/>
    </row>
  </sheetData>
  <mergeCells count="1">
    <mergeCell ref="F8:I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2025-09-15T10:19:04Z</cp:lastPrinted>
  <dcterms:created xsi:type="dcterms:W3CDTF">2019-07-16T09:29:46Z</dcterms:created>
  <dcterms:modified xsi:type="dcterms:W3CDTF">2025-09-15T10:33:02Z</dcterms:modified>
</cp:coreProperties>
</file>