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fif" ContentType="image/jpe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11.09\"/>
    </mc:Choice>
  </mc:AlternateContent>
  <bookViews>
    <workbookView xWindow="0" yWindow="0" windowWidth="20490" windowHeight="76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9" i="1" l="1"/>
  <c r="J98" i="1"/>
  <c r="H88" i="1"/>
  <c r="J92" i="1" l="1"/>
  <c r="D93" i="1"/>
  <c r="D100" i="1"/>
  <c r="D98" i="1"/>
  <c r="D96" i="1"/>
  <c r="D94" i="1"/>
  <c r="J93" i="1"/>
  <c r="J94" i="1" s="1"/>
  <c r="D99" i="1"/>
  <c r="D95" i="1"/>
  <c r="J90" i="1"/>
  <c r="D91" i="1"/>
  <c r="D97" i="1"/>
  <c r="J91" i="1"/>
  <c r="F125" i="1"/>
  <c r="J95" i="1" l="1"/>
  <c r="J96" i="1" s="1"/>
  <c r="J97" i="1" s="1"/>
  <c r="E170" i="1"/>
  <c r="D162" i="1"/>
  <c r="F162" i="1" s="1"/>
  <c r="D161" i="1"/>
  <c r="F161" i="1" s="1"/>
  <c r="D159" i="1"/>
  <c r="D158" i="1"/>
  <c r="D156" i="1"/>
  <c r="F156" i="1" s="1"/>
  <c r="D155" i="1"/>
  <c r="D154" i="1"/>
  <c r="F154" i="1" s="1"/>
  <c r="D153" i="1"/>
  <c r="D152" i="1"/>
  <c r="F152" i="1" s="1"/>
  <c r="D150" i="1"/>
  <c r="F150" i="1" s="1"/>
  <c r="D148" i="1"/>
  <c r="F148" i="1" s="1"/>
  <c r="D147" i="1"/>
  <c r="D146" i="1"/>
  <c r="F146" i="1" s="1"/>
  <c r="D144" i="1"/>
  <c r="F144" i="1" s="1"/>
  <c r="D142" i="1"/>
  <c r="F142" i="1" s="1"/>
  <c r="D141" i="1"/>
  <c r="D140" i="1"/>
  <c r="F159" i="1"/>
  <c r="G158" i="1"/>
  <c r="F158" i="1"/>
  <c r="F155" i="1"/>
  <c r="F153" i="1"/>
  <c r="G152" i="1"/>
  <c r="F147" i="1"/>
  <c r="G146" i="1"/>
  <c r="F140" i="1"/>
  <c r="A146" i="1"/>
  <c r="A147" i="1" s="1"/>
  <c r="A148" i="1" s="1"/>
  <c r="A149" i="1" s="1"/>
  <c r="A150" i="1" s="1"/>
  <c r="F141" i="1"/>
  <c r="G140" i="1"/>
  <c r="A140" i="1"/>
  <c r="A141" i="1" s="1"/>
  <c r="A142" i="1" s="1"/>
  <c r="A143" i="1" s="1"/>
  <c r="A144" i="1" s="1"/>
  <c r="C73" i="1"/>
  <c r="J85" i="1"/>
  <c r="J84" i="1"/>
  <c r="O158" i="1"/>
  <c r="P158" i="1"/>
  <c r="H74" i="1"/>
  <c r="P152" i="1"/>
  <c r="O152" i="1"/>
  <c r="J100" i="1" l="1"/>
  <c r="C92" i="1" s="1"/>
  <c r="D92" i="1" s="1"/>
  <c r="G128" i="1"/>
  <c r="C128" i="1"/>
  <c r="E128" i="1"/>
  <c r="P159" i="1"/>
  <c r="P160" i="1" s="1"/>
  <c r="P161" i="1" s="1"/>
  <c r="P162" i="1" s="1"/>
  <c r="O159" i="1"/>
  <c r="N158" i="1"/>
  <c r="A158" i="1" s="1"/>
  <c r="O153" i="1"/>
  <c r="N152" i="1"/>
  <c r="P153" i="1"/>
  <c r="P154" i="1" s="1"/>
  <c r="P155" i="1" s="1"/>
  <c r="P156" i="1" s="1"/>
  <c r="D85" i="1"/>
  <c r="D81" i="1"/>
  <c r="J77" i="1"/>
  <c r="D84" i="1"/>
  <c r="D80" i="1"/>
  <c r="D83" i="1"/>
  <c r="J76" i="1"/>
  <c r="J79" i="1"/>
  <c r="D79" i="1"/>
  <c r="J78" i="1"/>
  <c r="C77" i="1" s="1"/>
  <c r="D86" i="1"/>
  <c r="D82" i="1"/>
  <c r="G91" i="1" l="1"/>
  <c r="E91" i="1"/>
  <c r="I87" i="1" s="1"/>
  <c r="C89" i="1" s="1"/>
  <c r="O154" i="1"/>
  <c r="N153" i="1"/>
  <c r="N159" i="1"/>
  <c r="A159" i="1" s="1"/>
  <c r="O160" i="1"/>
  <c r="D77" i="1"/>
  <c r="J80" i="1"/>
  <c r="O161" i="1" l="1"/>
  <c r="N160" i="1"/>
  <c r="A160" i="1" s="1"/>
  <c r="O155" i="1"/>
  <c r="N154" i="1"/>
  <c r="J81" i="1"/>
  <c r="J82" i="1" s="1"/>
  <c r="J83" i="1" s="1"/>
  <c r="O156" i="1" l="1"/>
  <c r="N156" i="1" s="1"/>
  <c r="N155" i="1"/>
  <c r="O162" i="1"/>
  <c r="N162" i="1" s="1"/>
  <c r="A162" i="1" s="1"/>
  <c r="N161" i="1"/>
  <c r="A161" i="1" s="1"/>
  <c r="J86" i="1"/>
  <c r="C78" i="1" s="1"/>
  <c r="D78" i="1" s="1"/>
  <c r="G77" i="1" l="1"/>
  <c r="E77" i="1"/>
  <c r="I73" i="1" s="1"/>
  <c r="C75" i="1" s="1"/>
  <c r="L249" i="1"/>
  <c r="M249" i="1" s="1"/>
  <c r="E251" i="1"/>
  <c r="D251" i="1"/>
  <c r="F251" i="1" s="1"/>
  <c r="E250" i="1"/>
  <c r="D250" i="1"/>
  <c r="E249" i="1"/>
  <c r="D249" i="1"/>
  <c r="F249" i="1" s="1"/>
  <c r="E248" i="1"/>
  <c r="D248" i="1"/>
  <c r="E247" i="1"/>
  <c r="D247" i="1"/>
  <c r="F247" i="1" s="1"/>
  <c r="G246" i="1"/>
  <c r="E246" i="1"/>
  <c r="D246" i="1"/>
  <c r="P246" i="1"/>
  <c r="O246" i="1"/>
  <c r="F250" i="1" l="1"/>
  <c r="F246" i="1"/>
  <c r="F248" i="1"/>
  <c r="I248" i="1" s="1"/>
  <c r="J248" i="1" s="1"/>
  <c r="K248" i="1" s="1"/>
  <c r="L248" i="1" s="1"/>
  <c r="O247" i="1"/>
  <c r="N246" i="1"/>
  <c r="A246" i="1" s="1"/>
  <c r="P247" i="1"/>
  <c r="P248" i="1" s="1"/>
  <c r="P249" i="1" s="1"/>
  <c r="P250" i="1" s="1"/>
  <c r="P251" i="1" s="1"/>
  <c r="G232" i="1"/>
  <c r="G281" i="1"/>
  <c r="G282" i="1" s="1"/>
  <c r="G283" i="1" s="1"/>
  <c r="G284" i="1" s="1"/>
  <c r="G285" i="1" s="1"/>
  <c r="G286" i="1" s="1"/>
  <c r="G274" i="1"/>
  <c r="G275" i="1" s="1"/>
  <c r="G276" i="1" s="1"/>
  <c r="G277" i="1" s="1"/>
  <c r="G278" i="1" s="1"/>
  <c r="G279" i="1" s="1"/>
  <c r="G267" i="1"/>
  <c r="G268" i="1" s="1"/>
  <c r="G269" i="1" s="1"/>
  <c r="G270" i="1" s="1"/>
  <c r="G271" i="1" s="1"/>
  <c r="G272" i="1" s="1"/>
  <c r="O248" i="1" l="1"/>
  <c r="N247" i="1"/>
  <c r="A247" i="1" s="1"/>
  <c r="O249" i="1" l="1"/>
  <c r="N248" i="1"/>
  <c r="A248" i="1" s="1"/>
  <c r="E3" i="1"/>
  <c r="O250" i="1" l="1"/>
  <c r="N249" i="1"/>
  <c r="A249" i="1" s="1"/>
  <c r="D277" i="1"/>
  <c r="D284" i="1"/>
  <c r="E286" i="1"/>
  <c r="E285" i="1"/>
  <c r="E283" i="1"/>
  <c r="D286" i="1"/>
  <c r="D285" i="1"/>
  <c r="D283" i="1"/>
  <c r="D282" i="1"/>
  <c r="D281" i="1"/>
  <c r="E279" i="1"/>
  <c r="E278" i="1"/>
  <c r="E276" i="1"/>
  <c r="E275" i="1"/>
  <c r="E274" i="1"/>
  <c r="D275" i="1"/>
  <c r="D274" i="1"/>
  <c r="D279" i="1"/>
  <c r="D278" i="1"/>
  <c r="D276" i="1"/>
  <c r="E272" i="1"/>
  <c r="E271" i="1"/>
  <c r="E270" i="1"/>
  <c r="E269" i="1"/>
  <c r="D272" i="1"/>
  <c r="D271" i="1"/>
  <c r="D270" i="1"/>
  <c r="D269" i="1"/>
  <c r="D267" i="1"/>
  <c r="E265" i="1"/>
  <c r="E264" i="1"/>
  <c r="E263" i="1"/>
  <c r="E262" i="1"/>
  <c r="D265" i="1"/>
  <c r="D264" i="1"/>
  <c r="D263" i="1"/>
  <c r="D262" i="1"/>
  <c r="E260" i="1"/>
  <c r="E239" i="1"/>
  <c r="D260" i="1"/>
  <c r="E258" i="1"/>
  <c r="E257" i="1"/>
  <c r="E255" i="1"/>
  <c r="D258" i="1"/>
  <c r="D257" i="1"/>
  <c r="D256" i="1"/>
  <c r="D255" i="1"/>
  <c r="E253" i="1"/>
  <c r="D253" i="1"/>
  <c r="E242" i="1"/>
  <c r="E241" i="1"/>
  <c r="E240" i="1"/>
  <c r="F240" i="1" s="1"/>
  <c r="E243" i="1"/>
  <c r="E244" i="1"/>
  <c r="D244" i="1"/>
  <c r="D243" i="1"/>
  <c r="D242" i="1"/>
  <c r="D241" i="1"/>
  <c r="D240" i="1"/>
  <c r="D239" i="1"/>
  <c r="D237" i="1"/>
  <c r="D236" i="1"/>
  <c r="D235" i="1"/>
  <c r="D234" i="1"/>
  <c r="D233" i="1"/>
  <c r="D232" i="1"/>
  <c r="E235" i="1"/>
  <c r="E234" i="1"/>
  <c r="E236" i="1"/>
  <c r="E237" i="1"/>
  <c r="E229" i="1"/>
  <c r="D230" i="1"/>
  <c r="D229" i="1"/>
  <c r="E225" i="1"/>
  <c r="D225" i="1"/>
  <c r="E284" i="1"/>
  <c r="E282" i="1"/>
  <c r="E281" i="1"/>
  <c r="A281" i="1"/>
  <c r="A282" i="1" s="1"/>
  <c r="A283" i="1" s="1"/>
  <c r="A284" i="1" s="1"/>
  <c r="A285" i="1" s="1"/>
  <c r="A286" i="1" s="1"/>
  <c r="E277" i="1"/>
  <c r="A274" i="1"/>
  <c r="A275" i="1" s="1"/>
  <c r="A276" i="1" s="1"/>
  <c r="A277" i="1" s="1"/>
  <c r="A278" i="1" s="1"/>
  <c r="A279" i="1" s="1"/>
  <c r="F271" i="1"/>
  <c r="E267" i="1"/>
  <c r="A267" i="1"/>
  <c r="A268" i="1" s="1"/>
  <c r="A269" i="1" s="1"/>
  <c r="A270" i="1" s="1"/>
  <c r="A271" i="1" s="1"/>
  <c r="A272" i="1" s="1"/>
  <c r="F261" i="1"/>
  <c r="G260" i="1"/>
  <c r="G261" i="1" s="1"/>
  <c r="G262" i="1" s="1"/>
  <c r="G263" i="1" s="1"/>
  <c r="G264" i="1" s="1"/>
  <c r="G265" i="1" s="1"/>
  <c r="E256" i="1"/>
  <c r="G253" i="1"/>
  <c r="G254" i="1" s="1"/>
  <c r="G255" i="1" s="1"/>
  <c r="G256" i="1" s="1"/>
  <c r="G257" i="1" s="1"/>
  <c r="G258" i="1" s="1"/>
  <c r="A253" i="1"/>
  <c r="A254" i="1" s="1"/>
  <c r="A255" i="1" s="1"/>
  <c r="A256" i="1" s="1"/>
  <c r="A257" i="1" s="1"/>
  <c r="A258" i="1" s="1"/>
  <c r="G239" i="1"/>
  <c r="E233" i="1"/>
  <c r="E232" i="1"/>
  <c r="E230" i="1"/>
  <c r="G227" i="1"/>
  <c r="A227" i="1"/>
  <c r="A228" i="1" s="1"/>
  <c r="A229" i="1" s="1"/>
  <c r="A230" i="1" s="1"/>
  <c r="G222" i="1"/>
  <c r="A222" i="1"/>
  <c r="A223" i="1" s="1"/>
  <c r="A224" i="1" s="1"/>
  <c r="A225" i="1" s="1"/>
  <c r="D213" i="1"/>
  <c r="D214" i="1"/>
  <c r="D217" i="1"/>
  <c r="D216" i="1"/>
  <c r="D215" i="1"/>
  <c r="E217" i="1"/>
  <c r="E216" i="1"/>
  <c r="E215" i="1"/>
  <c r="E214" i="1"/>
  <c r="E213" i="1"/>
  <c r="G213" i="1"/>
  <c r="A213" i="1"/>
  <c r="A214" i="1" s="1"/>
  <c r="A215" i="1" s="1"/>
  <c r="A216" i="1" s="1"/>
  <c r="A217" i="1" s="1"/>
  <c r="E207" i="1"/>
  <c r="E211" i="1"/>
  <c r="E210" i="1"/>
  <c r="D211" i="1"/>
  <c r="D210" i="1"/>
  <c r="D209" i="1"/>
  <c r="D208" i="1"/>
  <c r="D207" i="1"/>
  <c r="E209" i="1"/>
  <c r="E208" i="1"/>
  <c r="G207" i="1"/>
  <c r="F207" i="1"/>
  <c r="A207" i="1"/>
  <c r="A208" i="1" s="1"/>
  <c r="A209" i="1" s="1"/>
  <c r="A210" i="1" s="1"/>
  <c r="A211" i="1" s="1"/>
  <c r="D203" i="1"/>
  <c r="D201" i="1"/>
  <c r="E205" i="1"/>
  <c r="D205" i="1"/>
  <c r="E204" i="1"/>
  <c r="D204" i="1"/>
  <c r="E203" i="1"/>
  <c r="G201" i="1"/>
  <c r="E201" i="1"/>
  <c r="A201" i="1"/>
  <c r="A202" i="1" s="1"/>
  <c r="A203" i="1" s="1"/>
  <c r="A204" i="1" s="1"/>
  <c r="A205" i="1" s="1"/>
  <c r="E199" i="1"/>
  <c r="E198" i="1"/>
  <c r="E197" i="1"/>
  <c r="E195" i="1"/>
  <c r="D199" i="1"/>
  <c r="D198" i="1"/>
  <c r="D197" i="1"/>
  <c r="D195" i="1"/>
  <c r="E191" i="1"/>
  <c r="D193" i="1"/>
  <c r="D192" i="1"/>
  <c r="D191" i="1"/>
  <c r="D189" i="1"/>
  <c r="E193" i="1"/>
  <c r="E192" i="1"/>
  <c r="G189" i="1"/>
  <c r="E189" i="1"/>
  <c r="A189" i="1"/>
  <c r="A190" i="1" s="1"/>
  <c r="A191" i="1" s="1"/>
  <c r="A192" i="1" s="1"/>
  <c r="A193" i="1" s="1"/>
  <c r="E187" i="1"/>
  <c r="E186" i="1"/>
  <c r="E185" i="1"/>
  <c r="E184" i="1"/>
  <c r="E183" i="1"/>
  <c r="D187" i="1"/>
  <c r="D186" i="1"/>
  <c r="D185" i="1"/>
  <c r="D184" i="1"/>
  <c r="D183" i="1"/>
  <c r="G183" i="1"/>
  <c r="E181" i="1"/>
  <c r="E180" i="1"/>
  <c r="E179" i="1"/>
  <c r="E178" i="1"/>
  <c r="E177" i="1"/>
  <c r="D181" i="1"/>
  <c r="D180" i="1"/>
  <c r="D179" i="1"/>
  <c r="D178" i="1"/>
  <c r="D177" i="1"/>
  <c r="E173" i="1"/>
  <c r="E169" i="1"/>
  <c r="E168" i="1"/>
  <c r="D170" i="1"/>
  <c r="D169" i="1"/>
  <c r="D168" i="1"/>
  <c r="E175" i="1"/>
  <c r="E174" i="1"/>
  <c r="E172" i="1"/>
  <c r="D175" i="1"/>
  <c r="D174" i="1"/>
  <c r="D173" i="1"/>
  <c r="D172" i="1"/>
  <c r="G172" i="1"/>
  <c r="A172" i="1"/>
  <c r="A173" i="1" s="1"/>
  <c r="A174" i="1" s="1"/>
  <c r="A175" i="1" s="1"/>
  <c r="P239" i="1"/>
  <c r="O183" i="1"/>
  <c r="P260" i="1"/>
  <c r="O232" i="1"/>
  <c r="O260" i="1"/>
  <c r="P183" i="1"/>
  <c r="O239" i="1"/>
  <c r="P232" i="1"/>
  <c r="F265" i="1" l="1"/>
  <c r="F173" i="1"/>
  <c r="F189" i="1"/>
  <c r="F192" i="1"/>
  <c r="F203" i="1"/>
  <c r="F272" i="1"/>
  <c r="F172" i="1"/>
  <c r="O251" i="1"/>
  <c r="N251" i="1" s="1"/>
  <c r="A251" i="1" s="1"/>
  <c r="N250" i="1"/>
  <c r="A250" i="1" s="1"/>
  <c r="F286" i="1"/>
  <c r="F201" i="1"/>
  <c r="F242" i="1"/>
  <c r="F209" i="1"/>
  <c r="F244" i="1"/>
  <c r="F275" i="1"/>
  <c r="F269" i="1"/>
  <c r="F208" i="1"/>
  <c r="F210" i="1"/>
  <c r="F232" i="1"/>
  <c r="F211" i="1"/>
  <c r="F279" i="1"/>
  <c r="F234" i="1"/>
  <c r="F215" i="1"/>
  <c r="F230" i="1"/>
  <c r="C130" i="1"/>
  <c r="C129" i="1"/>
  <c r="F253" i="1"/>
  <c r="F281" i="1"/>
  <c r="E129" i="1"/>
  <c r="E130" i="1"/>
  <c r="F204" i="1"/>
  <c r="F205" i="1"/>
  <c r="F213" i="1"/>
  <c r="F217" i="1"/>
  <c r="F214" i="1"/>
  <c r="F236" i="1"/>
  <c r="F237" i="1"/>
  <c r="F285" i="1"/>
  <c r="F185" i="1"/>
  <c r="F187" i="1"/>
  <c r="F191" i="1"/>
  <c r="F255" i="1"/>
  <c r="F256" i="1"/>
  <c r="F257" i="1"/>
  <c r="F262" i="1"/>
  <c r="F264" i="1"/>
  <c r="F274" i="1"/>
  <c r="F277" i="1"/>
  <c r="F278" i="1"/>
  <c r="F283" i="1"/>
  <c r="F284" i="1"/>
  <c r="F225" i="1"/>
  <c r="F258" i="1"/>
  <c r="N239" i="1"/>
  <c r="A239" i="1" s="1"/>
  <c r="O240" i="1"/>
  <c r="N260" i="1"/>
  <c r="A260" i="1" s="1"/>
  <c r="O261" i="1"/>
  <c r="N232" i="1"/>
  <c r="A232" i="1" s="1"/>
  <c r="O233" i="1"/>
  <c r="P233" i="1"/>
  <c r="P234" i="1" s="1"/>
  <c r="P235" i="1" s="1"/>
  <c r="P236" i="1" s="1"/>
  <c r="P237" i="1" s="1"/>
  <c r="P240" i="1"/>
  <c r="P241" i="1" s="1"/>
  <c r="P242" i="1" s="1"/>
  <c r="P243" i="1" s="1"/>
  <c r="P244" i="1" s="1"/>
  <c r="P261" i="1"/>
  <c r="P262" i="1" s="1"/>
  <c r="P263" i="1" s="1"/>
  <c r="P264" i="1" s="1"/>
  <c r="P265" i="1" s="1"/>
  <c r="F229" i="1"/>
  <c r="F233" i="1"/>
  <c r="F235" i="1"/>
  <c r="F239" i="1"/>
  <c r="F241" i="1"/>
  <c r="F243" i="1"/>
  <c r="F260" i="1"/>
  <c r="F263" i="1"/>
  <c r="F267" i="1"/>
  <c r="F270" i="1"/>
  <c r="F276" i="1"/>
  <c r="F282" i="1"/>
  <c r="F216" i="1"/>
  <c r="F175" i="1"/>
  <c r="F174" i="1"/>
  <c r="F193" i="1"/>
  <c r="F184" i="1"/>
  <c r="F186" i="1"/>
  <c r="F183" i="1"/>
  <c r="N183" i="1"/>
  <c r="A183" i="1" s="1"/>
  <c r="O184" i="1"/>
  <c r="P184" i="1"/>
  <c r="P185" i="1" s="1"/>
  <c r="P186" i="1" s="1"/>
  <c r="P187" i="1" s="1"/>
  <c r="E131" i="1" l="1"/>
  <c r="C131" i="1"/>
  <c r="G130" i="1"/>
  <c r="N233" i="1"/>
  <c r="A233" i="1" s="1"/>
  <c r="O234" i="1"/>
  <c r="N261" i="1"/>
  <c r="A261" i="1" s="1"/>
  <c r="O262" i="1"/>
  <c r="N240" i="1"/>
  <c r="A240" i="1" s="1"/>
  <c r="O241" i="1"/>
  <c r="N184" i="1"/>
  <c r="A184" i="1" s="1"/>
  <c r="O185" i="1"/>
  <c r="N241" i="1" l="1"/>
  <c r="A241" i="1" s="1"/>
  <c r="O242" i="1"/>
  <c r="N262" i="1"/>
  <c r="A262" i="1" s="1"/>
  <c r="O263" i="1"/>
  <c r="N234" i="1"/>
  <c r="A234" i="1" s="1"/>
  <c r="O235" i="1"/>
  <c r="N185" i="1"/>
  <c r="A185" i="1" s="1"/>
  <c r="O186" i="1"/>
  <c r="N235" i="1" l="1"/>
  <c r="A235" i="1" s="1"/>
  <c r="O236" i="1"/>
  <c r="N263" i="1"/>
  <c r="A263" i="1" s="1"/>
  <c r="O264" i="1"/>
  <c r="N242" i="1"/>
  <c r="A242" i="1" s="1"/>
  <c r="O243" i="1"/>
  <c r="N186" i="1"/>
  <c r="A186" i="1" s="1"/>
  <c r="O187" i="1"/>
  <c r="N187" i="1" s="1"/>
  <c r="A187" i="1" s="1"/>
  <c r="N264" i="1" l="1"/>
  <c r="A264" i="1" s="1"/>
  <c r="O265" i="1"/>
  <c r="N265" i="1" s="1"/>
  <c r="A265" i="1" s="1"/>
  <c r="N243" i="1"/>
  <c r="A243" i="1" s="1"/>
  <c r="O244" i="1"/>
  <c r="N244" i="1" s="1"/>
  <c r="A244" i="1" s="1"/>
  <c r="N236" i="1"/>
  <c r="A236" i="1" s="1"/>
  <c r="O237" i="1"/>
  <c r="N237" i="1" s="1"/>
  <c r="A237" i="1" s="1"/>
  <c r="C14" i="1" l="1"/>
  <c r="F199" i="1" l="1"/>
  <c r="F198" i="1"/>
  <c r="F197" i="1"/>
  <c r="F196" i="1"/>
  <c r="F195" i="1"/>
  <c r="F181" i="1"/>
  <c r="F180" i="1"/>
  <c r="F179" i="1"/>
  <c r="F178" i="1"/>
  <c r="F177" i="1"/>
  <c r="F170" i="1"/>
  <c r="F168" i="1"/>
  <c r="F169" i="1"/>
  <c r="P177" i="1"/>
  <c r="O177" i="1"/>
  <c r="G129" i="1" l="1"/>
  <c r="G131" i="1" s="1"/>
  <c r="B289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11" i="1"/>
  <c r="A289" i="1"/>
  <c r="G195" i="1"/>
  <c r="G177" i="1"/>
  <c r="G167" i="1"/>
  <c r="A167" i="1"/>
  <c r="A168" i="1" s="1"/>
  <c r="A169" i="1" s="1"/>
  <c r="A170" i="1" s="1"/>
  <c r="J112" i="1"/>
  <c r="D67" i="1"/>
  <c r="D61" i="1"/>
  <c r="G48" i="1"/>
  <c r="C48" i="1"/>
  <c r="E41" i="1"/>
  <c r="E42" i="1" s="1"/>
  <c r="E25" i="1"/>
  <c r="E23" i="1"/>
  <c r="E7" i="1"/>
  <c r="P195" i="1"/>
  <c r="O195" i="1"/>
  <c r="H102" i="1"/>
  <c r="J105" i="1" l="1"/>
  <c r="D114" i="1"/>
  <c r="D112" i="1"/>
  <c r="D110" i="1"/>
  <c r="D108" i="1"/>
  <c r="J106" i="1"/>
  <c r="J104" i="1"/>
  <c r="J107" i="1"/>
  <c r="C106" i="1" s="1"/>
  <c r="D113" i="1"/>
  <c r="D109" i="1"/>
  <c r="D111" i="1"/>
  <c r="D107" i="1"/>
  <c r="N177" i="1"/>
  <c r="A177" i="1" s="1"/>
  <c r="O178" i="1"/>
  <c r="P178" i="1"/>
  <c r="P179" i="1" s="1"/>
  <c r="P180" i="1" s="1"/>
  <c r="P181" i="1" s="1"/>
  <c r="P196" i="1"/>
  <c r="P197" i="1" s="1"/>
  <c r="P198" i="1" s="1"/>
  <c r="P199" i="1" s="1"/>
  <c r="N195" i="1"/>
  <c r="A195" i="1" s="1"/>
  <c r="O196" i="1"/>
  <c r="J108" i="1" l="1"/>
  <c r="J113" i="1" s="1"/>
  <c r="D105" i="1"/>
  <c r="A291" i="1"/>
  <c r="A292" i="1" s="1"/>
  <c r="A293" i="1" s="1"/>
  <c r="N196" i="1"/>
  <c r="A196" i="1" s="1"/>
  <c r="O197" i="1"/>
  <c r="N178" i="1"/>
  <c r="A178" i="1" s="1"/>
  <c r="O179" i="1"/>
  <c r="J109" i="1" l="1"/>
  <c r="J110" i="1" s="1"/>
  <c r="J111" i="1" s="1"/>
  <c r="G105" i="1" s="1"/>
  <c r="D71" i="1" s="1"/>
  <c r="F72" i="1" s="1"/>
  <c r="A294" i="1"/>
  <c r="A296" i="1" s="1"/>
  <c r="N179" i="1"/>
  <c r="A179" i="1" s="1"/>
  <c r="O180" i="1"/>
  <c r="N197" i="1"/>
  <c r="A197" i="1" s="1"/>
  <c r="O198" i="1"/>
  <c r="D72" i="1" l="1"/>
  <c r="D106" i="1"/>
  <c r="E105" i="1"/>
  <c r="I101" i="1" s="1"/>
  <c r="C103" i="1" s="1"/>
  <c r="A295" i="1"/>
  <c r="A297" i="1" s="1"/>
  <c r="A298" i="1" s="1"/>
  <c r="J114" i="1"/>
  <c r="N198" i="1"/>
  <c r="A198" i="1" s="1"/>
  <c r="O199" i="1"/>
  <c r="N180" i="1"/>
  <c r="A180" i="1" s="1"/>
  <c r="O181" i="1"/>
  <c r="N181" i="1" l="1"/>
  <c r="A181" i="1" s="1"/>
  <c r="N199" i="1"/>
  <c r="A199" i="1" s="1"/>
</calcChain>
</file>

<file path=xl/sharedStrings.xml><?xml version="1.0" encoding="utf-8"?>
<sst xmlns="http://schemas.openxmlformats.org/spreadsheetml/2006/main" count="489" uniqueCount="264">
  <si>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</si>
  <si>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</si>
  <si>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</si>
  <si>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</si>
  <si>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</si>
  <si>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</si>
  <si>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</si>
  <si>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</si>
  <si>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</si>
  <si>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</si>
  <si>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</si>
  <si>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</si>
  <si>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</si>
  <si>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</si>
  <si>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</si>
  <si>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</si>
  <si>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</si>
  <si>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</si>
  <si>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</si>
  <si>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</si>
  <si>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</si>
  <si>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</si>
  <si>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</si>
  <si>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</si>
  <si>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</si>
  <si>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</si>
  <si>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</si>
  <si>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</si>
  <si>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</si>
  <si>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</si>
  <si>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</si>
  <si>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</si>
  <si>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</si>
  <si>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</si>
  <si>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</si>
  <si>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</si>
  <si>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</si>
  <si>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</si>
  <si>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</si>
  <si>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</si>
  <si>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</si>
  <si>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</si>
  <si>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</si>
  <si>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</si>
  <si>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</si>
  <si>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</si>
  <si>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</si>
  <si>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</si>
  <si>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</si>
  <si>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</si>
  <si>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</si>
  <si>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</si>
  <si>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</si>
  <si>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</si>
  <si>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</si>
  <si>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</si>
  <si>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</si>
  <si>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</si>
  <si>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</si>
  <si>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</si>
  <si>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</si>
  <si>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</si>
  <si>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</si>
  <si>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</si>
  <si>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</si>
  <si>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</si>
  <si>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</si>
  <si>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</si>
  <si>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</si>
  <si>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</si>
  <si>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</si>
  <si>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</si>
  <si>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</si>
  <si>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</si>
  <si>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</si>
  <si>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</si>
  <si>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</si>
  <si>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</si>
  <si>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</si>
  <si>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</si>
  <si>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</si>
  <si>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</si>
  <si>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</si>
  <si>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</si>
  <si>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</si>
  <si>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</si>
  <si>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</si>
  <si>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</si>
  <si>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</si>
  <si>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</si>
  <si>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</si>
  <si>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</si>
  <si>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</si>
  <si>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</si>
  <si>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</si>
  <si>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</si>
  <si>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</si>
  <si>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</si>
  <si>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</si>
  <si>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</si>
  <si>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</si>
  <si>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</si>
  <si>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</si>
  <si>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</si>
  <si>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</si>
  <si>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</si>
  <si>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</si>
  <si>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</si>
  <si>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</si>
  <si>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</si>
  <si>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</si>
  <si>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</si>
  <si>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</si>
  <si>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</si>
  <si>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</si>
  <si>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</si>
  <si>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</si>
  <si>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</si>
  <si>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</si>
  <si>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</si>
  <si>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</si>
  <si>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</si>
  <si>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</si>
  <si>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</si>
  <si>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</si>
  <si>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</si>
  <si>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</si>
  <si>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</si>
  <si>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</si>
  <si>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</si>
  <si>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</si>
  <si>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</si>
  <si>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</si>
  <si>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</si>
  <si>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</si>
  <si>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</si>
  <si>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</si>
  <si>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</si>
  <si>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</si>
  <si>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</si>
  <si>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</si>
  <si>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</si>
  <si>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</si>
  <si>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</si>
  <si>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</si>
  <si>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</si>
  <si>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</si>
  <si>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</si>
  <si>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</si>
  <si>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</si>
  <si>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</si>
  <si>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</si>
  <si>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</si>
  <si>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</si>
  <si>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Axis Sanpada</t>
  </si>
  <si>
    <t>Dayanshwar Marg</t>
  </si>
  <si>
    <t>India Maharaja CHS</t>
  </si>
  <si>
    <t>Vashi</t>
  </si>
  <si>
    <t>Thane</t>
  </si>
  <si>
    <t>1.6 KM from Vashi Railway Station</t>
  </si>
  <si>
    <t>Vashi East</t>
  </si>
  <si>
    <t>18 &amp; Plot 3, Sector 9</t>
  </si>
  <si>
    <t>Plot No</t>
  </si>
  <si>
    <t>Juhu Chowpatty Marg, Vashi</t>
  </si>
  <si>
    <t>Residential</t>
  </si>
  <si>
    <t>Navi Mumbai Municipal Corporation (NMMC)</t>
  </si>
  <si>
    <t>Godrej Bayview Vashi</t>
  </si>
  <si>
    <t>NMMC/TPO/BP/Case No. 20201CNMMC17104/1858/2021</t>
  </si>
  <si>
    <t>Tower 2 &amp; 3 (Incentive) = 4B + G + 1st to 24th floor</t>
  </si>
  <si>
    <t>We considered Gross carpet area = Net carpet + Enclose balcony + C.B Area + F.B Area.</t>
  </si>
  <si>
    <t>Only Tower 2 &amp; 3 (Incentive) is registered on RERA, So apf is considered for Tower 2 &amp; 3 (Incentive).</t>
  </si>
  <si>
    <t>Tower 2 (Incentive)</t>
  </si>
  <si>
    <t>1st to 4th Basement For Parking</t>
  </si>
  <si>
    <t>Ground For Parking</t>
  </si>
  <si>
    <t>1st Floor</t>
  </si>
  <si>
    <t>2BHK</t>
  </si>
  <si>
    <t>3BHK</t>
  </si>
  <si>
    <t>2nd Floor (E Deck Floor)</t>
  </si>
  <si>
    <t>Void</t>
  </si>
  <si>
    <t>4th, 6th, 8th, 10th, 14th, 16th, 18th &amp; 20th Floor</t>
  </si>
  <si>
    <t>3rd, 5th, 9th, 11th, 13th, 15th, 19th &amp; 21st Floor</t>
  </si>
  <si>
    <t>12th Floor (Part Refuge Area)</t>
  </si>
  <si>
    <t>Refuge Area</t>
  </si>
  <si>
    <t>7th &amp; 17th Floor (Part Refuge Area)</t>
  </si>
  <si>
    <t>22nd Floor (Part Refuge Area)</t>
  </si>
  <si>
    <t>23rd Floor</t>
  </si>
  <si>
    <t>24th Floor</t>
  </si>
  <si>
    <t>Tower 3 (Incentive)</t>
  </si>
  <si>
    <t>Double Height</t>
  </si>
  <si>
    <t>Fitness Center</t>
  </si>
  <si>
    <t>Tower 2</t>
  </si>
  <si>
    <t>Tower 3</t>
  </si>
  <si>
    <t>M/s. Suncity Infrastructures (Mumbai) LLP</t>
  </si>
  <si>
    <t>Maintenance Charges For 12 months</t>
  </si>
  <si>
    <t>Electricity Charges</t>
  </si>
  <si>
    <t>Corpus Amount</t>
  </si>
  <si>
    <t>Legal Charges</t>
  </si>
  <si>
    <t>Water Connection</t>
  </si>
  <si>
    <t>Share Money</t>
  </si>
  <si>
    <t>Gas Connection Charges</t>
  </si>
  <si>
    <t>Recommended rate of Parking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</si>
  <si>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</si>
  <si>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>Location Link</t>
  </si>
  <si>
    <t>21100 to 22200</t>
  </si>
  <si>
    <t>Construction work is in process at the time of visit.</t>
  </si>
  <si>
    <t>Site Person - Contact Details ( Name &amp; Contact No.)</t>
  </si>
  <si>
    <t>13th Floor</t>
  </si>
  <si>
    <t>22200 to 24700</t>
  </si>
  <si>
    <t>Recommended Rates/Other Charges of the Property have been revised on 05/02/2024 &amp; 27/01/2025.</t>
  </si>
  <si>
    <t>For Case T3=1303 higher side value by smith on 27/01/2025</t>
  </si>
  <si>
    <t xml:space="preserve">Godrej Bayview (Tower 2 &amp; 3) = P51700031726 
Seabreeze at Godrej Bayview (Tower 1) = P51700079255 
</t>
  </si>
  <si>
    <t>Latitude, Longitude</t>
  </si>
  <si>
    <t>19.077923,72.996174</t>
  </si>
  <si>
    <t>https://maps.app.goo.gl/6WnG9iidG6hoGFAg9</t>
  </si>
  <si>
    <t>03 Building</t>
  </si>
  <si>
    <t>NMMCC/RB/2025/APL/00086</t>
  </si>
  <si>
    <t>Tower 1 (Incentive) = 4B + G + 1st to 25th floor</t>
  </si>
  <si>
    <t xml:space="preserve">Commencement Certificate No.
Valid Up to:  </t>
  </si>
  <si>
    <t>Tower 2 &amp; 3 (Incentive) = 4B + G + 1st to 24th floor
Tower 1 (Rehab) = G + 1st to 24th floor
Tower 2 (Rehab) = Stilt + 1st to 26th floor
Tower 1 (Incentive) = 4B + G + 1st to 5th floor</t>
  </si>
  <si>
    <t>Flats - 363</t>
  </si>
  <si>
    <t>Tower 1 (Incentive) = 4B + G + 1st to 25th floor
Tower 2 &amp; 3 (Incentive) = 4B + G + 1st to 24th floor</t>
  </si>
  <si>
    <t>Tower 1 (Incentive)</t>
  </si>
  <si>
    <t>1st to 4th Basement Floor For Parking</t>
  </si>
  <si>
    <t>Ground Floor For Entrance Lobby, Kids Play Area &amp;  Parking</t>
  </si>
  <si>
    <t>1st Floor For Residential</t>
  </si>
  <si>
    <t>2nd Floor (Part Library &amp; Entry to E-Deck Floor)</t>
  </si>
  <si>
    <t>3rd to 6th, 8th to 11th, 13th to 16th, 18th to 21st &amp; 23rd to 25th Floor</t>
  </si>
  <si>
    <t>7th, 12th, 17th &amp; 22nd Floor (Part Refuge Area)</t>
  </si>
  <si>
    <t>301, …, 2501</t>
  </si>
  <si>
    <t>302, …, 2502</t>
  </si>
  <si>
    <t>303, …, 2503</t>
  </si>
  <si>
    <t>304, …, 2504</t>
  </si>
  <si>
    <t>305, …, 2505</t>
  </si>
  <si>
    <t>Tower 1</t>
  </si>
  <si>
    <t>Layout :</t>
  </si>
  <si>
    <t>As per RERA - Godrej Bayview = 31/12/2027
Seabreeze at Godrej Bayview = 31/12/2030</t>
  </si>
  <si>
    <t>Mr. Alok Singh 8928666801</t>
  </si>
  <si>
    <t xml:space="preserve">Mr.Nikhil G 9821422860 </t>
  </si>
  <si>
    <t>SEIAA-EC-0000002153</t>
  </si>
  <si>
    <t>Plot Area : 18272.71 Sqm
Total Builtup Area : 133784 Sqm</t>
  </si>
  <si>
    <t xml:space="preserve">Fire NOC Details
Valid Up to:  </t>
  </si>
  <si>
    <t xml:space="preserve">Environmental Clearance 
Valid Up to:  </t>
  </si>
  <si>
    <t xml:space="preserve">Airport NOC Details
Valid Up to:  </t>
  </si>
  <si>
    <t>NAVI/WEST/B/081419/421656</t>
  </si>
  <si>
    <t>Site Elevation (AMSL) = 4.85M
Permissible Top Elevation (AMSL) = 88.39M</t>
  </si>
  <si>
    <t>Valid Up to 
Dated</t>
  </si>
  <si>
    <t>18.00 M. Wide Road</t>
  </si>
  <si>
    <t>8.00 M. Wide Road</t>
  </si>
  <si>
    <t>Marathi Office Road</t>
  </si>
  <si>
    <t>Garden</t>
  </si>
  <si>
    <t>Rehab Building/Road</t>
  </si>
  <si>
    <t>Tower 1, 2 &amp; 3 (Incentive)</t>
  </si>
  <si>
    <t xml:space="preserve">Tower 1 (Incentive) = 4B + G + 1st to 25th floor (Height = 77.45 Mtrs)
Tower 2 (Incentive) = 4B + G + 1st to 24th floor (Height = 76.95 Mtrs)
</t>
  </si>
  <si>
    <t>FIRE/HO/VASHI/4593/2024</t>
  </si>
  <si>
    <t>Approved Plans, CC, Fire NOC.</t>
  </si>
  <si>
    <t>We have referred Airport NOC from AAI site.</t>
  </si>
  <si>
    <t>We have updated Approved plans for Tower 1 to 3 &amp; CC for Tower 1 (on 07/03/2025).</t>
  </si>
  <si>
    <t>Ms. Eva 8850922067</t>
  </si>
  <si>
    <t>Tower 2 (Incentive) = 4B + G + 1st to 24th floor</t>
  </si>
  <si>
    <t>Tower 3 (Incentive) = 4B + G + 1st to 24th floor</t>
  </si>
  <si>
    <t>Construction work was given more to the Tower 3 earlier</t>
  </si>
  <si>
    <t>Pranita Mhatre</t>
  </si>
  <si>
    <t>Tushar Mohite</t>
  </si>
  <si>
    <t>In the Sep 25 dump We have provieded pic only tower 1 &amp; 2 Therefore we are maintain same stage of Tower 3 as previous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</si>
</sst>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44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7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6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1" xfId="1" applyFont="1" applyFill="1" applyBorder="1" applyProtection="1">
      <protection hidden="1"/>
    </xf>
    <xf numFmtId="0" fontId="12" fillId="0" borderId="12" xfId="1" applyFont="1" applyBorder="1" applyProtection="1">
      <protection hidden="1"/>
    </xf>
    <xf numFmtId="0" fontId="12" fillId="0" borderId="0" xfId="1" applyFont="1" applyFill="1" applyBorder="1" applyProtection="1">
      <protection hidden="1"/>
    </xf>
    <xf numFmtId="0" fontId="12" fillId="0" borderId="13" xfId="1" applyFont="1" applyBorder="1" applyProtection="1"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0" xfId="0" applyFont="1" applyFill="1" applyBorder="1" applyProtection="1">
      <protection hidden="1"/>
    </xf>
    <xf numFmtId="0" fontId="12" fillId="0" borderId="13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3" xfId="0" applyNumberFormat="1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22" fillId="0" borderId="13" xfId="0" applyNumberFormat="1" applyFont="1" applyBorder="1"/>
    <xf numFmtId="1" fontId="22" fillId="0" borderId="13" xfId="0" applyNumberFormat="1" applyFont="1" applyBorder="1" applyAlignment="1">
      <alignment horizontal="right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4" xfId="0" applyFont="1" applyFill="1" applyBorder="1" applyProtection="1">
      <protection hidden="1"/>
    </xf>
    <xf numFmtId="1" fontId="22" fillId="0" borderId="15" xfId="0" applyNumberFormat="1" applyFont="1" applyBorder="1"/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2" borderId="1" xfId="1" applyFont="1" applyFill="1" applyBorder="1" applyAlignment="1" applyProtection="1">
      <alignment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24" fillId="0" borderId="0" xfId="1" applyFont="1"/>
    <xf numFmtId="0" fontId="6" fillId="0" borderId="1" xfId="1" applyFont="1" applyBorder="1" applyAlignment="1" applyProtection="1">
      <alignment horizontal="left" vertical="top"/>
      <protection locked="0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26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/>
      <protection locked="0"/>
    </xf>
    <xf numFmtId="0" fontId="12" fillId="0" borderId="27" xfId="1" applyFont="1" applyFill="1" applyBorder="1" applyAlignment="1" applyProtection="1">
      <alignment horizontal="left" vertical="top"/>
      <protection locked="0"/>
    </xf>
    <xf numFmtId="0" fontId="12" fillId="0" borderId="21" xfId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27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12" fillId="0" borderId="2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3" xfId="1" applyFont="1" applyFill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0" fontId="6" fillId="0" borderId="24" xfId="1" applyFont="1" applyBorder="1" applyAlignment="1" applyProtection="1">
      <alignment horizontal="left" vertical="top"/>
      <protection locked="0"/>
    </xf>
    <xf numFmtId="0" fontId="6" fillId="0" borderId="10" xfId="1" applyFont="1" applyBorder="1" applyAlignment="1" applyProtection="1">
      <alignment horizontal="left" vertical="top"/>
      <protection locked="0"/>
    </xf>
    <xf numFmtId="0" fontId="6" fillId="0" borderId="9" xfId="1" applyFont="1" applyBorder="1" applyAlignment="1" applyProtection="1">
      <alignment vertical="top"/>
      <protection locked="0"/>
    </xf>
    <xf numFmtId="0" fontId="6" fillId="0" borderId="24" xfId="1" applyFont="1" applyBorder="1" applyAlignment="1" applyProtection="1">
      <alignment vertical="top"/>
      <protection locked="0"/>
    </xf>
    <xf numFmtId="0" fontId="6" fillId="0" borderId="10" xfId="1" applyFont="1" applyBorder="1" applyAlignment="1" applyProtection="1">
      <alignment vertical="top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8" fillId="0" borderId="24" xfId="0" applyNumberFormat="1" applyFont="1" applyFill="1" applyBorder="1" applyAlignment="1" applyProtection="1">
      <alignment vertical="top" wrapText="1"/>
      <protection locked="0"/>
    </xf>
    <xf numFmtId="1" fontId="8" fillId="0" borderId="10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24" xfId="0" applyNumberFormat="1" applyFont="1" applyFill="1" applyBorder="1" applyAlignment="1" applyProtection="1">
      <alignment vertical="top" wrapText="1"/>
      <protection locked="0"/>
    </xf>
    <xf numFmtId="1" fontId="13" fillId="0" borderId="10" xfId="0" applyNumberFormat="1" applyFont="1" applyFill="1" applyBorder="1" applyAlignment="1" applyProtection="1">
      <alignment vertical="top" wrapText="1"/>
      <protection locked="0"/>
    </xf>
    <xf numFmtId="1" fontId="10" fillId="0" borderId="9" xfId="0" applyNumberFormat="1" applyFont="1" applyFill="1" applyBorder="1" applyAlignment="1" applyProtection="1">
      <alignment vertical="top" wrapText="1"/>
      <protection locked="0"/>
    </xf>
    <xf numFmtId="1" fontId="10" fillId="0" borderId="24" xfId="0" applyNumberFormat="1" applyFont="1" applyFill="1" applyBorder="1" applyAlignment="1" applyProtection="1">
      <alignment vertical="top" wrapText="1"/>
      <protection locked="0"/>
    </xf>
    <xf numFmtId="1" fontId="10" fillId="0" borderId="10" xfId="0" applyNumberFormat="1" applyFont="1" applyFill="1" applyBorder="1" applyAlignment="1" applyProtection="1">
      <alignment vertical="top" wrapText="1"/>
      <protection locked="0"/>
    </xf>
    <xf numFmtId="0" fontId="8" fillId="0" borderId="9" xfId="1" applyFont="1" applyBorder="1" applyAlignment="1" applyProtection="1">
      <alignment vertical="top"/>
      <protection locked="0"/>
    </xf>
    <xf numFmtId="0" fontId="8" fillId="0" borderId="24" xfId="1" applyFont="1" applyBorder="1" applyAlignment="1" applyProtection="1">
      <alignment vertical="top"/>
      <protection locked="0"/>
    </xf>
    <xf numFmtId="0" fontId="8" fillId="0" borderId="10" xfId="1" applyFont="1" applyBorder="1" applyAlignment="1" applyProtection="1">
      <alignment vertical="top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23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center" vertical="top" wrapText="1"/>
      <protection locked="0"/>
    </xf>
    <xf numFmtId="0" fontId="13" fillId="0" borderId="27" xfId="1" applyFont="1" applyBorder="1" applyAlignment="1" applyProtection="1">
      <alignment horizontal="center" vertical="top" wrapText="1"/>
      <protection locked="0"/>
    </xf>
    <xf numFmtId="0" fontId="13" fillId="0" borderId="21" xfId="1" applyFont="1" applyBorder="1" applyAlignment="1" applyProtection="1">
      <alignment horizontal="center" vertical="top" wrapText="1"/>
      <protection locked="0"/>
    </xf>
    <xf numFmtId="0" fontId="13" fillId="0" borderId="28" xfId="1" applyFont="1" applyBorder="1" applyAlignment="1" applyProtection="1">
      <alignment horizontal="center" vertical="top" wrapText="1"/>
      <protection locked="0"/>
    </xf>
    <xf numFmtId="0" fontId="13" fillId="0" borderId="0" xfId="1" applyFont="1" applyBorder="1" applyAlignment="1" applyProtection="1">
      <alignment horizontal="center" vertical="top" wrapText="1"/>
      <protection locked="0"/>
    </xf>
    <xf numFmtId="0" fontId="13" fillId="0" borderId="29" xfId="1" applyFont="1" applyBorder="1" applyAlignment="1" applyProtection="1">
      <alignment horizontal="center" vertical="top" wrapText="1"/>
      <protection locked="0"/>
    </xf>
    <xf numFmtId="0" fontId="13" fillId="0" borderId="22" xfId="1" applyFont="1" applyBorder="1" applyAlignment="1" applyProtection="1">
      <alignment horizontal="center" vertical="top" wrapText="1"/>
      <protection locked="0"/>
    </xf>
    <xf numFmtId="0" fontId="13" fillId="0" borderId="2" xfId="1" applyFont="1" applyBorder="1" applyAlignment="1" applyProtection="1">
      <alignment horizontal="center" vertical="top" wrapText="1"/>
      <protection locked="0"/>
    </xf>
    <xf numFmtId="0" fontId="13" fillId="0" borderId="23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4" fillId="0" borderId="9" xfId="1" applyFont="1" applyBorder="1" applyAlignment="1" applyProtection="1">
      <alignment horizontal="center" vertical="top" wrapText="1"/>
      <protection locked="0"/>
    </xf>
    <xf numFmtId="0" fontId="14" fillId="0" borderId="10" xfId="1" applyFont="1" applyBorder="1" applyAlignment="1" applyProtection="1">
      <alignment horizontal="center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4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3" fontId="12" fillId="2" borderId="1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9" xfId="0" applyNumberFormat="1" applyFont="1" applyFill="1" applyBorder="1" applyAlignment="1" applyProtection="1">
      <alignment horizontal="left" vertical="top" wrapText="1"/>
      <protection locked="0"/>
    </xf>
    <xf numFmtId="1" fontId="8" fillId="0" borderId="24" xfId="0" applyNumberFormat="1" applyFont="1" applyFill="1" applyBorder="1" applyAlignment="1" applyProtection="1">
      <alignment horizontal="left" vertical="top" wrapText="1"/>
      <protection locked="0"/>
    </xf>
    <xf numFmtId="1" fontId="8" fillId="0" borderId="10" xfId="0" applyNumberFormat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165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9" xfId="1" applyFont="1" applyFill="1" applyBorder="1" applyAlignment="1" applyProtection="1">
      <alignment horizontal="left" vertical="top" wrapText="1"/>
      <protection locked="0"/>
    </xf>
    <xf numFmtId="0" fontId="6" fillId="0" borderId="10" xfId="1" applyFont="1" applyFill="1" applyBorder="1" applyAlignment="1" applyProtection="1">
      <alignment horizontal="left" vertical="top" wrapText="1"/>
      <protection locked="0"/>
    </xf>
    <xf numFmtId="0" fontId="13" fillId="0" borderId="9" xfId="1" applyFont="1" applyFill="1" applyBorder="1" applyAlignment="1" applyProtection="1">
      <alignment horizontal="left" vertical="top"/>
      <protection locked="0"/>
    </xf>
    <xf numFmtId="0" fontId="13" fillId="0" borderId="24" xfId="1" applyFont="1" applyFill="1" applyBorder="1" applyAlignment="1" applyProtection="1">
      <alignment horizontal="left" vertical="top"/>
      <protection locked="0"/>
    </xf>
    <xf numFmtId="0" fontId="13" fillId="0" borderId="10" xfId="1" applyFont="1" applyFill="1" applyBorder="1" applyAlignment="1" applyProtection="1">
      <alignment horizontal="left" vertical="top"/>
      <protection locked="0"/>
    </xf>
    <xf numFmtId="0" fontId="6" fillId="0" borderId="3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7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7" fillId="0" borderId="24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23" fillId="0" borderId="9" xfId="9" applyBorder="1" applyAlignment="1" applyProtection="1">
      <alignment horizontal="left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9" xfId="1" applyFont="1" applyFill="1" applyBorder="1" applyAlignment="1" applyProtection="1">
      <alignment horizontal="left" vertical="top"/>
      <protection locked="0"/>
    </xf>
    <xf numFmtId="1" fontId="6" fillId="0" borderId="19" xfId="1" applyNumberFormat="1" applyFont="1" applyFill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1" fontId="24" fillId="0" borderId="28" xfId="1" applyNumberFormat="1" applyFont="1" applyBorder="1" applyAlignment="1">
      <alignment horizontal="center" vertical="center" wrapText="1"/>
    </xf>
    <xf numFmtId="1" fontId="24" fillId="0" borderId="0" xfId="1" applyNumberFormat="1" applyFont="1" applyAlignment="1">
      <alignment horizontal="center" vertical="center" wrapText="1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fif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271670</xdr:colOff>
      <xdr:row>355</xdr:row>
      <xdr:rowOff>0</xdr:rowOff>
    </xdr:from>
    <xdr:to>
      <xdr:col>7</xdr:col>
      <xdr:colOff>642731</xdr:colOff>
      <xdr:row>395</xdr:row>
      <xdr:rowOff>53009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/>
      </xdr:nvGrpSpPr>
      <xdr:grpSpPr>
        <a:xfrm>
          <a:off x="271670" y="73970029"/>
          <a:ext cx="5895561" cy="8121245"/>
          <a:chOff x="365005" y="277339"/>
          <a:chExt cx="5760000" cy="8550024"/>
        </a:xfrm>
      </xdr:grpSpPr>
      <xdr:grpSp>
        <xdr:nvGrpSpPr>
          <xdr:cNvPr id="35" name="Group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GrpSpPr/>
        </xdr:nvGrpSpPr>
        <xdr:grpSpPr>
          <a:xfrm>
            <a:off x="365005" y="277339"/>
            <a:ext cx="5760000" cy="4280618"/>
            <a:chOff x="365005" y="277339"/>
            <a:chExt cx="5760000" cy="4280618"/>
          </a:xfrm>
        </xdr:grpSpPr>
        <xdr:pic>
          <xdr:nvPicPr>
            <xdr:cNvPr id="42" name="Picture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365005" y="277339"/>
              <a:ext cx="5760000" cy="428061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43" name="Rectangle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>
            <a:xfrm rot="18868906">
              <a:off x="2411730" y="765810"/>
              <a:ext cx="1177290" cy="1085850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44" name="Rectangle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/>
          </xdr:nvSpPr>
          <xdr:spPr>
            <a:xfrm rot="18868906">
              <a:off x="3044191" y="1780032"/>
              <a:ext cx="1177290" cy="1085850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45" name="Rectangle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>
            <a:xfrm rot="18868906">
              <a:off x="1693862" y="2483586"/>
              <a:ext cx="1268860" cy="1211464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46" name="TextBox 10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 txBox="1"/>
          </xdr:nvSpPr>
          <xdr:spPr>
            <a:xfrm>
              <a:off x="2328292" y="605790"/>
              <a:ext cx="413896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T1</a:t>
              </a:r>
              <a:endParaRPr lang="en-IN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7" name="TextBox 11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 txBox="1"/>
          </xdr:nvSpPr>
          <xdr:spPr>
            <a:xfrm>
              <a:off x="3877683" y="2742984"/>
              <a:ext cx="415498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T2</a:t>
              </a:r>
              <a:endParaRPr lang="en-IN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8" name="TextBox 12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 txBox="1"/>
          </xdr:nvSpPr>
          <xdr:spPr>
            <a:xfrm>
              <a:off x="1692022" y="3601768"/>
              <a:ext cx="415498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T3</a:t>
              </a:r>
              <a:endParaRPr lang="en-IN" b="1">
                <a:solidFill>
                  <a:srgbClr val="FF0000"/>
                </a:solidFill>
              </a:endParaRPr>
            </a:p>
          </xdr:txBody>
        </xdr:sp>
      </xdr:grpSp>
      <xdr:grpSp>
        <xdr:nvGrpSpPr>
          <xdr:cNvPr id="36" name="Group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GrpSpPr/>
        </xdr:nvGrpSpPr>
        <xdr:grpSpPr>
          <a:xfrm>
            <a:off x="976150" y="4689703"/>
            <a:ext cx="4606290" cy="4137660"/>
            <a:chOff x="941860" y="4709160"/>
            <a:chExt cx="4606290" cy="4137660"/>
          </a:xfrm>
        </xdr:grpSpPr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941860" y="4709160"/>
              <a:ext cx="4606290" cy="413766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8" name="Picture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3119670" y="4886488"/>
              <a:ext cx="2428480" cy="1891502"/>
            </a:xfrm>
            <a:prstGeom prst="rect">
              <a:avLst/>
            </a:prstGeom>
          </xdr:spPr>
        </xdr:pic>
        <xdr:pic>
          <xdr:nvPicPr>
            <xdr:cNvPr id="39" name="Picture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4828960" y="6777990"/>
              <a:ext cx="719190" cy="613461"/>
            </a:xfrm>
            <a:prstGeom prst="rect">
              <a:avLst/>
            </a:prstGeom>
          </xdr:spPr>
        </xdr:pic>
        <xdr:sp macro="" textlink="">
          <xdr:nvSpPr>
            <xdr:cNvPr id="40" name="Rectangle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>
            <a:xfrm rot="18868906">
              <a:off x="1682985" y="6755234"/>
              <a:ext cx="1608840" cy="1211464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41" name="TextBox 13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 txBox="1"/>
          </xdr:nvSpPr>
          <xdr:spPr>
            <a:xfrm>
              <a:off x="1407328" y="6777990"/>
              <a:ext cx="579005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Sale</a:t>
              </a:r>
              <a:endParaRPr lang="en-IN" b="1">
                <a:solidFill>
                  <a:srgbClr val="FF0000"/>
                </a:solidFill>
              </a:endParaRPr>
            </a:p>
          </xdr:txBody>
        </xdr:sp>
      </xdr:grpSp>
    </xdr:grpSp>
    <xdr:clientData/>
  </xdr:twoCellAnchor>
  <xdr:twoCellAnchor>
    <xdr:from>
      <xdr:col>0</xdr:col>
      <xdr:colOff>490329</xdr:colOff>
      <xdr:row>398</xdr:row>
      <xdr:rowOff>33130</xdr:rowOff>
    </xdr:from>
    <xdr:to>
      <xdr:col>7</xdr:col>
      <xdr:colOff>354968</xdr:colOff>
      <xdr:row>438</xdr:row>
      <xdr:rowOff>17510</xdr:rowOff>
    </xdr:to>
    <xdr:grpSp>
      <xdr:nvGrpSpPr>
        <xdr:cNvPr id="49" name="Group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pSpPr/>
      </xdr:nvGrpSpPr>
      <xdr:grpSpPr>
        <a:xfrm>
          <a:off x="490329" y="82676512"/>
          <a:ext cx="5389139" cy="8052616"/>
          <a:chOff x="729689" y="183133"/>
          <a:chExt cx="5525582" cy="8893811"/>
        </a:xfrm>
      </xdr:grpSpPr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29689" y="183133"/>
            <a:ext cx="5525582" cy="455132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51" name="Group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GrpSpPr/>
        </xdr:nvGrpSpPr>
        <xdr:grpSpPr>
          <a:xfrm>
            <a:off x="792480" y="4849624"/>
            <a:ext cx="5400000" cy="4227320"/>
            <a:chOff x="792480" y="4916680"/>
            <a:chExt cx="5400000" cy="4227320"/>
          </a:xfrm>
        </xdr:grpSpPr>
        <xdr:pic>
          <xdr:nvPicPr>
            <xdr:cNvPr id="52" name="Picture 51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792480" y="4916680"/>
              <a:ext cx="5400000" cy="422732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cxnSp macro="">
          <xdr:nvCxnSpPr>
            <xdr:cNvPr id="53" name="Straight Connector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CxnSpPr/>
          </xdr:nvCxnSpPr>
          <xdr:spPr>
            <a:xfrm>
              <a:off x="2702560" y="5415280"/>
              <a:ext cx="789920" cy="7620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4" name="Straight Connector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CxnSpPr/>
          </xdr:nvCxnSpPr>
          <xdr:spPr>
            <a:xfrm flipH="1">
              <a:off x="2545080" y="5410200"/>
              <a:ext cx="152400" cy="171704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5" name="Straight Connector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CxnSpPr/>
          </xdr:nvCxnSpPr>
          <xdr:spPr>
            <a:xfrm flipH="1">
              <a:off x="2128520" y="7127240"/>
              <a:ext cx="401320" cy="37592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" name="Straight Connector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CxnSpPr/>
          </xdr:nvCxnSpPr>
          <xdr:spPr>
            <a:xfrm flipH="1">
              <a:off x="2037080" y="7513320"/>
              <a:ext cx="91440" cy="103124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7" name="Straight Connector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CxnSpPr/>
          </xdr:nvCxnSpPr>
          <xdr:spPr>
            <a:xfrm>
              <a:off x="2037080" y="8554720"/>
              <a:ext cx="492760" cy="3556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8" name="Straight Connector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CxnSpPr/>
          </xdr:nvCxnSpPr>
          <xdr:spPr>
            <a:xfrm flipV="1">
              <a:off x="2529840" y="8229600"/>
              <a:ext cx="91440" cy="38100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9" name="Straight Connector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CxnSpPr/>
          </xdr:nvCxnSpPr>
          <xdr:spPr>
            <a:xfrm flipV="1">
              <a:off x="2621280" y="7838440"/>
              <a:ext cx="401320" cy="40640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Straight Connector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CxnSpPr/>
          </xdr:nvCxnSpPr>
          <xdr:spPr>
            <a:xfrm>
              <a:off x="3022600" y="7853680"/>
              <a:ext cx="1508760" cy="7874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1" name="Straight Connector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CxnSpPr/>
          </xdr:nvCxnSpPr>
          <xdr:spPr>
            <a:xfrm flipV="1">
              <a:off x="4551680" y="7030340"/>
              <a:ext cx="45720" cy="91986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2" name="Straight Connector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CxnSpPr/>
          </xdr:nvCxnSpPr>
          <xdr:spPr>
            <a:xfrm flipH="1" flipV="1">
              <a:off x="3383280" y="6979920"/>
              <a:ext cx="1201400" cy="5042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3" name="Straight Connector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CxnSpPr/>
          </xdr:nvCxnSpPr>
          <xdr:spPr>
            <a:xfrm flipH="1">
              <a:off x="3383280" y="5491480"/>
              <a:ext cx="109200" cy="148844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19</xdr:col>
      <xdr:colOff>1718</xdr:colOff>
      <xdr:row>307</xdr:row>
      <xdr:rowOff>145595</xdr:rowOff>
    </xdr:from>
    <xdr:to>
      <xdr:col>28</xdr:col>
      <xdr:colOff>356153</xdr:colOff>
      <xdr:row>347</xdr:row>
      <xdr:rowOff>131104</xdr:rowOff>
    </xdr:to>
    <xdr:grpSp>
      <xdr:nvGrpSpPr>
        <xdr:cNvPr id="64" name="Group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/>
      </xdr:nvGrpSpPr>
      <xdr:grpSpPr>
        <a:xfrm>
          <a:off x="12305777" y="64444948"/>
          <a:ext cx="5800494" cy="8042538"/>
          <a:chOff x="0" y="0"/>
          <a:chExt cx="6016400" cy="7188570"/>
        </a:xfrm>
      </xdr:grpSpPr>
      <xdr:pic>
        <xdr:nvPicPr>
          <xdr:cNvPr id="65" name="Picture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382943" y="5388570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6" name="Picture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8611" y="5388570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70048" y="5388570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0" y="0"/>
            <a:ext cx="3909563" cy="52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9" name="Picture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29025" y="2700000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0" name="Picture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29025" y="0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10</xdr:col>
      <xdr:colOff>245730</xdr:colOff>
      <xdr:row>308</xdr:row>
      <xdr:rowOff>22091</xdr:rowOff>
    </xdr:from>
    <xdr:to>
      <xdr:col>21</xdr:col>
      <xdr:colOff>517904</xdr:colOff>
      <xdr:row>346</xdr:row>
      <xdr:rowOff>1385</xdr:rowOff>
    </xdr:to>
    <xdr:grpSp>
      <xdr:nvGrpSpPr>
        <xdr:cNvPr id="71" name="Group 70">
          <a:extLst>
            <a:ext uri="{FF2B5EF4-FFF2-40B4-BE49-F238E27FC236}">
              <a16:creationId xmlns:a16="http://schemas.microsoft.com/office/drawing/2014/main" id="{42CD4F12-1D90-418C-9BB3-6D31423E937D}"/>
            </a:ext>
          </a:extLst>
        </xdr:cNvPr>
        <xdr:cNvGrpSpPr/>
      </xdr:nvGrpSpPr>
      <xdr:grpSpPr>
        <a:xfrm>
          <a:off x="8526877" y="64523150"/>
          <a:ext cx="5505321" cy="7632911"/>
          <a:chOff x="555930" y="329366"/>
          <a:chExt cx="5564553" cy="7570718"/>
        </a:xfrm>
      </xdr:grpSpPr>
      <xdr:grpSp>
        <xdr:nvGrpSpPr>
          <xdr:cNvPr id="72" name="Group 71">
            <a:extLst>
              <a:ext uri="{FF2B5EF4-FFF2-40B4-BE49-F238E27FC236}">
                <a16:creationId xmlns:a16="http://schemas.microsoft.com/office/drawing/2014/main" id="{652A3CB4-086E-43B7-AEA9-E51B72B64B54}"/>
              </a:ext>
            </a:extLst>
          </xdr:cNvPr>
          <xdr:cNvGrpSpPr/>
        </xdr:nvGrpSpPr>
        <xdr:grpSpPr>
          <a:xfrm>
            <a:off x="555930" y="329366"/>
            <a:ext cx="5564553" cy="7570718"/>
            <a:chOff x="555930" y="329366"/>
            <a:chExt cx="5564553" cy="7570718"/>
          </a:xfrm>
        </xdr:grpSpPr>
        <xdr:pic>
          <xdr:nvPicPr>
            <xdr:cNvPr id="76" name="Picture 75">
              <a:extLst>
                <a:ext uri="{FF2B5EF4-FFF2-40B4-BE49-F238E27FC236}">
                  <a16:creationId xmlns:a16="http://schemas.microsoft.com/office/drawing/2014/main" id="{BDBD7885-FD31-4476-B06E-66A73DA3052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222922" y="329366"/>
              <a:ext cx="2045069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7" name="Picture 76">
              <a:extLst>
                <a:ext uri="{FF2B5EF4-FFF2-40B4-BE49-F238E27FC236}">
                  <a16:creationId xmlns:a16="http://schemas.microsoft.com/office/drawing/2014/main" id="{C307A7E1-EF02-4E77-AC8D-E5748F6E3D1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329366"/>
              <a:ext cx="2157001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8" name="Picture 77">
              <a:extLst>
                <a:ext uri="{FF2B5EF4-FFF2-40B4-BE49-F238E27FC236}">
                  <a16:creationId xmlns:a16="http://schemas.microsoft.com/office/drawing/2014/main" id="{B50E0EE8-1DE8-4649-94D9-630777AA8F9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55930" y="3370056"/>
              <a:ext cx="1752564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9" name="Picture 78">
              <a:extLst>
                <a:ext uri="{FF2B5EF4-FFF2-40B4-BE49-F238E27FC236}">
                  <a16:creationId xmlns:a16="http://schemas.microsoft.com/office/drawing/2014/main" id="{ACC0830A-1C9B-4BED-96A7-4D4BDBE5CC7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63785" y="3394725"/>
              <a:ext cx="1752563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0" name="Picture 79">
              <a:extLst>
                <a:ext uri="{FF2B5EF4-FFF2-40B4-BE49-F238E27FC236}">
                  <a16:creationId xmlns:a16="http://schemas.microsoft.com/office/drawing/2014/main" id="{46ADA20C-518A-41AD-98D7-B79092BE8BC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67920" y="3394725"/>
              <a:ext cx="1752563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1" name="Picture 80">
              <a:extLst>
                <a:ext uri="{FF2B5EF4-FFF2-40B4-BE49-F238E27FC236}">
                  <a16:creationId xmlns:a16="http://schemas.microsoft.com/office/drawing/2014/main" id="{5E3CD7C2-B228-4DAC-87F3-46628C20E1D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75435" y="5920084"/>
              <a:ext cx="1348125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2" name="Picture 81">
              <a:extLst>
                <a:ext uri="{FF2B5EF4-FFF2-40B4-BE49-F238E27FC236}">
                  <a16:creationId xmlns:a16="http://schemas.microsoft.com/office/drawing/2014/main" id="{468989FD-A028-46E3-8710-DE9235CE07A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23235" y="5920084"/>
              <a:ext cx="1348125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73" name="TextBox 94">
            <a:extLst>
              <a:ext uri="{FF2B5EF4-FFF2-40B4-BE49-F238E27FC236}">
                <a16:creationId xmlns:a16="http://schemas.microsoft.com/office/drawing/2014/main" id="{69AB6D2B-82B8-43E9-A31D-7E68748336E0}"/>
              </a:ext>
            </a:extLst>
          </xdr:cNvPr>
          <xdr:cNvSpPr txBox="1"/>
        </xdr:nvSpPr>
        <xdr:spPr>
          <a:xfrm>
            <a:off x="1833221" y="1030790"/>
            <a:ext cx="4844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T-2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4" name="TextBox 191">
            <a:extLst>
              <a:ext uri="{FF2B5EF4-FFF2-40B4-BE49-F238E27FC236}">
                <a16:creationId xmlns:a16="http://schemas.microsoft.com/office/drawing/2014/main" id="{23FBB344-1C8E-439C-9045-A0698BA91ABE}"/>
              </a:ext>
            </a:extLst>
          </xdr:cNvPr>
          <xdr:cNvSpPr txBox="1"/>
        </xdr:nvSpPr>
        <xdr:spPr>
          <a:xfrm>
            <a:off x="4101493" y="1192293"/>
            <a:ext cx="80460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T-1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5" name="TextBox 192">
            <a:extLst>
              <a:ext uri="{FF2B5EF4-FFF2-40B4-BE49-F238E27FC236}">
                <a16:creationId xmlns:a16="http://schemas.microsoft.com/office/drawing/2014/main" id="{A7C0B5E4-5512-4BCB-A7DF-56DE03665339}"/>
              </a:ext>
            </a:extLst>
          </xdr:cNvPr>
          <xdr:cNvSpPr txBox="1"/>
        </xdr:nvSpPr>
        <xdr:spPr>
          <a:xfrm>
            <a:off x="1234622" y="4749862"/>
            <a:ext cx="48603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T-3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9</xdr:col>
      <xdr:colOff>723900</xdr:colOff>
      <xdr:row>66</xdr:row>
      <xdr:rowOff>142875</xdr:rowOff>
    </xdr:from>
    <xdr:to>
      <xdr:col>20</xdr:col>
      <xdr:colOff>372180</xdr:colOff>
      <xdr:row>85</xdr:row>
      <xdr:rowOff>171990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2A4CBE-DC21-461B-957D-CDA716A70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239125" y="16592550"/>
          <a:ext cx="5048955" cy="3867690"/>
        </a:xfrm>
        <a:prstGeom prst="rect">
          <a:avLst/>
        </a:prstGeom>
      </xdr:spPr>
    </xdr:pic>
    <xdr:clientData/>
  </xdr:twoCellAnchor>
  <xdr:twoCellAnchor editAs="oneCell">
    <xdr:from>
      <xdr:col>11</xdr:col>
      <xdr:colOff>171450</xdr:colOff>
      <xdr:row>87</xdr:row>
      <xdr:rowOff>76200</xdr:rowOff>
    </xdr:from>
    <xdr:to>
      <xdr:col>22</xdr:col>
      <xdr:colOff>418425</xdr:colOff>
      <xdr:row>102</xdr:row>
      <xdr:rowOff>206775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6FB3E7-1F70-4D85-BA54-50E993978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153525" y="20774025"/>
          <a:ext cx="5400000" cy="315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318</xdr:row>
      <xdr:rowOff>0</xdr:rowOff>
    </xdr:from>
    <xdr:to>
      <xdr:col>6</xdr:col>
      <xdr:colOff>304800</xdr:colOff>
      <xdr:row>319</xdr:row>
      <xdr:rowOff>104775</xdr:rowOff>
    </xdr:to>
    <xdr:sp macro="" textlink="">
      <xdr:nvSpPr>
        <xdr:cNvPr id="1025" name="AutoShape 1" descr="C:\Users\VSJC-06\AppData\Local\Packages\Microsoft.Windows.Photos_8wekyb3d8bbwe\TempState\ShareServiceTempFolder\MS "/>
        <xdr:cNvSpPr>
          <a:spLocks noChangeAspect="1" noChangeArrowheads="1"/>
        </xdr:cNvSpPr>
      </xdr:nvSpPr>
      <xdr:spPr bwMode="auto">
        <a:xfrm>
          <a:off x="4914900" y="6598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316060</xdr:colOff>
      <xdr:row>312</xdr:row>
      <xdr:rowOff>2172</xdr:rowOff>
    </xdr:from>
    <xdr:to>
      <xdr:col>7</xdr:col>
      <xdr:colOff>500063</xdr:colOff>
      <xdr:row>338</xdr:row>
      <xdr:rowOff>49176</xdr:rowOff>
    </xdr:to>
    <xdr:grpSp>
      <xdr:nvGrpSpPr>
        <xdr:cNvPr id="5" name="Group 4"/>
        <xdr:cNvGrpSpPr/>
      </xdr:nvGrpSpPr>
      <xdr:grpSpPr>
        <a:xfrm>
          <a:off x="316060" y="65310054"/>
          <a:ext cx="5708503" cy="5280151"/>
          <a:chOff x="173184" y="65227404"/>
          <a:chExt cx="5957454" cy="5280152"/>
        </a:xfrm>
      </xdr:grpSpPr>
      <xdr:grpSp>
        <xdr:nvGrpSpPr>
          <xdr:cNvPr id="4" name="Group 3"/>
          <xdr:cNvGrpSpPr/>
        </xdr:nvGrpSpPr>
        <xdr:grpSpPr>
          <a:xfrm>
            <a:off x="173184" y="65227404"/>
            <a:ext cx="5957454" cy="5280152"/>
            <a:chOff x="190502" y="67038671"/>
            <a:chExt cx="5940136" cy="5435156"/>
          </a:xfrm>
        </xdr:grpSpPr>
        <xdr:grpSp>
          <xdr:nvGrpSpPr>
            <xdr:cNvPr id="83" name="Group 82"/>
            <xdr:cNvGrpSpPr/>
          </xdr:nvGrpSpPr>
          <xdr:grpSpPr>
            <a:xfrm>
              <a:off x="257206" y="70813592"/>
              <a:ext cx="5593084" cy="1660235"/>
              <a:chOff x="1525721" y="4062468"/>
              <a:chExt cx="4767388" cy="1395209"/>
            </a:xfrm>
          </xdr:grpSpPr>
          <xdr:pic>
            <xdr:nvPicPr>
              <xdr:cNvPr id="84" name="Picture 83" descr="https://vsjcllp.vsjadon.com/upload/insp-247019-1525.jpg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2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b="10042"/>
              <a:stretch/>
            </xdr:blipFill>
            <xdr:spPr bwMode="auto">
              <a:xfrm>
                <a:off x="3329645" y="4067802"/>
                <a:ext cx="1838541" cy="1380183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86" name="Picture 85" descr="https://vsjcllp.vsjadon.com/upload/insp-247019-849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525721" y="4062468"/>
                <a:ext cx="1720577" cy="1380183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87" name="Picture 86" descr="https://vsjcllp.vsjadon.com/upload/insp-247019-916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5259050" y="4077494"/>
                <a:ext cx="1034059" cy="1380183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88" name="Picture 87"/>
            <xdr:cNvPicPr>
              <a:picLocks noChangeAspect="1"/>
            </xdr:cNvPicPr>
          </xdr:nvPicPr>
          <xdr:blipFill>
            <a:blip xmlns:r="http://schemas.openxmlformats.org/officeDocument/2006/relationships" r:embed="rId2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90502" y="67038671"/>
              <a:ext cx="5940136" cy="3681712"/>
            </a:xfrm>
            <a:prstGeom prst="rect">
              <a:avLst/>
            </a:prstGeom>
            <a:ln>
              <a:solidFill>
                <a:sysClr val="windowText" lastClr="000000"/>
              </a:solidFill>
            </a:ln>
          </xdr:spPr>
        </xdr:pic>
      </xdr:grpSp>
      <xdr:sp macro="" textlink="">
        <xdr:nvSpPr>
          <xdr:cNvPr id="89" name="TextBox 191">
            <a:extLst>
              <a:ext uri="{FF2B5EF4-FFF2-40B4-BE49-F238E27FC236}">
                <a16:creationId xmlns:a16="http://schemas.microsoft.com/office/drawing/2014/main" id="{23FBB344-1C8E-439C-9045-A0698BA91ABE}"/>
              </a:ext>
            </a:extLst>
          </xdr:cNvPr>
          <xdr:cNvSpPr txBox="1"/>
        </xdr:nvSpPr>
        <xdr:spPr>
          <a:xfrm>
            <a:off x="3624595" y="66583314"/>
            <a:ext cx="796035" cy="37236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T-1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90" name="TextBox 191">
            <a:extLst>
              <a:ext uri="{FF2B5EF4-FFF2-40B4-BE49-F238E27FC236}">
                <a16:creationId xmlns:a16="http://schemas.microsoft.com/office/drawing/2014/main" id="{23FBB344-1C8E-439C-9045-A0698BA91ABE}"/>
              </a:ext>
            </a:extLst>
          </xdr:cNvPr>
          <xdr:cNvSpPr txBox="1"/>
        </xdr:nvSpPr>
        <xdr:spPr>
          <a:xfrm>
            <a:off x="240419" y="66011814"/>
            <a:ext cx="796035" cy="37236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T-2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6WnG9iidG6hoGFAg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97"/>
  <sheetViews>
    <sheetView tabSelected="1" view="pageBreakPreview" zoomScale="85" zoomScaleNormal="100" zoomScaleSheetLayoutView="85" zoomScalePageLayoutView="85" workbookViewId="0">
      <selection activeCell="K14" sqref="K14"/>
    </sheetView>
  </sheetViews>
  <sheetFormatPr defaultColWidth="9.140625" defaultRowHeight="15.75" x14ac:dyDescent="0.25"/>
  <cols>
    <col min="1" max="1" width="11.42578125" style="10" customWidth="1"/>
    <col min="2" max="2" width="12" style="10" customWidth="1"/>
    <col min="3" max="3" width="12.7109375" style="10" customWidth="1"/>
    <col min="4" max="4" width="14.140625" style="10" customWidth="1"/>
    <col min="5" max="6" width="11.7109375" style="10" customWidth="1"/>
    <col min="7" max="7" width="9.140625" style="10" customWidth="1"/>
    <col min="8" max="8" width="12.42578125" style="10" customWidth="1"/>
    <col min="9" max="9" width="17.42578125" style="3" customWidth="1"/>
    <col min="10" max="10" width="11.42578125" style="3" customWidth="1"/>
    <col min="11" max="11" width="10.5703125" style="3" bestFit="1" customWidth="1"/>
    <col min="12" max="12" width="10.5703125" style="3" customWidth="1"/>
    <col min="13" max="13" width="11.85546875" style="3" customWidth="1"/>
    <col min="14" max="14" width="12.5703125" style="3" hidden="1" customWidth="1"/>
    <col min="15" max="15" width="9.85546875" style="3" hidden="1" customWidth="1"/>
    <col min="16" max="16" width="11.7109375" style="3" hidden="1" customWidth="1"/>
    <col min="17" max="247" width="9.140625" style="3"/>
    <col min="248" max="248" width="8.7109375" style="3" customWidth="1"/>
    <col min="249" max="249" width="9.85546875" style="3" customWidth="1"/>
    <col min="250" max="250" width="14.42578125" style="3" customWidth="1"/>
    <col min="251" max="251" width="7.28515625" style="3" customWidth="1"/>
    <col min="252" max="252" width="5.5703125" style="3" customWidth="1"/>
    <col min="253" max="253" width="9" style="3" customWidth="1"/>
    <col min="254" max="255" width="9.85546875" style="3" customWidth="1"/>
    <col min="256" max="256" width="11.140625" style="3" customWidth="1"/>
    <col min="257" max="257" width="2.85546875" style="3" customWidth="1"/>
    <col min="258" max="258" width="3.5703125" style="3" customWidth="1"/>
    <col min="259" max="503" width="9.140625" style="3"/>
    <col min="504" max="504" width="8.7109375" style="3" customWidth="1"/>
    <col min="505" max="505" width="9.85546875" style="3" customWidth="1"/>
    <col min="506" max="506" width="14.42578125" style="3" customWidth="1"/>
    <col min="507" max="507" width="7.28515625" style="3" customWidth="1"/>
    <col min="508" max="508" width="5.5703125" style="3" customWidth="1"/>
    <col min="509" max="509" width="9" style="3" customWidth="1"/>
    <col min="510" max="511" width="9.85546875" style="3" customWidth="1"/>
    <col min="512" max="512" width="11.140625" style="3" customWidth="1"/>
    <col min="513" max="513" width="2.85546875" style="3" customWidth="1"/>
    <col min="514" max="514" width="3.5703125" style="3" customWidth="1"/>
    <col min="515" max="759" width="9.140625" style="3"/>
    <col min="760" max="760" width="8.7109375" style="3" customWidth="1"/>
    <col min="761" max="761" width="9.85546875" style="3" customWidth="1"/>
    <col min="762" max="762" width="14.42578125" style="3" customWidth="1"/>
    <col min="763" max="763" width="7.28515625" style="3" customWidth="1"/>
    <col min="764" max="764" width="5.5703125" style="3" customWidth="1"/>
    <col min="765" max="765" width="9" style="3" customWidth="1"/>
    <col min="766" max="767" width="9.85546875" style="3" customWidth="1"/>
    <col min="768" max="768" width="11.140625" style="3" customWidth="1"/>
    <col min="769" max="769" width="2.85546875" style="3" customWidth="1"/>
    <col min="770" max="770" width="3.5703125" style="3" customWidth="1"/>
    <col min="771" max="1015" width="9.140625" style="3"/>
    <col min="1016" max="1016" width="8.7109375" style="3" customWidth="1"/>
    <col min="1017" max="1017" width="9.85546875" style="3" customWidth="1"/>
    <col min="1018" max="1018" width="14.42578125" style="3" customWidth="1"/>
    <col min="1019" max="1019" width="7.28515625" style="3" customWidth="1"/>
    <col min="1020" max="1020" width="5.5703125" style="3" customWidth="1"/>
    <col min="1021" max="1021" width="9" style="3" customWidth="1"/>
    <col min="1022" max="1023" width="9.85546875" style="3" customWidth="1"/>
    <col min="1024" max="1024" width="11.140625" style="3" customWidth="1"/>
    <col min="1025" max="1025" width="2.85546875" style="3" customWidth="1"/>
    <col min="1026" max="1026" width="3.5703125" style="3" customWidth="1"/>
    <col min="1027" max="1271" width="9.140625" style="3"/>
    <col min="1272" max="1272" width="8.7109375" style="3" customWidth="1"/>
    <col min="1273" max="1273" width="9.85546875" style="3" customWidth="1"/>
    <col min="1274" max="1274" width="14.42578125" style="3" customWidth="1"/>
    <col min="1275" max="1275" width="7.28515625" style="3" customWidth="1"/>
    <col min="1276" max="1276" width="5.5703125" style="3" customWidth="1"/>
    <col min="1277" max="1277" width="9" style="3" customWidth="1"/>
    <col min="1278" max="1279" width="9.85546875" style="3" customWidth="1"/>
    <col min="1280" max="1280" width="11.140625" style="3" customWidth="1"/>
    <col min="1281" max="1281" width="2.85546875" style="3" customWidth="1"/>
    <col min="1282" max="1282" width="3.5703125" style="3" customWidth="1"/>
    <col min="1283" max="1527" width="9.140625" style="3"/>
    <col min="1528" max="1528" width="8.7109375" style="3" customWidth="1"/>
    <col min="1529" max="1529" width="9.85546875" style="3" customWidth="1"/>
    <col min="1530" max="1530" width="14.42578125" style="3" customWidth="1"/>
    <col min="1531" max="1531" width="7.28515625" style="3" customWidth="1"/>
    <col min="1532" max="1532" width="5.5703125" style="3" customWidth="1"/>
    <col min="1533" max="1533" width="9" style="3" customWidth="1"/>
    <col min="1534" max="1535" width="9.85546875" style="3" customWidth="1"/>
    <col min="1536" max="1536" width="11.140625" style="3" customWidth="1"/>
    <col min="1537" max="1537" width="2.85546875" style="3" customWidth="1"/>
    <col min="1538" max="1538" width="3.5703125" style="3" customWidth="1"/>
    <col min="1539" max="1783" width="9.140625" style="3"/>
    <col min="1784" max="1784" width="8.7109375" style="3" customWidth="1"/>
    <col min="1785" max="1785" width="9.85546875" style="3" customWidth="1"/>
    <col min="1786" max="1786" width="14.42578125" style="3" customWidth="1"/>
    <col min="1787" max="1787" width="7.28515625" style="3" customWidth="1"/>
    <col min="1788" max="1788" width="5.5703125" style="3" customWidth="1"/>
    <col min="1789" max="1789" width="9" style="3" customWidth="1"/>
    <col min="1790" max="1791" width="9.85546875" style="3" customWidth="1"/>
    <col min="1792" max="1792" width="11.140625" style="3" customWidth="1"/>
    <col min="1793" max="1793" width="2.85546875" style="3" customWidth="1"/>
    <col min="1794" max="1794" width="3.5703125" style="3" customWidth="1"/>
    <col min="1795" max="2039" width="9.140625" style="3"/>
    <col min="2040" max="2040" width="8.7109375" style="3" customWidth="1"/>
    <col min="2041" max="2041" width="9.85546875" style="3" customWidth="1"/>
    <col min="2042" max="2042" width="14.42578125" style="3" customWidth="1"/>
    <col min="2043" max="2043" width="7.28515625" style="3" customWidth="1"/>
    <col min="2044" max="2044" width="5.5703125" style="3" customWidth="1"/>
    <col min="2045" max="2045" width="9" style="3" customWidth="1"/>
    <col min="2046" max="2047" width="9.85546875" style="3" customWidth="1"/>
    <col min="2048" max="2048" width="11.140625" style="3" customWidth="1"/>
    <col min="2049" max="2049" width="2.85546875" style="3" customWidth="1"/>
    <col min="2050" max="2050" width="3.5703125" style="3" customWidth="1"/>
    <col min="2051" max="2295" width="9.140625" style="3"/>
    <col min="2296" max="2296" width="8.7109375" style="3" customWidth="1"/>
    <col min="2297" max="2297" width="9.85546875" style="3" customWidth="1"/>
    <col min="2298" max="2298" width="14.42578125" style="3" customWidth="1"/>
    <col min="2299" max="2299" width="7.28515625" style="3" customWidth="1"/>
    <col min="2300" max="2300" width="5.5703125" style="3" customWidth="1"/>
    <col min="2301" max="2301" width="9" style="3" customWidth="1"/>
    <col min="2302" max="2303" width="9.85546875" style="3" customWidth="1"/>
    <col min="2304" max="2304" width="11.140625" style="3" customWidth="1"/>
    <col min="2305" max="2305" width="2.85546875" style="3" customWidth="1"/>
    <col min="2306" max="2306" width="3.5703125" style="3" customWidth="1"/>
    <col min="2307" max="2551" width="9.140625" style="3"/>
    <col min="2552" max="2552" width="8.7109375" style="3" customWidth="1"/>
    <col min="2553" max="2553" width="9.85546875" style="3" customWidth="1"/>
    <col min="2554" max="2554" width="14.42578125" style="3" customWidth="1"/>
    <col min="2555" max="2555" width="7.28515625" style="3" customWidth="1"/>
    <col min="2556" max="2556" width="5.5703125" style="3" customWidth="1"/>
    <col min="2557" max="2557" width="9" style="3" customWidth="1"/>
    <col min="2558" max="2559" width="9.85546875" style="3" customWidth="1"/>
    <col min="2560" max="2560" width="11.140625" style="3" customWidth="1"/>
    <col min="2561" max="2561" width="2.85546875" style="3" customWidth="1"/>
    <col min="2562" max="2562" width="3.5703125" style="3" customWidth="1"/>
    <col min="2563" max="2807" width="9.140625" style="3"/>
    <col min="2808" max="2808" width="8.7109375" style="3" customWidth="1"/>
    <col min="2809" max="2809" width="9.85546875" style="3" customWidth="1"/>
    <col min="2810" max="2810" width="14.42578125" style="3" customWidth="1"/>
    <col min="2811" max="2811" width="7.28515625" style="3" customWidth="1"/>
    <col min="2812" max="2812" width="5.5703125" style="3" customWidth="1"/>
    <col min="2813" max="2813" width="9" style="3" customWidth="1"/>
    <col min="2814" max="2815" width="9.85546875" style="3" customWidth="1"/>
    <col min="2816" max="2816" width="11.140625" style="3" customWidth="1"/>
    <col min="2817" max="2817" width="2.85546875" style="3" customWidth="1"/>
    <col min="2818" max="2818" width="3.5703125" style="3" customWidth="1"/>
    <col min="2819" max="3063" width="9.140625" style="3"/>
    <col min="3064" max="3064" width="8.7109375" style="3" customWidth="1"/>
    <col min="3065" max="3065" width="9.85546875" style="3" customWidth="1"/>
    <col min="3066" max="3066" width="14.42578125" style="3" customWidth="1"/>
    <col min="3067" max="3067" width="7.28515625" style="3" customWidth="1"/>
    <col min="3068" max="3068" width="5.5703125" style="3" customWidth="1"/>
    <col min="3069" max="3069" width="9" style="3" customWidth="1"/>
    <col min="3070" max="3071" width="9.85546875" style="3" customWidth="1"/>
    <col min="3072" max="3072" width="11.140625" style="3" customWidth="1"/>
    <col min="3073" max="3073" width="2.85546875" style="3" customWidth="1"/>
    <col min="3074" max="3074" width="3.5703125" style="3" customWidth="1"/>
    <col min="3075" max="3319" width="9.140625" style="3"/>
    <col min="3320" max="3320" width="8.7109375" style="3" customWidth="1"/>
    <col min="3321" max="3321" width="9.85546875" style="3" customWidth="1"/>
    <col min="3322" max="3322" width="14.42578125" style="3" customWidth="1"/>
    <col min="3323" max="3323" width="7.28515625" style="3" customWidth="1"/>
    <col min="3324" max="3324" width="5.5703125" style="3" customWidth="1"/>
    <col min="3325" max="3325" width="9" style="3" customWidth="1"/>
    <col min="3326" max="3327" width="9.85546875" style="3" customWidth="1"/>
    <col min="3328" max="3328" width="11.140625" style="3" customWidth="1"/>
    <col min="3329" max="3329" width="2.85546875" style="3" customWidth="1"/>
    <col min="3330" max="3330" width="3.5703125" style="3" customWidth="1"/>
    <col min="3331" max="3575" width="9.140625" style="3"/>
    <col min="3576" max="3576" width="8.7109375" style="3" customWidth="1"/>
    <col min="3577" max="3577" width="9.85546875" style="3" customWidth="1"/>
    <col min="3578" max="3578" width="14.42578125" style="3" customWidth="1"/>
    <col min="3579" max="3579" width="7.28515625" style="3" customWidth="1"/>
    <col min="3580" max="3580" width="5.5703125" style="3" customWidth="1"/>
    <col min="3581" max="3581" width="9" style="3" customWidth="1"/>
    <col min="3582" max="3583" width="9.85546875" style="3" customWidth="1"/>
    <col min="3584" max="3584" width="11.140625" style="3" customWidth="1"/>
    <col min="3585" max="3585" width="2.85546875" style="3" customWidth="1"/>
    <col min="3586" max="3586" width="3.5703125" style="3" customWidth="1"/>
    <col min="3587" max="3831" width="9.140625" style="3"/>
    <col min="3832" max="3832" width="8.7109375" style="3" customWidth="1"/>
    <col min="3833" max="3833" width="9.85546875" style="3" customWidth="1"/>
    <col min="3834" max="3834" width="14.42578125" style="3" customWidth="1"/>
    <col min="3835" max="3835" width="7.28515625" style="3" customWidth="1"/>
    <col min="3836" max="3836" width="5.5703125" style="3" customWidth="1"/>
    <col min="3837" max="3837" width="9" style="3" customWidth="1"/>
    <col min="3838" max="3839" width="9.85546875" style="3" customWidth="1"/>
    <col min="3840" max="3840" width="11.140625" style="3" customWidth="1"/>
    <col min="3841" max="3841" width="2.85546875" style="3" customWidth="1"/>
    <col min="3842" max="3842" width="3.5703125" style="3" customWidth="1"/>
    <col min="3843" max="4087" width="9.140625" style="3"/>
    <col min="4088" max="4088" width="8.7109375" style="3" customWidth="1"/>
    <col min="4089" max="4089" width="9.85546875" style="3" customWidth="1"/>
    <col min="4090" max="4090" width="14.42578125" style="3" customWidth="1"/>
    <col min="4091" max="4091" width="7.28515625" style="3" customWidth="1"/>
    <col min="4092" max="4092" width="5.5703125" style="3" customWidth="1"/>
    <col min="4093" max="4093" width="9" style="3" customWidth="1"/>
    <col min="4094" max="4095" width="9.85546875" style="3" customWidth="1"/>
    <col min="4096" max="4096" width="11.140625" style="3" customWidth="1"/>
    <col min="4097" max="4097" width="2.85546875" style="3" customWidth="1"/>
    <col min="4098" max="4098" width="3.5703125" style="3" customWidth="1"/>
    <col min="4099" max="4343" width="9.140625" style="3"/>
    <col min="4344" max="4344" width="8.7109375" style="3" customWidth="1"/>
    <col min="4345" max="4345" width="9.85546875" style="3" customWidth="1"/>
    <col min="4346" max="4346" width="14.42578125" style="3" customWidth="1"/>
    <col min="4347" max="4347" width="7.28515625" style="3" customWidth="1"/>
    <col min="4348" max="4348" width="5.5703125" style="3" customWidth="1"/>
    <col min="4349" max="4349" width="9" style="3" customWidth="1"/>
    <col min="4350" max="4351" width="9.85546875" style="3" customWidth="1"/>
    <col min="4352" max="4352" width="11.140625" style="3" customWidth="1"/>
    <col min="4353" max="4353" width="2.85546875" style="3" customWidth="1"/>
    <col min="4354" max="4354" width="3.5703125" style="3" customWidth="1"/>
    <col min="4355" max="4599" width="9.140625" style="3"/>
    <col min="4600" max="4600" width="8.7109375" style="3" customWidth="1"/>
    <col min="4601" max="4601" width="9.85546875" style="3" customWidth="1"/>
    <col min="4602" max="4602" width="14.42578125" style="3" customWidth="1"/>
    <col min="4603" max="4603" width="7.28515625" style="3" customWidth="1"/>
    <col min="4604" max="4604" width="5.5703125" style="3" customWidth="1"/>
    <col min="4605" max="4605" width="9" style="3" customWidth="1"/>
    <col min="4606" max="4607" width="9.85546875" style="3" customWidth="1"/>
    <col min="4608" max="4608" width="11.140625" style="3" customWidth="1"/>
    <col min="4609" max="4609" width="2.85546875" style="3" customWidth="1"/>
    <col min="4610" max="4610" width="3.5703125" style="3" customWidth="1"/>
    <col min="4611" max="4855" width="9.140625" style="3"/>
    <col min="4856" max="4856" width="8.7109375" style="3" customWidth="1"/>
    <col min="4857" max="4857" width="9.85546875" style="3" customWidth="1"/>
    <col min="4858" max="4858" width="14.42578125" style="3" customWidth="1"/>
    <col min="4859" max="4859" width="7.28515625" style="3" customWidth="1"/>
    <col min="4860" max="4860" width="5.5703125" style="3" customWidth="1"/>
    <col min="4861" max="4861" width="9" style="3" customWidth="1"/>
    <col min="4862" max="4863" width="9.85546875" style="3" customWidth="1"/>
    <col min="4864" max="4864" width="11.140625" style="3" customWidth="1"/>
    <col min="4865" max="4865" width="2.85546875" style="3" customWidth="1"/>
    <col min="4866" max="4866" width="3.5703125" style="3" customWidth="1"/>
    <col min="4867" max="5111" width="9.140625" style="3"/>
    <col min="5112" max="5112" width="8.7109375" style="3" customWidth="1"/>
    <col min="5113" max="5113" width="9.85546875" style="3" customWidth="1"/>
    <col min="5114" max="5114" width="14.42578125" style="3" customWidth="1"/>
    <col min="5115" max="5115" width="7.28515625" style="3" customWidth="1"/>
    <col min="5116" max="5116" width="5.5703125" style="3" customWidth="1"/>
    <col min="5117" max="5117" width="9" style="3" customWidth="1"/>
    <col min="5118" max="5119" width="9.85546875" style="3" customWidth="1"/>
    <col min="5120" max="5120" width="11.140625" style="3" customWidth="1"/>
    <col min="5121" max="5121" width="2.85546875" style="3" customWidth="1"/>
    <col min="5122" max="5122" width="3.5703125" style="3" customWidth="1"/>
    <col min="5123" max="5367" width="9.140625" style="3"/>
    <col min="5368" max="5368" width="8.7109375" style="3" customWidth="1"/>
    <col min="5369" max="5369" width="9.85546875" style="3" customWidth="1"/>
    <col min="5370" max="5370" width="14.42578125" style="3" customWidth="1"/>
    <col min="5371" max="5371" width="7.28515625" style="3" customWidth="1"/>
    <col min="5372" max="5372" width="5.5703125" style="3" customWidth="1"/>
    <col min="5373" max="5373" width="9" style="3" customWidth="1"/>
    <col min="5374" max="5375" width="9.85546875" style="3" customWidth="1"/>
    <col min="5376" max="5376" width="11.140625" style="3" customWidth="1"/>
    <col min="5377" max="5377" width="2.85546875" style="3" customWidth="1"/>
    <col min="5378" max="5378" width="3.5703125" style="3" customWidth="1"/>
    <col min="5379" max="5623" width="9.140625" style="3"/>
    <col min="5624" max="5624" width="8.7109375" style="3" customWidth="1"/>
    <col min="5625" max="5625" width="9.85546875" style="3" customWidth="1"/>
    <col min="5626" max="5626" width="14.42578125" style="3" customWidth="1"/>
    <col min="5627" max="5627" width="7.28515625" style="3" customWidth="1"/>
    <col min="5628" max="5628" width="5.5703125" style="3" customWidth="1"/>
    <col min="5629" max="5629" width="9" style="3" customWidth="1"/>
    <col min="5630" max="5631" width="9.85546875" style="3" customWidth="1"/>
    <col min="5632" max="5632" width="11.140625" style="3" customWidth="1"/>
    <col min="5633" max="5633" width="2.85546875" style="3" customWidth="1"/>
    <col min="5634" max="5634" width="3.5703125" style="3" customWidth="1"/>
    <col min="5635" max="5879" width="9.140625" style="3"/>
    <col min="5880" max="5880" width="8.7109375" style="3" customWidth="1"/>
    <col min="5881" max="5881" width="9.85546875" style="3" customWidth="1"/>
    <col min="5882" max="5882" width="14.42578125" style="3" customWidth="1"/>
    <col min="5883" max="5883" width="7.28515625" style="3" customWidth="1"/>
    <col min="5884" max="5884" width="5.5703125" style="3" customWidth="1"/>
    <col min="5885" max="5885" width="9" style="3" customWidth="1"/>
    <col min="5886" max="5887" width="9.85546875" style="3" customWidth="1"/>
    <col min="5888" max="5888" width="11.140625" style="3" customWidth="1"/>
    <col min="5889" max="5889" width="2.85546875" style="3" customWidth="1"/>
    <col min="5890" max="5890" width="3.5703125" style="3" customWidth="1"/>
    <col min="5891" max="6135" width="9.140625" style="3"/>
    <col min="6136" max="6136" width="8.7109375" style="3" customWidth="1"/>
    <col min="6137" max="6137" width="9.85546875" style="3" customWidth="1"/>
    <col min="6138" max="6138" width="14.42578125" style="3" customWidth="1"/>
    <col min="6139" max="6139" width="7.28515625" style="3" customWidth="1"/>
    <col min="6140" max="6140" width="5.5703125" style="3" customWidth="1"/>
    <col min="6141" max="6141" width="9" style="3" customWidth="1"/>
    <col min="6142" max="6143" width="9.85546875" style="3" customWidth="1"/>
    <col min="6144" max="6144" width="11.140625" style="3" customWidth="1"/>
    <col min="6145" max="6145" width="2.85546875" style="3" customWidth="1"/>
    <col min="6146" max="6146" width="3.5703125" style="3" customWidth="1"/>
    <col min="6147" max="6391" width="9.140625" style="3"/>
    <col min="6392" max="6392" width="8.7109375" style="3" customWidth="1"/>
    <col min="6393" max="6393" width="9.85546875" style="3" customWidth="1"/>
    <col min="6394" max="6394" width="14.42578125" style="3" customWidth="1"/>
    <col min="6395" max="6395" width="7.28515625" style="3" customWidth="1"/>
    <col min="6396" max="6396" width="5.5703125" style="3" customWidth="1"/>
    <col min="6397" max="6397" width="9" style="3" customWidth="1"/>
    <col min="6398" max="6399" width="9.85546875" style="3" customWidth="1"/>
    <col min="6400" max="6400" width="11.140625" style="3" customWidth="1"/>
    <col min="6401" max="6401" width="2.85546875" style="3" customWidth="1"/>
    <col min="6402" max="6402" width="3.5703125" style="3" customWidth="1"/>
    <col min="6403" max="6647" width="9.140625" style="3"/>
    <col min="6648" max="6648" width="8.7109375" style="3" customWidth="1"/>
    <col min="6649" max="6649" width="9.85546875" style="3" customWidth="1"/>
    <col min="6650" max="6650" width="14.42578125" style="3" customWidth="1"/>
    <col min="6651" max="6651" width="7.28515625" style="3" customWidth="1"/>
    <col min="6652" max="6652" width="5.5703125" style="3" customWidth="1"/>
    <col min="6653" max="6653" width="9" style="3" customWidth="1"/>
    <col min="6654" max="6655" width="9.85546875" style="3" customWidth="1"/>
    <col min="6656" max="6656" width="11.140625" style="3" customWidth="1"/>
    <col min="6657" max="6657" width="2.85546875" style="3" customWidth="1"/>
    <col min="6658" max="6658" width="3.5703125" style="3" customWidth="1"/>
    <col min="6659" max="6903" width="9.140625" style="3"/>
    <col min="6904" max="6904" width="8.7109375" style="3" customWidth="1"/>
    <col min="6905" max="6905" width="9.85546875" style="3" customWidth="1"/>
    <col min="6906" max="6906" width="14.42578125" style="3" customWidth="1"/>
    <col min="6907" max="6907" width="7.28515625" style="3" customWidth="1"/>
    <col min="6908" max="6908" width="5.5703125" style="3" customWidth="1"/>
    <col min="6909" max="6909" width="9" style="3" customWidth="1"/>
    <col min="6910" max="6911" width="9.85546875" style="3" customWidth="1"/>
    <col min="6912" max="6912" width="11.140625" style="3" customWidth="1"/>
    <col min="6913" max="6913" width="2.85546875" style="3" customWidth="1"/>
    <col min="6914" max="6914" width="3.5703125" style="3" customWidth="1"/>
    <col min="6915" max="7159" width="9.140625" style="3"/>
    <col min="7160" max="7160" width="8.7109375" style="3" customWidth="1"/>
    <col min="7161" max="7161" width="9.85546875" style="3" customWidth="1"/>
    <col min="7162" max="7162" width="14.42578125" style="3" customWidth="1"/>
    <col min="7163" max="7163" width="7.28515625" style="3" customWidth="1"/>
    <col min="7164" max="7164" width="5.5703125" style="3" customWidth="1"/>
    <col min="7165" max="7165" width="9" style="3" customWidth="1"/>
    <col min="7166" max="7167" width="9.85546875" style="3" customWidth="1"/>
    <col min="7168" max="7168" width="11.140625" style="3" customWidth="1"/>
    <col min="7169" max="7169" width="2.85546875" style="3" customWidth="1"/>
    <col min="7170" max="7170" width="3.5703125" style="3" customWidth="1"/>
    <col min="7171" max="7415" width="9.140625" style="3"/>
    <col min="7416" max="7416" width="8.7109375" style="3" customWidth="1"/>
    <col min="7417" max="7417" width="9.85546875" style="3" customWidth="1"/>
    <col min="7418" max="7418" width="14.42578125" style="3" customWidth="1"/>
    <col min="7419" max="7419" width="7.28515625" style="3" customWidth="1"/>
    <col min="7420" max="7420" width="5.5703125" style="3" customWidth="1"/>
    <col min="7421" max="7421" width="9" style="3" customWidth="1"/>
    <col min="7422" max="7423" width="9.85546875" style="3" customWidth="1"/>
    <col min="7424" max="7424" width="11.140625" style="3" customWidth="1"/>
    <col min="7425" max="7425" width="2.85546875" style="3" customWidth="1"/>
    <col min="7426" max="7426" width="3.5703125" style="3" customWidth="1"/>
    <col min="7427" max="7671" width="9.140625" style="3"/>
    <col min="7672" max="7672" width="8.7109375" style="3" customWidth="1"/>
    <col min="7673" max="7673" width="9.85546875" style="3" customWidth="1"/>
    <col min="7674" max="7674" width="14.42578125" style="3" customWidth="1"/>
    <col min="7675" max="7675" width="7.28515625" style="3" customWidth="1"/>
    <col min="7676" max="7676" width="5.5703125" style="3" customWidth="1"/>
    <col min="7677" max="7677" width="9" style="3" customWidth="1"/>
    <col min="7678" max="7679" width="9.85546875" style="3" customWidth="1"/>
    <col min="7680" max="7680" width="11.140625" style="3" customWidth="1"/>
    <col min="7681" max="7681" width="2.85546875" style="3" customWidth="1"/>
    <col min="7682" max="7682" width="3.5703125" style="3" customWidth="1"/>
    <col min="7683" max="7927" width="9.140625" style="3"/>
    <col min="7928" max="7928" width="8.7109375" style="3" customWidth="1"/>
    <col min="7929" max="7929" width="9.85546875" style="3" customWidth="1"/>
    <col min="7930" max="7930" width="14.42578125" style="3" customWidth="1"/>
    <col min="7931" max="7931" width="7.28515625" style="3" customWidth="1"/>
    <col min="7932" max="7932" width="5.5703125" style="3" customWidth="1"/>
    <col min="7933" max="7933" width="9" style="3" customWidth="1"/>
    <col min="7934" max="7935" width="9.85546875" style="3" customWidth="1"/>
    <col min="7936" max="7936" width="11.140625" style="3" customWidth="1"/>
    <col min="7937" max="7937" width="2.85546875" style="3" customWidth="1"/>
    <col min="7938" max="7938" width="3.5703125" style="3" customWidth="1"/>
    <col min="7939" max="8183" width="9.140625" style="3"/>
    <col min="8184" max="8184" width="8.7109375" style="3" customWidth="1"/>
    <col min="8185" max="8185" width="9.85546875" style="3" customWidth="1"/>
    <col min="8186" max="8186" width="14.42578125" style="3" customWidth="1"/>
    <col min="8187" max="8187" width="7.28515625" style="3" customWidth="1"/>
    <col min="8188" max="8188" width="5.5703125" style="3" customWidth="1"/>
    <col min="8189" max="8189" width="9" style="3" customWidth="1"/>
    <col min="8190" max="8191" width="9.85546875" style="3" customWidth="1"/>
    <col min="8192" max="8192" width="11.140625" style="3" customWidth="1"/>
    <col min="8193" max="8193" width="2.85546875" style="3" customWidth="1"/>
    <col min="8194" max="8194" width="3.5703125" style="3" customWidth="1"/>
    <col min="8195" max="8439" width="9.140625" style="3"/>
    <col min="8440" max="8440" width="8.7109375" style="3" customWidth="1"/>
    <col min="8441" max="8441" width="9.85546875" style="3" customWidth="1"/>
    <col min="8442" max="8442" width="14.42578125" style="3" customWidth="1"/>
    <col min="8443" max="8443" width="7.28515625" style="3" customWidth="1"/>
    <col min="8444" max="8444" width="5.5703125" style="3" customWidth="1"/>
    <col min="8445" max="8445" width="9" style="3" customWidth="1"/>
    <col min="8446" max="8447" width="9.85546875" style="3" customWidth="1"/>
    <col min="8448" max="8448" width="11.140625" style="3" customWidth="1"/>
    <col min="8449" max="8449" width="2.85546875" style="3" customWidth="1"/>
    <col min="8450" max="8450" width="3.5703125" style="3" customWidth="1"/>
    <col min="8451" max="8695" width="9.140625" style="3"/>
    <col min="8696" max="8696" width="8.7109375" style="3" customWidth="1"/>
    <col min="8697" max="8697" width="9.85546875" style="3" customWidth="1"/>
    <col min="8698" max="8698" width="14.42578125" style="3" customWidth="1"/>
    <col min="8699" max="8699" width="7.28515625" style="3" customWidth="1"/>
    <col min="8700" max="8700" width="5.5703125" style="3" customWidth="1"/>
    <col min="8701" max="8701" width="9" style="3" customWidth="1"/>
    <col min="8702" max="8703" width="9.85546875" style="3" customWidth="1"/>
    <col min="8704" max="8704" width="11.140625" style="3" customWidth="1"/>
    <col min="8705" max="8705" width="2.85546875" style="3" customWidth="1"/>
    <col min="8706" max="8706" width="3.5703125" style="3" customWidth="1"/>
    <col min="8707" max="8951" width="9.140625" style="3"/>
    <col min="8952" max="8952" width="8.7109375" style="3" customWidth="1"/>
    <col min="8953" max="8953" width="9.85546875" style="3" customWidth="1"/>
    <col min="8954" max="8954" width="14.42578125" style="3" customWidth="1"/>
    <col min="8955" max="8955" width="7.28515625" style="3" customWidth="1"/>
    <col min="8956" max="8956" width="5.5703125" style="3" customWidth="1"/>
    <col min="8957" max="8957" width="9" style="3" customWidth="1"/>
    <col min="8958" max="8959" width="9.85546875" style="3" customWidth="1"/>
    <col min="8960" max="8960" width="11.140625" style="3" customWidth="1"/>
    <col min="8961" max="8961" width="2.85546875" style="3" customWidth="1"/>
    <col min="8962" max="8962" width="3.5703125" style="3" customWidth="1"/>
    <col min="8963" max="9207" width="9.140625" style="3"/>
    <col min="9208" max="9208" width="8.7109375" style="3" customWidth="1"/>
    <col min="9209" max="9209" width="9.85546875" style="3" customWidth="1"/>
    <col min="9210" max="9210" width="14.42578125" style="3" customWidth="1"/>
    <col min="9211" max="9211" width="7.28515625" style="3" customWidth="1"/>
    <col min="9212" max="9212" width="5.5703125" style="3" customWidth="1"/>
    <col min="9213" max="9213" width="9" style="3" customWidth="1"/>
    <col min="9214" max="9215" width="9.85546875" style="3" customWidth="1"/>
    <col min="9216" max="9216" width="11.140625" style="3" customWidth="1"/>
    <col min="9217" max="9217" width="2.85546875" style="3" customWidth="1"/>
    <col min="9218" max="9218" width="3.5703125" style="3" customWidth="1"/>
    <col min="9219" max="9463" width="9.140625" style="3"/>
    <col min="9464" max="9464" width="8.7109375" style="3" customWidth="1"/>
    <col min="9465" max="9465" width="9.85546875" style="3" customWidth="1"/>
    <col min="9466" max="9466" width="14.42578125" style="3" customWidth="1"/>
    <col min="9467" max="9467" width="7.28515625" style="3" customWidth="1"/>
    <col min="9468" max="9468" width="5.5703125" style="3" customWidth="1"/>
    <col min="9469" max="9469" width="9" style="3" customWidth="1"/>
    <col min="9470" max="9471" width="9.85546875" style="3" customWidth="1"/>
    <col min="9472" max="9472" width="11.140625" style="3" customWidth="1"/>
    <col min="9473" max="9473" width="2.85546875" style="3" customWidth="1"/>
    <col min="9474" max="9474" width="3.5703125" style="3" customWidth="1"/>
    <col min="9475" max="9719" width="9.140625" style="3"/>
    <col min="9720" max="9720" width="8.7109375" style="3" customWidth="1"/>
    <col min="9721" max="9721" width="9.85546875" style="3" customWidth="1"/>
    <col min="9722" max="9722" width="14.42578125" style="3" customWidth="1"/>
    <col min="9723" max="9723" width="7.28515625" style="3" customWidth="1"/>
    <col min="9724" max="9724" width="5.5703125" style="3" customWidth="1"/>
    <col min="9725" max="9725" width="9" style="3" customWidth="1"/>
    <col min="9726" max="9727" width="9.85546875" style="3" customWidth="1"/>
    <col min="9728" max="9728" width="11.140625" style="3" customWidth="1"/>
    <col min="9729" max="9729" width="2.85546875" style="3" customWidth="1"/>
    <col min="9730" max="9730" width="3.5703125" style="3" customWidth="1"/>
    <col min="9731" max="9975" width="9.140625" style="3"/>
    <col min="9976" max="9976" width="8.7109375" style="3" customWidth="1"/>
    <col min="9977" max="9977" width="9.85546875" style="3" customWidth="1"/>
    <col min="9978" max="9978" width="14.42578125" style="3" customWidth="1"/>
    <col min="9979" max="9979" width="7.28515625" style="3" customWidth="1"/>
    <col min="9980" max="9980" width="5.5703125" style="3" customWidth="1"/>
    <col min="9981" max="9981" width="9" style="3" customWidth="1"/>
    <col min="9982" max="9983" width="9.85546875" style="3" customWidth="1"/>
    <col min="9984" max="9984" width="11.140625" style="3" customWidth="1"/>
    <col min="9985" max="9985" width="2.85546875" style="3" customWidth="1"/>
    <col min="9986" max="9986" width="3.5703125" style="3" customWidth="1"/>
    <col min="9987" max="10231" width="9.140625" style="3"/>
    <col min="10232" max="10232" width="8.7109375" style="3" customWidth="1"/>
    <col min="10233" max="10233" width="9.85546875" style="3" customWidth="1"/>
    <col min="10234" max="10234" width="14.42578125" style="3" customWidth="1"/>
    <col min="10235" max="10235" width="7.28515625" style="3" customWidth="1"/>
    <col min="10236" max="10236" width="5.5703125" style="3" customWidth="1"/>
    <col min="10237" max="10237" width="9" style="3" customWidth="1"/>
    <col min="10238" max="10239" width="9.85546875" style="3" customWidth="1"/>
    <col min="10240" max="10240" width="11.140625" style="3" customWidth="1"/>
    <col min="10241" max="10241" width="2.85546875" style="3" customWidth="1"/>
    <col min="10242" max="10242" width="3.5703125" style="3" customWidth="1"/>
    <col min="10243" max="10487" width="9.140625" style="3"/>
    <col min="10488" max="10488" width="8.7109375" style="3" customWidth="1"/>
    <col min="10489" max="10489" width="9.85546875" style="3" customWidth="1"/>
    <col min="10490" max="10490" width="14.42578125" style="3" customWidth="1"/>
    <col min="10491" max="10491" width="7.28515625" style="3" customWidth="1"/>
    <col min="10492" max="10492" width="5.5703125" style="3" customWidth="1"/>
    <col min="10493" max="10493" width="9" style="3" customWidth="1"/>
    <col min="10494" max="10495" width="9.85546875" style="3" customWidth="1"/>
    <col min="10496" max="10496" width="11.140625" style="3" customWidth="1"/>
    <col min="10497" max="10497" width="2.85546875" style="3" customWidth="1"/>
    <col min="10498" max="10498" width="3.5703125" style="3" customWidth="1"/>
    <col min="10499" max="10743" width="9.140625" style="3"/>
    <col min="10744" max="10744" width="8.7109375" style="3" customWidth="1"/>
    <col min="10745" max="10745" width="9.85546875" style="3" customWidth="1"/>
    <col min="10746" max="10746" width="14.42578125" style="3" customWidth="1"/>
    <col min="10747" max="10747" width="7.28515625" style="3" customWidth="1"/>
    <col min="10748" max="10748" width="5.5703125" style="3" customWidth="1"/>
    <col min="10749" max="10749" width="9" style="3" customWidth="1"/>
    <col min="10750" max="10751" width="9.85546875" style="3" customWidth="1"/>
    <col min="10752" max="10752" width="11.140625" style="3" customWidth="1"/>
    <col min="10753" max="10753" width="2.85546875" style="3" customWidth="1"/>
    <col min="10754" max="10754" width="3.5703125" style="3" customWidth="1"/>
    <col min="10755" max="10999" width="9.140625" style="3"/>
    <col min="11000" max="11000" width="8.7109375" style="3" customWidth="1"/>
    <col min="11001" max="11001" width="9.85546875" style="3" customWidth="1"/>
    <col min="11002" max="11002" width="14.42578125" style="3" customWidth="1"/>
    <col min="11003" max="11003" width="7.28515625" style="3" customWidth="1"/>
    <col min="11004" max="11004" width="5.5703125" style="3" customWidth="1"/>
    <col min="11005" max="11005" width="9" style="3" customWidth="1"/>
    <col min="11006" max="11007" width="9.85546875" style="3" customWidth="1"/>
    <col min="11008" max="11008" width="11.140625" style="3" customWidth="1"/>
    <col min="11009" max="11009" width="2.85546875" style="3" customWidth="1"/>
    <col min="11010" max="11010" width="3.5703125" style="3" customWidth="1"/>
    <col min="11011" max="11255" width="9.140625" style="3"/>
    <col min="11256" max="11256" width="8.7109375" style="3" customWidth="1"/>
    <col min="11257" max="11257" width="9.85546875" style="3" customWidth="1"/>
    <col min="11258" max="11258" width="14.42578125" style="3" customWidth="1"/>
    <col min="11259" max="11259" width="7.28515625" style="3" customWidth="1"/>
    <col min="11260" max="11260" width="5.5703125" style="3" customWidth="1"/>
    <col min="11261" max="11261" width="9" style="3" customWidth="1"/>
    <col min="11262" max="11263" width="9.85546875" style="3" customWidth="1"/>
    <col min="11264" max="11264" width="11.140625" style="3" customWidth="1"/>
    <col min="11265" max="11265" width="2.85546875" style="3" customWidth="1"/>
    <col min="11266" max="11266" width="3.5703125" style="3" customWidth="1"/>
    <col min="11267" max="11511" width="9.140625" style="3"/>
    <col min="11512" max="11512" width="8.7109375" style="3" customWidth="1"/>
    <col min="11513" max="11513" width="9.85546875" style="3" customWidth="1"/>
    <col min="11514" max="11514" width="14.42578125" style="3" customWidth="1"/>
    <col min="11515" max="11515" width="7.28515625" style="3" customWidth="1"/>
    <col min="11516" max="11516" width="5.5703125" style="3" customWidth="1"/>
    <col min="11517" max="11517" width="9" style="3" customWidth="1"/>
    <col min="11518" max="11519" width="9.85546875" style="3" customWidth="1"/>
    <col min="11520" max="11520" width="11.140625" style="3" customWidth="1"/>
    <col min="11521" max="11521" width="2.85546875" style="3" customWidth="1"/>
    <col min="11522" max="11522" width="3.5703125" style="3" customWidth="1"/>
    <col min="11523" max="11767" width="9.140625" style="3"/>
    <col min="11768" max="11768" width="8.7109375" style="3" customWidth="1"/>
    <col min="11769" max="11769" width="9.85546875" style="3" customWidth="1"/>
    <col min="11770" max="11770" width="14.42578125" style="3" customWidth="1"/>
    <col min="11771" max="11771" width="7.28515625" style="3" customWidth="1"/>
    <col min="11772" max="11772" width="5.5703125" style="3" customWidth="1"/>
    <col min="11773" max="11773" width="9" style="3" customWidth="1"/>
    <col min="11774" max="11775" width="9.85546875" style="3" customWidth="1"/>
    <col min="11776" max="11776" width="11.140625" style="3" customWidth="1"/>
    <col min="11777" max="11777" width="2.85546875" style="3" customWidth="1"/>
    <col min="11778" max="11778" width="3.5703125" style="3" customWidth="1"/>
    <col min="11779" max="12023" width="9.140625" style="3"/>
    <col min="12024" max="12024" width="8.7109375" style="3" customWidth="1"/>
    <col min="12025" max="12025" width="9.85546875" style="3" customWidth="1"/>
    <col min="12026" max="12026" width="14.42578125" style="3" customWidth="1"/>
    <col min="12027" max="12027" width="7.28515625" style="3" customWidth="1"/>
    <col min="12028" max="12028" width="5.5703125" style="3" customWidth="1"/>
    <col min="12029" max="12029" width="9" style="3" customWidth="1"/>
    <col min="12030" max="12031" width="9.85546875" style="3" customWidth="1"/>
    <col min="12032" max="12032" width="11.140625" style="3" customWidth="1"/>
    <col min="12033" max="12033" width="2.85546875" style="3" customWidth="1"/>
    <col min="12034" max="12034" width="3.5703125" style="3" customWidth="1"/>
    <col min="12035" max="12279" width="9.140625" style="3"/>
    <col min="12280" max="12280" width="8.7109375" style="3" customWidth="1"/>
    <col min="12281" max="12281" width="9.85546875" style="3" customWidth="1"/>
    <col min="12282" max="12282" width="14.42578125" style="3" customWidth="1"/>
    <col min="12283" max="12283" width="7.28515625" style="3" customWidth="1"/>
    <col min="12284" max="12284" width="5.5703125" style="3" customWidth="1"/>
    <col min="12285" max="12285" width="9" style="3" customWidth="1"/>
    <col min="12286" max="12287" width="9.85546875" style="3" customWidth="1"/>
    <col min="12288" max="12288" width="11.140625" style="3" customWidth="1"/>
    <col min="12289" max="12289" width="2.85546875" style="3" customWidth="1"/>
    <col min="12290" max="12290" width="3.5703125" style="3" customWidth="1"/>
    <col min="12291" max="12535" width="9.140625" style="3"/>
    <col min="12536" max="12536" width="8.7109375" style="3" customWidth="1"/>
    <col min="12537" max="12537" width="9.85546875" style="3" customWidth="1"/>
    <col min="12538" max="12538" width="14.42578125" style="3" customWidth="1"/>
    <col min="12539" max="12539" width="7.28515625" style="3" customWidth="1"/>
    <col min="12540" max="12540" width="5.5703125" style="3" customWidth="1"/>
    <col min="12541" max="12541" width="9" style="3" customWidth="1"/>
    <col min="12542" max="12543" width="9.85546875" style="3" customWidth="1"/>
    <col min="12544" max="12544" width="11.140625" style="3" customWidth="1"/>
    <col min="12545" max="12545" width="2.85546875" style="3" customWidth="1"/>
    <col min="12546" max="12546" width="3.5703125" style="3" customWidth="1"/>
    <col min="12547" max="12791" width="9.140625" style="3"/>
    <col min="12792" max="12792" width="8.7109375" style="3" customWidth="1"/>
    <col min="12793" max="12793" width="9.85546875" style="3" customWidth="1"/>
    <col min="12794" max="12794" width="14.42578125" style="3" customWidth="1"/>
    <col min="12795" max="12795" width="7.28515625" style="3" customWidth="1"/>
    <col min="12796" max="12796" width="5.5703125" style="3" customWidth="1"/>
    <col min="12797" max="12797" width="9" style="3" customWidth="1"/>
    <col min="12798" max="12799" width="9.85546875" style="3" customWidth="1"/>
    <col min="12800" max="12800" width="11.140625" style="3" customWidth="1"/>
    <col min="12801" max="12801" width="2.85546875" style="3" customWidth="1"/>
    <col min="12802" max="12802" width="3.5703125" style="3" customWidth="1"/>
    <col min="12803" max="13047" width="9.140625" style="3"/>
    <col min="13048" max="13048" width="8.7109375" style="3" customWidth="1"/>
    <col min="13049" max="13049" width="9.85546875" style="3" customWidth="1"/>
    <col min="13050" max="13050" width="14.42578125" style="3" customWidth="1"/>
    <col min="13051" max="13051" width="7.28515625" style="3" customWidth="1"/>
    <col min="13052" max="13052" width="5.5703125" style="3" customWidth="1"/>
    <col min="13053" max="13053" width="9" style="3" customWidth="1"/>
    <col min="13054" max="13055" width="9.85546875" style="3" customWidth="1"/>
    <col min="13056" max="13056" width="11.140625" style="3" customWidth="1"/>
    <col min="13057" max="13057" width="2.85546875" style="3" customWidth="1"/>
    <col min="13058" max="13058" width="3.5703125" style="3" customWidth="1"/>
    <col min="13059" max="13303" width="9.140625" style="3"/>
    <col min="13304" max="13304" width="8.7109375" style="3" customWidth="1"/>
    <col min="13305" max="13305" width="9.85546875" style="3" customWidth="1"/>
    <col min="13306" max="13306" width="14.42578125" style="3" customWidth="1"/>
    <col min="13307" max="13307" width="7.28515625" style="3" customWidth="1"/>
    <col min="13308" max="13308" width="5.5703125" style="3" customWidth="1"/>
    <col min="13309" max="13309" width="9" style="3" customWidth="1"/>
    <col min="13310" max="13311" width="9.85546875" style="3" customWidth="1"/>
    <col min="13312" max="13312" width="11.140625" style="3" customWidth="1"/>
    <col min="13313" max="13313" width="2.85546875" style="3" customWidth="1"/>
    <col min="13314" max="13314" width="3.5703125" style="3" customWidth="1"/>
    <col min="13315" max="13559" width="9.140625" style="3"/>
    <col min="13560" max="13560" width="8.7109375" style="3" customWidth="1"/>
    <col min="13561" max="13561" width="9.85546875" style="3" customWidth="1"/>
    <col min="13562" max="13562" width="14.42578125" style="3" customWidth="1"/>
    <col min="13563" max="13563" width="7.28515625" style="3" customWidth="1"/>
    <col min="13564" max="13564" width="5.5703125" style="3" customWidth="1"/>
    <col min="13565" max="13565" width="9" style="3" customWidth="1"/>
    <col min="13566" max="13567" width="9.85546875" style="3" customWidth="1"/>
    <col min="13568" max="13568" width="11.140625" style="3" customWidth="1"/>
    <col min="13569" max="13569" width="2.85546875" style="3" customWidth="1"/>
    <col min="13570" max="13570" width="3.5703125" style="3" customWidth="1"/>
    <col min="13571" max="13815" width="9.140625" style="3"/>
    <col min="13816" max="13816" width="8.7109375" style="3" customWidth="1"/>
    <col min="13817" max="13817" width="9.85546875" style="3" customWidth="1"/>
    <col min="13818" max="13818" width="14.42578125" style="3" customWidth="1"/>
    <col min="13819" max="13819" width="7.28515625" style="3" customWidth="1"/>
    <col min="13820" max="13820" width="5.5703125" style="3" customWidth="1"/>
    <col min="13821" max="13821" width="9" style="3" customWidth="1"/>
    <col min="13822" max="13823" width="9.85546875" style="3" customWidth="1"/>
    <col min="13824" max="13824" width="11.140625" style="3" customWidth="1"/>
    <col min="13825" max="13825" width="2.85546875" style="3" customWidth="1"/>
    <col min="13826" max="13826" width="3.5703125" style="3" customWidth="1"/>
    <col min="13827" max="14071" width="9.140625" style="3"/>
    <col min="14072" max="14072" width="8.7109375" style="3" customWidth="1"/>
    <col min="14073" max="14073" width="9.85546875" style="3" customWidth="1"/>
    <col min="14074" max="14074" width="14.42578125" style="3" customWidth="1"/>
    <col min="14075" max="14075" width="7.28515625" style="3" customWidth="1"/>
    <col min="14076" max="14076" width="5.5703125" style="3" customWidth="1"/>
    <col min="14077" max="14077" width="9" style="3" customWidth="1"/>
    <col min="14078" max="14079" width="9.85546875" style="3" customWidth="1"/>
    <col min="14080" max="14080" width="11.140625" style="3" customWidth="1"/>
    <col min="14081" max="14081" width="2.85546875" style="3" customWidth="1"/>
    <col min="14082" max="14082" width="3.5703125" style="3" customWidth="1"/>
    <col min="14083" max="14327" width="9.140625" style="3"/>
    <col min="14328" max="14328" width="8.7109375" style="3" customWidth="1"/>
    <col min="14329" max="14329" width="9.85546875" style="3" customWidth="1"/>
    <col min="14330" max="14330" width="14.42578125" style="3" customWidth="1"/>
    <col min="14331" max="14331" width="7.28515625" style="3" customWidth="1"/>
    <col min="14332" max="14332" width="5.5703125" style="3" customWidth="1"/>
    <col min="14333" max="14333" width="9" style="3" customWidth="1"/>
    <col min="14334" max="14335" width="9.85546875" style="3" customWidth="1"/>
    <col min="14336" max="14336" width="11.140625" style="3" customWidth="1"/>
    <col min="14337" max="14337" width="2.85546875" style="3" customWidth="1"/>
    <col min="14338" max="14338" width="3.5703125" style="3" customWidth="1"/>
    <col min="14339" max="14583" width="9.140625" style="3"/>
    <col min="14584" max="14584" width="8.7109375" style="3" customWidth="1"/>
    <col min="14585" max="14585" width="9.85546875" style="3" customWidth="1"/>
    <col min="14586" max="14586" width="14.42578125" style="3" customWidth="1"/>
    <col min="14587" max="14587" width="7.28515625" style="3" customWidth="1"/>
    <col min="14588" max="14588" width="5.5703125" style="3" customWidth="1"/>
    <col min="14589" max="14589" width="9" style="3" customWidth="1"/>
    <col min="14590" max="14591" width="9.85546875" style="3" customWidth="1"/>
    <col min="14592" max="14592" width="11.140625" style="3" customWidth="1"/>
    <col min="14593" max="14593" width="2.85546875" style="3" customWidth="1"/>
    <col min="14594" max="14594" width="3.5703125" style="3" customWidth="1"/>
    <col min="14595" max="14839" width="9.140625" style="3"/>
    <col min="14840" max="14840" width="8.7109375" style="3" customWidth="1"/>
    <col min="14841" max="14841" width="9.85546875" style="3" customWidth="1"/>
    <col min="14842" max="14842" width="14.42578125" style="3" customWidth="1"/>
    <col min="14843" max="14843" width="7.28515625" style="3" customWidth="1"/>
    <col min="14844" max="14844" width="5.5703125" style="3" customWidth="1"/>
    <col min="14845" max="14845" width="9" style="3" customWidth="1"/>
    <col min="14846" max="14847" width="9.85546875" style="3" customWidth="1"/>
    <col min="14848" max="14848" width="11.140625" style="3" customWidth="1"/>
    <col min="14849" max="14849" width="2.85546875" style="3" customWidth="1"/>
    <col min="14850" max="14850" width="3.5703125" style="3" customWidth="1"/>
    <col min="14851" max="15095" width="9.140625" style="3"/>
    <col min="15096" max="15096" width="8.7109375" style="3" customWidth="1"/>
    <col min="15097" max="15097" width="9.85546875" style="3" customWidth="1"/>
    <col min="15098" max="15098" width="14.42578125" style="3" customWidth="1"/>
    <col min="15099" max="15099" width="7.28515625" style="3" customWidth="1"/>
    <col min="15100" max="15100" width="5.5703125" style="3" customWidth="1"/>
    <col min="15101" max="15101" width="9" style="3" customWidth="1"/>
    <col min="15102" max="15103" width="9.85546875" style="3" customWidth="1"/>
    <col min="15104" max="15104" width="11.140625" style="3" customWidth="1"/>
    <col min="15105" max="15105" width="2.85546875" style="3" customWidth="1"/>
    <col min="15106" max="15106" width="3.5703125" style="3" customWidth="1"/>
    <col min="15107" max="15351" width="9.140625" style="3"/>
    <col min="15352" max="15352" width="8.7109375" style="3" customWidth="1"/>
    <col min="15353" max="15353" width="9.85546875" style="3" customWidth="1"/>
    <col min="15354" max="15354" width="14.42578125" style="3" customWidth="1"/>
    <col min="15355" max="15355" width="7.28515625" style="3" customWidth="1"/>
    <col min="15356" max="15356" width="5.5703125" style="3" customWidth="1"/>
    <col min="15357" max="15357" width="9" style="3" customWidth="1"/>
    <col min="15358" max="15359" width="9.85546875" style="3" customWidth="1"/>
    <col min="15360" max="15360" width="11.140625" style="3" customWidth="1"/>
    <col min="15361" max="15361" width="2.85546875" style="3" customWidth="1"/>
    <col min="15362" max="15362" width="3.5703125" style="3" customWidth="1"/>
    <col min="15363" max="15607" width="9.140625" style="3"/>
    <col min="15608" max="15608" width="8.7109375" style="3" customWidth="1"/>
    <col min="15609" max="15609" width="9.85546875" style="3" customWidth="1"/>
    <col min="15610" max="15610" width="14.42578125" style="3" customWidth="1"/>
    <col min="15611" max="15611" width="7.28515625" style="3" customWidth="1"/>
    <col min="15612" max="15612" width="5.5703125" style="3" customWidth="1"/>
    <col min="15613" max="15613" width="9" style="3" customWidth="1"/>
    <col min="15614" max="15615" width="9.85546875" style="3" customWidth="1"/>
    <col min="15616" max="15616" width="11.140625" style="3" customWidth="1"/>
    <col min="15617" max="15617" width="2.85546875" style="3" customWidth="1"/>
    <col min="15618" max="15618" width="3.5703125" style="3" customWidth="1"/>
    <col min="15619" max="15863" width="9.140625" style="3"/>
    <col min="15864" max="15864" width="8.7109375" style="3" customWidth="1"/>
    <col min="15865" max="15865" width="9.85546875" style="3" customWidth="1"/>
    <col min="15866" max="15866" width="14.42578125" style="3" customWidth="1"/>
    <col min="15867" max="15867" width="7.28515625" style="3" customWidth="1"/>
    <col min="15868" max="15868" width="5.5703125" style="3" customWidth="1"/>
    <col min="15869" max="15869" width="9" style="3" customWidth="1"/>
    <col min="15870" max="15871" width="9.85546875" style="3" customWidth="1"/>
    <col min="15872" max="15872" width="11.140625" style="3" customWidth="1"/>
    <col min="15873" max="15873" width="2.85546875" style="3" customWidth="1"/>
    <col min="15874" max="15874" width="3.5703125" style="3" customWidth="1"/>
    <col min="15875" max="16119" width="9.140625" style="3"/>
    <col min="16120" max="16120" width="8.7109375" style="3" customWidth="1"/>
    <col min="16121" max="16121" width="9.85546875" style="3" customWidth="1"/>
    <col min="16122" max="16122" width="14.42578125" style="3" customWidth="1"/>
    <col min="16123" max="16123" width="7.28515625" style="3" customWidth="1"/>
    <col min="16124" max="16124" width="5.5703125" style="3" customWidth="1"/>
    <col min="16125" max="16125" width="9" style="3" customWidth="1"/>
    <col min="16126" max="16127" width="9.85546875" style="3" customWidth="1"/>
    <col min="16128" max="16128" width="11.140625" style="3" customWidth="1"/>
    <col min="16129" max="16129" width="2.85546875" style="3" customWidth="1"/>
    <col min="16130" max="16130" width="3.5703125" style="3" customWidth="1"/>
    <col min="16131" max="16384" width="9.140625" style="3"/>
  </cols>
  <sheetData>
    <row r="1" spans="1:12" ht="46.5" customHeight="1" x14ac:dyDescent="0.25">
      <c r="A1" s="219" t="s">
        <v>201</v>
      </c>
      <c r="B1" s="219"/>
      <c r="C1" s="219"/>
      <c r="D1" s="219"/>
      <c r="E1" s="219"/>
      <c r="F1" s="219"/>
      <c r="G1" s="219"/>
      <c r="H1" s="219"/>
    </row>
    <row r="2" spans="1:12" ht="16.5" customHeight="1" x14ac:dyDescent="0.25">
      <c r="A2" s="220" t="s">
        <v>0</v>
      </c>
      <c r="B2" s="220"/>
      <c r="C2" s="220"/>
      <c r="D2" s="220"/>
      <c r="E2" s="220"/>
      <c r="F2" s="220"/>
      <c r="G2" s="220"/>
      <c r="H2" s="220"/>
    </row>
    <row r="3" spans="1:12" x14ac:dyDescent="0.25">
      <c r="A3" s="92" t="s">
        <v>1</v>
      </c>
      <c r="B3" s="92"/>
      <c r="C3" s="92"/>
      <c r="D3" s="92"/>
      <c r="E3" s="221" t="str">
        <f ca="1">TEXT(TODAY(),"DD/MM/YYYY")</f>
        <v>20/09/2025</v>
      </c>
      <c r="F3" s="221"/>
      <c r="G3" s="221"/>
      <c r="H3" s="221"/>
    </row>
    <row r="4" spans="1:12" ht="15" customHeight="1" x14ac:dyDescent="0.25">
      <c r="A4" s="92" t="s">
        <v>2</v>
      </c>
      <c r="B4" s="92"/>
      <c r="C4" s="92"/>
      <c r="D4" s="92"/>
      <c r="E4" s="223" t="s">
        <v>154</v>
      </c>
      <c r="F4" s="223"/>
      <c r="G4" s="223"/>
      <c r="H4" s="223"/>
    </row>
    <row r="5" spans="1:12" x14ac:dyDescent="0.25">
      <c r="A5" s="92" t="s">
        <v>3</v>
      </c>
      <c r="B5" s="92"/>
      <c r="C5" s="92"/>
      <c r="D5" s="92"/>
      <c r="E5" s="226">
        <v>45908</v>
      </c>
      <c r="F5" s="226"/>
      <c r="G5" s="226"/>
      <c r="H5" s="226"/>
    </row>
    <row r="6" spans="1:12" ht="16.5" customHeight="1" x14ac:dyDescent="0.25">
      <c r="A6" s="92" t="s">
        <v>4</v>
      </c>
      <c r="B6" s="92"/>
      <c r="C6" s="92"/>
      <c r="D6" s="92"/>
      <c r="E6" s="227" t="s">
        <v>192</v>
      </c>
      <c r="F6" s="227"/>
      <c r="G6" s="227"/>
      <c r="H6" s="227"/>
    </row>
    <row r="7" spans="1:12" ht="15" customHeight="1" x14ac:dyDescent="0.25">
      <c r="A7" s="92" t="s">
        <v>5</v>
      </c>
      <c r="B7" s="92"/>
      <c r="C7" s="92"/>
      <c r="D7" s="92"/>
      <c r="E7" s="227" t="str">
        <f>E6</f>
        <v>M/s. Suncity Infrastructures (Mumbai) LLP</v>
      </c>
      <c r="F7" s="227"/>
      <c r="G7" s="227"/>
      <c r="H7" s="227"/>
    </row>
    <row r="8" spans="1:12" x14ac:dyDescent="0.25">
      <c r="A8" s="92" t="s">
        <v>6</v>
      </c>
      <c r="B8" s="92"/>
      <c r="C8" s="92"/>
      <c r="D8" s="92"/>
      <c r="E8" s="222" t="s">
        <v>166</v>
      </c>
      <c r="F8" s="222"/>
      <c r="G8" s="222"/>
      <c r="H8" s="222"/>
    </row>
    <row r="9" spans="1:12" x14ac:dyDescent="0.25">
      <c r="A9" s="92" t="s">
        <v>121</v>
      </c>
      <c r="B9" s="92"/>
      <c r="C9" s="92"/>
      <c r="D9" s="92"/>
      <c r="E9" s="92" t="s">
        <v>237</v>
      </c>
      <c r="F9" s="92"/>
      <c r="G9" s="92"/>
      <c r="H9" s="92"/>
    </row>
    <row r="10" spans="1:12" x14ac:dyDescent="0.25">
      <c r="A10" s="92" t="s">
        <v>205</v>
      </c>
      <c r="B10" s="92"/>
      <c r="C10" s="92"/>
      <c r="D10" s="92"/>
      <c r="E10" s="92" t="s">
        <v>257</v>
      </c>
      <c r="F10" s="92"/>
      <c r="G10" s="92"/>
      <c r="H10" s="92"/>
      <c r="I10" s="92" t="s">
        <v>236</v>
      </c>
      <c r="J10" s="92"/>
      <c r="K10" s="92"/>
      <c r="L10" s="92"/>
    </row>
    <row r="11" spans="1:12" x14ac:dyDescent="0.25">
      <c r="A11" s="225" t="s">
        <v>7</v>
      </c>
      <c r="B11" s="225"/>
      <c r="C11" s="225"/>
      <c r="D11" s="225"/>
      <c r="E11" s="225" t="s">
        <v>251</v>
      </c>
      <c r="F11" s="225"/>
      <c r="G11" s="225"/>
      <c r="H11" s="225"/>
    </row>
    <row r="12" spans="1:12" ht="15.75" customHeight="1" x14ac:dyDescent="0.25">
      <c r="A12" s="92" t="s">
        <v>8</v>
      </c>
      <c r="B12" s="92"/>
      <c r="C12" s="92"/>
      <c r="D12" s="92"/>
      <c r="E12" s="228" t="s">
        <v>254</v>
      </c>
      <c r="F12" s="228"/>
      <c r="G12" s="228"/>
      <c r="H12" s="228"/>
    </row>
    <row r="13" spans="1:12" ht="50.45" customHeight="1" x14ac:dyDescent="0.25">
      <c r="A13" s="92" t="s">
        <v>9</v>
      </c>
      <c r="B13" s="92"/>
      <c r="C13" s="92"/>
      <c r="D13" s="92"/>
      <c r="E13" s="228" t="s">
        <v>210</v>
      </c>
      <c r="F13" s="225"/>
      <c r="G13" s="225"/>
      <c r="H13" s="225"/>
    </row>
    <row r="14" spans="1:12" ht="32.25" customHeight="1" x14ac:dyDescent="0.25">
      <c r="A14" s="227" t="s">
        <v>10</v>
      </c>
      <c r="B14" s="227"/>
      <c r="C14" s="227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Godrej Bayview Vashi, Plot No.18 &amp; Plot 3, Sector 9, near India Maharaja CHS, Dayanshwar Marg, Vashi, Vashi East, Thane, Thane - 400703.</v>
      </c>
      <c r="D14" s="227"/>
      <c r="E14" s="227"/>
      <c r="F14" s="227"/>
      <c r="G14" s="227"/>
      <c r="H14" s="227"/>
    </row>
    <row r="15" spans="1:12" x14ac:dyDescent="0.25">
      <c r="A15" s="114" t="s">
        <v>162</v>
      </c>
      <c r="B15" s="114"/>
      <c r="C15" s="114" t="s">
        <v>161</v>
      </c>
      <c r="D15" s="114"/>
      <c r="E15" s="114"/>
      <c r="F15" s="114"/>
      <c r="G15" s="114"/>
      <c r="H15" s="114"/>
    </row>
    <row r="16" spans="1:12" ht="15.75" customHeight="1" x14ac:dyDescent="0.25">
      <c r="A16" s="140" t="s">
        <v>11</v>
      </c>
      <c r="B16" s="140"/>
      <c r="C16" s="182" t="s">
        <v>155</v>
      </c>
      <c r="D16" s="182"/>
      <c r="E16" s="140" t="s">
        <v>76</v>
      </c>
      <c r="F16" s="140"/>
      <c r="G16" s="114" t="s">
        <v>157</v>
      </c>
      <c r="H16" s="114"/>
    </row>
    <row r="17" spans="1:8" x14ac:dyDescent="0.25">
      <c r="A17" s="139" t="s">
        <v>13</v>
      </c>
      <c r="B17" s="139"/>
      <c r="C17" s="114" t="s">
        <v>160</v>
      </c>
      <c r="D17" s="114"/>
      <c r="E17" s="140" t="s">
        <v>12</v>
      </c>
      <c r="F17" s="140"/>
      <c r="G17" s="229" t="s">
        <v>158</v>
      </c>
      <c r="H17" s="229"/>
    </row>
    <row r="18" spans="1:8" x14ac:dyDescent="0.25">
      <c r="A18" s="139" t="s">
        <v>77</v>
      </c>
      <c r="B18" s="139"/>
      <c r="C18" s="114" t="s">
        <v>158</v>
      </c>
      <c r="D18" s="114"/>
      <c r="E18" s="140" t="s">
        <v>14</v>
      </c>
      <c r="F18" s="140"/>
      <c r="G18" s="114">
        <v>400703</v>
      </c>
      <c r="H18" s="114"/>
    </row>
    <row r="19" spans="1:8" ht="32.25" customHeight="1" x14ac:dyDescent="0.25">
      <c r="A19" s="139" t="s">
        <v>122</v>
      </c>
      <c r="B19" s="139"/>
      <c r="C19" s="224" t="s">
        <v>156</v>
      </c>
      <c r="D19" s="224"/>
      <c r="E19" s="140" t="s">
        <v>15</v>
      </c>
      <c r="F19" s="140"/>
      <c r="G19" s="114" t="s">
        <v>159</v>
      </c>
      <c r="H19" s="114"/>
    </row>
    <row r="20" spans="1:8" ht="15" customHeight="1" x14ac:dyDescent="0.25">
      <c r="A20" s="140" t="s">
        <v>80</v>
      </c>
      <c r="B20" s="140"/>
      <c r="C20" s="140"/>
      <c r="D20" s="140"/>
      <c r="E20" s="182" t="s">
        <v>16</v>
      </c>
      <c r="F20" s="182"/>
      <c r="G20" s="182"/>
      <c r="H20" s="182"/>
    </row>
    <row r="21" spans="1:8" ht="18.75" customHeight="1" x14ac:dyDescent="0.25">
      <c r="A21" s="140"/>
      <c r="B21" s="140"/>
      <c r="C21" s="140"/>
      <c r="D21" s="140"/>
      <c r="E21" s="182"/>
      <c r="F21" s="182"/>
      <c r="G21" s="182"/>
      <c r="H21" s="182"/>
    </row>
    <row r="22" spans="1:8" ht="15" customHeight="1" x14ac:dyDescent="0.25">
      <c r="A22" s="140" t="s">
        <v>17</v>
      </c>
      <c r="B22" s="140"/>
      <c r="C22" s="140"/>
      <c r="D22" s="140"/>
      <c r="E22" s="114" t="s">
        <v>18</v>
      </c>
      <c r="F22" s="114"/>
      <c r="G22" s="114"/>
      <c r="H22" s="114"/>
    </row>
    <row r="23" spans="1:8" ht="15" customHeight="1" x14ac:dyDescent="0.25">
      <c r="A23" s="139" t="s">
        <v>19</v>
      </c>
      <c r="B23" s="139"/>
      <c r="C23" s="139"/>
      <c r="D23" s="139"/>
      <c r="E23" s="114" t="str">
        <f>IF(AND(G17="Mumbai"),"Upper Class","Middle Class")</f>
        <v>Middle Class</v>
      </c>
      <c r="F23" s="114"/>
      <c r="G23" s="114"/>
      <c r="H23" s="114"/>
    </row>
    <row r="24" spans="1:8" x14ac:dyDescent="0.25">
      <c r="A24" s="139" t="s">
        <v>20</v>
      </c>
      <c r="B24" s="139"/>
      <c r="C24" s="139"/>
      <c r="D24" s="139"/>
      <c r="E24" s="114" t="s">
        <v>21</v>
      </c>
      <c r="F24" s="114"/>
      <c r="G24" s="114"/>
      <c r="H24" s="114"/>
    </row>
    <row r="25" spans="1:8" ht="15.75" customHeight="1" x14ac:dyDescent="0.25">
      <c r="A25" s="139" t="s">
        <v>22</v>
      </c>
      <c r="B25" s="139"/>
      <c r="C25" s="139"/>
      <c r="D25" s="139"/>
      <c r="E25" s="114" t="str">
        <f>IF(AND(G17="Mumbai"),"Developed","Developing")</f>
        <v>Developing</v>
      </c>
      <c r="F25" s="114"/>
      <c r="G25" s="114"/>
      <c r="H25" s="114"/>
    </row>
    <row r="26" spans="1:8" x14ac:dyDescent="0.25">
      <c r="A26" s="139" t="s">
        <v>23</v>
      </c>
      <c r="B26" s="139"/>
      <c r="C26" s="139"/>
      <c r="D26" s="139"/>
      <c r="E26" s="114" t="s">
        <v>24</v>
      </c>
      <c r="F26" s="114"/>
      <c r="G26" s="114"/>
      <c r="H26" s="114"/>
    </row>
    <row r="27" spans="1:8" x14ac:dyDescent="0.25">
      <c r="A27" s="139" t="s">
        <v>85</v>
      </c>
      <c r="B27" s="139"/>
      <c r="C27" s="139"/>
      <c r="D27" s="139"/>
      <c r="E27" s="114" t="s">
        <v>86</v>
      </c>
      <c r="F27" s="114"/>
      <c r="G27" s="114"/>
      <c r="H27" s="114"/>
    </row>
    <row r="28" spans="1:8" ht="15" customHeight="1" x14ac:dyDescent="0.25">
      <c r="A28" s="140" t="s">
        <v>33</v>
      </c>
      <c r="B28" s="140"/>
      <c r="C28" s="140"/>
      <c r="D28" s="140"/>
      <c r="E28" s="223" t="s">
        <v>164</v>
      </c>
      <c r="F28" s="223"/>
      <c r="G28" s="223"/>
      <c r="H28" s="223"/>
    </row>
    <row r="29" spans="1:8" x14ac:dyDescent="0.25">
      <c r="A29" s="140" t="s">
        <v>97</v>
      </c>
      <c r="B29" s="140"/>
      <c r="C29" s="140"/>
      <c r="D29" s="140"/>
      <c r="E29" s="140" t="s">
        <v>34</v>
      </c>
      <c r="F29" s="140"/>
      <c r="G29" s="140"/>
      <c r="H29" s="140"/>
    </row>
    <row r="30" spans="1:8" s="6" customFormat="1" x14ac:dyDescent="0.25">
      <c r="A30" s="233" t="s">
        <v>98</v>
      </c>
      <c r="B30" s="233"/>
      <c r="C30" s="232" t="s">
        <v>29</v>
      </c>
      <c r="D30" s="232"/>
      <c r="E30" s="232"/>
      <c r="F30" s="232" t="s">
        <v>31</v>
      </c>
      <c r="G30" s="232"/>
      <c r="H30" s="232"/>
    </row>
    <row r="31" spans="1:8" s="6" customFormat="1" x14ac:dyDescent="0.25">
      <c r="A31" s="230" t="s">
        <v>25</v>
      </c>
      <c r="B31" s="230" t="s">
        <v>30</v>
      </c>
      <c r="C31" s="231" t="s">
        <v>250</v>
      </c>
      <c r="D31" s="231"/>
      <c r="E31" s="231"/>
      <c r="F31" s="231" t="s">
        <v>250</v>
      </c>
      <c r="G31" s="231"/>
      <c r="H31" s="231"/>
    </row>
    <row r="32" spans="1:8" x14ac:dyDescent="0.25">
      <c r="A32" s="230" t="s">
        <v>26</v>
      </c>
      <c r="B32" s="230" t="s">
        <v>30</v>
      </c>
      <c r="C32" s="231" t="s">
        <v>247</v>
      </c>
      <c r="D32" s="231"/>
      <c r="E32" s="231"/>
      <c r="F32" s="231" t="s">
        <v>248</v>
      </c>
      <c r="G32" s="231"/>
      <c r="H32" s="231"/>
    </row>
    <row r="33" spans="1:8" s="6" customFormat="1" x14ac:dyDescent="0.25">
      <c r="A33" s="230" t="s">
        <v>28</v>
      </c>
      <c r="B33" s="230" t="s">
        <v>30</v>
      </c>
      <c r="C33" s="231" t="s">
        <v>249</v>
      </c>
      <c r="D33" s="231"/>
      <c r="E33" s="231"/>
      <c r="F33" s="231" t="s">
        <v>249</v>
      </c>
      <c r="G33" s="231"/>
      <c r="H33" s="231"/>
    </row>
    <row r="34" spans="1:8" x14ac:dyDescent="0.25">
      <c r="A34" s="230" t="s">
        <v>27</v>
      </c>
      <c r="B34" s="230" t="s">
        <v>30</v>
      </c>
      <c r="C34" s="231" t="s">
        <v>246</v>
      </c>
      <c r="D34" s="231"/>
      <c r="E34" s="231"/>
      <c r="F34" s="231" t="s">
        <v>163</v>
      </c>
      <c r="G34" s="231"/>
      <c r="H34" s="231"/>
    </row>
    <row r="35" spans="1:8" x14ac:dyDescent="0.25">
      <c r="A35" s="139" t="s">
        <v>32</v>
      </c>
      <c r="B35" s="139"/>
      <c r="C35" s="139"/>
      <c r="D35" s="139"/>
      <c r="E35" s="139"/>
      <c r="F35" s="139"/>
      <c r="G35" s="139"/>
      <c r="H35" s="139"/>
    </row>
    <row r="36" spans="1:8" ht="15.75" customHeight="1" x14ac:dyDescent="0.25">
      <c r="A36" s="132" t="s">
        <v>211</v>
      </c>
      <c r="B36" s="132"/>
      <c r="C36" s="234" t="s">
        <v>212</v>
      </c>
      <c r="D36" s="235"/>
      <c r="E36" s="235"/>
      <c r="F36" s="235"/>
      <c r="G36" s="235"/>
      <c r="H36" s="236"/>
    </row>
    <row r="37" spans="1:8" ht="15.75" customHeight="1" x14ac:dyDescent="0.25">
      <c r="A37" s="132" t="s">
        <v>202</v>
      </c>
      <c r="B37" s="132"/>
      <c r="C37" s="237" t="s">
        <v>213</v>
      </c>
      <c r="D37" s="235"/>
      <c r="E37" s="235"/>
      <c r="F37" s="235"/>
      <c r="G37" s="235"/>
      <c r="H37" s="236"/>
    </row>
    <row r="38" spans="1:8" x14ac:dyDescent="0.25">
      <c r="A38" s="132" t="s">
        <v>35</v>
      </c>
      <c r="B38" s="132"/>
      <c r="C38" s="132"/>
      <c r="D38" s="132"/>
      <c r="E38" s="132"/>
      <c r="F38" s="132"/>
      <c r="G38" s="132"/>
      <c r="H38" s="132"/>
    </row>
    <row r="39" spans="1:8" x14ac:dyDescent="0.25">
      <c r="A39" s="139" t="s">
        <v>36</v>
      </c>
      <c r="B39" s="139"/>
      <c r="C39" s="139"/>
      <c r="D39" s="139"/>
      <c r="E39" s="238">
        <v>18272.71</v>
      </c>
      <c r="F39" s="238"/>
      <c r="G39" s="238"/>
      <c r="H39" s="238"/>
    </row>
    <row r="40" spans="1:8" x14ac:dyDescent="0.25">
      <c r="A40" s="139" t="s">
        <v>37</v>
      </c>
      <c r="B40" s="139"/>
      <c r="C40" s="139"/>
      <c r="D40" s="139"/>
      <c r="E40" s="211">
        <v>3</v>
      </c>
      <c r="F40" s="211"/>
      <c r="G40" s="211"/>
      <c r="H40" s="211"/>
    </row>
    <row r="41" spans="1:8" x14ac:dyDescent="0.25">
      <c r="A41" s="139" t="s">
        <v>38</v>
      </c>
      <c r="B41" s="139"/>
      <c r="C41" s="139"/>
      <c r="D41" s="139"/>
      <c r="E41" s="211">
        <f>E43/E39-E40</f>
        <v>-3.4899311596364058E-2</v>
      </c>
      <c r="F41" s="211"/>
      <c r="G41" s="211"/>
      <c r="H41" s="211"/>
    </row>
    <row r="42" spans="1:8" x14ac:dyDescent="0.25">
      <c r="A42" s="139" t="s">
        <v>39</v>
      </c>
      <c r="B42" s="139"/>
      <c r="C42" s="139"/>
      <c r="D42" s="139"/>
      <c r="E42" s="211">
        <f>E40+E41</f>
        <v>2.9651006884036359</v>
      </c>
      <c r="F42" s="211"/>
      <c r="G42" s="211"/>
      <c r="H42" s="211"/>
    </row>
    <row r="43" spans="1:8" x14ac:dyDescent="0.25">
      <c r="A43" s="139" t="s">
        <v>96</v>
      </c>
      <c r="B43" s="139"/>
      <c r="C43" s="139"/>
      <c r="D43" s="139"/>
      <c r="E43" s="212">
        <v>54180.425000000003</v>
      </c>
      <c r="F43" s="212"/>
      <c r="G43" s="212"/>
      <c r="H43" s="212"/>
    </row>
    <row r="44" spans="1:8" x14ac:dyDescent="0.25">
      <c r="A44" s="182" t="s">
        <v>40</v>
      </c>
      <c r="B44" s="182"/>
      <c r="C44" s="182"/>
      <c r="D44" s="182"/>
      <c r="E44" s="182" t="s">
        <v>214</v>
      </c>
      <c r="F44" s="182"/>
      <c r="G44" s="182"/>
      <c r="H44" s="182"/>
    </row>
    <row r="45" spans="1:8" x14ac:dyDescent="0.25">
      <c r="A45" s="132" t="s">
        <v>41</v>
      </c>
      <c r="B45" s="132"/>
      <c r="C45" s="132"/>
      <c r="D45" s="132"/>
      <c r="E45" s="132"/>
      <c r="F45" s="132"/>
      <c r="G45" s="132"/>
      <c r="H45" s="132"/>
    </row>
    <row r="46" spans="1:8" ht="33.75" customHeight="1" x14ac:dyDescent="0.25">
      <c r="A46" s="213" t="s">
        <v>152</v>
      </c>
      <c r="B46" s="214"/>
      <c r="C46" s="215" t="s">
        <v>165</v>
      </c>
      <c r="D46" s="216"/>
      <c r="E46" s="216"/>
      <c r="F46" s="216"/>
      <c r="G46" s="216"/>
      <c r="H46" s="217"/>
    </row>
    <row r="47" spans="1:8" x14ac:dyDescent="0.25">
      <c r="A47" s="114" t="s">
        <v>42</v>
      </c>
      <c r="B47" s="114"/>
      <c r="C47" s="115" t="s">
        <v>215</v>
      </c>
      <c r="D47" s="115"/>
      <c r="E47" s="115"/>
      <c r="F47" s="55" t="s">
        <v>43</v>
      </c>
      <c r="G47" s="117">
        <v>45677</v>
      </c>
      <c r="H47" s="117"/>
    </row>
    <row r="48" spans="1:8" x14ac:dyDescent="0.25">
      <c r="A48" s="182" t="s">
        <v>44</v>
      </c>
      <c r="B48" s="182"/>
      <c r="C48" s="115" t="str">
        <f>C47</f>
        <v>NMMCC/RB/2025/APL/00086</v>
      </c>
      <c r="D48" s="115"/>
      <c r="E48" s="115"/>
      <c r="F48" s="55" t="s">
        <v>43</v>
      </c>
      <c r="G48" s="117">
        <f>G47</f>
        <v>45677</v>
      </c>
      <c r="H48" s="117"/>
    </row>
    <row r="49" spans="1:9" s="5" customFormat="1" ht="32.25" customHeight="1" x14ac:dyDescent="0.25">
      <c r="A49" s="114" t="s">
        <v>217</v>
      </c>
      <c r="B49" s="114"/>
      <c r="C49" s="115" t="s">
        <v>167</v>
      </c>
      <c r="D49" s="116"/>
      <c r="E49" s="116"/>
      <c r="F49" s="7" t="s">
        <v>43</v>
      </c>
      <c r="G49" s="117">
        <v>44351</v>
      </c>
      <c r="H49" s="117"/>
    </row>
    <row r="50" spans="1:9" s="5" customFormat="1" ht="17.25" customHeight="1" x14ac:dyDescent="0.25">
      <c r="A50" s="114"/>
      <c r="B50" s="114"/>
      <c r="C50" s="111" t="s">
        <v>218</v>
      </c>
      <c r="D50" s="112"/>
      <c r="E50" s="112"/>
      <c r="F50" s="112"/>
      <c r="G50" s="112"/>
      <c r="H50" s="113"/>
    </row>
    <row r="51" spans="1:9" s="5" customFormat="1" ht="32.450000000000003" customHeight="1" x14ac:dyDescent="0.25">
      <c r="A51" s="114" t="s">
        <v>217</v>
      </c>
      <c r="B51" s="114"/>
      <c r="C51" s="115" t="s">
        <v>215</v>
      </c>
      <c r="D51" s="116"/>
      <c r="E51" s="116"/>
      <c r="F51" s="7" t="s">
        <v>43</v>
      </c>
      <c r="G51" s="117">
        <v>45677</v>
      </c>
      <c r="H51" s="117"/>
    </row>
    <row r="52" spans="1:9" s="5" customFormat="1" ht="17.25" customHeight="1" x14ac:dyDescent="0.25">
      <c r="A52" s="114"/>
      <c r="B52" s="114"/>
      <c r="C52" s="111" t="s">
        <v>216</v>
      </c>
      <c r="D52" s="112"/>
      <c r="E52" s="112"/>
      <c r="F52" s="112"/>
      <c r="G52" s="112"/>
      <c r="H52" s="113"/>
    </row>
    <row r="53" spans="1:9" s="5" customFormat="1" x14ac:dyDescent="0.25">
      <c r="A53" s="114" t="s">
        <v>241</v>
      </c>
      <c r="B53" s="114"/>
      <c r="C53" s="115" t="s">
        <v>238</v>
      </c>
      <c r="D53" s="116"/>
      <c r="E53" s="116"/>
      <c r="F53" s="7" t="s">
        <v>43</v>
      </c>
      <c r="G53" s="117">
        <v>43892</v>
      </c>
      <c r="H53" s="117"/>
    </row>
    <row r="54" spans="1:9" s="5" customFormat="1" ht="33.6" customHeight="1" x14ac:dyDescent="0.25">
      <c r="A54" s="114"/>
      <c r="B54" s="114"/>
      <c r="C54" s="111" t="s">
        <v>239</v>
      </c>
      <c r="D54" s="112"/>
      <c r="E54" s="112"/>
      <c r="F54" s="112"/>
      <c r="G54" s="112"/>
      <c r="H54" s="113"/>
    </row>
    <row r="55" spans="1:9" s="5" customFormat="1" x14ac:dyDescent="0.25">
      <c r="A55" s="114" t="s">
        <v>240</v>
      </c>
      <c r="B55" s="114"/>
      <c r="C55" s="115" t="s">
        <v>253</v>
      </c>
      <c r="D55" s="116"/>
      <c r="E55" s="116"/>
      <c r="F55" s="7" t="s">
        <v>43</v>
      </c>
      <c r="G55" s="117">
        <v>45639</v>
      </c>
      <c r="H55" s="117"/>
    </row>
    <row r="56" spans="1:9" s="5" customFormat="1" ht="36" customHeight="1" x14ac:dyDescent="0.25">
      <c r="A56" s="114"/>
      <c r="B56" s="114"/>
      <c r="C56" s="111" t="s">
        <v>252</v>
      </c>
      <c r="D56" s="112"/>
      <c r="E56" s="112"/>
      <c r="F56" s="112"/>
      <c r="G56" s="112"/>
      <c r="H56" s="113"/>
    </row>
    <row r="57" spans="1:9" s="5" customFormat="1" x14ac:dyDescent="0.25">
      <c r="A57" s="114" t="s">
        <v>242</v>
      </c>
      <c r="B57" s="114"/>
      <c r="C57" s="115" t="s">
        <v>243</v>
      </c>
      <c r="D57" s="116"/>
      <c r="E57" s="116"/>
      <c r="F57" s="7" t="s">
        <v>43</v>
      </c>
      <c r="G57" s="117">
        <v>43703</v>
      </c>
      <c r="H57" s="117"/>
    </row>
    <row r="58" spans="1:9" s="5" customFormat="1" ht="46.15" customHeight="1" x14ac:dyDescent="0.25">
      <c r="A58" s="114"/>
      <c r="B58" s="114"/>
      <c r="C58" s="115" t="s">
        <v>244</v>
      </c>
      <c r="D58" s="116"/>
      <c r="E58" s="116"/>
      <c r="F58" s="85" t="s">
        <v>245</v>
      </c>
      <c r="G58" s="117">
        <v>46624</v>
      </c>
      <c r="H58" s="117"/>
    </row>
    <row r="59" spans="1:9" s="5" customFormat="1" x14ac:dyDescent="0.25">
      <c r="A59" s="100" t="s">
        <v>45</v>
      </c>
      <c r="B59" s="100"/>
      <c r="C59" s="184" t="s">
        <v>105</v>
      </c>
      <c r="D59" s="131"/>
      <c r="E59" s="131" t="s">
        <v>46</v>
      </c>
      <c r="F59" s="56" t="s">
        <v>43</v>
      </c>
      <c r="G59" s="183" t="s">
        <v>30</v>
      </c>
      <c r="H59" s="183"/>
    </row>
    <row r="60" spans="1:9" x14ac:dyDescent="0.25">
      <c r="A60" s="185" t="s">
        <v>48</v>
      </c>
      <c r="B60" s="185"/>
      <c r="C60" s="185"/>
      <c r="D60" s="185"/>
      <c r="E60" s="185"/>
      <c r="F60" s="185"/>
      <c r="G60" s="185"/>
      <c r="H60" s="185"/>
    </row>
    <row r="61" spans="1:9" x14ac:dyDescent="0.25">
      <c r="A61" s="114" t="s">
        <v>95</v>
      </c>
      <c r="B61" s="114"/>
      <c r="C61" s="114"/>
      <c r="D61" s="182">
        <f>E43</f>
        <v>54180.425000000003</v>
      </c>
      <c r="E61" s="182"/>
      <c r="F61" s="182"/>
      <c r="G61" s="182"/>
      <c r="H61" s="182"/>
    </row>
    <row r="62" spans="1:9" x14ac:dyDescent="0.25">
      <c r="A62" s="114" t="s">
        <v>49</v>
      </c>
      <c r="B62" s="182"/>
      <c r="C62" s="182"/>
      <c r="D62" s="182" t="s">
        <v>219</v>
      </c>
      <c r="E62" s="182"/>
      <c r="F62" s="182"/>
      <c r="G62" s="182"/>
      <c r="H62" s="182"/>
      <c r="I62" s="37"/>
    </row>
    <row r="63" spans="1:9" ht="33" customHeight="1" x14ac:dyDescent="0.25">
      <c r="A63" s="144" t="s">
        <v>50</v>
      </c>
      <c r="B63" s="145"/>
      <c r="C63" s="146"/>
      <c r="D63" s="186" t="s">
        <v>220</v>
      </c>
      <c r="E63" s="187"/>
      <c r="F63" s="187"/>
      <c r="G63" s="187"/>
      <c r="H63" s="187"/>
      <c r="I63" s="38"/>
    </row>
    <row r="64" spans="1:9" ht="15.75" customHeight="1" x14ac:dyDescent="0.25">
      <c r="A64" s="144" t="s">
        <v>93</v>
      </c>
      <c r="B64" s="145"/>
      <c r="C64" s="146"/>
      <c r="D64" s="141" t="s">
        <v>216</v>
      </c>
      <c r="E64" s="142"/>
      <c r="F64" s="142"/>
      <c r="G64" s="142"/>
      <c r="H64" s="143"/>
      <c r="I64" s="38"/>
    </row>
    <row r="65" spans="1:14" ht="15.75" customHeight="1" x14ac:dyDescent="0.25">
      <c r="A65" s="147"/>
      <c r="B65" s="148"/>
      <c r="C65" s="149"/>
      <c r="D65" s="141" t="s">
        <v>168</v>
      </c>
      <c r="E65" s="142"/>
      <c r="F65" s="142"/>
      <c r="G65" s="142"/>
      <c r="H65" s="143"/>
      <c r="I65" s="38"/>
    </row>
    <row r="66" spans="1:14" ht="34.9" customHeight="1" x14ac:dyDescent="0.25">
      <c r="A66" s="139" t="s">
        <v>47</v>
      </c>
      <c r="B66" s="139"/>
      <c r="C66" s="239"/>
      <c r="D66" s="140" t="s">
        <v>235</v>
      </c>
      <c r="E66" s="140"/>
      <c r="F66" s="140"/>
      <c r="G66" s="140"/>
      <c r="H66" s="140"/>
      <c r="J66" s="36"/>
      <c r="K66" s="37"/>
      <c r="N66" s="37"/>
    </row>
    <row r="67" spans="1:14" ht="15.75" customHeight="1" x14ac:dyDescent="0.25">
      <c r="A67" s="139" t="s">
        <v>91</v>
      </c>
      <c r="B67" s="139"/>
      <c r="C67" s="139"/>
      <c r="D67" s="240" t="str">
        <f>(IF(G59="NA","60 Years After Completion",IF(G59&lt;&gt;"NA",""&amp;60-ROUNDDOWN((E3-G59)/360,0)&amp;" Years"," ")))</f>
        <v>60 Years After Completion</v>
      </c>
      <c r="E67" s="240"/>
      <c r="F67" s="240"/>
      <c r="G67" s="240"/>
      <c r="H67" s="240"/>
      <c r="N67" s="37"/>
    </row>
    <row r="68" spans="1:14" ht="15.75" customHeight="1" x14ac:dyDescent="0.25">
      <c r="A68" s="139" t="s">
        <v>92</v>
      </c>
      <c r="B68" s="139"/>
      <c r="C68" s="139"/>
      <c r="D68" s="140" t="s">
        <v>24</v>
      </c>
      <c r="E68" s="140"/>
      <c r="F68" s="140"/>
      <c r="G68" s="140"/>
      <c r="H68" s="140"/>
      <c r="J68" s="12"/>
      <c r="K68" s="12"/>
    </row>
    <row r="69" spans="1:14" ht="15" hidden="1" customHeight="1" x14ac:dyDescent="0.25">
      <c r="A69" s="139" t="s">
        <v>78</v>
      </c>
      <c r="B69" s="139"/>
      <c r="C69" s="139"/>
      <c r="D69" s="114" t="s">
        <v>148</v>
      </c>
      <c r="E69" s="140"/>
      <c r="F69" s="140"/>
      <c r="G69" s="140"/>
      <c r="H69" s="140"/>
    </row>
    <row r="70" spans="1:14" x14ac:dyDescent="0.25">
      <c r="A70" s="140" t="s">
        <v>149</v>
      </c>
      <c r="B70" s="140"/>
      <c r="C70" s="140"/>
      <c r="D70" s="140" t="s">
        <v>30</v>
      </c>
      <c r="E70" s="140"/>
      <c r="F70" s="140"/>
      <c r="G70" s="140"/>
      <c r="H70" s="140"/>
      <c r="I70" s="48"/>
      <c r="J70" s="48"/>
      <c r="K70" s="48"/>
      <c r="L70" s="48"/>
      <c r="M70" s="48"/>
      <c r="N70" s="48"/>
    </row>
    <row r="71" spans="1:14" ht="15.75" customHeight="1" x14ac:dyDescent="0.25">
      <c r="A71" s="210" t="s">
        <v>90</v>
      </c>
      <c r="B71" s="210"/>
      <c r="C71" s="210"/>
      <c r="D71" s="186" t="str">
        <f ca="1">(IF(G105&gt;95%,"Nothing",IF(G105&gt;0%,"Cement, Aggregate, Steel, etc",IF(G105=0%,"Work not yet Started"))))</f>
        <v>Cement, Aggregate, Steel, etc</v>
      </c>
      <c r="E71" s="186"/>
      <c r="F71" s="186"/>
      <c r="G71" s="186"/>
      <c r="H71" s="186"/>
      <c r="J71" s="12"/>
    </row>
    <row r="72" spans="1:14" ht="33.75" customHeight="1" thickBot="1" x14ac:dyDescent="0.3">
      <c r="A72" s="218" t="s">
        <v>118</v>
      </c>
      <c r="B72" s="218"/>
      <c r="C72" s="218"/>
      <c r="D72" s="186" t="str">
        <f ca="1">(IF(D71="Nothing","Yes",IF(D71="Cement, Aggregate, Steel, etc","Under Construction",IF(D71="Work not yet Started","Work not yet Started"))))</f>
        <v>Under Construction</v>
      </c>
      <c r="E72" s="186"/>
      <c r="F72" s="186" t="str">
        <f ca="1">(IF(D71="Nothing","Yes",IF(D71="Cement, Aggregate, Steel, etc","Under Construction",IF(D71="Work not yet Started","Work not yet Started"))))</f>
        <v>Under Construction</v>
      </c>
      <c r="G72" s="186"/>
      <c r="H72" s="186"/>
    </row>
    <row r="73" spans="1:14" s="5" customFormat="1" ht="15.75" customHeight="1" x14ac:dyDescent="0.25">
      <c r="A73" s="93" t="s">
        <v>140</v>
      </c>
      <c r="B73" s="94"/>
      <c r="C73" s="95" t="str">
        <f>D64</f>
        <v>Tower 1 (Incentive) = 4B + G + 1st to 25th floor</v>
      </c>
      <c r="D73" s="96"/>
      <c r="E73" s="96"/>
      <c r="F73" s="96"/>
      <c r="G73" s="96"/>
      <c r="H73" s="97"/>
      <c r="I73" s="57" t="str">
        <f ca="1">(IF(E77&gt;99%,"All work completed. Please provide OC.",IF(E77&gt;89.8%,"Plinth, RCC, Brick, Plaster, Flooring, Painting work Completed. Finishing work is in process.",IF(E77&lt;94%,(IF(C77=0,"Work not yet Started.",IF(D77=25%,"Piling work in process",IF(D77=50%,"Excavation work in process",IF(D77=100%,"Excavation work Completed. ","0")))&amp;(IF(C78=0%,"",IF(C78=J79,"Footing work is process",IF(C78=J80,"Footing work Completed",IF(C78=J81,"1st Basement Completed",IF(C78=J82,"1st &amp; 2nd Basement Completed",IF(C78=J83,"1st to 3rd Basement Completed",IF(C78=J84,"1st to 4th Basement Completed",IF(C78=J85,"Plinth work is process",IF(C78=J86,"Plinth work completed","0")))))))))))&amp;(IF(C79=(D74+F74+H74),", RCC Slab",IF(C79&gt;0,", RCC upto "&amp;C79&amp;" Slab",""))&amp;(IF(C80=H74,", Brickwork",IF(C80&gt;0,", Brickwork upto "&amp;C80&amp;" Floor",""))&amp;(IF(C81=H74,", Internal Plaster",IF(C81&gt;0,", Internal Plaster upto "&amp;C81&amp;" Floor",""))&amp;(IF(C82=H74,", External Plaster",IF(C82&gt;0,", External Plaster upto "&amp;C82&amp;" Floor",""))&amp;(IF(C83=H74,", Flooring",IF(C83&gt;0,", Flooring upto "&amp;C83&amp;" Floor",""))&amp;(IF(C84=H74,", Painting",IF(C84&gt;0,", Painting upto "&amp;C84&amp;" Floor",""))&amp;(IF(C85&gt;0,", Finishing upto "&amp;C85&amp;" Floor","")&amp;(IF(C79&gt;0.5," Completed",""))))))))))))))</f>
        <v>Excavation work Completed. Plinth work completed</v>
      </c>
      <c r="J73" s="58"/>
    </row>
    <row r="74" spans="1:14" s="5" customFormat="1" x14ac:dyDescent="0.25">
      <c r="A74" s="42" t="s">
        <v>142</v>
      </c>
      <c r="B74" s="82">
        <v>4</v>
      </c>
      <c r="C74" s="82" t="s">
        <v>75</v>
      </c>
      <c r="D74" s="82">
        <v>1</v>
      </c>
      <c r="E74" s="82" t="s">
        <v>74</v>
      </c>
      <c r="F74" s="82">
        <v>0</v>
      </c>
      <c r="G74" s="82" t="s">
        <v>84</v>
      </c>
      <c r="H74" s="45">
        <f ca="1">--TRIM(RIGHT(SUBSTITUTE(LEFT(C73,_xlfn.AGGREGATE(16,6,FIND({0,1,2,3,4,5,6,7,8,9},C73,ROW(INDIRECT("1:"&amp;LEN(C73)))),1))," ",REPT(" ",LEN(C73))),LEN(C73)))</f>
        <v>25</v>
      </c>
      <c r="I74" s="59"/>
      <c r="J74" s="60"/>
    </row>
    <row r="75" spans="1:14" s="5" customFormat="1" ht="17.25" customHeight="1" x14ac:dyDescent="0.25">
      <c r="A75" s="98" t="s">
        <v>94</v>
      </c>
      <c r="B75" s="99"/>
      <c r="C75" s="100" t="str">
        <f ca="1">I73</f>
        <v>Excavation work Completed. Plinth work completed</v>
      </c>
      <c r="D75" s="100"/>
      <c r="E75" s="100"/>
      <c r="F75" s="100"/>
      <c r="G75" s="100"/>
      <c r="H75" s="101"/>
      <c r="I75" s="59" t="s">
        <v>104</v>
      </c>
      <c r="J75" s="60"/>
    </row>
    <row r="76" spans="1:14" s="5" customFormat="1" ht="15.75" customHeight="1" x14ac:dyDescent="0.25">
      <c r="A76" s="102" t="s">
        <v>51</v>
      </c>
      <c r="B76" s="103"/>
      <c r="C76" s="61" t="s">
        <v>139</v>
      </c>
      <c r="D76" s="81" t="s">
        <v>87</v>
      </c>
      <c r="E76" s="103" t="s">
        <v>89</v>
      </c>
      <c r="F76" s="103"/>
      <c r="G76" s="103" t="s">
        <v>88</v>
      </c>
      <c r="H76" s="104"/>
      <c r="I76" s="63" t="s">
        <v>141</v>
      </c>
      <c r="J76" s="64">
        <f ca="1">H74*25%</f>
        <v>6.25</v>
      </c>
    </row>
    <row r="77" spans="1:14" s="5" customFormat="1" x14ac:dyDescent="0.25">
      <c r="A77" s="102" t="s">
        <v>128</v>
      </c>
      <c r="B77" s="103"/>
      <c r="C77" s="65">
        <f ca="1">J78</f>
        <v>25</v>
      </c>
      <c r="D77" s="83">
        <f ca="1">((100/H74)*C77)/100</f>
        <v>1</v>
      </c>
      <c r="E77" s="105">
        <f ca="1">(((C78/H74*10)+(40/(D74+F74+H74)*C79)+(7.5/(H74)*C80)+(7.5/(H74)*C81)+(10/H74*C82)+(10/H74*C83)+(5/H74*C84)+(5/H74*C85)+(5/H74*C86))/100)</f>
        <v>0.1</v>
      </c>
      <c r="F77" s="105"/>
      <c r="G77" s="105">
        <f ca="1">((((C77/H74)*20)+((C78/H74)*25)+(30/(H74+F74+D74)*C79)+(5/H74*C80)+(5/H74*C81)+(5/H74*C82)+(5/H74*C83)+(0/H74*C84)+(0/H74*C85)+(5/H74*C86))/100)</f>
        <v>0.45</v>
      </c>
      <c r="H77" s="107"/>
      <c r="I77" s="63" t="s">
        <v>99</v>
      </c>
      <c r="J77" s="67">
        <f ca="1">H74*50%</f>
        <v>12.5</v>
      </c>
    </row>
    <row r="78" spans="1:14" s="5" customFormat="1" x14ac:dyDescent="0.25">
      <c r="A78" s="102" t="s">
        <v>52</v>
      </c>
      <c r="B78" s="103"/>
      <c r="C78" s="68">
        <f ca="1">J86</f>
        <v>25</v>
      </c>
      <c r="D78" s="83">
        <f ca="1">((100/H74)*C78)/100</f>
        <v>1</v>
      </c>
      <c r="E78" s="105"/>
      <c r="F78" s="105"/>
      <c r="G78" s="105"/>
      <c r="H78" s="107"/>
      <c r="I78" s="63" t="s">
        <v>100</v>
      </c>
      <c r="J78" s="67">
        <f ca="1">H74</f>
        <v>25</v>
      </c>
    </row>
    <row r="79" spans="1:14" s="5" customFormat="1" ht="15.75" customHeight="1" x14ac:dyDescent="0.25">
      <c r="A79" s="102" t="s">
        <v>129</v>
      </c>
      <c r="B79" s="103"/>
      <c r="C79" s="68">
        <v>0</v>
      </c>
      <c r="D79" s="83">
        <f ca="1">((100/(D74+F74+H74))*C79)/100</f>
        <v>0</v>
      </c>
      <c r="E79" s="105"/>
      <c r="F79" s="105"/>
      <c r="G79" s="105"/>
      <c r="H79" s="107"/>
      <c r="I79" s="63" t="s">
        <v>101</v>
      </c>
      <c r="J79" s="69">
        <f ca="1">(IF(B74&gt;1,(H74/(B74+2)),H74/4))</f>
        <v>4.166666666666667</v>
      </c>
    </row>
    <row r="80" spans="1:14" s="5" customFormat="1" ht="15.75" customHeight="1" x14ac:dyDescent="0.25">
      <c r="A80" s="102" t="s">
        <v>136</v>
      </c>
      <c r="B80" s="103" t="s">
        <v>130</v>
      </c>
      <c r="C80" s="65">
        <v>0</v>
      </c>
      <c r="D80" s="83">
        <f ca="1">((100/H74)*C80)/100</f>
        <v>0</v>
      </c>
      <c r="E80" s="105"/>
      <c r="F80" s="105"/>
      <c r="G80" s="105"/>
      <c r="H80" s="107"/>
      <c r="I80" s="63" t="s">
        <v>102</v>
      </c>
      <c r="J80" s="69">
        <f ca="1">(IF(B74&gt;1,(H74/(B74+2)+J79),H74/4+J79))</f>
        <v>8.3333333333333339</v>
      </c>
    </row>
    <row r="81" spans="1:10" s="5" customFormat="1" ht="15.75" customHeight="1" x14ac:dyDescent="0.25">
      <c r="A81" s="102" t="s">
        <v>137</v>
      </c>
      <c r="B81" s="103" t="s">
        <v>130</v>
      </c>
      <c r="C81" s="65">
        <v>0</v>
      </c>
      <c r="D81" s="83">
        <f ca="1">((100/H74)*C81)/100</f>
        <v>0</v>
      </c>
      <c r="E81" s="105"/>
      <c r="F81" s="105"/>
      <c r="G81" s="105"/>
      <c r="H81" s="107"/>
      <c r="I81" s="63" t="s">
        <v>146</v>
      </c>
      <c r="J81" s="69">
        <f ca="1">(IF(B74&gt;1,(H74/(B74+2)+J80),0))</f>
        <v>12.5</v>
      </c>
    </row>
    <row r="82" spans="1:10" s="5" customFormat="1" ht="15" customHeight="1" x14ac:dyDescent="0.25">
      <c r="A82" s="102" t="s">
        <v>135</v>
      </c>
      <c r="B82" s="103" t="s">
        <v>132</v>
      </c>
      <c r="C82" s="65">
        <v>0</v>
      </c>
      <c r="D82" s="83">
        <f ca="1">((100/(H74))*C82)/100</f>
        <v>0</v>
      </c>
      <c r="E82" s="105"/>
      <c r="F82" s="105"/>
      <c r="G82" s="105"/>
      <c r="H82" s="107"/>
      <c r="I82" s="63" t="s">
        <v>143</v>
      </c>
      <c r="J82" s="69">
        <f ca="1">(IF(B74&gt;2,(H74/(B74+2)+J81),0))</f>
        <v>16.666666666666668</v>
      </c>
    </row>
    <row r="83" spans="1:10" s="5" customFormat="1" ht="15.75" customHeight="1" x14ac:dyDescent="0.25">
      <c r="A83" s="102" t="s">
        <v>131</v>
      </c>
      <c r="B83" s="103" t="s">
        <v>131</v>
      </c>
      <c r="C83" s="65">
        <v>0</v>
      </c>
      <c r="D83" s="83">
        <f ca="1">((100/H74)*C83)/100</f>
        <v>0</v>
      </c>
      <c r="E83" s="105"/>
      <c r="F83" s="105"/>
      <c r="G83" s="105"/>
      <c r="H83" s="107"/>
      <c r="I83" s="63" t="s">
        <v>144</v>
      </c>
      <c r="J83" s="70">
        <f ca="1">(IF(B74&gt;3,(H74/(B74+2)+J82),0))</f>
        <v>20.833333333333336</v>
      </c>
    </row>
    <row r="84" spans="1:10" s="5" customFormat="1" ht="15.75" customHeight="1" x14ac:dyDescent="0.25">
      <c r="A84" s="102" t="s">
        <v>138</v>
      </c>
      <c r="B84" s="103"/>
      <c r="C84" s="65">
        <v>0</v>
      </c>
      <c r="D84" s="83">
        <f ca="1">((100/H74)*C84)/100</f>
        <v>0</v>
      </c>
      <c r="E84" s="105"/>
      <c r="F84" s="105"/>
      <c r="G84" s="105"/>
      <c r="H84" s="107"/>
      <c r="I84" s="63" t="s">
        <v>145</v>
      </c>
      <c r="J84" s="69">
        <f>(IF(B74&gt;4,(H74/(B74+2)+J83),0))</f>
        <v>0</v>
      </c>
    </row>
    <row r="85" spans="1:10" s="5" customFormat="1" ht="15.75" customHeight="1" x14ac:dyDescent="0.25">
      <c r="A85" s="102" t="s">
        <v>133</v>
      </c>
      <c r="B85" s="103" t="s">
        <v>133</v>
      </c>
      <c r="C85" s="65">
        <v>0</v>
      </c>
      <c r="D85" s="83">
        <f ca="1">((100/(H74))*C85)/100</f>
        <v>0</v>
      </c>
      <c r="E85" s="105"/>
      <c r="F85" s="105"/>
      <c r="G85" s="105"/>
      <c r="H85" s="107"/>
      <c r="I85" s="63" t="s">
        <v>147</v>
      </c>
      <c r="J85" s="69">
        <f>(IF(B74=1,(H74/(B74+3)+J80),IF(B74=0,(H74/4+J80),IF(B74&gt;1,0))))</f>
        <v>0</v>
      </c>
    </row>
    <row r="86" spans="1:10" s="5" customFormat="1" ht="16.5" thickBot="1" x14ac:dyDescent="0.3">
      <c r="A86" s="109" t="s">
        <v>134</v>
      </c>
      <c r="B86" s="110"/>
      <c r="C86" s="71">
        <v>0</v>
      </c>
      <c r="D86" s="84">
        <f ca="1">((100/(H74))*C86)/100</f>
        <v>0</v>
      </c>
      <c r="E86" s="106"/>
      <c r="F86" s="106"/>
      <c r="G86" s="106"/>
      <c r="H86" s="108"/>
      <c r="I86" s="73" t="s">
        <v>103</v>
      </c>
      <c r="J86" s="74">
        <f ca="1">(IF(B74&gt;1.5,(H74/(B74+2)+J80+MAX(0,J81-J80)+MAX(0,J82-J81)+MAX(0,J83-J82)+MAX(0,J84-J83)+MAX(0,J85-J84)),IF(B74=1,(H74/(B74+3)+J85),IF(B74=0,H74/4+J85))))</f>
        <v>25</v>
      </c>
    </row>
    <row r="87" spans="1:10" s="5" customFormat="1" ht="15.75" customHeight="1" x14ac:dyDescent="0.25">
      <c r="A87" s="93" t="s">
        <v>140</v>
      </c>
      <c r="B87" s="94"/>
      <c r="C87" s="95" t="s">
        <v>258</v>
      </c>
      <c r="D87" s="96"/>
      <c r="E87" s="96"/>
      <c r="F87" s="96"/>
      <c r="G87" s="96"/>
      <c r="H87" s="97"/>
      <c r="I87" s="57" t="str">
        <f ca="1">(IF(E91&gt;99%,"All work completed. Please provide OC.",IF(E91&gt;89.8%,"Plinth, RCC, Brick, Plaster, Flooring, Painting work Completed. Finishing work is in process.",IF(E91&lt;94%,(IF(C91=0,"Work not yet Started.",IF(D91=25%,"Piling work in process",IF(D91=50%,"Excavation work in process",IF(D91=100%,"Excavation work Completed. ","0")))&amp;(IF(C92=0%,"",IF(C92=J93,"Footing work is process",IF(C92=J94,"Footing work Completed",IF(C92=J95,"1st Basement Completed",IF(C92=J96,"1st &amp; 2nd Basement Completed",IF(C92=J97,"1st to 3rd Basement Completed",IF(C92=J98,"1st to 4th Basement Completed",IF(C92=J99,"Plinth work is process",IF(C92=J100,"Plinth work completed","0")))))))))))&amp;(IF(C93=(D88+F88+H88),", RCC Slab",IF(C93&gt;0,", RCC upto "&amp;C93&amp;" Slab",""))&amp;(IF(C94=H88,", Brickwork",IF(C94&gt;0,", Brickwork upto "&amp;C94&amp;" Floor",""))&amp;(IF(C95=H88,", Internal Plaster",IF(C95&gt;0,", Internal Plaster upto "&amp;C95&amp;" Floor",""))&amp;(IF(C96=H88,", External Plaster",IF(C96&gt;0,", External Plaster upto "&amp;C96&amp;" Floor",""))&amp;(IF(C97=H88,", Flooring",IF(C97&gt;0,", Flooring upto "&amp;C97&amp;" Floor",""))&amp;(IF(C98=H88,", Painting",IF(C98&gt;0,", Painting upto "&amp;C98&amp;" Floor",""))&amp;(IF(C99&gt;0,", Finishing upto "&amp;C99&amp;" Floor","")&amp;(IF(C93&gt;0.5," Completed",""))))))))))))))</f>
        <v>Excavation work Completed. Plinth work completed</v>
      </c>
      <c r="J87" s="58"/>
    </row>
    <row r="88" spans="1:10" s="5" customFormat="1" x14ac:dyDescent="0.25">
      <c r="A88" s="42" t="s">
        <v>142</v>
      </c>
      <c r="B88" s="90">
        <v>4</v>
      </c>
      <c r="C88" s="90" t="s">
        <v>75</v>
      </c>
      <c r="D88" s="90">
        <v>1</v>
      </c>
      <c r="E88" s="90" t="s">
        <v>74</v>
      </c>
      <c r="F88" s="90">
        <v>0</v>
      </c>
      <c r="G88" s="90" t="s">
        <v>84</v>
      </c>
      <c r="H88" s="45">
        <f ca="1">--TRIM(RIGHT(SUBSTITUTE(LEFT(C87,_xlfn.AGGREGATE(16,6,FIND({0,1,2,3,4,5,6,7,8,9},C87,ROW(INDIRECT("1:"&amp;LEN(C87)))),1))," ",REPT(" ",LEN(C87))),LEN(C87)))</f>
        <v>24</v>
      </c>
      <c r="I88" s="59"/>
      <c r="J88" s="60"/>
    </row>
    <row r="89" spans="1:10" s="5" customFormat="1" ht="17.25" customHeight="1" x14ac:dyDescent="0.25">
      <c r="A89" s="98" t="s">
        <v>94</v>
      </c>
      <c r="B89" s="99"/>
      <c r="C89" s="100" t="str">
        <f ca="1">I87</f>
        <v>Excavation work Completed. Plinth work completed</v>
      </c>
      <c r="D89" s="100"/>
      <c r="E89" s="100"/>
      <c r="F89" s="100"/>
      <c r="G89" s="100"/>
      <c r="H89" s="101"/>
      <c r="I89" s="59" t="s">
        <v>104</v>
      </c>
      <c r="J89" s="60"/>
    </row>
    <row r="90" spans="1:10" s="5" customFormat="1" ht="15.75" customHeight="1" x14ac:dyDescent="0.25">
      <c r="A90" s="102" t="s">
        <v>51</v>
      </c>
      <c r="B90" s="103"/>
      <c r="C90" s="61" t="s">
        <v>139</v>
      </c>
      <c r="D90" s="87" t="s">
        <v>87</v>
      </c>
      <c r="E90" s="103" t="s">
        <v>89</v>
      </c>
      <c r="F90" s="103"/>
      <c r="G90" s="103" t="s">
        <v>88</v>
      </c>
      <c r="H90" s="104"/>
      <c r="I90" s="63" t="s">
        <v>141</v>
      </c>
      <c r="J90" s="64">
        <f ca="1">H88*25%</f>
        <v>6</v>
      </c>
    </row>
    <row r="91" spans="1:10" s="5" customFormat="1" x14ac:dyDescent="0.25">
      <c r="A91" s="102" t="s">
        <v>128</v>
      </c>
      <c r="B91" s="103"/>
      <c r="C91" s="65">
        <v>24</v>
      </c>
      <c r="D91" s="88">
        <f ca="1">((100/H88)*C91)/100</f>
        <v>1</v>
      </c>
      <c r="E91" s="105">
        <f ca="1">(((C92/H88*10)+(40/(D88+F88+H88)*C93)+(7.5/(H88)*C94)+(7.5/(H88)*C95)+(10/H88*C96)+(10/H88*C97)+(5/H88*C98)+(5/H88*C99)+(5/H88*C100))/100)</f>
        <v>0.1</v>
      </c>
      <c r="F91" s="105"/>
      <c r="G91" s="105">
        <f ca="1">((((C91/H88)*20)+((C92/H88)*25)+(30/(H88+F88+D88)*C93)+(5/H88*C94)+(5/H88*C95)+(5/H88*C96)+(5/H88*C97)+(0/H88*C98)+(0/H88*C99)+(5/H88*C100))/100)</f>
        <v>0.45</v>
      </c>
      <c r="H91" s="107"/>
      <c r="I91" s="63" t="s">
        <v>99</v>
      </c>
      <c r="J91" s="67">
        <f ca="1">H88*50%</f>
        <v>12</v>
      </c>
    </row>
    <row r="92" spans="1:10" s="5" customFormat="1" x14ac:dyDescent="0.25">
      <c r="A92" s="102" t="s">
        <v>52</v>
      </c>
      <c r="B92" s="103"/>
      <c r="C92" s="68">
        <f ca="1">J100</f>
        <v>24</v>
      </c>
      <c r="D92" s="88">
        <f ca="1">((100/H88)*C92)/100</f>
        <v>1</v>
      </c>
      <c r="E92" s="105"/>
      <c r="F92" s="105"/>
      <c r="G92" s="105"/>
      <c r="H92" s="107"/>
      <c r="I92" s="63" t="s">
        <v>100</v>
      </c>
      <c r="J92" s="67">
        <f ca="1">H88</f>
        <v>24</v>
      </c>
    </row>
    <row r="93" spans="1:10" s="5" customFormat="1" ht="15.75" customHeight="1" x14ac:dyDescent="0.25">
      <c r="A93" s="102" t="s">
        <v>129</v>
      </c>
      <c r="B93" s="103"/>
      <c r="C93" s="68">
        <v>0</v>
      </c>
      <c r="D93" s="88">
        <f ca="1">((100/(D88+F88+H88))*C93)/100</f>
        <v>0</v>
      </c>
      <c r="E93" s="105"/>
      <c r="F93" s="105"/>
      <c r="G93" s="105"/>
      <c r="H93" s="107"/>
      <c r="I93" s="63" t="s">
        <v>101</v>
      </c>
      <c r="J93" s="69">
        <f ca="1">(IF(B88&gt;1,(H88/(B88+2)),H88/4))</f>
        <v>4</v>
      </c>
    </row>
    <row r="94" spans="1:10" s="5" customFormat="1" ht="15.75" customHeight="1" x14ac:dyDescent="0.25">
      <c r="A94" s="102" t="s">
        <v>136</v>
      </c>
      <c r="B94" s="103" t="s">
        <v>130</v>
      </c>
      <c r="C94" s="65">
        <v>0</v>
      </c>
      <c r="D94" s="88">
        <f ca="1">((100/H88)*C94)/100</f>
        <v>0</v>
      </c>
      <c r="E94" s="105"/>
      <c r="F94" s="105"/>
      <c r="G94" s="105"/>
      <c r="H94" s="107"/>
      <c r="I94" s="63" t="s">
        <v>102</v>
      </c>
      <c r="J94" s="69">
        <f ca="1">(IF(B88&gt;1,(H88/(B88+2)+J93),H88/4+J93))</f>
        <v>8</v>
      </c>
    </row>
    <row r="95" spans="1:10" s="5" customFormat="1" ht="15.75" customHeight="1" x14ac:dyDescent="0.25">
      <c r="A95" s="102" t="s">
        <v>137</v>
      </c>
      <c r="B95" s="103" t="s">
        <v>130</v>
      </c>
      <c r="C95" s="65">
        <v>0</v>
      </c>
      <c r="D95" s="88">
        <f ca="1">((100/H88)*C95)/100</f>
        <v>0</v>
      </c>
      <c r="E95" s="105"/>
      <c r="F95" s="105"/>
      <c r="G95" s="105"/>
      <c r="H95" s="107"/>
      <c r="I95" s="63" t="s">
        <v>146</v>
      </c>
      <c r="J95" s="69">
        <f ca="1">(IF(B88&gt;1,(H88/(B88+2)+J94),0))</f>
        <v>12</v>
      </c>
    </row>
    <row r="96" spans="1:10" s="5" customFormat="1" ht="15" customHeight="1" x14ac:dyDescent="0.25">
      <c r="A96" s="102" t="s">
        <v>135</v>
      </c>
      <c r="B96" s="103" t="s">
        <v>132</v>
      </c>
      <c r="C96" s="65">
        <v>0</v>
      </c>
      <c r="D96" s="88">
        <f ca="1">((100/(H88))*C96)/100</f>
        <v>0</v>
      </c>
      <c r="E96" s="105"/>
      <c r="F96" s="105"/>
      <c r="G96" s="105"/>
      <c r="H96" s="107"/>
      <c r="I96" s="63" t="s">
        <v>143</v>
      </c>
      <c r="J96" s="69">
        <f ca="1">(IF(B88&gt;2,(H88/(B88+2)+J95),0))</f>
        <v>16</v>
      </c>
    </row>
    <row r="97" spans="1:12" s="5" customFormat="1" ht="15.75" customHeight="1" x14ac:dyDescent="0.25">
      <c r="A97" s="102" t="s">
        <v>131</v>
      </c>
      <c r="B97" s="103" t="s">
        <v>131</v>
      </c>
      <c r="C97" s="65">
        <v>0</v>
      </c>
      <c r="D97" s="88">
        <f ca="1">((100/H88)*C97)/100</f>
        <v>0</v>
      </c>
      <c r="E97" s="105"/>
      <c r="F97" s="105"/>
      <c r="G97" s="105"/>
      <c r="H97" s="107"/>
      <c r="I97" s="63" t="s">
        <v>144</v>
      </c>
      <c r="J97" s="70">
        <f ca="1">(IF(B88&gt;3,(H88/(B88+2)+J96),0))</f>
        <v>20</v>
      </c>
    </row>
    <row r="98" spans="1:12" s="5" customFormat="1" ht="15.75" customHeight="1" x14ac:dyDescent="0.25">
      <c r="A98" s="102" t="s">
        <v>138</v>
      </c>
      <c r="B98" s="103"/>
      <c r="C98" s="65">
        <v>0</v>
      </c>
      <c r="D98" s="88">
        <f ca="1">((100/H88)*C98)/100</f>
        <v>0</v>
      </c>
      <c r="E98" s="105"/>
      <c r="F98" s="105"/>
      <c r="G98" s="105"/>
      <c r="H98" s="107"/>
      <c r="I98" s="63" t="s">
        <v>145</v>
      </c>
      <c r="J98" s="69">
        <f>(IF(B88&gt;4,(H88/(B88+2)+J97),0))</f>
        <v>0</v>
      </c>
    </row>
    <row r="99" spans="1:12" s="5" customFormat="1" ht="15.75" customHeight="1" x14ac:dyDescent="0.25">
      <c r="A99" s="102" t="s">
        <v>133</v>
      </c>
      <c r="B99" s="103" t="s">
        <v>133</v>
      </c>
      <c r="C99" s="65">
        <v>0</v>
      </c>
      <c r="D99" s="88">
        <f ca="1">((100/(H88))*C99)/100</f>
        <v>0</v>
      </c>
      <c r="E99" s="105"/>
      <c r="F99" s="105"/>
      <c r="G99" s="105"/>
      <c r="H99" s="107"/>
      <c r="I99" s="63" t="s">
        <v>147</v>
      </c>
      <c r="J99" s="69">
        <f>(IF(B88=1,(H88/(B88+3)+J94),IF(B88=0,(H88/4+J94),IF(B88&gt;1,0))))</f>
        <v>0</v>
      </c>
    </row>
    <row r="100" spans="1:12" s="5" customFormat="1" ht="16.5" thickBot="1" x14ac:dyDescent="0.3">
      <c r="A100" s="109" t="s">
        <v>134</v>
      </c>
      <c r="B100" s="110"/>
      <c r="C100" s="71">
        <v>0</v>
      </c>
      <c r="D100" s="89">
        <f ca="1">((100/(H88))*C100)/100</f>
        <v>0</v>
      </c>
      <c r="E100" s="106"/>
      <c r="F100" s="106"/>
      <c r="G100" s="106"/>
      <c r="H100" s="108"/>
      <c r="I100" s="73" t="s">
        <v>103</v>
      </c>
      <c r="J100" s="74">
        <f ca="1">(IF(B88&gt;1.5,(H88/(B88+2)+J94+MAX(0,J95-J94)+MAX(0,J96-J95)+MAX(0,J97-J96)+MAX(0,J98-J97)+MAX(0,J99-J98)),IF(B88=1,(H88/(B88+3)+J99),IF(B88=0,H88/4+J99))))</f>
        <v>24</v>
      </c>
    </row>
    <row r="101" spans="1:12" s="5" customFormat="1" ht="15.75" customHeight="1" x14ac:dyDescent="0.25">
      <c r="A101" s="93" t="s">
        <v>140</v>
      </c>
      <c r="B101" s="94"/>
      <c r="C101" s="95" t="s">
        <v>259</v>
      </c>
      <c r="D101" s="96"/>
      <c r="E101" s="96"/>
      <c r="F101" s="96"/>
      <c r="G101" s="96"/>
      <c r="H101" s="97"/>
      <c r="I101" s="57" t="str">
        <f ca="1">(IF(E105&gt;99%,"All work completed. Please provide OC.",IF(E105&gt;89.8%,"Plinth, RCC, Brick, Plaster, Flooring, Painting work Completed. Finishing work is in process.",IF(E105&lt;94%,(IF(C105=0,"Work not yet Started.",IF(D105=25%,"Piling work in process",IF(D105=50%,"Excavation work in process",IF(D105=100%,"Excavation work Completed. ","0")))&amp;(IF(C106=0%,"",IF(C106=J107,"Footing work is process",IF(C106=J108,"Footing work Completed",IF(C106=J109,"1st Basement Completed",IF(C106=J110,"1st &amp; 2nd Basement Completed",IF(C106=J111,"1st to 3rd Basement Completed",IF(C106=J112,"1st to 4th Basement Completed",IF(C106=J113,"Plinth work is process",IF(C106=J114,"Plinth work completed","0")))))))))))&amp;(IF(C107=(D102+F102+H102),", RCC Slab",IF(C107&gt;0,", RCC upto "&amp;C107&amp;" Slab",""))&amp;(IF(C108=H102,", Brickwork",IF(C108&gt;0,", Brickwork upto "&amp;C108&amp;" Floor",""))&amp;(IF(C109=H102,", Internal Plaster",IF(C109&gt;0,", Internal Plaster upto "&amp;C109&amp;" Floor",""))&amp;(IF(C110=H102,", External Plaster",IF(C110&gt;0,", External Plaster upto "&amp;C110&amp;" Floor",""))&amp;(IF(C111=H102,", Flooring",IF(C111&gt;0,", Flooring upto "&amp;C111&amp;" Floor",""))&amp;(IF(C112=H102,", Painting",IF(C112&gt;0,", Painting upto "&amp;C112&amp;" Floor",""))&amp;(IF(C113&gt;0,", Finishing upto "&amp;C113&amp;" Floor","")&amp;(IF(C107&gt;0.5," Completed",""))))))))))))))</f>
        <v>Excavation work Completed. Footing work is process</v>
      </c>
      <c r="J101" s="58"/>
    </row>
    <row r="102" spans="1:12" s="5" customFormat="1" x14ac:dyDescent="0.25">
      <c r="A102" s="42" t="s">
        <v>142</v>
      </c>
      <c r="B102" s="53">
        <v>4</v>
      </c>
      <c r="C102" s="53" t="s">
        <v>75</v>
      </c>
      <c r="D102" s="53">
        <v>1</v>
      </c>
      <c r="E102" s="53" t="s">
        <v>74</v>
      </c>
      <c r="F102" s="53">
        <v>0</v>
      </c>
      <c r="G102" s="53" t="s">
        <v>84</v>
      </c>
      <c r="H102" s="45">
        <f ca="1">--TRIM(RIGHT(SUBSTITUTE(LEFT(C101,_xlfn.AGGREGATE(16,6,FIND({0,1,2,3,4,5,6,7,8,9},C101,ROW(INDIRECT("1:"&amp;LEN(C101)))),1))," ",REPT(" ",LEN(C101))),LEN(C101)))</f>
        <v>24</v>
      </c>
      <c r="I102" s="59"/>
      <c r="J102" s="60"/>
    </row>
    <row r="103" spans="1:12" s="5" customFormat="1" ht="17.25" customHeight="1" x14ac:dyDescent="0.25">
      <c r="A103" s="98" t="s">
        <v>94</v>
      </c>
      <c r="B103" s="99"/>
      <c r="C103" s="100" t="str">
        <f ca="1">I101</f>
        <v>Excavation work Completed. Footing work is process</v>
      </c>
      <c r="D103" s="100"/>
      <c r="E103" s="100"/>
      <c r="F103" s="100"/>
      <c r="G103" s="100"/>
      <c r="H103" s="101"/>
      <c r="I103" s="59" t="s">
        <v>104</v>
      </c>
      <c r="J103" s="60"/>
    </row>
    <row r="104" spans="1:12" s="5" customFormat="1" ht="15.75" customHeight="1" x14ac:dyDescent="0.25">
      <c r="A104" s="102" t="s">
        <v>51</v>
      </c>
      <c r="B104" s="103"/>
      <c r="C104" s="61" t="s">
        <v>139</v>
      </c>
      <c r="D104" s="62" t="s">
        <v>87</v>
      </c>
      <c r="E104" s="103" t="s">
        <v>89</v>
      </c>
      <c r="F104" s="103"/>
      <c r="G104" s="103" t="s">
        <v>88</v>
      </c>
      <c r="H104" s="104"/>
      <c r="I104" s="63" t="s">
        <v>141</v>
      </c>
      <c r="J104" s="64">
        <f ca="1">H102*25%</f>
        <v>6</v>
      </c>
      <c r="L104" s="91" t="s">
        <v>260</v>
      </c>
    </row>
    <row r="105" spans="1:12" s="5" customFormat="1" x14ac:dyDescent="0.25">
      <c r="A105" s="102" t="s">
        <v>128</v>
      </c>
      <c r="B105" s="103"/>
      <c r="C105" s="65">
        <v>24</v>
      </c>
      <c r="D105" s="66">
        <f ca="1">((100/H102)*C105)/100</f>
        <v>1</v>
      </c>
      <c r="E105" s="105">
        <f ca="1">(((C106/H102*10)+(40/(D102+F102+H102)*C107)+(7.5/(H102)*C108)+(7.5/(H102)*C109)+(10/H102*C110)+(10/H102*C111)+(5/H102*C112)+(5/H102*C113)+(5/H102*C114))/100)</f>
        <v>1.6666666666666666E-2</v>
      </c>
      <c r="F105" s="105"/>
      <c r="G105" s="105">
        <f ca="1">((((C105/H102)*20)+((C106/H102)*25)+(30/(H102+F102+D102)*C107)+(5/H102*C108)+(5/H102*C109)+(5/H102*C110)+(5/H102*C111)+(0/H102*C112)+(0/H102*C113)+(5/H102*C114))/100)</f>
        <v>0.24166666666666664</v>
      </c>
      <c r="H105" s="107"/>
      <c r="I105" s="63" t="s">
        <v>99</v>
      </c>
      <c r="J105" s="67">
        <f ca="1">H102*50%</f>
        <v>12</v>
      </c>
    </row>
    <row r="106" spans="1:12" s="5" customFormat="1" x14ac:dyDescent="0.25">
      <c r="A106" s="102" t="s">
        <v>52</v>
      </c>
      <c r="B106" s="103"/>
      <c r="C106" s="68">
        <f ca="1">J107</f>
        <v>4</v>
      </c>
      <c r="D106" s="66">
        <f ca="1">((100/H102)*C106)/100</f>
        <v>0.16666666666666669</v>
      </c>
      <c r="E106" s="105"/>
      <c r="F106" s="105"/>
      <c r="G106" s="105"/>
      <c r="H106" s="107"/>
      <c r="I106" s="63" t="s">
        <v>100</v>
      </c>
      <c r="J106" s="67">
        <f ca="1">H102</f>
        <v>24</v>
      </c>
    </row>
    <row r="107" spans="1:12" s="5" customFormat="1" ht="15.75" customHeight="1" x14ac:dyDescent="0.25">
      <c r="A107" s="102" t="s">
        <v>129</v>
      </c>
      <c r="B107" s="103"/>
      <c r="C107" s="68">
        <v>0</v>
      </c>
      <c r="D107" s="66">
        <f ca="1">((100/(D102+F102+H102))*C107)/100</f>
        <v>0</v>
      </c>
      <c r="E107" s="105"/>
      <c r="F107" s="105"/>
      <c r="G107" s="105"/>
      <c r="H107" s="107"/>
      <c r="I107" s="63" t="s">
        <v>101</v>
      </c>
      <c r="J107" s="69">
        <f ca="1">(IF(B102&gt;1,(H102/(B102+2)),H102/4))</f>
        <v>4</v>
      </c>
    </row>
    <row r="108" spans="1:12" s="5" customFormat="1" ht="15.75" customHeight="1" x14ac:dyDescent="0.25">
      <c r="A108" s="102" t="s">
        <v>136</v>
      </c>
      <c r="B108" s="103" t="s">
        <v>130</v>
      </c>
      <c r="C108" s="65">
        <v>0</v>
      </c>
      <c r="D108" s="66">
        <f ca="1">((100/H102)*C108)/100</f>
        <v>0</v>
      </c>
      <c r="E108" s="105"/>
      <c r="F108" s="105"/>
      <c r="G108" s="105"/>
      <c r="H108" s="107"/>
      <c r="I108" s="63" t="s">
        <v>102</v>
      </c>
      <c r="J108" s="69">
        <f ca="1">(IF(B102&gt;1,(H102/(B102+2)+J107),H102/4+J107))</f>
        <v>8</v>
      </c>
    </row>
    <row r="109" spans="1:12" s="5" customFormat="1" ht="15.75" customHeight="1" x14ac:dyDescent="0.25">
      <c r="A109" s="102" t="s">
        <v>137</v>
      </c>
      <c r="B109" s="103" t="s">
        <v>130</v>
      </c>
      <c r="C109" s="65">
        <v>0</v>
      </c>
      <c r="D109" s="66">
        <f ca="1">((100/H102)*C109)/100</f>
        <v>0</v>
      </c>
      <c r="E109" s="105"/>
      <c r="F109" s="105"/>
      <c r="G109" s="105"/>
      <c r="H109" s="107"/>
      <c r="I109" s="63" t="s">
        <v>146</v>
      </c>
      <c r="J109" s="69">
        <f ca="1">(IF(B102&gt;1,(H102/(B102+2)+J108),0))</f>
        <v>12</v>
      </c>
    </row>
    <row r="110" spans="1:12" s="5" customFormat="1" ht="15" customHeight="1" x14ac:dyDescent="0.25">
      <c r="A110" s="102" t="s">
        <v>135</v>
      </c>
      <c r="B110" s="103" t="s">
        <v>132</v>
      </c>
      <c r="C110" s="65">
        <v>0</v>
      </c>
      <c r="D110" s="66">
        <f ca="1">((100/(H102))*C110)/100</f>
        <v>0</v>
      </c>
      <c r="E110" s="105"/>
      <c r="F110" s="105"/>
      <c r="G110" s="105"/>
      <c r="H110" s="107"/>
      <c r="I110" s="63" t="s">
        <v>143</v>
      </c>
      <c r="J110" s="69">
        <f ca="1">(IF(B102&gt;2,(H102/(B102+2)+J109),0))</f>
        <v>16</v>
      </c>
    </row>
    <row r="111" spans="1:12" s="5" customFormat="1" ht="15.75" customHeight="1" x14ac:dyDescent="0.25">
      <c r="A111" s="102" t="s">
        <v>131</v>
      </c>
      <c r="B111" s="103" t="s">
        <v>131</v>
      </c>
      <c r="C111" s="65">
        <v>0</v>
      </c>
      <c r="D111" s="66">
        <f ca="1">((100/H102)*C111)/100</f>
        <v>0</v>
      </c>
      <c r="E111" s="105"/>
      <c r="F111" s="105"/>
      <c r="G111" s="105"/>
      <c r="H111" s="107"/>
      <c r="I111" s="63" t="s">
        <v>144</v>
      </c>
      <c r="J111" s="70">
        <f ca="1">(IF(B102&gt;3,(H102/(B102+2)+J110),0))</f>
        <v>20</v>
      </c>
    </row>
    <row r="112" spans="1:12" s="5" customFormat="1" ht="15.75" customHeight="1" x14ac:dyDescent="0.25">
      <c r="A112" s="102" t="s">
        <v>138</v>
      </c>
      <c r="B112" s="103"/>
      <c r="C112" s="65">
        <v>0</v>
      </c>
      <c r="D112" s="66">
        <f ca="1">((100/H102)*C112)/100</f>
        <v>0</v>
      </c>
      <c r="E112" s="105"/>
      <c r="F112" s="105"/>
      <c r="G112" s="105"/>
      <c r="H112" s="107"/>
      <c r="I112" s="63" t="s">
        <v>145</v>
      </c>
      <c r="J112" s="69">
        <f>(IF(B102&gt;4,(H102/(B102+2)+J111),0))</f>
        <v>0</v>
      </c>
    </row>
    <row r="113" spans="1:10" s="5" customFormat="1" ht="15.75" customHeight="1" x14ac:dyDescent="0.25">
      <c r="A113" s="102" t="s">
        <v>133</v>
      </c>
      <c r="B113" s="103" t="s">
        <v>133</v>
      </c>
      <c r="C113" s="65">
        <v>0</v>
      </c>
      <c r="D113" s="66">
        <f ca="1">((100/(H102))*C113)/100</f>
        <v>0</v>
      </c>
      <c r="E113" s="105"/>
      <c r="F113" s="105"/>
      <c r="G113" s="105"/>
      <c r="H113" s="107"/>
      <c r="I113" s="63" t="s">
        <v>147</v>
      </c>
      <c r="J113" s="69">
        <f>(IF(B102=1,(H102/(B102+3)+J108),IF(B102=0,(H102/4+J108),IF(B102&gt;1,0))))</f>
        <v>0</v>
      </c>
    </row>
    <row r="114" spans="1:10" s="5" customFormat="1" ht="16.5" thickBot="1" x14ac:dyDescent="0.3">
      <c r="A114" s="109" t="s">
        <v>134</v>
      </c>
      <c r="B114" s="110"/>
      <c r="C114" s="71">
        <v>0</v>
      </c>
      <c r="D114" s="72">
        <f ca="1">((100/(H102))*C114)/100</f>
        <v>0</v>
      </c>
      <c r="E114" s="106"/>
      <c r="F114" s="106"/>
      <c r="G114" s="106"/>
      <c r="H114" s="108"/>
      <c r="I114" s="73" t="s">
        <v>103</v>
      </c>
      <c r="J114" s="74">
        <f ca="1">(IF(B102&gt;1.5,(H102/(B102+2)+J108+MAX(0,J109-J108)+MAX(0,J110-J109)+MAX(0,J111-J110)+MAX(0,J112-J111)+MAX(0,J113-J112)),IF(B102=1,(H102/(B102+3)+J113),IF(B102=0,H102/4+J113))))</f>
        <v>24</v>
      </c>
    </row>
    <row r="115" spans="1:10" x14ac:dyDescent="0.25">
      <c r="A115" s="132" t="s">
        <v>53</v>
      </c>
      <c r="B115" s="132"/>
      <c r="C115" s="132"/>
      <c r="D115" s="132"/>
      <c r="E115" s="132"/>
      <c r="F115" s="132"/>
      <c r="G115" s="132"/>
      <c r="H115" s="132"/>
      <c r="I115" s="3" t="s">
        <v>203</v>
      </c>
      <c r="J115" s="36">
        <v>45327</v>
      </c>
    </row>
    <row r="116" spans="1:10" x14ac:dyDescent="0.25">
      <c r="A116" s="139" t="s">
        <v>79</v>
      </c>
      <c r="B116" s="139"/>
      <c r="C116" s="139"/>
      <c r="D116" s="139"/>
      <c r="E116" s="139"/>
      <c r="F116" s="131">
        <v>24700</v>
      </c>
      <c r="G116" s="131"/>
      <c r="H116" s="131"/>
      <c r="I116" s="3" t="s">
        <v>207</v>
      </c>
      <c r="J116" s="3" t="s">
        <v>209</v>
      </c>
    </row>
    <row r="117" spans="1:10" x14ac:dyDescent="0.25">
      <c r="A117" s="139" t="s">
        <v>193</v>
      </c>
      <c r="B117" s="139"/>
      <c r="C117" s="139"/>
      <c r="D117" s="139"/>
      <c r="E117" s="139"/>
      <c r="F117" s="203">
        <v>75000</v>
      </c>
      <c r="G117" s="115"/>
      <c r="H117" s="115"/>
    </row>
    <row r="118" spans="1:10" x14ac:dyDescent="0.25">
      <c r="A118" s="140" t="s">
        <v>194</v>
      </c>
      <c r="B118" s="139"/>
      <c r="C118" s="139"/>
      <c r="D118" s="139"/>
      <c r="E118" s="139"/>
      <c r="F118" s="203">
        <v>25000</v>
      </c>
      <c r="G118" s="115"/>
      <c r="H118" s="115"/>
    </row>
    <row r="119" spans="1:10" x14ac:dyDescent="0.25">
      <c r="A119" s="139" t="s">
        <v>195</v>
      </c>
      <c r="B119" s="139"/>
      <c r="C119" s="139"/>
      <c r="D119" s="139"/>
      <c r="E119" s="139"/>
      <c r="F119" s="203">
        <v>50000</v>
      </c>
      <c r="G119" s="115"/>
      <c r="H119" s="115"/>
    </row>
    <row r="120" spans="1:10" hidden="1" x14ac:dyDescent="0.25">
      <c r="A120" s="139" t="s">
        <v>196</v>
      </c>
      <c r="B120" s="139"/>
      <c r="C120" s="139"/>
      <c r="D120" s="139"/>
      <c r="E120" s="139"/>
      <c r="F120" s="203">
        <v>15000</v>
      </c>
      <c r="G120" s="115"/>
      <c r="H120" s="115"/>
    </row>
    <row r="121" spans="1:10" x14ac:dyDescent="0.25">
      <c r="A121" s="139" t="s">
        <v>197</v>
      </c>
      <c r="B121" s="139"/>
      <c r="C121" s="139"/>
      <c r="D121" s="139"/>
      <c r="E121" s="139"/>
      <c r="F121" s="203">
        <v>25000</v>
      </c>
      <c r="G121" s="115"/>
      <c r="H121" s="115"/>
    </row>
    <row r="122" spans="1:10" x14ac:dyDescent="0.25">
      <c r="A122" s="139" t="s">
        <v>198</v>
      </c>
      <c r="B122" s="139"/>
      <c r="C122" s="139"/>
      <c r="D122" s="139"/>
      <c r="E122" s="139"/>
      <c r="F122" s="115">
        <v>600</v>
      </c>
      <c r="G122" s="115"/>
      <c r="H122" s="115"/>
    </row>
    <row r="123" spans="1:10" x14ac:dyDescent="0.25">
      <c r="A123" s="139" t="s">
        <v>199</v>
      </c>
      <c r="B123" s="139"/>
      <c r="C123" s="139"/>
      <c r="D123" s="139"/>
      <c r="E123" s="139"/>
      <c r="F123" s="203">
        <v>50000</v>
      </c>
      <c r="G123" s="115"/>
      <c r="H123" s="115"/>
    </row>
    <row r="124" spans="1:10" x14ac:dyDescent="0.25">
      <c r="A124" s="139" t="s">
        <v>200</v>
      </c>
      <c r="B124" s="139"/>
      <c r="C124" s="139"/>
      <c r="D124" s="139"/>
      <c r="E124" s="139"/>
      <c r="F124" s="203">
        <v>1000000</v>
      </c>
      <c r="G124" s="115"/>
      <c r="H124" s="115"/>
    </row>
    <row r="125" spans="1:10" s="4" customFormat="1" x14ac:dyDescent="0.25">
      <c r="A125" s="132" t="s">
        <v>54</v>
      </c>
      <c r="B125" s="132"/>
      <c r="C125" s="132"/>
      <c r="D125" s="132"/>
      <c r="E125" s="132"/>
      <c r="F125" s="116">
        <f>F116*0.8</f>
        <v>19760</v>
      </c>
      <c r="G125" s="116"/>
      <c r="H125" s="116"/>
    </row>
    <row r="126" spans="1:10" s="1" customFormat="1" x14ac:dyDescent="0.25">
      <c r="A126" s="152" t="s">
        <v>73</v>
      </c>
      <c r="B126" s="152"/>
      <c r="C126" s="152"/>
      <c r="D126" s="152"/>
      <c r="E126" s="152"/>
      <c r="F126" s="152"/>
      <c r="G126" s="152"/>
      <c r="H126" s="152"/>
    </row>
    <row r="127" spans="1:10" s="1" customFormat="1" ht="15.75" customHeight="1" x14ac:dyDescent="0.25">
      <c r="A127" s="208" t="s">
        <v>55</v>
      </c>
      <c r="B127" s="208"/>
      <c r="C127" s="151" t="s">
        <v>82</v>
      </c>
      <c r="D127" s="151"/>
      <c r="E127" s="209" t="s">
        <v>56</v>
      </c>
      <c r="F127" s="209"/>
      <c r="G127" s="208" t="s">
        <v>57</v>
      </c>
      <c r="H127" s="208"/>
    </row>
    <row r="128" spans="1:10" s="1" customFormat="1" x14ac:dyDescent="0.25">
      <c r="A128" s="128" t="s">
        <v>233</v>
      </c>
      <c r="B128" s="128"/>
      <c r="C128" s="129">
        <f>COUNT(D140:D142,D144)+COUNT(D146:D148,D150)+COUNT(D152:D156)*19+COUNT(D158:D159,D161:D162)*4</f>
        <v>119</v>
      </c>
      <c r="D128" s="129"/>
      <c r="E128" s="130">
        <f>SUM(D140:D142,D144)+SUM(D146:D148,D150)+SUM(D152:D156)*19+SUM(D158:D159,D161:D162)*4</f>
        <v>129001.470156</v>
      </c>
      <c r="F128" s="130"/>
      <c r="G128" s="130">
        <f>SUM(F140:F142,F144)+SUM(F146:F148,F150)+SUM(F152:F156)*19+SUM(F158:F159,F161:F162)*4</f>
        <v>212852.42575739996</v>
      </c>
      <c r="H128" s="130"/>
    </row>
    <row r="129" spans="1:14" s="1" customFormat="1" x14ac:dyDescent="0.25">
      <c r="A129" s="128" t="s">
        <v>190</v>
      </c>
      <c r="B129" s="128"/>
      <c r="C129" s="204">
        <f>COUNT(D168:D170)+COUNT(D172:D175)+COUNT(D177:D181)*8+COUNT(D183:D187)*8+COUNT(D189)+COUNT(D191:D193)+COUNT(D195)*2+COUNT(D197:D199)*2+COUNT(D201)+COUNT(D203:D205)+COUNT(D207:D211)+COUNT(D213:D217)</f>
        <v>113</v>
      </c>
      <c r="D129" s="204"/>
      <c r="E129" s="130">
        <f>SUM(D168:D170)+SUM(D172:D175)+SUM(D177:D181)*8+SUM(D183:D187)*8+SUM(D189)+SUM(D191:D193)+SUM(D195)*2+SUM(D197:D199)*2+SUM(D201)+SUM(D203:D205)+SUM(D207:D211)+SUM(D213:D217)</f>
        <v>83628.346931999986</v>
      </c>
      <c r="F129" s="130"/>
      <c r="G129" s="130">
        <f>SUM(F168:F170)+SUM(F172:F175)+SUM(F177:F181)*8+SUM(F183:F187)*8+SUM(F189)+SUM(F191:F193)+SUM(F195)*2+SUM(F197:F199)*2+SUM(F201)+SUM(F203:F205)+SUM(F207:F211)+SUM(F213:F217)</f>
        <v>143711.48743380001</v>
      </c>
      <c r="H129" s="130"/>
    </row>
    <row r="130" spans="1:14" s="1" customFormat="1" x14ac:dyDescent="0.25">
      <c r="A130" s="128" t="s">
        <v>191</v>
      </c>
      <c r="B130" s="128"/>
      <c r="C130" s="204">
        <f>COUNT(D225)+COUNT(D229:D230)+COUNT(D232:D237)*8+COUNT(D239:D244)*8+COUNT(D253)+COUNT(D255:D258)+COUNT(D260)*2+COUNT(D262:D265)*2+COUNT(D267)+COUNT(D269:D272)+COUNT(D274:D279)+COUNT(D281:D286)</f>
        <v>131</v>
      </c>
      <c r="D130" s="204"/>
      <c r="E130" s="130">
        <f>SUM(D225)+SUM(D229:D230)+SUM(D232:D237)*8+SUM(D239:D244)*8+SUM(D253)+SUM(D255:D258)+SUM(D260)*2+SUM(D262:D265)*2+SUM(D267)+SUM(D269:D272)+SUM(D274:D279)+SUM(D281:D286)</f>
        <v>101600.80397999998</v>
      </c>
      <c r="F130" s="130"/>
      <c r="G130" s="130">
        <f>SUM(F225)+SUM(F229:F230)+SUM(F232:F237)*8+SUM(F239:F244)*8+SUM(F253)+SUM(F255:F258)+SUM(F260)*2+SUM(F262:F265)*2+SUM(F267)+SUM(F269:F272)+SUM(F274:F279)+SUM(F281:F286)</f>
        <v>174168.84221100001</v>
      </c>
      <c r="H130" s="130"/>
    </row>
    <row r="131" spans="1:14" s="1" customFormat="1" x14ac:dyDescent="0.25">
      <c r="A131" s="152" t="s">
        <v>151</v>
      </c>
      <c r="B131" s="152"/>
      <c r="C131" s="150">
        <f>SUM(C128:D130)</f>
        <v>363</v>
      </c>
      <c r="D131" s="151"/>
      <c r="E131" s="150">
        <f>SUM(E128:F130)</f>
        <v>314230.62106799998</v>
      </c>
      <c r="F131" s="151"/>
      <c r="G131" s="150">
        <f>SUM(G128:H130)</f>
        <v>530732.75540220004</v>
      </c>
      <c r="H131" s="151"/>
    </row>
    <row r="132" spans="1:14" s="4" customFormat="1" x14ac:dyDescent="0.25">
      <c r="A132" s="133" t="s">
        <v>58</v>
      </c>
      <c r="B132" s="133"/>
      <c r="C132" s="133"/>
      <c r="D132" s="133"/>
      <c r="E132" s="133"/>
      <c r="F132" s="133"/>
      <c r="G132" s="133"/>
      <c r="H132" s="133"/>
    </row>
    <row r="133" spans="1:14" x14ac:dyDescent="0.25">
      <c r="A133" s="133" t="s">
        <v>59</v>
      </c>
      <c r="B133" s="133"/>
      <c r="C133" s="133"/>
      <c r="D133" s="133"/>
      <c r="E133" s="133"/>
      <c r="F133" s="133"/>
      <c r="G133" s="133"/>
      <c r="H133" s="133"/>
    </row>
    <row r="134" spans="1:14" ht="47.25" customHeight="1" x14ac:dyDescent="0.25">
      <c r="A134" s="176" t="s">
        <v>119</v>
      </c>
      <c r="B134" s="176" t="s">
        <v>120</v>
      </c>
      <c r="C134" s="174" t="s">
        <v>60</v>
      </c>
      <c r="D134" s="174" t="s">
        <v>61</v>
      </c>
      <c r="E134" s="178" t="s">
        <v>62</v>
      </c>
      <c r="F134" s="33" t="s">
        <v>150</v>
      </c>
      <c r="G134" s="176" t="s">
        <v>63</v>
      </c>
      <c r="H134" s="180"/>
      <c r="I134" s="30"/>
    </row>
    <row r="135" spans="1:14" s="32" customFormat="1" x14ac:dyDescent="0.25">
      <c r="A135" s="177"/>
      <c r="B135" s="177"/>
      <c r="C135" s="175"/>
      <c r="D135" s="175"/>
      <c r="E135" s="179"/>
      <c r="F135" s="28">
        <v>0.65</v>
      </c>
      <c r="G135" s="177"/>
      <c r="H135" s="181"/>
      <c r="I135" s="30"/>
    </row>
    <row r="136" spans="1:14" s="79" customFormat="1" x14ac:dyDescent="0.25">
      <c r="A136" s="135" t="s">
        <v>221</v>
      </c>
      <c r="B136" s="135"/>
      <c r="C136" s="135"/>
      <c r="D136" s="135"/>
      <c r="E136" s="135"/>
      <c r="F136" s="135"/>
      <c r="G136" s="135"/>
      <c r="H136" s="135"/>
      <c r="I136" s="30"/>
      <c r="L136" s="134"/>
      <c r="M136" s="134"/>
    </row>
    <row r="137" spans="1:14" s="79" customFormat="1" x14ac:dyDescent="0.25">
      <c r="A137" s="135" t="s">
        <v>222</v>
      </c>
      <c r="B137" s="135"/>
      <c r="C137" s="135"/>
      <c r="D137" s="135"/>
      <c r="E137" s="135"/>
      <c r="F137" s="135"/>
      <c r="G137" s="135"/>
      <c r="H137" s="135"/>
      <c r="I137" s="30"/>
      <c r="L137" s="134"/>
      <c r="M137" s="134"/>
    </row>
    <row r="138" spans="1:14" s="79" customFormat="1" x14ac:dyDescent="0.25">
      <c r="A138" s="135" t="s">
        <v>223</v>
      </c>
      <c r="B138" s="135"/>
      <c r="C138" s="135"/>
      <c r="D138" s="135"/>
      <c r="E138" s="135"/>
      <c r="F138" s="135"/>
      <c r="G138" s="135"/>
      <c r="H138" s="135"/>
      <c r="I138" s="30"/>
      <c r="L138" s="134"/>
      <c r="M138" s="134"/>
    </row>
    <row r="139" spans="1:14" s="79" customFormat="1" x14ac:dyDescent="0.25">
      <c r="A139" s="135" t="s">
        <v>224</v>
      </c>
      <c r="B139" s="135"/>
      <c r="C139" s="135"/>
      <c r="D139" s="135"/>
      <c r="E139" s="135"/>
      <c r="F139" s="135"/>
      <c r="G139" s="135"/>
      <c r="H139" s="135"/>
      <c r="I139" s="30"/>
      <c r="L139" s="134"/>
      <c r="M139" s="134"/>
    </row>
    <row r="140" spans="1:14" s="79" customFormat="1" x14ac:dyDescent="0.25">
      <c r="A140" s="118">
        <f>LEFT(A139,SUM(LEN(A139)-LEN(SUBSTITUTE(A139,{"0","1","2","3","4","5","6","7","8","9"},""))))*100+1</f>
        <v>101</v>
      </c>
      <c r="B140" s="118"/>
      <c r="C140" s="80" t="s">
        <v>175</v>
      </c>
      <c r="D140" s="80">
        <f>(70.962+4.591+4.458)*10.764</f>
        <v>861.23840399999995</v>
      </c>
      <c r="E140" s="80">
        <v>0</v>
      </c>
      <c r="F140" s="80">
        <f t="shared" ref="F140" si="0">D140*(($F$135)+1)+(IF(E140&lt;101,E140,IF(E140&lt;201,E140/2,IF(E140&lt;=301,E140/3,E140/4))))</f>
        <v>1421.0433665999999</v>
      </c>
      <c r="G140" s="122" t="str">
        <f>A139</f>
        <v>1st Floor For Residential</v>
      </c>
      <c r="H140" s="123"/>
      <c r="I140" s="30"/>
      <c r="N140" s="30"/>
    </row>
    <row r="141" spans="1:14" s="79" customFormat="1" x14ac:dyDescent="0.25">
      <c r="A141" s="118">
        <f>A140+1</f>
        <v>102</v>
      </c>
      <c r="B141" s="118"/>
      <c r="C141" s="80" t="s">
        <v>176</v>
      </c>
      <c r="D141" s="80">
        <f>(98.814+5.078+5.26)*10.764</f>
        <v>1174.9121279999999</v>
      </c>
      <c r="E141" s="80">
        <v>0</v>
      </c>
      <c r="F141" s="80">
        <f t="shared" ref="F141" si="1">D141*(($F$135)+1)+(IF(E141&lt;101,E141,IF(E141&lt;201,E141/2,IF(E141&lt;=301,E141/3,E141/4))))</f>
        <v>1938.6050111999998</v>
      </c>
      <c r="G141" s="124"/>
      <c r="H141" s="125"/>
      <c r="I141" s="30"/>
      <c r="N141" s="30"/>
    </row>
    <row r="142" spans="1:14" s="79" customFormat="1" x14ac:dyDescent="0.25">
      <c r="A142" s="118">
        <f>A141+1</f>
        <v>103</v>
      </c>
      <c r="B142" s="118"/>
      <c r="C142" s="80" t="s">
        <v>175</v>
      </c>
      <c r="D142" s="80">
        <f>(72.225+4.913+4.375)*10.764</f>
        <v>877.40593199999989</v>
      </c>
      <c r="E142" s="80">
        <v>0</v>
      </c>
      <c r="F142" s="80">
        <f>D142*(($F$135)+1)+(IF(E142&lt;101,E142,IF(E142&lt;201,E142/2,IF(E142&lt;=301,E142/3,E142/4))))</f>
        <v>1447.7197877999997</v>
      </c>
      <c r="G142" s="124"/>
      <c r="H142" s="125"/>
      <c r="I142" s="30"/>
      <c r="N142" s="30"/>
    </row>
    <row r="143" spans="1:14" s="79" customFormat="1" x14ac:dyDescent="0.25">
      <c r="A143" s="118">
        <f>A142+1</f>
        <v>104</v>
      </c>
      <c r="B143" s="118"/>
      <c r="C143" s="136" t="s">
        <v>178</v>
      </c>
      <c r="D143" s="137"/>
      <c r="E143" s="137"/>
      <c r="F143" s="138"/>
      <c r="G143" s="124"/>
      <c r="H143" s="125"/>
      <c r="I143" s="30"/>
      <c r="N143" s="30"/>
    </row>
    <row r="144" spans="1:14" s="79" customFormat="1" x14ac:dyDescent="0.25">
      <c r="A144" s="118">
        <f>A143+1</f>
        <v>105</v>
      </c>
      <c r="B144" s="118"/>
      <c r="C144" s="80" t="s">
        <v>176</v>
      </c>
      <c r="D144" s="80">
        <f>(104.999+5.162+5.26)*10.764</f>
        <v>1242.391644</v>
      </c>
      <c r="E144" s="80">
        <v>0</v>
      </c>
      <c r="F144" s="80">
        <f t="shared" ref="F144" si="2">D144*(($F$135)+1)+(IF(E144&lt;101,E144,IF(E144&lt;201,E144/2,IF(E144&lt;=301,E144/3,E144/4))))</f>
        <v>2049.9462125999999</v>
      </c>
      <c r="G144" s="126"/>
      <c r="H144" s="127"/>
      <c r="I144" s="30"/>
      <c r="N144" s="30"/>
    </row>
    <row r="145" spans="1:16" s="79" customFormat="1" x14ac:dyDescent="0.25">
      <c r="A145" s="135" t="s">
        <v>225</v>
      </c>
      <c r="B145" s="135"/>
      <c r="C145" s="135"/>
      <c r="D145" s="135"/>
      <c r="E145" s="135"/>
      <c r="F145" s="135"/>
      <c r="G145" s="135"/>
      <c r="H145" s="135"/>
      <c r="I145" s="30"/>
      <c r="L145" s="134"/>
      <c r="M145" s="134"/>
    </row>
    <row r="146" spans="1:16" s="79" customFormat="1" ht="15.75" customHeight="1" x14ac:dyDescent="0.25">
      <c r="A146" s="118">
        <f>LEFT(A145,SUM(LEN(A145)-LEN(SUBSTITUTE(A145,{"0","1","2","3","4","5","6","7","8","9"},""))))*100+1</f>
        <v>201</v>
      </c>
      <c r="B146" s="118"/>
      <c r="C146" s="80" t="s">
        <v>175</v>
      </c>
      <c r="D146" s="80">
        <f>(70.962+4.591+4.458)*10.764</f>
        <v>861.23840399999995</v>
      </c>
      <c r="E146" s="80">
        <v>0</v>
      </c>
      <c r="F146" s="80">
        <f t="shared" ref="F146:F147" si="3">D146*(($F$135)+1)+(IF(E146&lt;101,E146,IF(E146&lt;201,E146/2,IF(E146&lt;=301,E146/3,E146/4))))</f>
        <v>1421.0433665999999</v>
      </c>
      <c r="G146" s="122" t="str">
        <f>A145</f>
        <v>2nd Floor (Part Library &amp; Entry to E-Deck Floor)</v>
      </c>
      <c r="H146" s="123"/>
      <c r="I146" s="30"/>
      <c r="N146" s="30"/>
    </row>
    <row r="147" spans="1:16" s="79" customFormat="1" ht="15.75" customHeight="1" x14ac:dyDescent="0.25">
      <c r="A147" s="118">
        <f>A146+1</f>
        <v>202</v>
      </c>
      <c r="B147" s="118"/>
      <c r="C147" s="80" t="s">
        <v>176</v>
      </c>
      <c r="D147" s="80">
        <f>(98.814+5.078+5.26)*10.764</f>
        <v>1174.9121279999999</v>
      </c>
      <c r="E147" s="80">
        <v>0</v>
      </c>
      <c r="F147" s="80">
        <f t="shared" si="3"/>
        <v>1938.6050111999998</v>
      </c>
      <c r="G147" s="124"/>
      <c r="H147" s="125"/>
      <c r="I147" s="30"/>
      <c r="N147" s="30"/>
    </row>
    <row r="148" spans="1:16" s="79" customFormat="1" ht="15.75" customHeight="1" x14ac:dyDescent="0.25">
      <c r="A148" s="118">
        <f>A147+1</f>
        <v>203</v>
      </c>
      <c r="B148" s="118"/>
      <c r="C148" s="80" t="s">
        <v>175</v>
      </c>
      <c r="D148" s="80">
        <f>(72.225+4.913+4.375)*10.764</f>
        <v>877.40593199999989</v>
      </c>
      <c r="E148" s="80">
        <v>0</v>
      </c>
      <c r="F148" s="80">
        <f>D148*(($F$135)+1)+(IF(E148&lt;101,E148,IF(E148&lt;201,E148/2,IF(E148&lt;=301,E148/3,E148/4))))</f>
        <v>1447.7197877999997</v>
      </c>
      <c r="G148" s="124"/>
      <c r="H148" s="125"/>
      <c r="I148" s="30"/>
      <c r="N148" s="30"/>
    </row>
    <row r="149" spans="1:16" s="79" customFormat="1" ht="15.75" customHeight="1" x14ac:dyDescent="0.25">
      <c r="A149" s="118">
        <f>A148+1</f>
        <v>204</v>
      </c>
      <c r="B149" s="118"/>
      <c r="C149" s="136" t="s">
        <v>178</v>
      </c>
      <c r="D149" s="137"/>
      <c r="E149" s="137"/>
      <c r="F149" s="138"/>
      <c r="G149" s="124"/>
      <c r="H149" s="125"/>
      <c r="I149" s="30"/>
      <c r="N149" s="30"/>
    </row>
    <row r="150" spans="1:16" s="79" customFormat="1" ht="15.75" customHeight="1" x14ac:dyDescent="0.25">
      <c r="A150" s="118">
        <f>A149+1</f>
        <v>205</v>
      </c>
      <c r="B150" s="118"/>
      <c r="C150" s="80" t="s">
        <v>176</v>
      </c>
      <c r="D150" s="80">
        <f>(104.999+5.162+5.26)*10.764</f>
        <v>1242.391644</v>
      </c>
      <c r="E150" s="80">
        <v>0</v>
      </c>
      <c r="F150" s="80">
        <f>D150*(($F$135)+1)+(IF(E150&lt;101,E150,IF(E150&lt;201,E150/2,IF(E150&lt;=301,E150/3,E150/4))))</f>
        <v>2049.9462125999999</v>
      </c>
      <c r="G150" s="126"/>
      <c r="H150" s="127"/>
      <c r="I150" s="30"/>
      <c r="N150" s="30"/>
    </row>
    <row r="151" spans="1:16" s="79" customFormat="1" ht="15.75" customHeight="1" x14ac:dyDescent="0.25">
      <c r="A151" s="119" t="s">
        <v>226</v>
      </c>
      <c r="B151" s="120"/>
      <c r="C151" s="120"/>
      <c r="D151" s="120"/>
      <c r="E151" s="120"/>
      <c r="F151" s="120"/>
      <c r="G151" s="120"/>
      <c r="H151" s="121"/>
      <c r="I151" s="30"/>
      <c r="P151" s="31"/>
    </row>
    <row r="152" spans="1:16" s="79" customFormat="1" ht="15.75" customHeight="1" x14ac:dyDescent="0.25">
      <c r="A152" s="118" t="s">
        <v>228</v>
      </c>
      <c r="B152" s="118"/>
      <c r="C152" s="80" t="s">
        <v>175</v>
      </c>
      <c r="D152" s="80">
        <f>(70.962+4.591+4.458)*10.764</f>
        <v>861.23840399999995</v>
      </c>
      <c r="E152" s="80">
        <v>0</v>
      </c>
      <c r="F152" s="80">
        <f t="shared" ref="F152:F153" si="4">D152*(($F$135)+1)+(IF(E152&lt;101,E152,IF(E152&lt;201,E152/2,IF(E152&lt;=301,E152/3,E152/4))))</f>
        <v>1421.0433665999999</v>
      </c>
      <c r="G152" s="122" t="str">
        <f>A151</f>
        <v>3rd to 6th, 8th to 11th, 13th to 16th, 18th to 21st &amp; 23rd to 25th Floor</v>
      </c>
      <c r="H152" s="123"/>
      <c r="I152" s="30"/>
      <c r="N152" s="79" t="str">
        <f t="shared" ref="N152:N156" ca="1" si="5">O152&amp;""&amp;",..,"&amp;""&amp;P152</f>
        <v>3601,..,2501</v>
      </c>
      <c r="O152" s="79">
        <f ca="1">(SUMPRODUCT(MID(0&amp;(LEFT(A151,SUM(LEN(A151)-LEN(SUBSTITUTE(A151,{0,1,2},""))))), LARGE(INDEX(ISNUMBER(--MID((LEFT(A151,SUM(LEN(A151)-LEN(SUBSTITUTE(A151,{0,1,2},""))))), ROW(INDIRECT("1:"&amp;LEN((LEFT(A151,SUM(LEN(A151)-LEN(SUBSTITUTE(A151,{0,1,2},"")))))))), 1)) * ROW(INDIRECT("1:"&amp;LEN((LEFT(A151,SUM(LEN(A151)-LEN(SUBSTITUTE(A151,{0,1,2},"")))))))), 0), ROW(INDIRECT("1:"&amp;LEN((LEFT(A151,SUM(LEN(A151)-LEN(SUBSTITUTE(A151,{0,1,2},"")))))))))+1, 1) * 10^ROW(INDIRECT("1:"&amp;LEN((LEFT(A151,SUM(LEN(A151)-LEN(SUBSTITUTE(A151,{0,1,2},""))))))))/10))*100+1</f>
        <v>3601</v>
      </c>
      <c r="P152" s="79">
        <f ca="1">(SUMPRODUCT(MID(0&amp;(--TRIM(RIGHT(SUBSTITUTE(LEFT(A151,_xlfn.AGGREGATE(16,6,FIND({0,1,2,3,4,5,6,7,8,9},A151,ROW(INDIRECT("1:"&amp;LEN(A151)))),1))," ",REPT(" ",LEN(A151))),LEN(A151)))), LARGE(INDEX(ISNUMBER(--MID((--TRIM(RIGHT(SUBSTITUTE(LEFT(A151,_xlfn.AGGREGATE(16,6,FIND({0,1,2,3,4,5,6,7,8,9},A151,ROW(INDIRECT("1:"&amp;LEN(A151)))),1))," ",REPT(" ",LEN(A151))),LEN(A151)))), ROW(INDIRECT("1:"&amp;LEN((--TRIM(RIGHT(SUBSTITUTE(LEFT(A151,_xlfn.AGGREGATE(16,6,FIND({0,1,2,3,4,5,6,7,8,9},A151,ROW(INDIRECT("1:"&amp;LEN(A151)))),1))," ",REPT(" ",LEN(A151))),LEN(A151))))))), 1)) * ROW(INDIRECT("1:"&amp;LEN((--TRIM(RIGHT(SUBSTITUTE(LEFT(A151,_xlfn.AGGREGATE(16,6,FIND({0,1,2,3,4,5,6,7,8,9},A151,ROW(INDIRECT("1:"&amp;LEN(A151)))),1))," ",REPT(" ",LEN(A151))),LEN(A151))))))), 0), ROW(INDIRECT("1:"&amp;LEN((--TRIM(RIGHT(SUBSTITUTE(LEFT(A151,_xlfn.AGGREGATE(16,6,FIND({0,1,2,3,4,5,6,7,8,9},A151,ROW(INDIRECT("1:"&amp;LEN(A151)))),1))," ",REPT(" ",LEN(A151))),LEN(A151))))))))+1, 1) * 10^ROW(INDIRECT("1:"&amp;LEN((--TRIM(RIGHT(SUBSTITUTE(LEFT(A151,_xlfn.AGGREGATE(16,6,FIND({0,1,2,3,4,5,6,7,8,9},A151,ROW(INDIRECT("1:"&amp;LEN(A151)))),1))," ",REPT(" ",LEN(A151))),LEN(A151)))))))/10))*100+1</f>
        <v>2501</v>
      </c>
    </row>
    <row r="153" spans="1:16" s="79" customFormat="1" ht="15.75" customHeight="1" x14ac:dyDescent="0.25">
      <c r="A153" s="118" t="s">
        <v>229</v>
      </c>
      <c r="B153" s="118"/>
      <c r="C153" s="80" t="s">
        <v>176</v>
      </c>
      <c r="D153" s="80">
        <f>(98.814+5.078+5.26)*10.764</f>
        <v>1174.9121279999999</v>
      </c>
      <c r="E153" s="80">
        <v>0</v>
      </c>
      <c r="F153" s="80">
        <f t="shared" si="4"/>
        <v>1938.6050111999998</v>
      </c>
      <c r="G153" s="124"/>
      <c r="H153" s="125"/>
      <c r="I153" s="30"/>
      <c r="N153" s="79" t="str">
        <f t="shared" ca="1" si="5"/>
        <v>3602,..,2502</v>
      </c>
      <c r="O153" s="79">
        <f t="shared" ref="O153:P153" ca="1" si="6">O152+1</f>
        <v>3602</v>
      </c>
      <c r="P153" s="79">
        <f t="shared" ca="1" si="6"/>
        <v>2502</v>
      </c>
    </row>
    <row r="154" spans="1:16" s="79" customFormat="1" ht="15.75" customHeight="1" x14ac:dyDescent="0.25">
      <c r="A154" s="118" t="s">
        <v>230</v>
      </c>
      <c r="B154" s="118"/>
      <c r="C154" s="80" t="s">
        <v>175</v>
      </c>
      <c r="D154" s="80">
        <f>(72.225+4.913+4.375)*10.764</f>
        <v>877.40593199999989</v>
      </c>
      <c r="E154" s="80">
        <v>0</v>
      </c>
      <c r="F154" s="80">
        <f>D154*(($F$135)+1)+(IF(E154&lt;101,E154,IF(E154&lt;201,E154/2,IF(E154&lt;=301,E154/3,E154/4))))</f>
        <v>1447.7197877999997</v>
      </c>
      <c r="G154" s="124"/>
      <c r="H154" s="125"/>
      <c r="I154" s="30"/>
      <c r="N154" s="79" t="str">
        <f t="shared" ca="1" si="5"/>
        <v>3603,..,2503</v>
      </c>
      <c r="O154" s="79">
        <f t="shared" ref="O154:P154" ca="1" si="7">O153+1</f>
        <v>3603</v>
      </c>
      <c r="P154" s="79">
        <f t="shared" ca="1" si="7"/>
        <v>2503</v>
      </c>
    </row>
    <row r="155" spans="1:16" s="79" customFormat="1" ht="15.75" customHeight="1" x14ac:dyDescent="0.25">
      <c r="A155" s="118" t="s">
        <v>231</v>
      </c>
      <c r="B155" s="118"/>
      <c r="C155" s="80" t="s">
        <v>176</v>
      </c>
      <c r="D155" s="80">
        <f>(105.15+5.162+5.26)*10.764</f>
        <v>1244.017008</v>
      </c>
      <c r="E155" s="80">
        <v>0</v>
      </c>
      <c r="F155" s="80">
        <f t="shared" ref="F155:F156" si="8">D155*(($F$135)+1)+(IF(E155&lt;101,E155,IF(E155&lt;201,E155/2,IF(E155&lt;=301,E155/3,E155/4))))</f>
        <v>2052.6280631999998</v>
      </c>
      <c r="G155" s="124"/>
      <c r="H155" s="125"/>
      <c r="I155" s="30"/>
      <c r="N155" s="79" t="str">
        <f t="shared" ca="1" si="5"/>
        <v>3604,..,2504</v>
      </c>
      <c r="O155" s="79">
        <f t="shared" ref="O155:P155" ca="1" si="9">O154+1</f>
        <v>3604</v>
      </c>
      <c r="P155" s="79">
        <f t="shared" ca="1" si="9"/>
        <v>2504</v>
      </c>
    </row>
    <row r="156" spans="1:16" s="79" customFormat="1" ht="15.75" customHeight="1" x14ac:dyDescent="0.25">
      <c r="A156" s="118" t="s">
        <v>232</v>
      </c>
      <c r="B156" s="118"/>
      <c r="C156" s="80" t="s">
        <v>176</v>
      </c>
      <c r="D156" s="80">
        <f>(104.999+5.162+5.26)*10.764</f>
        <v>1242.391644</v>
      </c>
      <c r="E156" s="80">
        <v>0</v>
      </c>
      <c r="F156" s="80">
        <f t="shared" si="8"/>
        <v>2049.9462125999999</v>
      </c>
      <c r="G156" s="126"/>
      <c r="H156" s="127"/>
      <c r="I156" s="30"/>
      <c r="N156" s="79" t="str">
        <f t="shared" ca="1" si="5"/>
        <v>3605,..,2505</v>
      </c>
      <c r="O156" s="79">
        <f t="shared" ref="O156:P156" ca="1" si="10">O155+1</f>
        <v>3605</v>
      </c>
      <c r="P156" s="79">
        <f t="shared" ca="1" si="10"/>
        <v>2505</v>
      </c>
    </row>
    <row r="157" spans="1:16" s="79" customFormat="1" ht="15.75" customHeight="1" x14ac:dyDescent="0.25">
      <c r="A157" s="119" t="s">
        <v>227</v>
      </c>
      <c r="B157" s="120"/>
      <c r="C157" s="120"/>
      <c r="D157" s="120"/>
      <c r="E157" s="120"/>
      <c r="F157" s="120"/>
      <c r="G157" s="120"/>
      <c r="H157" s="121"/>
      <c r="I157" s="30"/>
      <c r="P157" s="31"/>
    </row>
    <row r="158" spans="1:16" s="79" customFormat="1" ht="15.75" customHeight="1" x14ac:dyDescent="0.25">
      <c r="A158" s="136" t="str">
        <f t="shared" ref="A158:A162" ca="1" si="11">N158</f>
        <v>701,..,2201</v>
      </c>
      <c r="B158" s="138"/>
      <c r="C158" s="80" t="s">
        <v>175</v>
      </c>
      <c r="D158" s="80">
        <f>(70.962+4.591+4.458)*10.764</f>
        <v>861.23840399999995</v>
      </c>
      <c r="E158" s="80">
        <v>0</v>
      </c>
      <c r="F158" s="80">
        <f t="shared" ref="F158:F159" si="12">D158*(($F$135)+1)+(IF(E158&lt;101,E158,IF(E158&lt;201,E158/2,IF(E158&lt;=301,E158/3,E158/4))))</f>
        <v>1421.0433665999999</v>
      </c>
      <c r="G158" s="122" t="str">
        <f>A157</f>
        <v>7th, 12th, 17th &amp; 22nd Floor (Part Refuge Area)</v>
      </c>
      <c r="H158" s="123"/>
      <c r="I158" s="30"/>
      <c r="N158" s="79" t="str">
        <f t="shared" ref="N158:N162" ca="1" si="13">O158&amp;""&amp;",..,"&amp;""&amp;P158</f>
        <v>701,..,2201</v>
      </c>
      <c r="O158" s="79">
        <f ca="1">(SUMPRODUCT(MID(0&amp;(LEFT(A157,SUM(LEN(A157)-LEN(SUBSTITUTE(A157,{0,1,2},""))))), LARGE(INDEX(ISNUMBER(--MID((LEFT(A157,SUM(LEN(A157)-LEN(SUBSTITUTE(A157,{0,1,2},""))))), ROW(INDIRECT("1:"&amp;LEN((LEFT(A157,SUM(LEN(A157)-LEN(SUBSTITUTE(A157,{0,1,2},"")))))))), 1)) * ROW(INDIRECT("1:"&amp;LEN((LEFT(A157,SUM(LEN(A157)-LEN(SUBSTITUTE(A157,{0,1,2},"")))))))), 0), ROW(INDIRECT("1:"&amp;LEN((LEFT(A157,SUM(LEN(A157)-LEN(SUBSTITUTE(A157,{0,1,2},"")))))))))+1, 1) * 10^ROW(INDIRECT("1:"&amp;LEN((LEFT(A157,SUM(LEN(A157)-LEN(SUBSTITUTE(A157,{0,1,2},""))))))))/10))*100+1</f>
        <v>701</v>
      </c>
      <c r="P158" s="79">
        <f ca="1">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",LEN(A157))),LEN(A157)))))))/10))*100+1</f>
        <v>2201</v>
      </c>
    </row>
    <row r="159" spans="1:16" s="79" customFormat="1" ht="15.75" customHeight="1" x14ac:dyDescent="0.25">
      <c r="A159" s="136" t="str">
        <f t="shared" ca="1" si="11"/>
        <v>702,..,2202</v>
      </c>
      <c r="B159" s="138"/>
      <c r="C159" s="80" t="s">
        <v>176</v>
      </c>
      <c r="D159" s="80">
        <f>(98.814+5.078+5.26)*10.764</f>
        <v>1174.9121279999999</v>
      </c>
      <c r="E159" s="80">
        <v>0</v>
      </c>
      <c r="F159" s="80">
        <f t="shared" si="12"/>
        <v>1938.6050111999998</v>
      </c>
      <c r="G159" s="124"/>
      <c r="H159" s="125"/>
      <c r="I159" s="30"/>
      <c r="N159" s="79" t="str">
        <f t="shared" ca="1" si="13"/>
        <v>702,..,2202</v>
      </c>
      <c r="O159" s="79">
        <f t="shared" ref="O159:P159" ca="1" si="14">O158+1</f>
        <v>702</v>
      </c>
      <c r="P159" s="79">
        <f t="shared" ca="1" si="14"/>
        <v>2202</v>
      </c>
    </row>
    <row r="160" spans="1:16" s="79" customFormat="1" ht="15.75" customHeight="1" x14ac:dyDescent="0.25">
      <c r="A160" s="136" t="str">
        <f t="shared" ca="1" si="11"/>
        <v>703,..,2203</v>
      </c>
      <c r="B160" s="138"/>
      <c r="C160" s="136" t="s">
        <v>182</v>
      </c>
      <c r="D160" s="137"/>
      <c r="E160" s="137"/>
      <c r="F160" s="138"/>
      <c r="G160" s="124"/>
      <c r="H160" s="125"/>
      <c r="I160" s="30"/>
      <c r="N160" s="79" t="str">
        <f t="shared" ca="1" si="13"/>
        <v>703,..,2203</v>
      </c>
      <c r="O160" s="79">
        <f t="shared" ref="O160:P160" ca="1" si="15">O159+1</f>
        <v>703</v>
      </c>
      <c r="P160" s="79">
        <f t="shared" ca="1" si="15"/>
        <v>2203</v>
      </c>
    </row>
    <row r="161" spans="1:16" s="79" customFormat="1" ht="15.75" customHeight="1" x14ac:dyDescent="0.25">
      <c r="A161" s="136" t="str">
        <f t="shared" ca="1" si="11"/>
        <v>704,..,2204</v>
      </c>
      <c r="B161" s="138"/>
      <c r="C161" s="80" t="s">
        <v>176</v>
      </c>
      <c r="D161" s="80">
        <f>(105.15+5.162+5.26)*10.764</f>
        <v>1244.017008</v>
      </c>
      <c r="E161" s="80">
        <v>0</v>
      </c>
      <c r="F161" s="80">
        <f t="shared" ref="F161:F162" si="16">D161*(($F$135)+1)+(IF(E161&lt;101,E161,IF(E161&lt;201,E161/2,IF(E161&lt;=301,E161/3,E161/4))))</f>
        <v>2052.6280631999998</v>
      </c>
      <c r="G161" s="124"/>
      <c r="H161" s="125"/>
      <c r="I161" s="30"/>
      <c r="N161" s="79" t="str">
        <f t="shared" ca="1" si="13"/>
        <v>704,..,2204</v>
      </c>
      <c r="O161" s="79">
        <f t="shared" ref="O161:P161" ca="1" si="17">O160+1</f>
        <v>704</v>
      </c>
      <c r="P161" s="79">
        <f t="shared" ca="1" si="17"/>
        <v>2204</v>
      </c>
    </row>
    <row r="162" spans="1:16" s="79" customFormat="1" ht="15.75" customHeight="1" x14ac:dyDescent="0.25">
      <c r="A162" s="136" t="str">
        <f t="shared" ca="1" si="11"/>
        <v>705,..,2205</v>
      </c>
      <c r="B162" s="138"/>
      <c r="C162" s="80" t="s">
        <v>176</v>
      </c>
      <c r="D162" s="80">
        <f>(104.999+5.162+5.26)*10.764</f>
        <v>1242.391644</v>
      </c>
      <c r="E162" s="80">
        <v>0</v>
      </c>
      <c r="F162" s="80">
        <f t="shared" si="16"/>
        <v>2049.9462125999999</v>
      </c>
      <c r="G162" s="126"/>
      <c r="H162" s="127"/>
      <c r="I162" s="30"/>
      <c r="N162" s="79" t="str">
        <f t="shared" ca="1" si="13"/>
        <v>705,..,2205</v>
      </c>
      <c r="O162" s="79">
        <f t="shared" ref="O162:P162" ca="1" si="18">O161+1</f>
        <v>705</v>
      </c>
      <c r="P162" s="79">
        <f t="shared" ca="1" si="18"/>
        <v>2205</v>
      </c>
    </row>
    <row r="163" spans="1:16" s="54" customFormat="1" x14ac:dyDescent="0.25">
      <c r="A163" s="135" t="s">
        <v>171</v>
      </c>
      <c r="B163" s="135"/>
      <c r="C163" s="135"/>
      <c r="D163" s="135"/>
      <c r="E163" s="135"/>
      <c r="F163" s="135"/>
      <c r="G163" s="135"/>
      <c r="H163" s="135"/>
      <c r="I163" s="30"/>
      <c r="L163" s="134"/>
      <c r="M163" s="134"/>
    </row>
    <row r="164" spans="1:16" s="54" customFormat="1" x14ac:dyDescent="0.25">
      <c r="A164" s="135" t="s">
        <v>172</v>
      </c>
      <c r="B164" s="135"/>
      <c r="C164" s="135"/>
      <c r="D164" s="135"/>
      <c r="E164" s="135"/>
      <c r="F164" s="135"/>
      <c r="G164" s="135"/>
      <c r="H164" s="135"/>
      <c r="I164" s="30"/>
      <c r="L164" s="134"/>
      <c r="M164" s="134"/>
    </row>
    <row r="165" spans="1:16" s="54" customFormat="1" x14ac:dyDescent="0.25">
      <c r="A165" s="135" t="s">
        <v>173</v>
      </c>
      <c r="B165" s="135"/>
      <c r="C165" s="135"/>
      <c r="D165" s="135"/>
      <c r="E165" s="135"/>
      <c r="F165" s="135"/>
      <c r="G165" s="135"/>
      <c r="H165" s="135"/>
      <c r="I165" s="30"/>
      <c r="L165" s="134"/>
      <c r="M165" s="134"/>
    </row>
    <row r="166" spans="1:16" s="2" customFormat="1" x14ac:dyDescent="0.25">
      <c r="A166" s="135" t="s">
        <v>174</v>
      </c>
      <c r="B166" s="135"/>
      <c r="C166" s="135"/>
      <c r="D166" s="135"/>
      <c r="E166" s="135"/>
      <c r="F166" s="135"/>
      <c r="G166" s="135"/>
      <c r="H166" s="135"/>
      <c r="I166" s="30"/>
      <c r="L166" s="134"/>
      <c r="M166" s="134"/>
    </row>
    <row r="167" spans="1:16" s="2" customFormat="1" x14ac:dyDescent="0.25">
      <c r="A167" s="118">
        <f>LEFT(A166,SUM(LEN(A166)-LEN(SUBSTITUTE(A166,{"0","1","2","3","4","5","6","7","8","9"},""))))*100+1</f>
        <v>101</v>
      </c>
      <c r="B167" s="118"/>
      <c r="C167" s="136" t="s">
        <v>178</v>
      </c>
      <c r="D167" s="137"/>
      <c r="E167" s="137"/>
      <c r="F167" s="138"/>
      <c r="G167" s="122" t="str">
        <f>A166</f>
        <v>1st Floor</v>
      </c>
      <c r="H167" s="123"/>
      <c r="I167" s="30"/>
      <c r="L167" s="39"/>
      <c r="M167" s="39"/>
      <c r="N167" s="30"/>
    </row>
    <row r="168" spans="1:16" s="2" customFormat="1" x14ac:dyDescent="0.25">
      <c r="A168" s="118">
        <f>A167+1</f>
        <v>102</v>
      </c>
      <c r="B168" s="118"/>
      <c r="C168" s="13" t="s">
        <v>175</v>
      </c>
      <c r="D168" s="13">
        <f>(51.41+(0.6*(3+3+1.975))+(0.6*(3.125+3.25)))*10.764</f>
        <v>646.05527999999993</v>
      </c>
      <c r="E168" s="40">
        <f>1.5*3.25*10.764</f>
        <v>52.474499999999999</v>
      </c>
      <c r="F168" s="49">
        <f t="shared" ref="F168" si="19">D168*(($F$135)+1)+(IF(E168&lt;101,E168,IF(E168&lt;201,E168/2,IF(E168&lt;=301,E168/3,E168/4))))</f>
        <v>1118.4657119999999</v>
      </c>
      <c r="G168" s="124"/>
      <c r="H168" s="125"/>
      <c r="I168" s="30"/>
      <c r="L168" s="39"/>
      <c r="M168" s="39"/>
      <c r="N168" s="30"/>
    </row>
    <row r="169" spans="1:16" s="2" customFormat="1" x14ac:dyDescent="0.25">
      <c r="A169" s="118">
        <f>A168+1</f>
        <v>103</v>
      </c>
      <c r="B169" s="118"/>
      <c r="C169" s="13" t="s">
        <v>175</v>
      </c>
      <c r="D169" s="52">
        <f>(50.86+(0.6*(3+3+2.785+1.15+1.975))+(0.6*(3.25+3.25)))*10.764</f>
        <v>666.35618399999998</v>
      </c>
      <c r="E169" s="40">
        <f>1.5*3.37*10.764</f>
        <v>54.412019999999991</v>
      </c>
      <c r="F169" s="47">
        <f>D169*(($F$135)+1)+(IF(E169&lt;101,E169,IF(E169&lt;201,E169/2,IF(E169&lt;=301,E169/3,E169/4))))</f>
        <v>1153.8997235999998</v>
      </c>
      <c r="G169" s="124"/>
      <c r="H169" s="125"/>
      <c r="I169" s="30"/>
      <c r="L169" s="39"/>
      <c r="M169" s="39"/>
      <c r="N169" s="30"/>
    </row>
    <row r="170" spans="1:16" s="2" customFormat="1" x14ac:dyDescent="0.25">
      <c r="A170" s="118">
        <f>A169+1</f>
        <v>104</v>
      </c>
      <c r="B170" s="118"/>
      <c r="C170" s="29" t="s">
        <v>176</v>
      </c>
      <c r="D170" s="52">
        <f>(70.89+(0.6*(3+3+1.2))+(0.6*(3.67+3.385)))*10.764</f>
        <v>855.12445200000013</v>
      </c>
      <c r="E170" s="80">
        <f>1.5*2.925*10.764</f>
        <v>47.227049999999991</v>
      </c>
      <c r="F170" s="49">
        <f t="shared" ref="F170" si="20">D170*(($F$135)+1)+(IF(E170&lt;101,E170,IF(E170&lt;201,E170/2,IF(E170&lt;=301,E170/3,E170/4))))</f>
        <v>1458.1823958</v>
      </c>
      <c r="G170" s="126"/>
      <c r="H170" s="127"/>
      <c r="I170" s="30"/>
      <c r="L170" s="39"/>
      <c r="M170" s="39"/>
      <c r="N170" s="30"/>
    </row>
    <row r="171" spans="1:16" s="54" customFormat="1" x14ac:dyDescent="0.25">
      <c r="A171" s="135" t="s">
        <v>177</v>
      </c>
      <c r="B171" s="135"/>
      <c r="C171" s="135"/>
      <c r="D171" s="135"/>
      <c r="E171" s="135"/>
      <c r="F171" s="135"/>
      <c r="G171" s="135"/>
      <c r="H171" s="135"/>
      <c r="I171" s="30"/>
      <c r="L171" s="134"/>
      <c r="M171" s="134"/>
    </row>
    <row r="172" spans="1:16" s="54" customFormat="1" ht="15.75" customHeight="1" x14ac:dyDescent="0.25">
      <c r="A172" s="118">
        <f>LEFT(A171,SUM(LEN(A171)-LEN(SUBSTITUTE(A171,{"0","1","2","3","4","5","6","7","8","9"},""))))*100+1</f>
        <v>201</v>
      </c>
      <c r="B172" s="118"/>
      <c r="C172" s="52" t="s">
        <v>175</v>
      </c>
      <c r="D172" s="52">
        <f>(51.26+(0.6*(1.975+3+3))+(1.926+1.95))*10.764</f>
        <v>644.98964399999988</v>
      </c>
      <c r="E172" s="52">
        <f>4.687*10.764</f>
        <v>50.450868</v>
      </c>
      <c r="F172" s="52">
        <f t="shared" ref="F172:F173" si="21">D172*(($F$135)+1)+(IF(E172&lt;101,E172,IF(E172&lt;201,E172/2,IF(E172&lt;=301,E172/3,E172/4))))</f>
        <v>1114.6837805999996</v>
      </c>
      <c r="G172" s="122" t="str">
        <f>A171</f>
        <v>2nd Floor (E Deck Floor)</v>
      </c>
      <c r="H172" s="123"/>
      <c r="I172" s="30"/>
      <c r="N172" s="30"/>
    </row>
    <row r="173" spans="1:16" s="54" customFormat="1" ht="15.75" customHeight="1" x14ac:dyDescent="0.25">
      <c r="A173" s="118">
        <f>A172+1</f>
        <v>202</v>
      </c>
      <c r="B173" s="118"/>
      <c r="C173" s="52" t="s">
        <v>175</v>
      </c>
      <c r="D173" s="52">
        <f>(51.41+(0.6*(3+3+1.975))+(0.6*(3.125+3.25)))*10.764</f>
        <v>646.05527999999993</v>
      </c>
      <c r="E173" s="52">
        <f>1.5*3.25*10.764</f>
        <v>52.474499999999999</v>
      </c>
      <c r="F173" s="52">
        <f t="shared" si="21"/>
        <v>1118.4657119999999</v>
      </c>
      <c r="G173" s="124"/>
      <c r="H173" s="125"/>
      <c r="I173" s="30"/>
      <c r="N173" s="30"/>
    </row>
    <row r="174" spans="1:16" s="54" customFormat="1" ht="15.75" customHeight="1" x14ac:dyDescent="0.25">
      <c r="A174" s="118">
        <f>A173+1</f>
        <v>203</v>
      </c>
      <c r="B174" s="118"/>
      <c r="C174" s="52" t="s">
        <v>175</v>
      </c>
      <c r="D174" s="52">
        <f>(50.86+(0.6*(3+3+2.785+1.15+1.975))+(0.6*(3.25+3.25)))*10.764</f>
        <v>666.35618399999998</v>
      </c>
      <c r="E174" s="52">
        <f>1.5*3.37*10.764</f>
        <v>54.412019999999991</v>
      </c>
      <c r="F174" s="52">
        <f>D174*(($F$135)+1)+(IF(E174&lt;101,E174,IF(E174&lt;201,E174/2,IF(E174&lt;=301,E174/3,E174/4))))</f>
        <v>1153.8997235999998</v>
      </c>
      <c r="G174" s="124"/>
      <c r="H174" s="125"/>
      <c r="I174" s="30"/>
      <c r="N174" s="30"/>
    </row>
    <row r="175" spans="1:16" s="54" customFormat="1" ht="15.75" customHeight="1" x14ac:dyDescent="0.25">
      <c r="A175" s="118">
        <f>A174+1</f>
        <v>204</v>
      </c>
      <c r="B175" s="118"/>
      <c r="C175" s="52" t="s">
        <v>176</v>
      </c>
      <c r="D175" s="52">
        <f>(70.89+(0.6*(3+3+1.2))+(0.6*(3.67+3.385)))*10.764</f>
        <v>855.12445200000013</v>
      </c>
      <c r="E175" s="52">
        <f>1.5*2.925*10.764</f>
        <v>47.227049999999991</v>
      </c>
      <c r="F175" s="52">
        <f t="shared" ref="F175" si="22">D175*(($F$135)+1)+(IF(E175&lt;101,E175,IF(E175&lt;201,E175/2,IF(E175&lt;=301,E175/3,E175/4))))</f>
        <v>1458.1823958</v>
      </c>
      <c r="G175" s="126"/>
      <c r="H175" s="127"/>
      <c r="I175" s="30"/>
      <c r="N175" s="30"/>
    </row>
    <row r="176" spans="1:16" s="2" customFormat="1" ht="15.75" customHeight="1" x14ac:dyDescent="0.25">
      <c r="A176" s="119" t="s">
        <v>179</v>
      </c>
      <c r="B176" s="120"/>
      <c r="C176" s="120"/>
      <c r="D176" s="120"/>
      <c r="E176" s="120"/>
      <c r="F176" s="120"/>
      <c r="G176" s="120"/>
      <c r="H176" s="121"/>
      <c r="I176" s="30"/>
      <c r="L176" s="39"/>
      <c r="M176" s="39"/>
      <c r="P176" s="31"/>
    </row>
    <row r="177" spans="1:16" s="2" customFormat="1" ht="15.75" customHeight="1" x14ac:dyDescent="0.25">
      <c r="A177" s="136" t="str">
        <f t="shared" ref="A177:A181" ca="1" si="23">N177</f>
        <v>4601,..,2001</v>
      </c>
      <c r="B177" s="138"/>
      <c r="C177" s="13" t="s">
        <v>175</v>
      </c>
      <c r="D177" s="13">
        <f>(51.26+(1.8+1.185+0.69)+(1.926+1.95))*10.764</f>
        <v>633.04160399999989</v>
      </c>
      <c r="E177" s="40">
        <f>4.687*10.764</f>
        <v>50.450868</v>
      </c>
      <c r="F177" s="49">
        <f t="shared" ref="F177:F181" si="24">D177*(($F$135)+1)+(IF(E177&lt;101,E177,IF(E177&lt;201,E177/2,IF(E177&lt;=301,E177/3,E177/4))))</f>
        <v>1094.9695145999997</v>
      </c>
      <c r="G177" s="122" t="str">
        <f>A176</f>
        <v>4th, 6th, 8th, 10th, 14th, 16th, 18th &amp; 20th Floor</v>
      </c>
      <c r="H177" s="123"/>
      <c r="I177" s="30"/>
      <c r="M177" s="39"/>
      <c r="N177" s="39" t="str">
        <f t="shared" ref="N177:N181" ca="1" si="25">O177&amp;""&amp;",..,"&amp;""&amp;P177</f>
        <v>4601,..,2001</v>
      </c>
      <c r="O177" s="46">
        <f ca="1">(SUMPRODUCT(MID(0&amp;(LEFT(A176,SUM(LEN(A176)-LEN(SUBSTITUTE(A176,{0,1,2},""))))), LARGE(INDEX(ISNUMBER(--MID((LEFT(A176,SUM(LEN(A176)-LEN(SUBSTITUTE(A176,{0,1,2},""))))), ROW(INDIRECT("1:"&amp;LEN((LEFT(A176,SUM(LEN(A176)-LEN(SUBSTITUTE(A176,{0,1,2},"")))))))), 1)) * ROW(INDIRECT("1:"&amp;LEN((LEFT(A176,SUM(LEN(A176)-LEN(SUBSTITUTE(A176,{0,1,2},"")))))))), 0), ROW(INDIRECT("1:"&amp;LEN((LEFT(A176,SUM(LEN(A176)-LEN(SUBSTITUTE(A176,{0,1,2},"")))))))))+1, 1) * 10^ROW(INDIRECT("1:"&amp;LEN((LEFT(A176,SUM(LEN(A176)-LEN(SUBSTITUTE(A176,{0,1,2},""))))))))/10))*100+1</f>
        <v>4601</v>
      </c>
      <c r="P177" s="46">
        <f ca="1">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",LEN(A176))),LEN(A176)))))))/10))*100+1</f>
        <v>2001</v>
      </c>
    </row>
    <row r="178" spans="1:16" s="2" customFormat="1" ht="15.75" customHeight="1" x14ac:dyDescent="0.25">
      <c r="A178" s="136" t="str">
        <f t="shared" ca="1" si="23"/>
        <v>4602,..,2002</v>
      </c>
      <c r="B178" s="138"/>
      <c r="C178" s="13" t="s">
        <v>175</v>
      </c>
      <c r="D178" s="13">
        <f>(51.41+(1.8+1.8+1.185)+(1.95+1.95))*10.764</f>
        <v>646.86257999999987</v>
      </c>
      <c r="E178" s="40">
        <f>4.687*10.764</f>
        <v>50.450868</v>
      </c>
      <c r="F178" s="49">
        <f t="shared" si="24"/>
        <v>1117.7741249999997</v>
      </c>
      <c r="G178" s="124"/>
      <c r="H178" s="125"/>
      <c r="I178" s="30"/>
      <c r="M178" s="39"/>
      <c r="N178" s="43" t="str">
        <f t="shared" ca="1" si="25"/>
        <v>4602,..,2002</v>
      </c>
      <c r="O178" s="2">
        <f t="shared" ref="O178:P181" ca="1" si="26">O177+1</f>
        <v>4602</v>
      </c>
      <c r="P178" s="2">
        <f t="shared" ca="1" si="26"/>
        <v>2002</v>
      </c>
    </row>
    <row r="179" spans="1:16" s="2" customFormat="1" ht="15.75" customHeight="1" x14ac:dyDescent="0.25">
      <c r="A179" s="136" t="str">
        <f t="shared" ca="1" si="23"/>
        <v>4603,..,2003</v>
      </c>
      <c r="B179" s="138"/>
      <c r="C179" s="13" t="s">
        <v>175</v>
      </c>
      <c r="D179" s="13">
        <f>(50.86+(1.8+1.8+1.671)+(1.95+2.022))*10.764</f>
        <v>646.94869199999994</v>
      </c>
      <c r="E179" s="40">
        <f>4.875*10.764</f>
        <v>52.474499999999999</v>
      </c>
      <c r="F179" s="49">
        <f t="shared" si="24"/>
        <v>1119.9398417999998</v>
      </c>
      <c r="G179" s="124"/>
      <c r="H179" s="125"/>
      <c r="I179" s="30"/>
      <c r="M179" s="39"/>
      <c r="N179" s="43" t="str">
        <f t="shared" ca="1" si="25"/>
        <v>4603,..,2003</v>
      </c>
      <c r="O179" s="2">
        <f t="shared" ca="1" si="26"/>
        <v>4603</v>
      </c>
      <c r="P179" s="2">
        <f t="shared" ca="1" si="26"/>
        <v>2003</v>
      </c>
    </row>
    <row r="180" spans="1:16" s="2" customFormat="1" ht="15.75" customHeight="1" x14ac:dyDescent="0.25">
      <c r="A180" s="136" t="str">
        <f t="shared" ca="1" si="23"/>
        <v>4604,..,2004</v>
      </c>
      <c r="B180" s="138"/>
      <c r="C180" s="29" t="s">
        <v>176</v>
      </c>
      <c r="D180" s="29">
        <f>(70.89+(1.8+1.8+1.185+0.72)+(1.95+2.202))*10.764</f>
        <v>867.00790799999993</v>
      </c>
      <c r="E180" s="40">
        <f>4.387*10.764</f>
        <v>47.221667999999994</v>
      </c>
      <c r="F180" s="49">
        <f t="shared" si="24"/>
        <v>1477.7847161999998</v>
      </c>
      <c r="G180" s="124"/>
      <c r="H180" s="125"/>
      <c r="I180" s="30"/>
      <c r="M180" s="39"/>
      <c r="N180" s="43" t="str">
        <f t="shared" ca="1" si="25"/>
        <v>4604,..,2004</v>
      </c>
      <c r="O180" s="2">
        <f t="shared" ca="1" si="26"/>
        <v>4604</v>
      </c>
      <c r="P180" s="2">
        <f t="shared" ca="1" si="26"/>
        <v>2004</v>
      </c>
    </row>
    <row r="181" spans="1:16" s="2" customFormat="1" ht="15.75" customHeight="1" x14ac:dyDescent="0.25">
      <c r="A181" s="136" t="str">
        <f t="shared" ca="1" si="23"/>
        <v>4605,..,2005</v>
      </c>
      <c r="B181" s="138"/>
      <c r="C181" s="29" t="s">
        <v>176</v>
      </c>
      <c r="D181" s="29">
        <f>(70.89+(0.72+1.8+1.8)+(2.202+1.95))*10.764</f>
        <v>854.252568</v>
      </c>
      <c r="E181" s="40">
        <f>4.387*10.764</f>
        <v>47.221667999999994</v>
      </c>
      <c r="F181" s="49">
        <f t="shared" si="24"/>
        <v>1456.7384051999998</v>
      </c>
      <c r="G181" s="126"/>
      <c r="H181" s="127"/>
      <c r="I181" s="30"/>
      <c r="M181" s="39"/>
      <c r="N181" s="43" t="str">
        <f t="shared" ca="1" si="25"/>
        <v>4605,..,2005</v>
      </c>
      <c r="O181" s="2">
        <f t="shared" ca="1" si="26"/>
        <v>4605</v>
      </c>
      <c r="P181" s="2">
        <f t="shared" ca="1" si="26"/>
        <v>2005</v>
      </c>
    </row>
    <row r="182" spans="1:16" s="54" customFormat="1" ht="15.75" customHeight="1" x14ac:dyDescent="0.25">
      <c r="A182" s="119" t="s">
        <v>180</v>
      </c>
      <c r="B182" s="120"/>
      <c r="C182" s="120"/>
      <c r="D182" s="120"/>
      <c r="E182" s="120"/>
      <c r="F182" s="120"/>
      <c r="G182" s="120"/>
      <c r="H182" s="121"/>
      <c r="I182" s="30"/>
      <c r="P182" s="31"/>
    </row>
    <row r="183" spans="1:16" s="54" customFormat="1" ht="15.75" customHeight="1" x14ac:dyDescent="0.25">
      <c r="A183" s="136" t="str">
        <f t="shared" ref="A183:A187" ca="1" si="27">N183</f>
        <v>3501,..,2101</v>
      </c>
      <c r="B183" s="138"/>
      <c r="C183" s="52" t="s">
        <v>175</v>
      </c>
      <c r="D183" s="52">
        <f>(51.26+(1.8+1.8+1.185)+(1.926+1.95))*10.764</f>
        <v>644.989644</v>
      </c>
      <c r="E183" s="52">
        <f>4.875*10.764</f>
        <v>52.474499999999999</v>
      </c>
      <c r="F183" s="52">
        <f t="shared" ref="F183:F187" si="28">D183*(($F$135)+1)+(IF(E183&lt;101,E183,IF(E183&lt;201,E183/2,IF(E183&lt;=301,E183/3,E183/4))))</f>
        <v>1116.7074126</v>
      </c>
      <c r="G183" s="122" t="str">
        <f>A182</f>
        <v>3rd, 5th, 9th, 11th, 13th, 15th, 19th &amp; 21st Floor</v>
      </c>
      <c r="H183" s="123"/>
      <c r="I183" s="30"/>
      <c r="N183" s="54" t="str">
        <f t="shared" ref="N183:N187" ca="1" si="29">O183&amp;""&amp;",..,"&amp;""&amp;P183</f>
        <v>3501,..,2101</v>
      </c>
      <c r="O183" s="54">
        <f ca="1">(SUMPRODUCT(MID(0&amp;(LEFT(A182,SUM(LEN(A182)-LEN(SUBSTITUTE(A182,{0,1,2},""))))), LARGE(INDEX(ISNUMBER(--MID((LEFT(A182,SUM(LEN(A182)-LEN(SUBSTITUTE(A182,{0,1,2},""))))), ROW(INDIRECT("1:"&amp;LEN((LEFT(A182,SUM(LEN(A182)-LEN(SUBSTITUTE(A182,{0,1,2},"")))))))), 1)) * ROW(INDIRECT("1:"&amp;LEN((LEFT(A182,SUM(LEN(A182)-LEN(SUBSTITUTE(A182,{0,1,2},"")))))))), 0), ROW(INDIRECT("1:"&amp;LEN((LEFT(A182,SUM(LEN(A182)-LEN(SUBSTITUTE(A182,{0,1,2},"")))))))))+1, 1) * 10^ROW(INDIRECT("1:"&amp;LEN((LEFT(A182,SUM(LEN(A182)-LEN(SUBSTITUTE(A182,{0,1,2},""))))))))/10))*100+1</f>
        <v>3501</v>
      </c>
      <c r="P183" s="54">
        <f ca="1">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",LEN(A182))),LEN(A182)))))))/10))*100+1</f>
        <v>2101</v>
      </c>
    </row>
    <row r="184" spans="1:16" s="54" customFormat="1" ht="15.75" customHeight="1" x14ac:dyDescent="0.25">
      <c r="A184" s="136" t="str">
        <f t="shared" ca="1" si="27"/>
        <v>3502,..,2102</v>
      </c>
      <c r="B184" s="138"/>
      <c r="C184" s="52" t="s">
        <v>175</v>
      </c>
      <c r="D184" s="52">
        <f>(51.41+(1.8+1.8+1.185)+(1.875+1.95))*10.764</f>
        <v>646.05527999999993</v>
      </c>
      <c r="E184" s="52">
        <f>4.875*10.764</f>
        <v>52.474499999999999</v>
      </c>
      <c r="F184" s="52">
        <f t="shared" si="28"/>
        <v>1118.4657119999999</v>
      </c>
      <c r="G184" s="124"/>
      <c r="H184" s="125"/>
      <c r="I184" s="30"/>
      <c r="N184" s="54" t="str">
        <f t="shared" ca="1" si="29"/>
        <v>3502,..,2102</v>
      </c>
      <c r="O184" s="54">
        <f t="shared" ref="O184:P184" ca="1" si="30">O183+1</f>
        <v>3502</v>
      </c>
      <c r="P184" s="54">
        <f t="shared" ca="1" si="30"/>
        <v>2102</v>
      </c>
    </row>
    <row r="185" spans="1:16" s="54" customFormat="1" ht="15.75" customHeight="1" x14ac:dyDescent="0.25">
      <c r="A185" s="136" t="str">
        <f t="shared" ca="1" si="27"/>
        <v>3503,..,2103</v>
      </c>
      <c r="B185" s="138"/>
      <c r="C185" s="52" t="s">
        <v>175</v>
      </c>
      <c r="D185" s="52">
        <f>(50.86+(1.8+1.671+1.8+0.69)+(1.95+1.95))*10.764</f>
        <v>653.60084399999994</v>
      </c>
      <c r="E185" s="52">
        <f>4.387*10.764</f>
        <v>47.221667999999994</v>
      </c>
      <c r="F185" s="52">
        <f t="shared" si="28"/>
        <v>1125.6630605999997</v>
      </c>
      <c r="G185" s="124"/>
      <c r="H185" s="125"/>
      <c r="I185" s="30"/>
      <c r="N185" s="54" t="str">
        <f t="shared" ca="1" si="29"/>
        <v>3503,..,2103</v>
      </c>
      <c r="O185" s="54">
        <f t="shared" ref="O185:P185" ca="1" si="31">O184+1</f>
        <v>3503</v>
      </c>
      <c r="P185" s="54">
        <f t="shared" ca="1" si="31"/>
        <v>2103</v>
      </c>
    </row>
    <row r="186" spans="1:16" s="54" customFormat="1" ht="15.75" customHeight="1" x14ac:dyDescent="0.25">
      <c r="A186" s="136" t="str">
        <f t="shared" ca="1" si="27"/>
        <v>3504,..,2104</v>
      </c>
      <c r="B186" s="138"/>
      <c r="C186" s="52" t="s">
        <v>176</v>
      </c>
      <c r="D186" s="52">
        <f>(70.89+(1.8+1.8+1.185+1.53+0.72)+(2.202+2.031))*10.764</f>
        <v>884.34871199999998</v>
      </c>
      <c r="E186" s="52">
        <f>4.875*10.764</f>
        <v>52.474499999999999</v>
      </c>
      <c r="F186" s="52">
        <f t="shared" si="28"/>
        <v>1511.6498747999999</v>
      </c>
      <c r="G186" s="124"/>
      <c r="H186" s="125"/>
      <c r="I186" s="30"/>
      <c r="N186" s="54" t="str">
        <f t="shared" ca="1" si="29"/>
        <v>3504,..,2104</v>
      </c>
      <c r="O186" s="54">
        <f t="shared" ref="O186:P186" ca="1" si="32">O185+1</f>
        <v>3504</v>
      </c>
      <c r="P186" s="54">
        <f t="shared" ca="1" si="32"/>
        <v>2104</v>
      </c>
    </row>
    <row r="187" spans="1:16" s="54" customFormat="1" ht="15.75" customHeight="1" x14ac:dyDescent="0.25">
      <c r="A187" s="136" t="str">
        <f t="shared" ca="1" si="27"/>
        <v>3505,..,2105</v>
      </c>
      <c r="B187" s="138"/>
      <c r="C187" s="52" t="s">
        <v>176</v>
      </c>
      <c r="D187" s="52">
        <f>(70.89+(1.8+1.8+1.185+1.53+0.72)+(2.202+2.031))*10.764</f>
        <v>884.34871199999998</v>
      </c>
      <c r="E187" s="52">
        <f>4.875*10.764</f>
        <v>52.474499999999999</v>
      </c>
      <c r="F187" s="52">
        <f t="shared" si="28"/>
        <v>1511.6498747999999</v>
      </c>
      <c r="G187" s="126"/>
      <c r="H187" s="127"/>
      <c r="I187" s="30"/>
      <c r="N187" s="54" t="str">
        <f t="shared" ca="1" si="29"/>
        <v>3505,..,2105</v>
      </c>
      <c r="O187" s="54">
        <f t="shared" ref="O187:P187" ca="1" si="33">O186+1</f>
        <v>3505</v>
      </c>
      <c r="P187" s="54">
        <f t="shared" ca="1" si="33"/>
        <v>2105</v>
      </c>
    </row>
    <row r="188" spans="1:16" s="54" customFormat="1" x14ac:dyDescent="0.25">
      <c r="A188" s="135" t="s">
        <v>181</v>
      </c>
      <c r="B188" s="135"/>
      <c r="C188" s="135"/>
      <c r="D188" s="135"/>
      <c r="E188" s="135"/>
      <c r="F188" s="135"/>
      <c r="G188" s="135"/>
      <c r="H188" s="135"/>
      <c r="I188" s="30"/>
      <c r="L188" s="134"/>
      <c r="M188" s="134"/>
    </row>
    <row r="189" spans="1:16" s="54" customFormat="1" ht="15.75" customHeight="1" x14ac:dyDescent="0.25">
      <c r="A189" s="118">
        <f>LEFT(A188,SUM(LEN(A188)-LEN(SUBSTITUTE(A188,{"0","1","2","3","4","5","6","7","8","9"},""))))*100+1</f>
        <v>1201</v>
      </c>
      <c r="B189" s="118"/>
      <c r="C189" s="52" t="s">
        <v>175</v>
      </c>
      <c r="D189" s="52">
        <f>(51.26+(1.95+1.926)+(1.8+1.185+1.8+0.69))*10.764</f>
        <v>652.41680399999996</v>
      </c>
      <c r="E189" s="52">
        <f>4.687*10.764</f>
        <v>50.450868</v>
      </c>
      <c r="F189" s="52">
        <f t="shared" ref="F189" si="34">D189*(($F$135)+1)+(IF(E189&lt;101,E189,IF(E189&lt;201,E189/2,IF(E189&lt;=301,E189/3,E189/4))))</f>
        <v>1126.9385945999998</v>
      </c>
      <c r="G189" s="122" t="str">
        <f>A188</f>
        <v>12th Floor (Part Refuge Area)</v>
      </c>
      <c r="H189" s="123"/>
      <c r="I189" s="30"/>
      <c r="N189" s="30"/>
    </row>
    <row r="190" spans="1:16" s="54" customFormat="1" ht="15.75" customHeight="1" x14ac:dyDescent="0.25">
      <c r="A190" s="118">
        <f>A189+1</f>
        <v>1202</v>
      </c>
      <c r="B190" s="118"/>
      <c r="C190" s="136" t="s">
        <v>182</v>
      </c>
      <c r="D190" s="137"/>
      <c r="E190" s="137"/>
      <c r="F190" s="138"/>
      <c r="G190" s="124"/>
      <c r="H190" s="125"/>
      <c r="I190" s="30"/>
      <c r="N190" s="30"/>
    </row>
    <row r="191" spans="1:16" s="54" customFormat="1" ht="15.75" customHeight="1" x14ac:dyDescent="0.25">
      <c r="A191" s="118">
        <f>A190+1</f>
        <v>1203</v>
      </c>
      <c r="B191" s="118"/>
      <c r="C191" s="52" t="s">
        <v>175</v>
      </c>
      <c r="D191" s="52">
        <f>(50.86+(1.8+1.671+0.69+1.8)+(1.95+2.022))*10.764</f>
        <v>654.37585200000001</v>
      </c>
      <c r="E191" s="52">
        <f>4.875*10.764</f>
        <v>52.474499999999999</v>
      </c>
      <c r="F191" s="52">
        <f>D191*(($F$135)+1)+(IF(E191&lt;101,E191,IF(E191&lt;201,E191/2,IF(E191&lt;=301,E191/3,E191/4))))</f>
        <v>1132.1946558</v>
      </c>
      <c r="G191" s="124"/>
      <c r="H191" s="125"/>
      <c r="I191" s="30"/>
      <c r="N191" s="30"/>
    </row>
    <row r="192" spans="1:16" s="54" customFormat="1" ht="15.75" customHeight="1" x14ac:dyDescent="0.25">
      <c r="A192" s="118">
        <f>A191+1</f>
        <v>1204</v>
      </c>
      <c r="B192" s="118"/>
      <c r="C192" s="52" t="s">
        <v>176</v>
      </c>
      <c r="D192" s="52">
        <f>(70.89+(1.8+1.185+1.8+1.53+0.72)+(2.202+1.95))*10.764</f>
        <v>883.47682799999995</v>
      </c>
      <c r="E192" s="52">
        <f>1.5*2.925*10.764</f>
        <v>47.227049999999991</v>
      </c>
      <c r="F192" s="52">
        <f t="shared" ref="F192" si="35">D192*(($F$135)+1)+(IF(E192&lt;101,E192,IF(E192&lt;201,E192/2,IF(E192&lt;=301,E192/3,E192/4))))</f>
        <v>1504.9638161999999</v>
      </c>
      <c r="G192" s="124"/>
      <c r="H192" s="125"/>
      <c r="I192" s="30"/>
      <c r="N192" s="30"/>
    </row>
    <row r="193" spans="1:16" s="54" customFormat="1" ht="15.75" customHeight="1" x14ac:dyDescent="0.25">
      <c r="A193" s="118">
        <f>A192+1</f>
        <v>1205</v>
      </c>
      <c r="B193" s="118"/>
      <c r="C193" s="52" t="s">
        <v>176</v>
      </c>
      <c r="D193" s="52">
        <f>(70.89+(1.8+1.185+1.8+1.53+0.72)+(2.202+1.95))*10.764</f>
        <v>883.47682799999995</v>
      </c>
      <c r="E193" s="52">
        <f>1.5*2.925*10.764</f>
        <v>47.227049999999991</v>
      </c>
      <c r="F193" s="52">
        <f t="shared" ref="F193" si="36">D193*(($F$135)+1)+(IF(E193&lt;101,E193,IF(E193&lt;201,E193/2,IF(E193&lt;=301,E193/3,E193/4))))</f>
        <v>1504.9638161999999</v>
      </c>
      <c r="G193" s="126"/>
      <c r="H193" s="127"/>
      <c r="I193" s="30"/>
      <c r="N193" s="30"/>
    </row>
    <row r="194" spans="1:16" s="34" customFormat="1" x14ac:dyDescent="0.25">
      <c r="A194" s="119" t="s">
        <v>183</v>
      </c>
      <c r="B194" s="120"/>
      <c r="C194" s="120"/>
      <c r="D194" s="120"/>
      <c r="E194" s="120"/>
      <c r="F194" s="120"/>
      <c r="G194" s="120"/>
      <c r="H194" s="121"/>
      <c r="I194" s="30"/>
      <c r="M194" s="39"/>
      <c r="N194" s="39"/>
      <c r="P194" s="31"/>
    </row>
    <row r="195" spans="1:16" s="34" customFormat="1" ht="15.75" customHeight="1" x14ac:dyDescent="0.25">
      <c r="A195" s="136" t="str">
        <f t="shared" ref="A195:A199" ca="1" si="37">N195</f>
        <v>701 &amp; 1701</v>
      </c>
      <c r="B195" s="138"/>
      <c r="C195" s="35" t="s">
        <v>175</v>
      </c>
      <c r="D195" s="35">
        <f>(51.26+(1.8+1.8+1.185+0.69)+(1.926+1.875))*10.764</f>
        <v>651.60950400000002</v>
      </c>
      <c r="E195" s="40">
        <f>4.687*10.764</f>
        <v>50.450868</v>
      </c>
      <c r="F195" s="49">
        <f t="shared" ref="F195:F199" si="38">D195*(($F$135)+1)+(IF(E195&lt;101,E195,IF(E195&lt;201,E195/2,IF(E195&lt;=301,E195/3,E195/4))))</f>
        <v>1125.6065495999999</v>
      </c>
      <c r="G195" s="122" t="str">
        <f>A194</f>
        <v>7th &amp; 17th Floor (Part Refuge Area)</v>
      </c>
      <c r="H195" s="123"/>
      <c r="I195" s="30"/>
      <c r="M195" s="39"/>
      <c r="N195" s="39" t="str">
        <f t="shared" ref="N195:N199" ca="1" si="39">O195&amp;""&amp;" &amp; "&amp;""&amp;P195</f>
        <v>701 &amp; 1701</v>
      </c>
      <c r="O195" s="43">
        <f ca="1">(SUMPRODUCT(MID(0&amp;(LEFT(A194,SUM(LEN(A194)-LEN(SUBSTITUTE(A194,{"0","1","2"},""))))), LARGE(INDEX(ISNUMBER(--MID((LEFT(A194,SUM(LEN(A194)-LEN(SUBSTITUTE(A194,{"0","1","2"},""))))), ROW(INDIRECT("1:"&amp;LEN((LEFT(A194,SUM(LEN(A194)-LEN(SUBSTITUTE(A194,{"0","1","2"},"")))))))), 1)) * ROW(INDIRECT("1:"&amp;LEN((LEFT(A194,SUM(LEN(A194)-LEN(SUBSTITUTE(A194,{"0","1","2"},"")))))))), 0), ROW(INDIRECT("1:"&amp;LEN((LEFT(A194,SUM(LEN(A194)-LEN(SUBSTITUTE(A194,{"0","1","2"},"")))))))))+1, 1) * 10^ROW(INDIRECT("1:"&amp;LEN((LEFT(A194,SUM(LEN(A194)-LEN(SUBSTITUTE(A194,{"0","1","2"},""))))))))/10))*100+1</f>
        <v>701</v>
      </c>
      <c r="P195" s="43">
        <f ca="1">(SUMPRODUCT(MID(0&amp;(--TRIM(RIGHT(SUBSTITUTE(LEFT(A194,_xlfn.AGGREGATE(16,6,FIND({0,1,2,3,4,5,6,7,8,9},A194,ROW(INDIRECT("1:"&amp;LEN(A194)))),1))," ",REPT(" ",LEN(A194))),LEN(A194)))), LARGE(INDEX(ISNUMBER(--MID((--TRIM(RIGHT(SUBSTITUTE(LEFT(A194,_xlfn.AGGREGATE(16,6,FIND({0,1,2,3,4,5,6,7,8,9},A194,ROW(INDIRECT("1:"&amp;LEN(A194)))),1))," ",REPT(" ",LEN(A194))),LEN(A194)))), ROW(INDIRECT("1:"&amp;LEN((--TRIM(RIGHT(SUBSTITUTE(LEFT(A194,_xlfn.AGGREGATE(16,6,FIND({0,1,2,3,4,5,6,7,8,9},A194,ROW(INDIRECT("1:"&amp;LEN(A194)))),1))," ",REPT(" ",LEN(A194))),LEN(A194))))))), 1)) * ROW(INDIRECT("1:"&amp;LEN((--TRIM(RIGHT(SUBSTITUTE(LEFT(A194,_xlfn.AGGREGATE(16,6,FIND({0,1,2,3,4,5,6,7,8,9},A194,ROW(INDIRECT("1:"&amp;LEN(A194)))),1))," ",REPT(" ",LEN(A194))),LEN(A194))))))), 0), ROW(INDIRECT("1:"&amp;LEN((--TRIM(RIGHT(SUBSTITUTE(LEFT(A194,_xlfn.AGGREGATE(16,6,FIND({0,1,2,3,4,5,6,7,8,9},A194,ROW(INDIRECT("1:"&amp;LEN(A194)))),1))," ",REPT(" ",LEN(A194))),LEN(A194))))))))+1, 1) * 10^ROW(INDIRECT("1:"&amp;LEN((--TRIM(RIGHT(SUBSTITUTE(LEFT(A194,_xlfn.AGGREGATE(16,6,FIND({0,1,2,3,4,5,6,7,8,9},A194,ROW(INDIRECT("1:"&amp;LEN(A194)))),1))," ",REPT(" ",LEN(A194))),LEN(A194)))))))/10))*100+1</f>
        <v>1701</v>
      </c>
    </row>
    <row r="196" spans="1:16" s="54" customFormat="1" ht="15.75" customHeight="1" x14ac:dyDescent="0.25">
      <c r="A196" s="118" t="str">
        <f t="shared" ca="1" si="37"/>
        <v>702 &amp; 1702</v>
      </c>
      <c r="B196" s="118"/>
      <c r="C196" s="136" t="s">
        <v>182</v>
      </c>
      <c r="D196" s="137"/>
      <c r="E196" s="137">
        <v>0</v>
      </c>
      <c r="F196" s="138">
        <f t="shared" si="38"/>
        <v>0</v>
      </c>
      <c r="G196" s="124"/>
      <c r="H196" s="125"/>
      <c r="I196" s="30"/>
      <c r="N196" s="30" t="str">
        <f t="shared" ca="1" si="39"/>
        <v>702 &amp; 1702</v>
      </c>
      <c r="O196" s="54">
        <f t="shared" ref="O196:P199" ca="1" si="40">O195+1</f>
        <v>702</v>
      </c>
      <c r="P196" s="54">
        <f t="shared" ca="1" si="40"/>
        <v>1702</v>
      </c>
    </row>
    <row r="197" spans="1:16" s="34" customFormat="1" ht="15.75" customHeight="1" x14ac:dyDescent="0.25">
      <c r="A197" s="136" t="str">
        <f t="shared" ca="1" si="37"/>
        <v>703 &amp; 1703</v>
      </c>
      <c r="B197" s="138"/>
      <c r="C197" s="35" t="s">
        <v>175</v>
      </c>
      <c r="D197" s="35">
        <f>(50.86+(1.8+1.671+1.8+0.69)+(1.95+1.95))*10.764</f>
        <v>653.60084399999994</v>
      </c>
      <c r="E197" s="40">
        <f>5.055*10.764</f>
        <v>54.412019999999991</v>
      </c>
      <c r="F197" s="49">
        <f t="shared" si="38"/>
        <v>1132.8534125999997</v>
      </c>
      <c r="G197" s="124"/>
      <c r="H197" s="125"/>
      <c r="I197" s="30"/>
      <c r="M197" s="39"/>
      <c r="N197" s="43" t="str">
        <f t="shared" ca="1" si="39"/>
        <v>703 &amp; 1703</v>
      </c>
      <c r="O197" s="34">
        <f t="shared" ca="1" si="40"/>
        <v>703</v>
      </c>
      <c r="P197" s="34">
        <f t="shared" ca="1" si="40"/>
        <v>1703</v>
      </c>
    </row>
    <row r="198" spans="1:16" s="34" customFormat="1" ht="15.75" customHeight="1" x14ac:dyDescent="0.25">
      <c r="A198" s="136" t="str">
        <f t="shared" ca="1" si="37"/>
        <v>704 &amp; 1704</v>
      </c>
      <c r="B198" s="138"/>
      <c r="C198" s="35" t="s">
        <v>176</v>
      </c>
      <c r="D198" s="35">
        <f>(70.89+(1.8+1.8+1.185+1.53+0.72)+(2.202+2.031))*10.764</f>
        <v>884.34871199999998</v>
      </c>
      <c r="E198" s="40">
        <f>4.875*10.764</f>
        <v>52.474499999999999</v>
      </c>
      <c r="F198" s="49">
        <f t="shared" si="38"/>
        <v>1511.6498747999999</v>
      </c>
      <c r="G198" s="124"/>
      <c r="H198" s="125"/>
      <c r="I198" s="30"/>
      <c r="M198" s="39"/>
      <c r="N198" s="43" t="str">
        <f t="shared" ca="1" si="39"/>
        <v>704 &amp; 1704</v>
      </c>
      <c r="O198" s="34">
        <f t="shared" ca="1" si="40"/>
        <v>704</v>
      </c>
      <c r="P198" s="34">
        <f t="shared" ca="1" si="40"/>
        <v>1704</v>
      </c>
    </row>
    <row r="199" spans="1:16" s="34" customFormat="1" ht="15.75" customHeight="1" x14ac:dyDescent="0.25">
      <c r="A199" s="136" t="str">
        <f t="shared" ca="1" si="37"/>
        <v>705 &amp; 1705</v>
      </c>
      <c r="B199" s="138"/>
      <c r="C199" s="35" t="s">
        <v>176</v>
      </c>
      <c r="D199" s="52">
        <f>(70.89+(1.8+1.8+1.185+1.53+0.72)+(2.202+2.031))*10.764</f>
        <v>884.34871199999998</v>
      </c>
      <c r="E199" s="52">
        <f>4.875*10.764</f>
        <v>52.474499999999999</v>
      </c>
      <c r="F199" s="49">
        <f t="shared" si="38"/>
        <v>1511.6498747999999</v>
      </c>
      <c r="G199" s="126"/>
      <c r="H199" s="127"/>
      <c r="I199" s="30"/>
      <c r="M199" s="39"/>
      <c r="N199" s="43" t="str">
        <f t="shared" ca="1" si="39"/>
        <v>705 &amp; 1705</v>
      </c>
      <c r="O199" s="34">
        <f t="shared" ca="1" si="40"/>
        <v>705</v>
      </c>
      <c r="P199" s="34">
        <f t="shared" ca="1" si="40"/>
        <v>1705</v>
      </c>
    </row>
    <row r="200" spans="1:16" s="54" customFormat="1" x14ac:dyDescent="0.25">
      <c r="A200" s="135" t="s">
        <v>184</v>
      </c>
      <c r="B200" s="135"/>
      <c r="C200" s="135"/>
      <c r="D200" s="135"/>
      <c r="E200" s="135"/>
      <c r="F200" s="135"/>
      <c r="G200" s="135"/>
      <c r="H200" s="135"/>
      <c r="I200" s="30"/>
      <c r="L200" s="134"/>
      <c r="M200" s="134"/>
    </row>
    <row r="201" spans="1:16" s="54" customFormat="1" ht="15.75" customHeight="1" x14ac:dyDescent="0.25">
      <c r="A201" s="118">
        <f>LEFT(A200,SUM(LEN(A200)-LEN(SUBSTITUTE(A200,{"0","1","2","3","4","5","6","7","8","9"},""))))*100+1</f>
        <v>2201</v>
      </c>
      <c r="B201" s="118"/>
      <c r="C201" s="52" t="s">
        <v>175</v>
      </c>
      <c r="D201" s="52">
        <f>(51.26+(1.8+1.185+1.8+0.96)+(1.926+1.95))*10.764</f>
        <v>655.32308399999988</v>
      </c>
      <c r="E201" s="52">
        <f>4.687*10.764</f>
        <v>50.450868</v>
      </c>
      <c r="F201" s="52">
        <f t="shared" ref="F201" si="41">D201*(($F$135)+1)+(IF(E201&lt;101,E201,IF(E201&lt;201,E201/2,IF(E201&lt;=301,E201/3,E201/4))))</f>
        <v>1131.7339565999996</v>
      </c>
      <c r="G201" s="122" t="str">
        <f>A200</f>
        <v>22nd Floor (Part Refuge Area)</v>
      </c>
      <c r="H201" s="123"/>
      <c r="I201" s="30"/>
      <c r="N201" s="30"/>
    </row>
    <row r="202" spans="1:16" s="54" customFormat="1" ht="15.75" customHeight="1" x14ac:dyDescent="0.25">
      <c r="A202" s="118">
        <f>A201+1</f>
        <v>2202</v>
      </c>
      <c r="B202" s="118"/>
      <c r="C202" s="136" t="s">
        <v>182</v>
      </c>
      <c r="D202" s="137"/>
      <c r="E202" s="137"/>
      <c r="F202" s="138"/>
      <c r="G202" s="124"/>
      <c r="H202" s="125"/>
      <c r="I202" s="30"/>
      <c r="N202" s="30"/>
    </row>
    <row r="203" spans="1:16" s="54" customFormat="1" ht="15.75" customHeight="1" x14ac:dyDescent="0.25">
      <c r="A203" s="118">
        <f>A202+1</f>
        <v>2203</v>
      </c>
      <c r="B203" s="118"/>
      <c r="C203" s="52" t="s">
        <v>175</v>
      </c>
      <c r="D203" s="52">
        <f>(50.86+(1.8+1.671+0.69+1.8)+(1.95+2.022))*10.764</f>
        <v>654.37585200000001</v>
      </c>
      <c r="E203" s="52">
        <f>4.875*10.764</f>
        <v>52.474499999999999</v>
      </c>
      <c r="F203" s="52">
        <f>D203*(($F$135)+1)+(IF(E203&lt;101,E203,IF(E203&lt;201,E203/2,IF(E203&lt;=301,E203/3,E203/4))))</f>
        <v>1132.1946558</v>
      </c>
      <c r="G203" s="124"/>
      <c r="H203" s="125"/>
      <c r="I203" s="30"/>
      <c r="N203" s="30"/>
    </row>
    <row r="204" spans="1:16" s="54" customFormat="1" ht="15.75" customHeight="1" x14ac:dyDescent="0.25">
      <c r="A204" s="118">
        <f>A203+1</f>
        <v>2204</v>
      </c>
      <c r="B204" s="118"/>
      <c r="C204" s="52" t="s">
        <v>176</v>
      </c>
      <c r="D204" s="52">
        <f>(70.89+(1.8+1.185+1.8+1.53+0.72)+(2.202+1.95))*10.764</f>
        <v>883.47682799999995</v>
      </c>
      <c r="E204" s="52">
        <f>1.5*2.925*10.764</f>
        <v>47.227049999999991</v>
      </c>
      <c r="F204" s="52">
        <f t="shared" ref="F204:F205" si="42">D204*(($F$135)+1)+(IF(E204&lt;101,E204,IF(E204&lt;201,E204/2,IF(E204&lt;=301,E204/3,E204/4))))</f>
        <v>1504.9638161999999</v>
      </c>
      <c r="G204" s="124"/>
      <c r="H204" s="125"/>
      <c r="I204" s="30"/>
      <c r="N204" s="30"/>
    </row>
    <row r="205" spans="1:16" s="54" customFormat="1" ht="15.75" customHeight="1" x14ac:dyDescent="0.25">
      <c r="A205" s="118">
        <f>A204+1</f>
        <v>2205</v>
      </c>
      <c r="B205" s="118"/>
      <c r="C205" s="52" t="s">
        <v>176</v>
      </c>
      <c r="D205" s="52">
        <f>(70.89+(1.8+1.185+1.8+1.53+0.72)+(2.202+1.95))*10.764</f>
        <v>883.47682799999995</v>
      </c>
      <c r="E205" s="52">
        <f>1.5*2.925*10.764</f>
        <v>47.227049999999991</v>
      </c>
      <c r="F205" s="52">
        <f t="shared" si="42"/>
        <v>1504.9638161999999</v>
      </c>
      <c r="G205" s="126"/>
      <c r="H205" s="127"/>
      <c r="I205" s="30"/>
      <c r="N205" s="30"/>
    </row>
    <row r="206" spans="1:16" s="54" customFormat="1" x14ac:dyDescent="0.25">
      <c r="A206" s="135" t="s">
        <v>185</v>
      </c>
      <c r="B206" s="135"/>
      <c r="C206" s="135"/>
      <c r="D206" s="135"/>
      <c r="E206" s="135"/>
      <c r="F206" s="135"/>
      <c r="G206" s="135"/>
      <c r="H206" s="135"/>
      <c r="I206" s="30"/>
      <c r="L206" s="134"/>
      <c r="M206" s="134"/>
    </row>
    <row r="207" spans="1:16" s="54" customFormat="1" ht="15.75" customHeight="1" x14ac:dyDescent="0.25">
      <c r="A207" s="118">
        <f>LEFT(A206,SUM(LEN(A206)-LEN(SUBSTITUTE(A206,{"0","1","2","3","4","5","6","7","8","9"},""))))*100+1</f>
        <v>2301</v>
      </c>
      <c r="B207" s="118"/>
      <c r="C207" s="52" t="s">
        <v>175</v>
      </c>
      <c r="D207" s="52">
        <f>(51.26+(1.8+0.69+1.8+1.185)+(1.875+1.926))*10.764</f>
        <v>651.60950400000002</v>
      </c>
      <c r="E207" s="52">
        <f>1.5*3.25*10.764</f>
        <v>52.474499999999999</v>
      </c>
      <c r="F207" s="52">
        <f t="shared" ref="F207:F208" si="43">D207*(($F$135)+1)+(IF(E207&lt;101,E207,IF(E207&lt;201,E207/2,IF(E207&lt;=301,E207/3,E207/4))))</f>
        <v>1127.6301816</v>
      </c>
      <c r="G207" s="122" t="str">
        <f>A206</f>
        <v>23rd Floor</v>
      </c>
      <c r="H207" s="123"/>
      <c r="I207" s="30"/>
      <c r="N207" s="30"/>
    </row>
    <row r="208" spans="1:16" s="54" customFormat="1" ht="15.75" customHeight="1" x14ac:dyDescent="0.25">
      <c r="A208" s="118">
        <f>A207+1</f>
        <v>2302</v>
      </c>
      <c r="B208" s="118"/>
      <c r="C208" s="52" t="s">
        <v>175</v>
      </c>
      <c r="D208" s="52">
        <f>(51.41+(1.8+1.185+1.8+0.69)+(1.875+1.95))*10.764</f>
        <v>653.48244</v>
      </c>
      <c r="E208" s="52">
        <f>1.5*3.25*10.764</f>
        <v>52.474499999999999</v>
      </c>
      <c r="F208" s="52">
        <f t="shared" si="43"/>
        <v>1130.7205260000001</v>
      </c>
      <c r="G208" s="124"/>
      <c r="H208" s="125"/>
      <c r="I208" s="30"/>
      <c r="N208" s="30"/>
    </row>
    <row r="209" spans="1:14" s="54" customFormat="1" ht="15.75" customHeight="1" x14ac:dyDescent="0.25">
      <c r="A209" s="118">
        <f>A208+1</f>
        <v>2303</v>
      </c>
      <c r="B209" s="118"/>
      <c r="C209" s="52" t="s">
        <v>175</v>
      </c>
      <c r="D209" s="52">
        <f>(50.86+(1.8+0.69+1.8+1.671)+(1.95+1.95))*10.764</f>
        <v>653.60084399999994</v>
      </c>
      <c r="E209" s="52">
        <f>1.5*3.37*10.764</f>
        <v>54.412019999999991</v>
      </c>
      <c r="F209" s="52">
        <f>D209*(($F$135)+1)+(IF(E209&lt;101,E209,IF(E209&lt;201,E209/2,IF(E209&lt;=301,E209/3,E209/4))))</f>
        <v>1132.8534125999997</v>
      </c>
      <c r="G209" s="124"/>
      <c r="H209" s="125"/>
      <c r="I209" s="30"/>
      <c r="N209" s="30"/>
    </row>
    <row r="210" spans="1:14" s="54" customFormat="1" ht="15.75" customHeight="1" x14ac:dyDescent="0.25">
      <c r="A210" s="118">
        <f>A209+1</f>
        <v>2304</v>
      </c>
      <c r="B210" s="118"/>
      <c r="C210" s="52" t="s">
        <v>176</v>
      </c>
      <c r="D210" s="52">
        <f>(70.89+(1.8+1.185+1.8+1.53+0.72)+(2.202+2.031))*10.764</f>
        <v>884.34871199999998</v>
      </c>
      <c r="E210" s="52">
        <f>1.5*3.25*10.764</f>
        <v>52.474499999999999</v>
      </c>
      <c r="F210" s="52">
        <f t="shared" ref="F210:F211" si="44">D210*(($F$135)+1)+(IF(E210&lt;101,E210,IF(E210&lt;201,E210/2,IF(E210&lt;=301,E210/3,E210/4))))</f>
        <v>1511.6498747999999</v>
      </c>
      <c r="G210" s="124"/>
      <c r="H210" s="125"/>
      <c r="I210" s="30"/>
      <c r="N210" s="30"/>
    </row>
    <row r="211" spans="1:14" s="54" customFormat="1" ht="15.75" customHeight="1" x14ac:dyDescent="0.25">
      <c r="A211" s="118">
        <f>A210+1</f>
        <v>2305</v>
      </c>
      <c r="B211" s="118"/>
      <c r="C211" s="52" t="s">
        <v>176</v>
      </c>
      <c r="D211" s="52">
        <f>(70.89+(1.8+1.185+1.8+1.53+0.72)+(2.202+2.031))*10.764</f>
        <v>884.34871199999998</v>
      </c>
      <c r="E211" s="52">
        <f>1.5*3.25*10.764</f>
        <v>52.474499999999999</v>
      </c>
      <c r="F211" s="52">
        <f t="shared" si="44"/>
        <v>1511.6498747999999</v>
      </c>
      <c r="G211" s="126"/>
      <c r="H211" s="127"/>
      <c r="I211" s="30"/>
      <c r="N211" s="30"/>
    </row>
    <row r="212" spans="1:14" s="54" customFormat="1" x14ac:dyDescent="0.25">
      <c r="A212" s="135" t="s">
        <v>186</v>
      </c>
      <c r="B212" s="135"/>
      <c r="C212" s="135"/>
      <c r="D212" s="135"/>
      <c r="E212" s="135"/>
      <c r="F212" s="135"/>
      <c r="G212" s="135"/>
      <c r="H212" s="135"/>
      <c r="I212" s="30"/>
      <c r="L212" s="134"/>
      <c r="M212" s="134"/>
    </row>
    <row r="213" spans="1:14" s="54" customFormat="1" ht="15.75" customHeight="1" x14ac:dyDescent="0.25">
      <c r="A213" s="118">
        <f>LEFT(A212,SUM(LEN(A212)-LEN(SUBSTITUTE(A212,{"0","1","2","3","4","5","6","7","8","9"},""))))*100+1</f>
        <v>2401</v>
      </c>
      <c r="B213" s="118"/>
      <c r="C213" s="52" t="s">
        <v>175</v>
      </c>
      <c r="D213" s="52">
        <f>(51.26+(1.8+1.185+1.8+0.96)+(1.926+1.95))*10.764</f>
        <v>655.32308399999988</v>
      </c>
      <c r="E213" s="52">
        <f>4.687*10.764</f>
        <v>50.450868</v>
      </c>
      <c r="F213" s="52">
        <f t="shared" ref="F213:F214" si="45">D213*(($F$135)+1)+(IF(E213&lt;101,E213,IF(E213&lt;201,E213/2,IF(E213&lt;=301,E213/3,E213/4))))</f>
        <v>1131.7339565999996</v>
      </c>
      <c r="G213" s="122" t="str">
        <f>A212</f>
        <v>24th Floor</v>
      </c>
      <c r="H213" s="123"/>
      <c r="I213" s="30"/>
      <c r="N213" s="30"/>
    </row>
    <row r="214" spans="1:14" s="54" customFormat="1" ht="15.75" customHeight="1" x14ac:dyDescent="0.25">
      <c r="A214" s="118">
        <f>A213+1</f>
        <v>2402</v>
      </c>
      <c r="B214" s="118"/>
      <c r="C214" s="52" t="s">
        <v>175</v>
      </c>
      <c r="D214" s="52">
        <f>(50.86+(1.8+1.671+0.69+1.8)+(1.95+2.022))*10.764</f>
        <v>654.37585200000001</v>
      </c>
      <c r="E214" s="52">
        <f>4.687*10.764</f>
        <v>50.450868</v>
      </c>
      <c r="F214" s="52">
        <f t="shared" si="45"/>
        <v>1130.1710237999998</v>
      </c>
      <c r="G214" s="124"/>
      <c r="H214" s="125"/>
      <c r="I214" s="30"/>
      <c r="N214" s="30"/>
    </row>
    <row r="215" spans="1:14" s="54" customFormat="1" ht="15.75" customHeight="1" x14ac:dyDescent="0.25">
      <c r="A215" s="118">
        <f>A214+1</f>
        <v>2403</v>
      </c>
      <c r="B215" s="118"/>
      <c r="C215" s="52" t="s">
        <v>175</v>
      </c>
      <c r="D215" s="52">
        <f>(50.86+(1.8+1.671+0.69+1.8)+(1.95+2.022))*10.764</f>
        <v>654.37585200000001</v>
      </c>
      <c r="E215" s="52">
        <f>4.875*10.764</f>
        <v>52.474499999999999</v>
      </c>
      <c r="F215" s="52">
        <f>D215*(($F$135)+1)+(IF(E215&lt;101,E215,IF(E215&lt;201,E215/2,IF(E215&lt;=301,E215/3,E215/4))))</f>
        <v>1132.1946558</v>
      </c>
      <c r="G215" s="124"/>
      <c r="H215" s="125"/>
      <c r="I215" s="30"/>
      <c r="N215" s="30"/>
    </row>
    <row r="216" spans="1:14" s="54" customFormat="1" ht="15.75" customHeight="1" x14ac:dyDescent="0.25">
      <c r="A216" s="118">
        <f>A215+1</f>
        <v>2404</v>
      </c>
      <c r="B216" s="118"/>
      <c r="C216" s="52" t="s">
        <v>176</v>
      </c>
      <c r="D216" s="52">
        <f>(70.89+(1.8+1.185+1.8+1.53+0.72)+(2.202+1.95))*10.764</f>
        <v>883.47682799999995</v>
      </c>
      <c r="E216" s="52">
        <f>1.5*2.925*10.764</f>
        <v>47.227049999999991</v>
      </c>
      <c r="F216" s="52">
        <f t="shared" ref="F216:F217" si="46">D216*(($F$135)+1)+(IF(E216&lt;101,E216,IF(E216&lt;201,E216/2,IF(E216&lt;=301,E216/3,E216/4))))</f>
        <v>1504.9638161999999</v>
      </c>
      <c r="G216" s="124"/>
      <c r="H216" s="125"/>
      <c r="I216" s="30"/>
      <c r="N216" s="30"/>
    </row>
    <row r="217" spans="1:14" s="54" customFormat="1" ht="15.75" customHeight="1" x14ac:dyDescent="0.25">
      <c r="A217" s="118">
        <f>A216+1</f>
        <v>2405</v>
      </c>
      <c r="B217" s="118"/>
      <c r="C217" s="52" t="s">
        <v>176</v>
      </c>
      <c r="D217" s="52">
        <f>(70.89+(1.8+1.185+1.8+1.53+0.72)+(2.202+1.95))*10.764</f>
        <v>883.47682799999995</v>
      </c>
      <c r="E217" s="52">
        <f>1.5*2.925*10.764</f>
        <v>47.227049999999991</v>
      </c>
      <c r="F217" s="52">
        <f t="shared" si="46"/>
        <v>1504.9638161999999</v>
      </c>
      <c r="G217" s="126"/>
      <c r="H217" s="127"/>
      <c r="I217" s="30"/>
      <c r="N217" s="30"/>
    </row>
    <row r="218" spans="1:14" s="54" customFormat="1" x14ac:dyDescent="0.25">
      <c r="A218" s="135" t="s">
        <v>187</v>
      </c>
      <c r="B218" s="135"/>
      <c r="C218" s="135"/>
      <c r="D218" s="135"/>
      <c r="E218" s="135"/>
      <c r="F218" s="135"/>
      <c r="G218" s="135"/>
      <c r="H218" s="135"/>
      <c r="I218" s="30"/>
      <c r="L218" s="134"/>
      <c r="M218" s="134"/>
    </row>
    <row r="219" spans="1:14" s="54" customFormat="1" x14ac:dyDescent="0.25">
      <c r="A219" s="135" t="s">
        <v>172</v>
      </c>
      <c r="B219" s="135"/>
      <c r="C219" s="135"/>
      <c r="D219" s="135"/>
      <c r="E219" s="135"/>
      <c r="F219" s="135"/>
      <c r="G219" s="135"/>
      <c r="H219" s="135"/>
      <c r="I219" s="30"/>
      <c r="L219" s="134"/>
      <c r="M219" s="134"/>
    </row>
    <row r="220" spans="1:14" s="54" customFormat="1" x14ac:dyDescent="0.25">
      <c r="A220" s="135" t="s">
        <v>173</v>
      </c>
      <c r="B220" s="135"/>
      <c r="C220" s="135"/>
      <c r="D220" s="135"/>
      <c r="E220" s="135"/>
      <c r="F220" s="135"/>
      <c r="G220" s="135"/>
      <c r="H220" s="135"/>
      <c r="I220" s="30"/>
      <c r="L220" s="134"/>
      <c r="M220" s="134"/>
    </row>
    <row r="221" spans="1:14" s="54" customFormat="1" x14ac:dyDescent="0.25">
      <c r="A221" s="135" t="s">
        <v>174</v>
      </c>
      <c r="B221" s="135"/>
      <c r="C221" s="135"/>
      <c r="D221" s="135"/>
      <c r="E221" s="135"/>
      <c r="F221" s="135"/>
      <c r="G221" s="135"/>
      <c r="H221" s="135"/>
      <c r="I221" s="30"/>
      <c r="L221" s="134"/>
      <c r="M221" s="134"/>
    </row>
    <row r="222" spans="1:14" s="54" customFormat="1" ht="15.75" customHeight="1" x14ac:dyDescent="0.25">
      <c r="A222" s="118">
        <f>LEFT(A221,SUM(LEN(A221)-LEN(SUBSTITUTE(A221,{"0","1","2","3","4","5","6","7","8","9"},""))))*100+1</f>
        <v>101</v>
      </c>
      <c r="B222" s="118"/>
      <c r="C222" s="122" t="s">
        <v>188</v>
      </c>
      <c r="D222" s="153"/>
      <c r="E222" s="153"/>
      <c r="F222" s="123"/>
      <c r="G222" s="122" t="str">
        <f>A221</f>
        <v>1st Floor</v>
      </c>
      <c r="H222" s="123"/>
      <c r="I222" s="30"/>
      <c r="N222" s="30"/>
    </row>
    <row r="223" spans="1:14" s="54" customFormat="1" ht="15.75" customHeight="1" x14ac:dyDescent="0.25">
      <c r="A223" s="118">
        <f>A222+1</f>
        <v>102</v>
      </c>
      <c r="B223" s="118"/>
      <c r="C223" s="124"/>
      <c r="D223" s="154"/>
      <c r="E223" s="154"/>
      <c r="F223" s="125"/>
      <c r="G223" s="124"/>
      <c r="H223" s="125"/>
      <c r="I223" s="30"/>
      <c r="N223" s="30"/>
    </row>
    <row r="224" spans="1:14" s="54" customFormat="1" ht="15.75" customHeight="1" x14ac:dyDescent="0.25">
      <c r="A224" s="118">
        <f>A223+1</f>
        <v>103</v>
      </c>
      <c r="B224" s="118"/>
      <c r="C224" s="126"/>
      <c r="D224" s="155"/>
      <c r="E224" s="155"/>
      <c r="F224" s="127"/>
      <c r="G224" s="124"/>
      <c r="H224" s="125"/>
      <c r="I224" s="30"/>
      <c r="N224" s="30"/>
    </row>
    <row r="225" spans="1:16" s="54" customFormat="1" x14ac:dyDescent="0.25">
      <c r="A225" s="118">
        <f>A224+1</f>
        <v>104</v>
      </c>
      <c r="B225" s="118"/>
      <c r="C225" s="52" t="s">
        <v>176</v>
      </c>
      <c r="D225" s="52">
        <f>(70.84+0.6*2.125+(1.8+1.53+0.72+1.185)+(2.226+2.031))*10.764</f>
        <v>878.41774800000007</v>
      </c>
      <c r="E225" s="52">
        <f t="shared" ref="E225" si="47">1.5*3.25*10.764</f>
        <v>52.474499999999999</v>
      </c>
      <c r="F225" s="52">
        <f t="shared" ref="F225" si="48">D225*(($F$135)+1)+(IF(E225&lt;101,E225,IF(E225&lt;201,E225/2,IF(E225&lt;=301,E225/3,E225/4))))</f>
        <v>1501.8637842000001</v>
      </c>
      <c r="G225" s="126"/>
      <c r="H225" s="127"/>
      <c r="I225" s="30"/>
      <c r="N225" s="30"/>
    </row>
    <row r="226" spans="1:16" s="54" customFormat="1" x14ac:dyDescent="0.25">
      <c r="A226" s="135" t="s">
        <v>177</v>
      </c>
      <c r="B226" s="135"/>
      <c r="C226" s="135"/>
      <c r="D226" s="135"/>
      <c r="E226" s="135"/>
      <c r="F226" s="135"/>
      <c r="G226" s="135"/>
      <c r="H226" s="135"/>
      <c r="I226" s="30"/>
      <c r="L226" s="134"/>
      <c r="M226" s="134"/>
    </row>
    <row r="227" spans="1:16" s="54" customFormat="1" ht="15.75" customHeight="1" x14ac:dyDescent="0.25">
      <c r="A227" s="118">
        <f>LEFT(A226,SUM(LEN(A226)-LEN(SUBSTITUTE(A226,{"0","1","2","3","4","5","6","7","8","9"},""))))*100+1</f>
        <v>201</v>
      </c>
      <c r="B227" s="118"/>
      <c r="C227" s="122" t="s">
        <v>189</v>
      </c>
      <c r="D227" s="153"/>
      <c r="E227" s="153"/>
      <c r="F227" s="123"/>
      <c r="G227" s="122" t="str">
        <f>A226</f>
        <v>2nd Floor (E Deck Floor)</v>
      </c>
      <c r="H227" s="123"/>
      <c r="I227" s="30"/>
      <c r="N227" s="30"/>
    </row>
    <row r="228" spans="1:16" s="54" customFormat="1" ht="15.75" customHeight="1" x14ac:dyDescent="0.25">
      <c r="A228" s="118">
        <f>A227+1</f>
        <v>202</v>
      </c>
      <c r="B228" s="118"/>
      <c r="C228" s="126"/>
      <c r="D228" s="155"/>
      <c r="E228" s="155"/>
      <c r="F228" s="127"/>
      <c r="G228" s="124"/>
      <c r="H228" s="125"/>
      <c r="I228" s="30"/>
      <c r="N228" s="30"/>
    </row>
    <row r="229" spans="1:16" s="54" customFormat="1" ht="15.75" customHeight="1" x14ac:dyDescent="0.25">
      <c r="A229" s="118">
        <f>A228+1</f>
        <v>203</v>
      </c>
      <c r="B229" s="118"/>
      <c r="C229" s="52" t="s">
        <v>176</v>
      </c>
      <c r="D229" s="52">
        <f>(70.84+0.6*2.125+(1.8+1.8+1.53+0.72+1.185)+(2.226+1.83))*10.764</f>
        <v>895.62938399999996</v>
      </c>
      <c r="E229" s="52">
        <f>1.5*2.925*10.764</f>
        <v>47.227049999999991</v>
      </c>
      <c r="F229" s="52">
        <f>D229*(($F$135)+1)+(IF(E229&lt;101,E229,IF(E229&lt;201,E229/2,IF(E229&lt;=301,E229/3,E229/4))))</f>
        <v>1525.0155335999998</v>
      </c>
      <c r="G229" s="124"/>
      <c r="H229" s="125"/>
      <c r="I229" s="30"/>
      <c r="N229" s="30"/>
    </row>
    <row r="230" spans="1:16" s="54" customFormat="1" ht="15.75" customHeight="1" x14ac:dyDescent="0.25">
      <c r="A230" s="118">
        <f>A229+1</f>
        <v>204</v>
      </c>
      <c r="B230" s="118"/>
      <c r="C230" s="52" t="s">
        <v>176</v>
      </c>
      <c r="D230" s="52">
        <f>(70.84+0.6*2.125+(1.8+1.8+1.53+0.72+1.185)+(2.226+1.83))*10.764</f>
        <v>895.62938399999996</v>
      </c>
      <c r="E230" s="52">
        <f>1.5*2.925*10.764</f>
        <v>47.227049999999991</v>
      </c>
      <c r="F230" s="52">
        <f t="shared" ref="F230" si="49">D230*(($F$135)+1)+(IF(E230&lt;101,E230,IF(E230&lt;201,E230/2,IF(E230&lt;=301,E230/3,E230/4))))</f>
        <v>1525.0155335999998</v>
      </c>
      <c r="G230" s="126"/>
      <c r="H230" s="127"/>
      <c r="I230" s="30"/>
      <c r="N230" s="30"/>
    </row>
    <row r="231" spans="1:16" s="54" customFormat="1" ht="15.75" customHeight="1" x14ac:dyDescent="0.25">
      <c r="A231" s="119" t="s">
        <v>179</v>
      </c>
      <c r="B231" s="120"/>
      <c r="C231" s="120"/>
      <c r="D231" s="120"/>
      <c r="E231" s="120"/>
      <c r="F231" s="120"/>
      <c r="G231" s="120"/>
      <c r="H231" s="121"/>
      <c r="I231" s="30"/>
      <c r="P231" s="31"/>
    </row>
    <row r="232" spans="1:16" s="54" customFormat="1" ht="15.75" customHeight="1" x14ac:dyDescent="0.25">
      <c r="A232" s="136" t="str">
        <f t="shared" ref="A232:A236" ca="1" si="50">N232</f>
        <v>4601,..,2001</v>
      </c>
      <c r="B232" s="138"/>
      <c r="C232" s="52" t="s">
        <v>175</v>
      </c>
      <c r="D232" s="52">
        <f>(54.69+0.6*2.125+(1.8+1.461+1.8+0.72)+(1.95+2.262))*10.764</f>
        <v>709.97191199999997</v>
      </c>
      <c r="E232" s="52">
        <f>4.687*10.764</f>
        <v>50.450868</v>
      </c>
      <c r="F232" s="52">
        <f t="shared" ref="F232:F236" si="51">D232*(($F$135)+1)+(IF(E232&lt;101,E232,IF(E232&lt;201,E232/2,IF(E232&lt;=301,E232/3,E232/4))))</f>
        <v>1221.9045227999998</v>
      </c>
      <c r="G232" s="122" t="str">
        <f>A231</f>
        <v>4th, 6th, 8th, 10th, 14th, 16th, 18th &amp; 20th Floor</v>
      </c>
      <c r="H232" s="123"/>
      <c r="I232" s="30"/>
      <c r="N232" s="54" t="str">
        <f t="shared" ref="N232:N236" ca="1" si="52">O232&amp;""&amp;",..,"&amp;""&amp;P232</f>
        <v>4601,..,2001</v>
      </c>
      <c r="O232" s="54">
        <f ca="1">(SUMPRODUCT(MID(0&amp;(LEFT(A231,SUM(LEN(A231)-LEN(SUBSTITUTE(A231,{0,1,2},""))))), LARGE(INDEX(ISNUMBER(--MID((LEFT(A231,SUM(LEN(A231)-LEN(SUBSTITUTE(A231,{0,1,2},""))))), ROW(INDIRECT("1:"&amp;LEN((LEFT(A231,SUM(LEN(A231)-LEN(SUBSTITUTE(A231,{0,1,2},"")))))))), 1)) * ROW(INDIRECT("1:"&amp;LEN((LEFT(A231,SUM(LEN(A231)-LEN(SUBSTITUTE(A231,{0,1,2},"")))))))), 0), ROW(INDIRECT("1:"&amp;LEN((LEFT(A231,SUM(LEN(A231)-LEN(SUBSTITUTE(A231,{0,1,2},"")))))))))+1, 1) * 10^ROW(INDIRECT("1:"&amp;LEN((LEFT(A231,SUM(LEN(A231)-LEN(SUBSTITUTE(A231,{0,1,2},""))))))))/10))*100+1</f>
        <v>4601</v>
      </c>
      <c r="P232" s="54">
        <f ca="1">(SUMPRODUCT(MID(0&amp;(--TRIM(RIGHT(SUBSTITUTE(LEFT(A231,_xlfn.AGGREGATE(16,6,FIND({0,1,2,3,4,5,6,7,8,9},A231,ROW(INDIRECT("1:"&amp;LEN(A231)))),1))," ",REPT(" ",LEN(A231))),LEN(A231)))), LARGE(INDEX(ISNUMBER(--MID((--TRIM(RIGHT(SUBSTITUTE(LEFT(A231,_xlfn.AGGREGATE(16,6,FIND({0,1,2,3,4,5,6,7,8,9},A231,ROW(INDIRECT("1:"&amp;LEN(A231)))),1))," ",REPT(" ",LEN(A231))),LEN(A231)))), ROW(INDIRECT("1:"&amp;LEN((--TRIM(RIGHT(SUBSTITUTE(LEFT(A231,_xlfn.AGGREGATE(16,6,FIND({0,1,2,3,4,5,6,7,8,9},A231,ROW(INDIRECT("1:"&amp;LEN(A231)))),1))," ",REPT(" ",LEN(A231))),LEN(A231))))))), 1)) * ROW(INDIRECT("1:"&amp;LEN((--TRIM(RIGHT(SUBSTITUTE(LEFT(A231,_xlfn.AGGREGATE(16,6,FIND({0,1,2,3,4,5,6,7,8,9},A231,ROW(INDIRECT("1:"&amp;LEN(A231)))),1))," ",REPT(" ",LEN(A231))),LEN(A231))))))), 0), ROW(INDIRECT("1:"&amp;LEN((--TRIM(RIGHT(SUBSTITUTE(LEFT(A231,_xlfn.AGGREGATE(16,6,FIND({0,1,2,3,4,5,6,7,8,9},A231,ROW(INDIRECT("1:"&amp;LEN(A231)))),1))," ",REPT(" ",LEN(A231))),LEN(A231))))))))+1, 1) * 10^ROW(INDIRECT("1:"&amp;LEN((--TRIM(RIGHT(SUBSTITUTE(LEFT(A231,_xlfn.AGGREGATE(16,6,FIND({0,1,2,3,4,5,6,7,8,9},A231,ROW(INDIRECT("1:"&amp;LEN(A231)))),1))," ",REPT(" ",LEN(A231))),LEN(A231)))))))/10))*100+1</f>
        <v>2001</v>
      </c>
    </row>
    <row r="233" spans="1:16" s="54" customFormat="1" ht="15.75" customHeight="1" x14ac:dyDescent="0.25">
      <c r="A233" s="136" t="str">
        <f t="shared" ca="1" si="50"/>
        <v>4602,..,2002</v>
      </c>
      <c r="B233" s="138"/>
      <c r="C233" s="52" t="s">
        <v>175</v>
      </c>
      <c r="D233" s="52">
        <f>(54.82+0.6*2.125+(1.8+1.8+0.69+1.437)+(1.9+2.286))*10.764</f>
        <v>710.51011200000005</v>
      </c>
      <c r="E233" s="52">
        <f>4.687*10.764</f>
        <v>50.450868</v>
      </c>
      <c r="F233" s="52">
        <f t="shared" si="51"/>
        <v>1222.7925527999998</v>
      </c>
      <c r="G233" s="124"/>
      <c r="H233" s="125"/>
      <c r="I233" s="30"/>
      <c r="N233" s="54" t="str">
        <f t="shared" ca="1" si="52"/>
        <v>4602,..,2002</v>
      </c>
      <c r="O233" s="54">
        <f t="shared" ref="O233:P233" ca="1" si="53">O232+1</f>
        <v>4602</v>
      </c>
      <c r="P233" s="54">
        <f t="shared" ca="1" si="53"/>
        <v>2002</v>
      </c>
    </row>
    <row r="234" spans="1:16" s="54" customFormat="1" ht="15.75" customHeight="1" x14ac:dyDescent="0.25">
      <c r="A234" s="136" t="str">
        <f t="shared" ca="1" si="50"/>
        <v>4603,..,2003</v>
      </c>
      <c r="B234" s="138"/>
      <c r="C234" s="52" t="s">
        <v>176</v>
      </c>
      <c r="D234" s="52">
        <f>(70.84+0.6*2.125+(1.8+1.8+1.53+0.72+1.185)+(2.226+1.83))*10.764</f>
        <v>895.62938399999996</v>
      </c>
      <c r="E234" s="52">
        <f>4.387*10.764</f>
        <v>47.221667999999994</v>
      </c>
      <c r="F234" s="52">
        <f t="shared" si="51"/>
        <v>1525.0101515999997</v>
      </c>
      <c r="G234" s="124"/>
      <c r="H234" s="125"/>
      <c r="I234" s="30"/>
      <c r="N234" s="54" t="str">
        <f t="shared" ca="1" si="52"/>
        <v>4603,..,2003</v>
      </c>
      <c r="O234" s="54">
        <f t="shared" ref="O234:P234" ca="1" si="54">O233+1</f>
        <v>4603</v>
      </c>
      <c r="P234" s="54">
        <f t="shared" ca="1" si="54"/>
        <v>2003</v>
      </c>
    </row>
    <row r="235" spans="1:16" s="54" customFormat="1" ht="15.75" customHeight="1" x14ac:dyDescent="0.25">
      <c r="A235" s="136" t="str">
        <f t="shared" ca="1" si="50"/>
        <v>4604,..,2004</v>
      </c>
      <c r="B235" s="138"/>
      <c r="C235" s="52" t="s">
        <v>176</v>
      </c>
      <c r="D235" s="52">
        <f>(70.84+0.6*1.125+(1.8+1.8+1.53+1.185+0.72)+(2.226+1.83))*10.764</f>
        <v>889.17098399999986</v>
      </c>
      <c r="E235" s="52">
        <f>4.387*10.764</f>
        <v>47.221667999999994</v>
      </c>
      <c r="F235" s="52">
        <f t="shared" si="51"/>
        <v>1514.3537915999996</v>
      </c>
      <c r="G235" s="124"/>
      <c r="H235" s="125"/>
      <c r="I235" s="30"/>
      <c r="N235" s="54" t="str">
        <f t="shared" ca="1" si="52"/>
        <v>4604,..,2004</v>
      </c>
      <c r="O235" s="54">
        <f t="shared" ref="O235:P235" ca="1" si="55">O234+1</f>
        <v>4604</v>
      </c>
      <c r="P235" s="54">
        <f t="shared" ca="1" si="55"/>
        <v>2004</v>
      </c>
    </row>
    <row r="236" spans="1:16" s="54" customFormat="1" ht="15.75" customHeight="1" x14ac:dyDescent="0.25">
      <c r="A236" s="136" t="str">
        <f t="shared" ca="1" si="50"/>
        <v>4605,..,2005</v>
      </c>
      <c r="B236" s="138"/>
      <c r="C236" s="52" t="s">
        <v>175</v>
      </c>
      <c r="D236" s="52">
        <f>(54.82+0.6*2.125+(0.72+1.461+1.8+1.8)+(2.286+1.95))*10.764</f>
        <v>711.62956799999995</v>
      </c>
      <c r="E236" s="52">
        <f t="shared" ref="E236:E237" si="56">4.687*10.764</f>
        <v>50.450868</v>
      </c>
      <c r="F236" s="52">
        <f t="shared" si="51"/>
        <v>1224.6396551999997</v>
      </c>
      <c r="G236" s="124"/>
      <c r="H236" s="125"/>
      <c r="I236" s="30"/>
      <c r="N236" s="54" t="str">
        <f t="shared" ca="1" si="52"/>
        <v>4605,..,2005</v>
      </c>
      <c r="O236" s="54">
        <f t="shared" ref="O236:P237" ca="1" si="57">O235+1</f>
        <v>4605</v>
      </c>
      <c r="P236" s="54">
        <f t="shared" ca="1" si="57"/>
        <v>2005</v>
      </c>
    </row>
    <row r="237" spans="1:16" s="54" customFormat="1" ht="15.75" customHeight="1" x14ac:dyDescent="0.25">
      <c r="A237" s="136" t="str">
        <f t="shared" ref="A237" ca="1" si="58">N237</f>
        <v>4606,..,2006</v>
      </c>
      <c r="B237" s="138"/>
      <c r="C237" s="52" t="s">
        <v>175</v>
      </c>
      <c r="D237" s="52">
        <f>(54.82+0.6*2.125+(0.72+1.461+1.8+1.8)+(2.262+1.95))*10.764</f>
        <v>711.37123199999985</v>
      </c>
      <c r="E237" s="52">
        <f t="shared" si="56"/>
        <v>50.450868</v>
      </c>
      <c r="F237" s="52">
        <f t="shared" ref="F237" si="59">D237*(($F$135)+1)+(IF(E237&lt;101,E237,IF(E237&lt;201,E237/2,IF(E237&lt;=301,E237/3,E237/4))))</f>
        <v>1224.2134007999996</v>
      </c>
      <c r="G237" s="126"/>
      <c r="H237" s="127"/>
      <c r="I237" s="30"/>
      <c r="N237" s="54" t="str">
        <f t="shared" ref="N237" ca="1" si="60">O237&amp;""&amp;",..,"&amp;""&amp;P237</f>
        <v>4606,..,2006</v>
      </c>
      <c r="O237" s="54">
        <f t="shared" ca="1" si="57"/>
        <v>4606</v>
      </c>
      <c r="P237" s="54">
        <f t="shared" ca="1" si="57"/>
        <v>2006</v>
      </c>
    </row>
    <row r="238" spans="1:16" s="54" customFormat="1" ht="15.75" customHeight="1" x14ac:dyDescent="0.25">
      <c r="A238" s="119" t="s">
        <v>180</v>
      </c>
      <c r="B238" s="120"/>
      <c r="C238" s="120"/>
      <c r="D238" s="120"/>
      <c r="E238" s="120"/>
      <c r="F238" s="120"/>
      <c r="G238" s="120"/>
      <c r="H238" s="121"/>
      <c r="I238" s="30"/>
      <c r="P238" s="31"/>
    </row>
    <row r="239" spans="1:16" s="54" customFormat="1" ht="15.75" customHeight="1" x14ac:dyDescent="0.25">
      <c r="A239" s="136" t="str">
        <f t="shared" ref="A239:A243" ca="1" si="61">N239</f>
        <v>3501,..,2101</v>
      </c>
      <c r="B239" s="138"/>
      <c r="C239" s="52" t="s">
        <v>175</v>
      </c>
      <c r="D239" s="52">
        <f>(54.69+0.6*2.125+(1.8+1.8+1.437+0.72)+(1.95+1.875))*10.764</f>
        <v>705.54790799999989</v>
      </c>
      <c r="E239" s="52">
        <f>4.575*10.764</f>
        <v>49.2453</v>
      </c>
      <c r="F239" s="52">
        <f t="shared" ref="F239:F243" si="62">D239*(($F$135)+1)+(IF(E239&lt;101,E239,IF(E239&lt;201,E239/2,IF(E239&lt;=301,E239/3,E239/4))))</f>
        <v>1213.3993481999998</v>
      </c>
      <c r="G239" s="122" t="str">
        <f>A238</f>
        <v>3rd, 5th, 9th, 11th, 13th, 15th, 19th &amp; 21st Floor</v>
      </c>
      <c r="H239" s="123"/>
      <c r="I239" s="30"/>
      <c r="N239" s="54" t="str">
        <f t="shared" ref="N239:N243" ca="1" si="63">O239&amp;""&amp;",..,"&amp;""&amp;P239</f>
        <v>3501,..,2101</v>
      </c>
      <c r="O239" s="54">
        <f ca="1">(SUMPRODUCT(MID(0&amp;(LEFT(A238,SUM(LEN(A238)-LEN(SUBSTITUTE(A238,{0,1,2},""))))), LARGE(INDEX(ISNUMBER(--MID((LEFT(A238,SUM(LEN(A238)-LEN(SUBSTITUTE(A238,{0,1,2},""))))), ROW(INDIRECT("1:"&amp;LEN((LEFT(A238,SUM(LEN(A238)-LEN(SUBSTITUTE(A238,{0,1,2},"")))))))), 1)) * ROW(INDIRECT("1:"&amp;LEN((LEFT(A238,SUM(LEN(A238)-LEN(SUBSTITUTE(A238,{0,1,2},"")))))))), 0), ROW(INDIRECT("1:"&amp;LEN((LEFT(A238,SUM(LEN(A238)-LEN(SUBSTITUTE(A238,{0,1,2},"")))))))))+1, 1) * 10^ROW(INDIRECT("1:"&amp;LEN((LEFT(A238,SUM(LEN(A238)-LEN(SUBSTITUTE(A238,{0,1,2},""))))))))/10))*100+1</f>
        <v>3501</v>
      </c>
      <c r="P239" s="54">
        <f ca="1">(SUMPRODUCT(MID(0&amp;(--TRIM(RIGHT(SUBSTITUTE(LEFT(A238,_xlfn.AGGREGATE(16,6,FIND({0,1,2,3,4,5,6,7,8,9},A238,ROW(INDIRECT("1:"&amp;LEN(A238)))),1))," ",REPT(" ",LEN(A238))),LEN(A238)))), LARGE(INDEX(ISNUMBER(--MID((--TRIM(RIGHT(SUBSTITUTE(LEFT(A238,_xlfn.AGGREGATE(16,6,FIND({0,1,2,3,4,5,6,7,8,9},A238,ROW(INDIRECT("1:"&amp;LEN(A238)))),1))," ",REPT(" ",LEN(A238))),LEN(A238)))), ROW(INDIRECT("1:"&amp;LEN((--TRIM(RIGHT(SUBSTITUTE(LEFT(A238,_xlfn.AGGREGATE(16,6,FIND({0,1,2,3,4,5,6,7,8,9},A238,ROW(INDIRECT("1:"&amp;LEN(A238)))),1))," ",REPT(" ",LEN(A238))),LEN(A238))))))), 1)) * ROW(INDIRECT("1:"&amp;LEN((--TRIM(RIGHT(SUBSTITUTE(LEFT(A238,_xlfn.AGGREGATE(16,6,FIND({0,1,2,3,4,5,6,7,8,9},A238,ROW(INDIRECT("1:"&amp;LEN(A238)))),1))," ",REPT(" ",LEN(A238))),LEN(A238))))))), 0), ROW(INDIRECT("1:"&amp;LEN((--TRIM(RIGHT(SUBSTITUTE(LEFT(A238,_xlfn.AGGREGATE(16,6,FIND({0,1,2,3,4,5,6,7,8,9},A238,ROW(INDIRECT("1:"&amp;LEN(A238)))),1))," ",REPT(" ",LEN(A238))),LEN(A238))))))))+1, 1) * 10^ROW(INDIRECT("1:"&amp;LEN((--TRIM(RIGHT(SUBSTITUTE(LEFT(A238,_xlfn.AGGREGATE(16,6,FIND({0,1,2,3,4,5,6,7,8,9},A238,ROW(INDIRECT("1:"&amp;LEN(A238)))),1))," ",REPT(" ",LEN(A238))),LEN(A238)))))))/10))*100+1</f>
        <v>2101</v>
      </c>
    </row>
    <row r="240" spans="1:16" s="54" customFormat="1" ht="15.75" customHeight="1" x14ac:dyDescent="0.25">
      <c r="A240" s="136" t="str">
        <f t="shared" ca="1" si="61"/>
        <v>3502,..,2102</v>
      </c>
      <c r="B240" s="138"/>
      <c r="C240" s="52" t="s">
        <v>175</v>
      </c>
      <c r="D240" s="52">
        <f>(54.69+0.6*2.125+(1.8+1.8+1.437+0.72)+(1.95+1.875))*10.764</f>
        <v>705.54790799999989</v>
      </c>
      <c r="E240" s="52">
        <f t="shared" ref="E240:E244" si="64">4.575*10.764</f>
        <v>49.2453</v>
      </c>
      <c r="F240" s="52">
        <f t="shared" si="62"/>
        <v>1213.3993481999998</v>
      </c>
      <c r="G240" s="124"/>
      <c r="H240" s="125"/>
      <c r="I240" s="30"/>
      <c r="N240" s="54" t="str">
        <f t="shared" ca="1" si="63"/>
        <v>3502,..,2102</v>
      </c>
      <c r="O240" s="54">
        <f t="shared" ref="O240:P240" ca="1" si="65">O239+1</f>
        <v>3502</v>
      </c>
      <c r="P240" s="54">
        <f t="shared" ca="1" si="65"/>
        <v>2102</v>
      </c>
    </row>
    <row r="241" spans="1:16" s="54" customFormat="1" ht="15.75" customHeight="1" x14ac:dyDescent="0.25">
      <c r="A241" s="136" t="str">
        <f t="shared" ca="1" si="61"/>
        <v>3503,..,2103</v>
      </c>
      <c r="B241" s="138"/>
      <c r="C241" s="52" t="s">
        <v>176</v>
      </c>
      <c r="D241" s="52">
        <f>(70.84+0.6*2.125+(1.8+1.8+1.53+1.185+0.72)+(2.226+2.031))*10.764</f>
        <v>897.79294800000002</v>
      </c>
      <c r="E241" s="52">
        <f>4.875*10.764</f>
        <v>52.474499999999999</v>
      </c>
      <c r="F241" s="52">
        <f t="shared" si="62"/>
        <v>1533.8328641999999</v>
      </c>
      <c r="G241" s="124"/>
      <c r="H241" s="125"/>
      <c r="I241" s="30"/>
      <c r="N241" s="54" t="str">
        <f t="shared" ca="1" si="63"/>
        <v>3503,..,2103</v>
      </c>
      <c r="O241" s="54">
        <f t="shared" ref="O241:P241" ca="1" si="66">O240+1</f>
        <v>3503</v>
      </c>
      <c r="P241" s="54">
        <f t="shared" ca="1" si="66"/>
        <v>2103</v>
      </c>
    </row>
    <row r="242" spans="1:16" s="54" customFormat="1" ht="15.75" customHeight="1" x14ac:dyDescent="0.25">
      <c r="A242" s="136" t="str">
        <f t="shared" ca="1" si="61"/>
        <v>3504,..,2104</v>
      </c>
      <c r="B242" s="138"/>
      <c r="C242" s="52" t="s">
        <v>176</v>
      </c>
      <c r="D242" s="52">
        <f>(70.84+0.6*2.125+(1.8+1.8+1.53+1.185+0.72)+(2.226+2.031))*10.764</f>
        <v>897.79294800000002</v>
      </c>
      <c r="E242" s="52">
        <f>4.875*10.764</f>
        <v>52.474499999999999</v>
      </c>
      <c r="F242" s="52">
        <f t="shared" si="62"/>
        <v>1533.8328641999999</v>
      </c>
      <c r="G242" s="124"/>
      <c r="H242" s="125"/>
      <c r="I242" s="30"/>
      <c r="N242" s="54" t="str">
        <f t="shared" ca="1" si="63"/>
        <v>3504,..,2104</v>
      </c>
      <c r="O242" s="54">
        <f t="shared" ref="O242:P242" ca="1" si="67">O241+1</f>
        <v>3504</v>
      </c>
      <c r="P242" s="54">
        <f t="shared" ca="1" si="67"/>
        <v>2104</v>
      </c>
    </row>
    <row r="243" spans="1:16" s="54" customFormat="1" ht="15.75" customHeight="1" x14ac:dyDescent="0.25">
      <c r="A243" s="136" t="str">
        <f t="shared" ca="1" si="61"/>
        <v>3505,..,2105</v>
      </c>
      <c r="B243" s="138"/>
      <c r="C243" s="52" t="s">
        <v>175</v>
      </c>
      <c r="D243" s="52">
        <f>(54.82+0.6*2.125+(0.72+1.461+1.8+1.8)+(1.875+1.95))*10.764</f>
        <v>707.20556399999987</v>
      </c>
      <c r="E243" s="52">
        <f t="shared" si="64"/>
        <v>49.2453</v>
      </c>
      <c r="F243" s="52">
        <f t="shared" si="62"/>
        <v>1216.1344805999997</v>
      </c>
      <c r="G243" s="124"/>
      <c r="H243" s="125"/>
      <c r="I243" s="30"/>
      <c r="N243" s="54" t="str">
        <f t="shared" ca="1" si="63"/>
        <v>3505,..,2105</v>
      </c>
      <c r="O243" s="54">
        <f t="shared" ref="O243:P244" ca="1" si="68">O242+1</f>
        <v>3505</v>
      </c>
      <c r="P243" s="54">
        <f t="shared" ca="1" si="68"/>
        <v>2105</v>
      </c>
    </row>
    <row r="244" spans="1:16" s="54" customFormat="1" ht="15.75" customHeight="1" x14ac:dyDescent="0.25">
      <c r="A244" s="136" t="str">
        <f t="shared" ref="A244" ca="1" si="69">N244</f>
        <v>3506,..,2106</v>
      </c>
      <c r="B244" s="138"/>
      <c r="C244" s="52" t="s">
        <v>175</v>
      </c>
      <c r="D244" s="52">
        <f>(54.82+0.6*2.125+(0.72+1.461+1.8+1.8)+(1.875+1.95))*10.764</f>
        <v>707.20556399999987</v>
      </c>
      <c r="E244" s="52">
        <f t="shared" si="64"/>
        <v>49.2453</v>
      </c>
      <c r="F244" s="52">
        <f t="shared" ref="F244" si="70">D244*(($F$135)+1)+(IF(E244&lt;101,E244,IF(E244&lt;201,E244/2,IF(E244&lt;=301,E244/3,E244/4))))</f>
        <v>1216.1344805999997</v>
      </c>
      <c r="G244" s="126"/>
      <c r="H244" s="127"/>
      <c r="I244" s="30"/>
      <c r="N244" s="54" t="str">
        <f t="shared" ref="N244" ca="1" si="71">O244&amp;""&amp;",..,"&amp;""&amp;P244</f>
        <v>3506,..,2106</v>
      </c>
      <c r="O244" s="54">
        <f t="shared" ca="1" si="68"/>
        <v>3506</v>
      </c>
      <c r="P244" s="54">
        <f t="shared" ca="1" si="68"/>
        <v>2106</v>
      </c>
    </row>
    <row r="245" spans="1:16" s="77" customFormat="1" ht="15.75" hidden="1" customHeight="1" x14ac:dyDescent="0.25">
      <c r="A245" s="119" t="s">
        <v>206</v>
      </c>
      <c r="B245" s="120"/>
      <c r="C245" s="120"/>
      <c r="D245" s="120"/>
      <c r="E245" s="120"/>
      <c r="F245" s="120"/>
      <c r="G245" s="120"/>
      <c r="H245" s="121"/>
      <c r="I245" s="30"/>
      <c r="P245" s="31"/>
    </row>
    <row r="246" spans="1:16" s="77" customFormat="1" ht="15.75" hidden="1" customHeight="1" x14ac:dyDescent="0.25">
      <c r="A246" s="136" t="str">
        <f t="shared" ref="A246:A251" ca="1" si="72">N246</f>
        <v>101,..,1301</v>
      </c>
      <c r="B246" s="138"/>
      <c r="C246" s="76" t="s">
        <v>175</v>
      </c>
      <c r="D246" s="76">
        <f>(54.69+0.6*2.125+(1.8+1.8+1.437+0.72)+(1.95+1.875))*10.764</f>
        <v>705.54790799999989</v>
      </c>
      <c r="E246" s="76">
        <f>4.575*10.764</f>
        <v>49.2453</v>
      </c>
      <c r="F246" s="76">
        <f t="shared" ref="F246:F251" si="73">D246*(($F$135)+1)+(IF(E246&lt;101,E246,IF(E246&lt;201,E246/2,IF(E246&lt;=301,E246/3,E246/4))))</f>
        <v>1213.3993481999998</v>
      </c>
      <c r="G246" s="122" t="str">
        <f>A245</f>
        <v>13th Floor</v>
      </c>
      <c r="H246" s="123"/>
      <c r="I246" s="30"/>
      <c r="N246" s="77" t="str">
        <f t="shared" ref="N246:N251" ca="1" si="74">O246&amp;""&amp;",..,"&amp;""&amp;P246</f>
        <v>101,..,1301</v>
      </c>
      <c r="O246" s="77">
        <f ca="1">(SUMPRODUCT(MID(0&amp;(LEFT(A245,SUM(LEN(A245)-LEN(SUBSTITUTE(A245,{0,1,2},""))))), LARGE(INDEX(ISNUMBER(--MID((LEFT(A245,SUM(LEN(A245)-LEN(SUBSTITUTE(A245,{0,1,2},""))))), ROW(INDIRECT("1:"&amp;LEN((LEFT(A245,SUM(LEN(A245)-LEN(SUBSTITUTE(A245,{0,1,2},"")))))))), 1)) * ROW(INDIRECT("1:"&amp;LEN((LEFT(A245,SUM(LEN(A245)-LEN(SUBSTITUTE(A245,{0,1,2},"")))))))), 0), ROW(INDIRECT("1:"&amp;LEN((LEFT(A245,SUM(LEN(A245)-LEN(SUBSTITUTE(A245,{0,1,2},"")))))))))+1, 1) * 10^ROW(INDIRECT("1:"&amp;LEN((LEFT(A245,SUM(LEN(A245)-LEN(SUBSTITUTE(A245,{0,1,2},""))))))))/10))*100+1</f>
        <v>101</v>
      </c>
      <c r="P246" s="77">
        <f ca="1">(SUMPRODUCT(MID(0&amp;(--TRIM(RIGHT(SUBSTITUTE(LEFT(A245,_xlfn.AGGREGATE(16,6,FIND({0,1,2,3,4,5,6,7,8,9},A245,ROW(INDIRECT("1:"&amp;LEN(A245)))),1))," ",REPT(" ",LEN(A245))),LEN(A245)))), LARGE(INDEX(ISNUMBER(--MID((--TRIM(RIGHT(SUBSTITUTE(LEFT(A245,_xlfn.AGGREGATE(16,6,FIND({0,1,2,3,4,5,6,7,8,9},A245,ROW(INDIRECT("1:"&amp;LEN(A245)))),1))," ",REPT(" ",LEN(A245))),LEN(A245)))), ROW(INDIRECT("1:"&amp;LEN((--TRIM(RIGHT(SUBSTITUTE(LEFT(A245,_xlfn.AGGREGATE(16,6,FIND({0,1,2,3,4,5,6,7,8,9},A245,ROW(INDIRECT("1:"&amp;LEN(A245)))),1))," ",REPT(" ",LEN(A245))),LEN(A245))))))), 1)) * ROW(INDIRECT("1:"&amp;LEN((--TRIM(RIGHT(SUBSTITUTE(LEFT(A245,_xlfn.AGGREGATE(16,6,FIND({0,1,2,3,4,5,6,7,8,9},A245,ROW(INDIRECT("1:"&amp;LEN(A245)))),1))," ",REPT(" ",LEN(A245))),LEN(A245))))))), 0), ROW(INDIRECT("1:"&amp;LEN((--TRIM(RIGHT(SUBSTITUTE(LEFT(A245,_xlfn.AGGREGATE(16,6,FIND({0,1,2,3,4,5,6,7,8,9},A245,ROW(INDIRECT("1:"&amp;LEN(A245)))),1))," ",REPT(" ",LEN(A245))),LEN(A245))))))))+1, 1) * 10^ROW(INDIRECT("1:"&amp;LEN((--TRIM(RIGHT(SUBSTITUTE(LEFT(A245,_xlfn.AGGREGATE(16,6,FIND({0,1,2,3,4,5,6,7,8,9},A245,ROW(INDIRECT("1:"&amp;LEN(A245)))),1))," ",REPT(" ",LEN(A245))),LEN(A245)))))))/10))*100+1</f>
        <v>1301</v>
      </c>
    </row>
    <row r="247" spans="1:16" s="77" customFormat="1" ht="15.75" hidden="1" customHeight="1" x14ac:dyDescent="0.25">
      <c r="A247" s="136" t="str">
        <f t="shared" ca="1" si="72"/>
        <v>102,..,1302</v>
      </c>
      <c r="B247" s="138"/>
      <c r="C247" s="76" t="s">
        <v>175</v>
      </c>
      <c r="D247" s="76">
        <f>(54.69+0.6*2.125+(1.8+1.8+1.437+0.72)+(1.95+1.875))*10.764</f>
        <v>705.54790799999989</v>
      </c>
      <c r="E247" s="76">
        <f t="shared" ref="E247:E251" si="75">4.575*10.764</f>
        <v>49.2453</v>
      </c>
      <c r="F247" s="76">
        <f t="shared" si="73"/>
        <v>1213.3993481999998</v>
      </c>
      <c r="G247" s="124"/>
      <c r="H247" s="125"/>
      <c r="I247" s="30"/>
      <c r="N247" s="77" t="str">
        <f t="shared" ca="1" si="74"/>
        <v>102,..,1302</v>
      </c>
      <c r="O247" s="77">
        <f t="shared" ref="O247:P247" ca="1" si="76">O246+1</f>
        <v>102</v>
      </c>
      <c r="P247" s="77">
        <f t="shared" ca="1" si="76"/>
        <v>1302</v>
      </c>
    </row>
    <row r="248" spans="1:16" s="77" customFormat="1" ht="15.75" hidden="1" customHeight="1" x14ac:dyDescent="0.25">
      <c r="A248" s="136" t="str">
        <f t="shared" ca="1" si="72"/>
        <v>103,..,1303</v>
      </c>
      <c r="B248" s="138"/>
      <c r="C248" s="76" t="s">
        <v>176</v>
      </c>
      <c r="D248" s="76">
        <f>(70.84+0.6*2.125+(1.8+1.8+1.53+1.185+0.72)+(2.226+2.031))*10.764</f>
        <v>897.79294800000002</v>
      </c>
      <c r="E248" s="76">
        <f>4.875*10.764</f>
        <v>52.474499999999999</v>
      </c>
      <c r="F248" s="78">
        <f t="shared" si="73"/>
        <v>1533.8328641999999</v>
      </c>
      <c r="G248" s="124"/>
      <c r="H248" s="125"/>
      <c r="I248" s="30">
        <f>F248*24700+SUM(F117:H123)</f>
        <v>38126271.745739996</v>
      </c>
      <c r="J248" s="30">
        <f>I248+2000000</f>
        <v>40126271.745739996</v>
      </c>
      <c r="K248" s="30">
        <f>J248+1900000</f>
        <v>42026271.745739996</v>
      </c>
      <c r="L248" s="77">
        <f>K248*0.75</f>
        <v>31519703.809304997</v>
      </c>
      <c r="N248" s="77" t="str">
        <f t="shared" ca="1" si="74"/>
        <v>103,..,1303</v>
      </c>
      <c r="O248" s="77">
        <f t="shared" ref="O248:P248" ca="1" si="77">O247+1</f>
        <v>103</v>
      </c>
      <c r="P248" s="77">
        <f t="shared" ca="1" si="77"/>
        <v>1303</v>
      </c>
    </row>
    <row r="249" spans="1:16" s="77" customFormat="1" ht="15.75" hidden="1" customHeight="1" x14ac:dyDescent="0.25">
      <c r="A249" s="136" t="str">
        <f t="shared" ca="1" si="72"/>
        <v>104,..,1304</v>
      </c>
      <c r="B249" s="138"/>
      <c r="C249" s="76" t="s">
        <v>176</v>
      </c>
      <c r="D249" s="76">
        <f>(70.84+0.6*2.125+(1.8+1.8+1.53+1.185+0.72)+(2.226+2.031))*10.764</f>
        <v>897.79294800000002</v>
      </c>
      <c r="E249" s="76">
        <f>4.875*10.764</f>
        <v>52.474499999999999</v>
      </c>
      <c r="F249" s="76">
        <f t="shared" si="73"/>
        <v>1533.8328641999999</v>
      </c>
      <c r="G249" s="124"/>
      <c r="H249" s="125"/>
      <c r="I249" s="30"/>
      <c r="L249" s="77">
        <f>31500000*0.75</f>
        <v>23625000</v>
      </c>
      <c r="M249" s="77">
        <f>31500000-L249</f>
        <v>7875000</v>
      </c>
      <c r="N249" s="77" t="str">
        <f t="shared" ca="1" si="74"/>
        <v>104,..,1304</v>
      </c>
      <c r="O249" s="77">
        <f t="shared" ref="O249:P249" ca="1" si="78">O248+1</f>
        <v>104</v>
      </c>
      <c r="P249" s="77">
        <f t="shared" ca="1" si="78"/>
        <v>1304</v>
      </c>
    </row>
    <row r="250" spans="1:16" s="77" customFormat="1" ht="15.75" hidden="1" customHeight="1" x14ac:dyDescent="0.25">
      <c r="A250" s="136" t="str">
        <f t="shared" ca="1" si="72"/>
        <v>105,..,1305</v>
      </c>
      <c r="B250" s="138"/>
      <c r="C250" s="76" t="s">
        <v>175</v>
      </c>
      <c r="D250" s="76">
        <f>(54.82+0.6*2.125+(0.72+1.461+1.8+1.8)+(1.875+1.95))*10.764</f>
        <v>707.20556399999987</v>
      </c>
      <c r="E250" s="76">
        <f t="shared" si="75"/>
        <v>49.2453</v>
      </c>
      <c r="F250" s="76">
        <f t="shared" si="73"/>
        <v>1216.1344805999997</v>
      </c>
      <c r="G250" s="124"/>
      <c r="H250" s="125"/>
      <c r="I250" s="30"/>
      <c r="N250" s="77" t="str">
        <f t="shared" ca="1" si="74"/>
        <v>105,..,1305</v>
      </c>
      <c r="O250" s="77">
        <f t="shared" ref="O250:P250" ca="1" si="79">O249+1</f>
        <v>105</v>
      </c>
      <c r="P250" s="77">
        <f t="shared" ca="1" si="79"/>
        <v>1305</v>
      </c>
    </row>
    <row r="251" spans="1:16" s="77" customFormat="1" ht="15.75" hidden="1" customHeight="1" x14ac:dyDescent="0.25">
      <c r="A251" s="136" t="str">
        <f t="shared" ca="1" si="72"/>
        <v>106,..,1306</v>
      </c>
      <c r="B251" s="138"/>
      <c r="C251" s="76" t="s">
        <v>175</v>
      </c>
      <c r="D251" s="76">
        <f>(54.82+0.6*2.125+(0.72+1.461+1.8+1.8)+(1.875+1.95))*10.764</f>
        <v>707.20556399999987</v>
      </c>
      <c r="E251" s="76">
        <f t="shared" si="75"/>
        <v>49.2453</v>
      </c>
      <c r="F251" s="76">
        <f t="shared" si="73"/>
        <v>1216.1344805999997</v>
      </c>
      <c r="G251" s="126"/>
      <c r="H251" s="127"/>
      <c r="I251" s="30"/>
      <c r="N251" s="77" t="str">
        <f t="shared" ca="1" si="74"/>
        <v>106,..,1306</v>
      </c>
      <c r="O251" s="77">
        <f t="shared" ref="O251:P251" ca="1" si="80">O250+1</f>
        <v>106</v>
      </c>
      <c r="P251" s="77">
        <f t="shared" ca="1" si="80"/>
        <v>1306</v>
      </c>
    </row>
    <row r="252" spans="1:16" s="54" customFormat="1" x14ac:dyDescent="0.25">
      <c r="A252" s="135" t="s">
        <v>181</v>
      </c>
      <c r="B252" s="135"/>
      <c r="C252" s="135"/>
      <c r="D252" s="135"/>
      <c r="E252" s="135"/>
      <c r="F252" s="135"/>
      <c r="G252" s="135"/>
      <c r="H252" s="135"/>
      <c r="I252" s="30"/>
      <c r="L252" s="134"/>
      <c r="M252" s="134"/>
    </row>
    <row r="253" spans="1:16" s="54" customFormat="1" ht="15.75" customHeight="1" x14ac:dyDescent="0.25">
      <c r="A253" s="118">
        <f>LEFT(A252,SUM(LEN(A252)-LEN(SUBSTITUTE(A252,{"0","1","2","3","4","5","6","7","8","9"},""))))*100+1</f>
        <v>1201</v>
      </c>
      <c r="B253" s="118"/>
      <c r="C253" s="52" t="s">
        <v>175</v>
      </c>
      <c r="D253" s="52">
        <f>(54.69+0.6*2.125+(1.8+1.461+1.8+0.72)+(1.95+2.262))*10.764</f>
        <v>709.97191199999997</v>
      </c>
      <c r="E253" s="52">
        <f>4.687*10.764</f>
        <v>50.450868</v>
      </c>
      <c r="F253" s="52">
        <f t="shared" ref="F253" si="81">D253*(($F$135)+1)+(IF(E253&lt;101,E253,IF(E253&lt;201,E253/2,IF(E253&lt;=301,E253/3,E253/4))))</f>
        <v>1221.9045227999998</v>
      </c>
      <c r="G253" s="122" t="str">
        <f>A252</f>
        <v>12th Floor (Part Refuge Area)</v>
      </c>
      <c r="H253" s="123"/>
      <c r="I253" s="30"/>
      <c r="N253" s="30"/>
    </row>
    <row r="254" spans="1:16" s="54" customFormat="1" ht="15.75" customHeight="1" x14ac:dyDescent="0.25">
      <c r="A254" s="118">
        <f>A253+1</f>
        <v>1202</v>
      </c>
      <c r="B254" s="118"/>
      <c r="C254" s="136" t="s">
        <v>182</v>
      </c>
      <c r="D254" s="137"/>
      <c r="E254" s="137"/>
      <c r="F254" s="138"/>
      <c r="G254" s="124" t="str">
        <f>G253</f>
        <v>12th Floor (Part Refuge Area)</v>
      </c>
      <c r="H254" s="125"/>
      <c r="I254" s="30"/>
      <c r="N254" s="30"/>
    </row>
    <row r="255" spans="1:16" s="54" customFormat="1" ht="15.75" customHeight="1" x14ac:dyDescent="0.25">
      <c r="A255" s="118">
        <f>A254+1</f>
        <v>1203</v>
      </c>
      <c r="B255" s="118"/>
      <c r="C255" s="52" t="s">
        <v>176</v>
      </c>
      <c r="D255" s="52">
        <f>(70.84+0.6*2.125+(1.8+1.8+1.53+0.72+1.185)+(2.226+1.83))*10.764</f>
        <v>895.62938399999996</v>
      </c>
      <c r="E255" s="52">
        <f>1.5*2.925*10.764</f>
        <v>47.227049999999991</v>
      </c>
      <c r="F255" s="52">
        <f>D255*(($F$135)+1)+(IF(E255&lt;101,E255,IF(E255&lt;201,E255/2,IF(E255&lt;=301,E255/3,E255/4))))</f>
        <v>1525.0155335999998</v>
      </c>
      <c r="G255" s="124" t="str">
        <f>G254</f>
        <v>12th Floor (Part Refuge Area)</v>
      </c>
      <c r="H255" s="125"/>
      <c r="I255" s="30"/>
      <c r="N255" s="30"/>
    </row>
    <row r="256" spans="1:16" s="54" customFormat="1" ht="15.75" customHeight="1" x14ac:dyDescent="0.25">
      <c r="A256" s="118">
        <f>A255+1</f>
        <v>1204</v>
      </c>
      <c r="B256" s="118"/>
      <c r="C256" s="52" t="s">
        <v>176</v>
      </c>
      <c r="D256" s="52">
        <f>(70.84+0.6*1.125+(1.8+1.8+1.53+1.185+0.72)+(2.226+1.83))*10.764</f>
        <v>889.17098399999986</v>
      </c>
      <c r="E256" s="52">
        <f>1.5*2.925*10.764</f>
        <v>47.227049999999991</v>
      </c>
      <c r="F256" s="52">
        <f t="shared" ref="F256:F257" si="82">D256*(($F$135)+1)+(IF(E256&lt;101,E256,IF(E256&lt;201,E256/2,IF(E256&lt;=301,E256/3,E256/4))))</f>
        <v>1514.3591735999996</v>
      </c>
      <c r="G256" s="124" t="str">
        <f>G255</f>
        <v>12th Floor (Part Refuge Area)</v>
      </c>
      <c r="H256" s="125"/>
      <c r="I256" s="30"/>
      <c r="N256" s="30"/>
    </row>
    <row r="257" spans="1:16" s="54" customFormat="1" ht="15.75" customHeight="1" x14ac:dyDescent="0.25">
      <c r="A257" s="118">
        <f>A256+1</f>
        <v>1205</v>
      </c>
      <c r="B257" s="118"/>
      <c r="C257" s="52" t="s">
        <v>175</v>
      </c>
      <c r="D257" s="52">
        <f>(54.82+0.6*2.125+(0.72+1.461+1.8+1.8)+(2.286+1.95))*10.764</f>
        <v>711.62956799999995</v>
      </c>
      <c r="E257" s="52">
        <f>4.687*10.764</f>
        <v>50.450868</v>
      </c>
      <c r="F257" s="52">
        <f t="shared" si="82"/>
        <v>1224.6396551999997</v>
      </c>
      <c r="G257" s="124" t="str">
        <f>G256</f>
        <v>12th Floor (Part Refuge Area)</v>
      </c>
      <c r="H257" s="125"/>
      <c r="I257" s="30"/>
      <c r="N257" s="30"/>
    </row>
    <row r="258" spans="1:16" s="54" customFormat="1" ht="15.75" customHeight="1" x14ac:dyDescent="0.25">
      <c r="A258" s="118">
        <f>A257+1</f>
        <v>1206</v>
      </c>
      <c r="B258" s="118"/>
      <c r="C258" s="52" t="s">
        <v>175</v>
      </c>
      <c r="D258" s="52">
        <f>(54.82+0.6*2.125+(0.72+1.461+1.8+1.8)+(2.262+1.95))*10.764</f>
        <v>711.37123199999985</v>
      </c>
      <c r="E258" s="52">
        <f>4.687*10.764</f>
        <v>50.450868</v>
      </c>
      <c r="F258" s="52">
        <f>D258*(($F$135)+1)+(IF(E258&lt;101,E258,IF(E258&lt;201,E258/2,IF(E258&lt;=301,E258/3,E258/4))))</f>
        <v>1224.2134007999996</v>
      </c>
      <c r="G258" s="126" t="str">
        <f>G257</f>
        <v>12th Floor (Part Refuge Area)</v>
      </c>
      <c r="H258" s="127"/>
      <c r="I258" s="30"/>
      <c r="N258" s="30"/>
    </row>
    <row r="259" spans="1:16" s="54" customFormat="1" x14ac:dyDescent="0.25">
      <c r="A259" s="119" t="s">
        <v>183</v>
      </c>
      <c r="B259" s="120"/>
      <c r="C259" s="120"/>
      <c r="D259" s="120"/>
      <c r="E259" s="120"/>
      <c r="F259" s="120"/>
      <c r="G259" s="120"/>
      <c r="H259" s="121"/>
      <c r="I259" s="30"/>
      <c r="P259" s="31"/>
    </row>
    <row r="260" spans="1:16" s="54" customFormat="1" ht="15.75" customHeight="1" x14ac:dyDescent="0.25">
      <c r="A260" s="136" t="str">
        <f t="shared" ref="A260:A264" ca="1" si="83">N260</f>
        <v>701 &amp; 1701</v>
      </c>
      <c r="B260" s="138"/>
      <c r="C260" s="52" t="s">
        <v>175</v>
      </c>
      <c r="D260" s="52">
        <f>(54.69+0.6*2.125+(1.8+1.8+1.437+0.72)+(1.95+1.875))*10.764</f>
        <v>705.54790799999989</v>
      </c>
      <c r="E260" s="52">
        <f>4.575*10.764</f>
        <v>49.2453</v>
      </c>
      <c r="F260" s="52">
        <f t="shared" ref="F260:F264" si="84">D260*(($F$135)+1)+(IF(E260&lt;101,E260,IF(E260&lt;201,E260/2,IF(E260&lt;=301,E260/3,E260/4))))</f>
        <v>1213.3993481999998</v>
      </c>
      <c r="G260" s="122" t="str">
        <f>A259</f>
        <v>7th &amp; 17th Floor (Part Refuge Area)</v>
      </c>
      <c r="H260" s="123"/>
      <c r="I260" s="30"/>
      <c r="N260" s="54" t="str">
        <f t="shared" ref="N260:N264" ca="1" si="85">O260&amp;""&amp;" &amp; "&amp;""&amp;P260</f>
        <v>701 &amp; 1701</v>
      </c>
      <c r="O260" s="54">
        <f ca="1">(SUMPRODUCT(MID(0&amp;(LEFT(A259,SUM(LEN(A259)-LEN(SUBSTITUTE(A259,{"0","1","2"},""))))), LARGE(INDEX(ISNUMBER(--MID((LEFT(A259,SUM(LEN(A259)-LEN(SUBSTITUTE(A259,{"0","1","2"},""))))), ROW(INDIRECT("1:"&amp;LEN((LEFT(A259,SUM(LEN(A259)-LEN(SUBSTITUTE(A259,{"0","1","2"},"")))))))), 1)) * ROW(INDIRECT("1:"&amp;LEN((LEFT(A259,SUM(LEN(A259)-LEN(SUBSTITUTE(A259,{"0","1","2"},"")))))))), 0), ROW(INDIRECT("1:"&amp;LEN((LEFT(A259,SUM(LEN(A259)-LEN(SUBSTITUTE(A259,{"0","1","2"},"")))))))))+1, 1) * 10^ROW(INDIRECT("1:"&amp;LEN((LEFT(A259,SUM(LEN(A259)-LEN(SUBSTITUTE(A259,{"0","1","2"},""))))))))/10))*100+1</f>
        <v>701</v>
      </c>
      <c r="P260" s="54">
        <f ca="1">(SUMPRODUCT(MID(0&amp;(--TRIM(RIGHT(SUBSTITUTE(LEFT(A259,_xlfn.AGGREGATE(16,6,FIND({0,1,2,3,4,5,6,7,8,9},A259,ROW(INDIRECT("1:"&amp;LEN(A259)))),1))," ",REPT(" ",LEN(A259))),LEN(A259)))), LARGE(INDEX(ISNUMBER(--MID((--TRIM(RIGHT(SUBSTITUTE(LEFT(A259,_xlfn.AGGREGATE(16,6,FIND({0,1,2,3,4,5,6,7,8,9},A259,ROW(INDIRECT("1:"&amp;LEN(A259)))),1))," ",REPT(" ",LEN(A259))),LEN(A259)))), ROW(INDIRECT("1:"&amp;LEN((--TRIM(RIGHT(SUBSTITUTE(LEFT(A259,_xlfn.AGGREGATE(16,6,FIND({0,1,2,3,4,5,6,7,8,9},A259,ROW(INDIRECT("1:"&amp;LEN(A259)))),1))," ",REPT(" ",LEN(A259))),LEN(A259))))))), 1)) * ROW(INDIRECT("1:"&amp;LEN((--TRIM(RIGHT(SUBSTITUTE(LEFT(A259,_xlfn.AGGREGATE(16,6,FIND({0,1,2,3,4,5,6,7,8,9},A259,ROW(INDIRECT("1:"&amp;LEN(A259)))),1))," ",REPT(" ",LEN(A259))),LEN(A259))))))), 0), ROW(INDIRECT("1:"&amp;LEN((--TRIM(RIGHT(SUBSTITUTE(LEFT(A259,_xlfn.AGGREGATE(16,6,FIND({0,1,2,3,4,5,6,7,8,9},A259,ROW(INDIRECT("1:"&amp;LEN(A259)))),1))," ",REPT(" ",LEN(A259))),LEN(A259))))))))+1, 1) * 10^ROW(INDIRECT("1:"&amp;LEN((--TRIM(RIGHT(SUBSTITUTE(LEFT(A259,_xlfn.AGGREGATE(16,6,FIND({0,1,2,3,4,5,6,7,8,9},A259,ROW(INDIRECT("1:"&amp;LEN(A259)))),1))," ",REPT(" ",LEN(A259))),LEN(A259)))))))/10))*100+1</f>
        <v>1701</v>
      </c>
    </row>
    <row r="261" spans="1:16" s="54" customFormat="1" ht="15.75" customHeight="1" x14ac:dyDescent="0.25">
      <c r="A261" s="118" t="str">
        <f t="shared" ca="1" si="83"/>
        <v>702 &amp; 1702</v>
      </c>
      <c r="B261" s="118"/>
      <c r="C261" s="136" t="s">
        <v>182</v>
      </c>
      <c r="D261" s="137"/>
      <c r="E261" s="137">
        <v>0</v>
      </c>
      <c r="F261" s="138">
        <f t="shared" si="84"/>
        <v>0</v>
      </c>
      <c r="G261" s="124" t="str">
        <f>G260</f>
        <v>7th &amp; 17th Floor (Part Refuge Area)</v>
      </c>
      <c r="H261" s="125"/>
      <c r="I261" s="30"/>
      <c r="N261" s="30" t="str">
        <f t="shared" ca="1" si="85"/>
        <v>702 &amp; 1702</v>
      </c>
      <c r="O261" s="54">
        <f t="shared" ref="O261:P261" ca="1" si="86">O260+1</f>
        <v>702</v>
      </c>
      <c r="P261" s="54">
        <f t="shared" ca="1" si="86"/>
        <v>1702</v>
      </c>
    </row>
    <row r="262" spans="1:16" s="54" customFormat="1" ht="15.75" customHeight="1" x14ac:dyDescent="0.25">
      <c r="A262" s="136" t="str">
        <f t="shared" ca="1" si="83"/>
        <v>703 &amp; 1703</v>
      </c>
      <c r="B262" s="138"/>
      <c r="C262" s="52" t="s">
        <v>176</v>
      </c>
      <c r="D262" s="52">
        <f>(70.84+0.6*2.125+(1.8+1.8+1.53+1.185+0.72)+(2.226+2.031))*10.764</f>
        <v>897.79294800000002</v>
      </c>
      <c r="E262" s="52">
        <f>4.875*10.764</f>
        <v>52.474499999999999</v>
      </c>
      <c r="F262" s="52">
        <f t="shared" si="84"/>
        <v>1533.8328641999999</v>
      </c>
      <c r="G262" s="124" t="str">
        <f>G261</f>
        <v>7th &amp; 17th Floor (Part Refuge Area)</v>
      </c>
      <c r="H262" s="125"/>
      <c r="I262" s="30"/>
      <c r="N262" s="54" t="str">
        <f t="shared" ca="1" si="85"/>
        <v>703 &amp; 1703</v>
      </c>
      <c r="O262" s="54">
        <f t="shared" ref="O262:P262" ca="1" si="87">O261+1</f>
        <v>703</v>
      </c>
      <c r="P262" s="54">
        <f t="shared" ca="1" si="87"/>
        <v>1703</v>
      </c>
    </row>
    <row r="263" spans="1:16" s="54" customFormat="1" ht="15.75" customHeight="1" x14ac:dyDescent="0.25">
      <c r="A263" s="136" t="str">
        <f t="shared" ca="1" si="83"/>
        <v>704 &amp; 1704</v>
      </c>
      <c r="B263" s="138"/>
      <c r="C263" s="52" t="s">
        <v>176</v>
      </c>
      <c r="D263" s="52">
        <f>(70.84+0.6*2.125+(1.8+1.8+1.53+1.185+0.72)+(2.226+2.031))*10.764</f>
        <v>897.79294800000002</v>
      </c>
      <c r="E263" s="52">
        <f>4.875*10.764</f>
        <v>52.474499999999999</v>
      </c>
      <c r="F263" s="52">
        <f t="shared" si="84"/>
        <v>1533.8328641999999</v>
      </c>
      <c r="G263" s="124" t="str">
        <f>G262</f>
        <v>7th &amp; 17th Floor (Part Refuge Area)</v>
      </c>
      <c r="H263" s="125"/>
      <c r="I263" s="30"/>
      <c r="N263" s="54" t="str">
        <f t="shared" ca="1" si="85"/>
        <v>704 &amp; 1704</v>
      </c>
      <c r="O263" s="54">
        <f t="shared" ref="O263:P263" ca="1" si="88">O262+1</f>
        <v>704</v>
      </c>
      <c r="P263" s="54">
        <f t="shared" ca="1" si="88"/>
        <v>1704</v>
      </c>
    </row>
    <row r="264" spans="1:16" s="54" customFormat="1" ht="15.75" customHeight="1" x14ac:dyDescent="0.25">
      <c r="A264" s="136" t="str">
        <f t="shared" ca="1" si="83"/>
        <v>705 &amp; 1705</v>
      </c>
      <c r="B264" s="138"/>
      <c r="C264" s="52" t="s">
        <v>175</v>
      </c>
      <c r="D264" s="52">
        <f>(54.82+0.6*2.125+(0.72+1.461+1.8+1.8)+(1.875+1.95))*10.764</f>
        <v>707.20556399999987</v>
      </c>
      <c r="E264" s="52">
        <f t="shared" ref="E264:E265" si="89">4.575*10.764</f>
        <v>49.2453</v>
      </c>
      <c r="F264" s="52">
        <f t="shared" si="84"/>
        <v>1216.1344805999997</v>
      </c>
      <c r="G264" s="124" t="str">
        <f>G263</f>
        <v>7th &amp; 17th Floor (Part Refuge Area)</v>
      </c>
      <c r="H264" s="125"/>
      <c r="I264" s="30"/>
      <c r="N264" s="54" t="str">
        <f t="shared" ca="1" si="85"/>
        <v>705 &amp; 1705</v>
      </c>
      <c r="O264" s="54">
        <f t="shared" ref="O264:P265" ca="1" si="90">O263+1</f>
        <v>705</v>
      </c>
      <c r="P264" s="54">
        <f t="shared" ca="1" si="90"/>
        <v>1705</v>
      </c>
    </row>
    <row r="265" spans="1:16" s="54" customFormat="1" ht="15.75" customHeight="1" x14ac:dyDescent="0.25">
      <c r="A265" s="136" t="str">
        <f t="shared" ref="A265" ca="1" si="91">N265</f>
        <v>706 &amp; 1706</v>
      </c>
      <c r="B265" s="138"/>
      <c r="C265" s="52" t="s">
        <v>175</v>
      </c>
      <c r="D265" s="52">
        <f>(54.82+0.6*2.125+(0.72+1.461+1.8+1.8)+(1.875+1.95))*10.764</f>
        <v>707.20556399999987</v>
      </c>
      <c r="E265" s="52">
        <f t="shared" si="89"/>
        <v>49.2453</v>
      </c>
      <c r="F265" s="52">
        <f t="shared" ref="F265" si="92">D265*(($F$135)+1)+(IF(E265&lt;101,E265,IF(E265&lt;201,E265/2,IF(E265&lt;=301,E265/3,E265/4))))</f>
        <v>1216.1344805999997</v>
      </c>
      <c r="G265" s="126" t="str">
        <f>G264</f>
        <v>7th &amp; 17th Floor (Part Refuge Area)</v>
      </c>
      <c r="H265" s="127"/>
      <c r="I265" s="30"/>
      <c r="N265" s="54" t="str">
        <f t="shared" ref="N265" ca="1" si="93">O265&amp;""&amp;" &amp; "&amp;""&amp;P265</f>
        <v>706 &amp; 1706</v>
      </c>
      <c r="O265" s="54">
        <f t="shared" ca="1" si="90"/>
        <v>706</v>
      </c>
      <c r="P265" s="54">
        <f t="shared" ca="1" si="90"/>
        <v>1706</v>
      </c>
    </row>
    <row r="266" spans="1:16" s="54" customFormat="1" x14ac:dyDescent="0.25">
      <c r="A266" s="135" t="s">
        <v>184</v>
      </c>
      <c r="B266" s="135"/>
      <c r="C266" s="135"/>
      <c r="D266" s="135"/>
      <c r="E266" s="135"/>
      <c r="F266" s="135"/>
      <c r="G266" s="135"/>
      <c r="H266" s="135"/>
      <c r="I266" s="30"/>
      <c r="L266" s="134"/>
      <c r="M266" s="134"/>
    </row>
    <row r="267" spans="1:16" s="54" customFormat="1" ht="15.75" customHeight="1" x14ac:dyDescent="0.25">
      <c r="A267" s="118">
        <f>LEFT(A266,SUM(LEN(A266)-LEN(SUBSTITUTE(A266,{"0","1","2","3","4","5","6","7","8","9"},""))))*100+1</f>
        <v>2201</v>
      </c>
      <c r="B267" s="118"/>
      <c r="C267" s="52" t="s">
        <v>175</v>
      </c>
      <c r="D267" s="52">
        <f>(54.69+0.6*2.125+(1.8+1.461+1.8+0.72)+(1.95+2.262))*10.764</f>
        <v>709.97191199999997</v>
      </c>
      <c r="E267" s="52">
        <f>4.687*10.764</f>
        <v>50.450868</v>
      </c>
      <c r="F267" s="52">
        <f t="shared" ref="F267" si="94">D267*(($F$135)+1)+(IF(E267&lt;101,E267,IF(E267&lt;201,E267/2,IF(E267&lt;=301,E267/3,E267/4))))</f>
        <v>1221.9045227999998</v>
      </c>
      <c r="G267" s="122" t="str">
        <f>A266</f>
        <v>22nd Floor (Part Refuge Area)</v>
      </c>
      <c r="H267" s="123"/>
      <c r="I267" s="30"/>
      <c r="N267" s="30"/>
    </row>
    <row r="268" spans="1:16" s="54" customFormat="1" ht="15.75" customHeight="1" x14ac:dyDescent="0.25">
      <c r="A268" s="118">
        <f>A267+1</f>
        <v>2202</v>
      </c>
      <c r="B268" s="118"/>
      <c r="C268" s="136" t="s">
        <v>182</v>
      </c>
      <c r="D268" s="137"/>
      <c r="E268" s="137"/>
      <c r="F268" s="138"/>
      <c r="G268" s="124" t="str">
        <f>G267</f>
        <v>22nd Floor (Part Refuge Area)</v>
      </c>
      <c r="H268" s="125"/>
      <c r="I268" s="30"/>
      <c r="N268" s="30"/>
    </row>
    <row r="269" spans="1:16" s="54" customFormat="1" ht="15.75" customHeight="1" x14ac:dyDescent="0.25">
      <c r="A269" s="118">
        <f>A268+1</f>
        <v>2203</v>
      </c>
      <c r="B269" s="118"/>
      <c r="C269" s="52" t="s">
        <v>176</v>
      </c>
      <c r="D269" s="52">
        <f>(70.84+0.6*2.125+(1.8+1.8+1.53+0.72+1.185)+(2.226+1.83))*10.764</f>
        <v>895.62938399999996</v>
      </c>
      <c r="E269" s="52">
        <f>1.5*2.925*10.764</f>
        <v>47.227049999999991</v>
      </c>
      <c r="F269" s="52">
        <f>D269*(($F$135)+1)+(IF(E269&lt;101,E269,IF(E269&lt;201,E269/2,IF(E269&lt;=301,E269/3,E269/4))))</f>
        <v>1525.0155335999998</v>
      </c>
      <c r="G269" s="124" t="str">
        <f>G268</f>
        <v>22nd Floor (Part Refuge Area)</v>
      </c>
      <c r="H269" s="125"/>
      <c r="I269" s="30"/>
      <c r="N269" s="30"/>
    </row>
    <row r="270" spans="1:16" s="54" customFormat="1" ht="15.75" customHeight="1" x14ac:dyDescent="0.25">
      <c r="A270" s="118">
        <f>A269+1</f>
        <v>2204</v>
      </c>
      <c r="B270" s="118"/>
      <c r="C270" s="52" t="s">
        <v>176</v>
      </c>
      <c r="D270" s="52">
        <f>(70.84+0.6*1.125+(1.8+1.8+1.53+1.185+0.72)+(2.226+1.83))*10.764</f>
        <v>889.17098399999986</v>
      </c>
      <c r="E270" s="52">
        <f>1.5*2.925*10.764</f>
        <v>47.227049999999991</v>
      </c>
      <c r="F270" s="52">
        <f t="shared" ref="F270:F271" si="95">D270*(($F$135)+1)+(IF(E270&lt;101,E270,IF(E270&lt;201,E270/2,IF(E270&lt;=301,E270/3,E270/4))))</f>
        <v>1514.3591735999996</v>
      </c>
      <c r="G270" s="124" t="str">
        <f>G269</f>
        <v>22nd Floor (Part Refuge Area)</v>
      </c>
      <c r="H270" s="125"/>
      <c r="I270" s="30"/>
      <c r="N270" s="30"/>
    </row>
    <row r="271" spans="1:16" s="54" customFormat="1" ht="15.75" customHeight="1" x14ac:dyDescent="0.25">
      <c r="A271" s="118">
        <f>A270+1</f>
        <v>2205</v>
      </c>
      <c r="B271" s="118"/>
      <c r="C271" s="52" t="s">
        <v>175</v>
      </c>
      <c r="D271" s="52">
        <f>(54.82+0.6*2.125+(0.72+1.461+1.8+1.8)+(2.286+1.95))*10.764</f>
        <v>711.62956799999995</v>
      </c>
      <c r="E271" s="52">
        <f>4.687*10.764</f>
        <v>50.450868</v>
      </c>
      <c r="F271" s="52">
        <f t="shared" si="95"/>
        <v>1224.6396551999997</v>
      </c>
      <c r="G271" s="124" t="str">
        <f>G270</f>
        <v>22nd Floor (Part Refuge Area)</v>
      </c>
      <c r="H271" s="125"/>
      <c r="I271" s="30"/>
      <c r="N271" s="30"/>
    </row>
    <row r="272" spans="1:16" s="54" customFormat="1" ht="15.75" customHeight="1" x14ac:dyDescent="0.25">
      <c r="A272" s="118">
        <f>A271+1</f>
        <v>2206</v>
      </c>
      <c r="B272" s="118"/>
      <c r="C272" s="52" t="s">
        <v>175</v>
      </c>
      <c r="D272" s="52">
        <f>(54.82+0.6*2.125+(0.72+1.461+1.8+1.8)+(2.262+1.95))*10.764</f>
        <v>711.37123199999985</v>
      </c>
      <c r="E272" s="52">
        <f>4.687*10.764</f>
        <v>50.450868</v>
      </c>
      <c r="F272" s="52">
        <f t="shared" ref="F272" si="96">D272*(($F$135)+1)+(IF(E272&lt;101,E272,IF(E272&lt;201,E272/2,IF(E272&lt;=301,E272/3,E272/4))))</f>
        <v>1224.2134007999996</v>
      </c>
      <c r="G272" s="126" t="str">
        <f>G271</f>
        <v>22nd Floor (Part Refuge Area)</v>
      </c>
      <c r="H272" s="127"/>
      <c r="I272" s="30"/>
      <c r="N272" s="30"/>
    </row>
    <row r="273" spans="1:15" s="54" customFormat="1" x14ac:dyDescent="0.25">
      <c r="A273" s="135" t="s">
        <v>185</v>
      </c>
      <c r="B273" s="135"/>
      <c r="C273" s="135"/>
      <c r="D273" s="135"/>
      <c r="E273" s="135"/>
      <c r="F273" s="135"/>
      <c r="G273" s="135"/>
      <c r="H273" s="135"/>
      <c r="I273" s="30"/>
      <c r="L273" s="134"/>
      <c r="M273" s="134"/>
    </row>
    <row r="274" spans="1:15" s="54" customFormat="1" ht="15.75" customHeight="1" x14ac:dyDescent="0.25">
      <c r="A274" s="118">
        <f>LEFT(A273,SUM(LEN(A273)-LEN(SUBSTITUTE(A273,{"0","1","2","3","4","5","6","7","8","9"},""))))*100+1</f>
        <v>2301</v>
      </c>
      <c r="B274" s="118"/>
      <c r="C274" s="52" t="s">
        <v>175</v>
      </c>
      <c r="D274" s="52">
        <f>(54.69+0.6*2.125+(1.8+1.461+1.8+0.72)+(1.95+2.262))*10.764</f>
        <v>709.97191199999997</v>
      </c>
      <c r="E274" s="52">
        <f>4.575*10.764</f>
        <v>49.2453</v>
      </c>
      <c r="F274" s="52">
        <f t="shared" ref="F274:F275" si="97">D274*(($F$135)+1)+(IF(E274&lt;101,E274,IF(E274&lt;201,E274/2,IF(E274&lt;=301,E274/3,E274/4))))</f>
        <v>1220.6989547999999</v>
      </c>
      <c r="G274" s="122" t="str">
        <f>A273</f>
        <v>23rd Floor</v>
      </c>
      <c r="H274" s="123"/>
      <c r="I274" s="30"/>
      <c r="N274" s="30"/>
    </row>
    <row r="275" spans="1:15" s="54" customFormat="1" ht="15.75" customHeight="1" x14ac:dyDescent="0.25">
      <c r="A275" s="118">
        <f>A274+1</f>
        <v>2302</v>
      </c>
      <c r="B275" s="118"/>
      <c r="C275" s="52" t="s">
        <v>175</v>
      </c>
      <c r="D275" s="52">
        <f>(54.82+0.6*2.125+(1.8+1.8+0.69+1.437)+(1.9+2.286))*10.764</f>
        <v>710.51011200000005</v>
      </c>
      <c r="E275" s="52">
        <f>4.575*10.764</f>
        <v>49.2453</v>
      </c>
      <c r="F275" s="52">
        <f t="shared" si="97"/>
        <v>1221.5869848</v>
      </c>
      <c r="G275" s="124" t="str">
        <f>G274</f>
        <v>23rd Floor</v>
      </c>
      <c r="H275" s="125"/>
      <c r="I275" s="30"/>
      <c r="N275" s="30"/>
    </row>
    <row r="276" spans="1:15" s="54" customFormat="1" ht="15.75" customHeight="1" x14ac:dyDescent="0.25">
      <c r="A276" s="118">
        <f>A275+1</f>
        <v>2303</v>
      </c>
      <c r="B276" s="118"/>
      <c r="C276" s="52" t="s">
        <v>176</v>
      </c>
      <c r="D276" s="52">
        <f>(70.84+0.6*2.125+(1.8+1.8+1.53+0.72+1.185)+(2.226+1.83))*10.764</f>
        <v>895.62938399999996</v>
      </c>
      <c r="E276" s="52">
        <f>4.875*10.764</f>
        <v>52.474499999999999</v>
      </c>
      <c r="F276" s="52">
        <f>D276*(($F$135)+1)+(IF(E276&lt;101,E276,IF(E276&lt;201,E276/2,IF(E276&lt;=301,E276/3,E276/4))))</f>
        <v>1530.2629835999999</v>
      </c>
      <c r="G276" s="124" t="str">
        <f>G275</f>
        <v>23rd Floor</v>
      </c>
      <c r="H276" s="125"/>
      <c r="I276" s="30"/>
      <c r="N276" s="30"/>
    </row>
    <row r="277" spans="1:15" s="54" customFormat="1" ht="15.75" customHeight="1" x14ac:dyDescent="0.25">
      <c r="A277" s="118">
        <f>A276+1</f>
        <v>2304</v>
      </c>
      <c r="B277" s="118"/>
      <c r="C277" s="52" t="s">
        <v>176</v>
      </c>
      <c r="D277" s="52">
        <f>(70.84+0.6*2.125+(1.8+1.8+1.53+0.72+1.185)+(2.226+1.83))*10.764</f>
        <v>895.62938399999996</v>
      </c>
      <c r="E277" s="52">
        <f>1.5*3.25*10.764</f>
        <v>52.474499999999999</v>
      </c>
      <c r="F277" s="52">
        <f t="shared" ref="F277:F278" si="98">D277*(($F$135)+1)+(IF(E277&lt;101,E277,IF(E277&lt;201,E277/2,IF(E277&lt;=301,E277/3,E277/4))))</f>
        <v>1530.2629835999999</v>
      </c>
      <c r="G277" s="124" t="str">
        <f>G276</f>
        <v>23rd Floor</v>
      </c>
      <c r="H277" s="125"/>
      <c r="I277" s="30"/>
      <c r="N277" s="30"/>
    </row>
    <row r="278" spans="1:15" s="54" customFormat="1" ht="15.75" customHeight="1" x14ac:dyDescent="0.25">
      <c r="A278" s="118">
        <f>A277+1</f>
        <v>2305</v>
      </c>
      <c r="B278" s="118"/>
      <c r="C278" s="52" t="s">
        <v>175</v>
      </c>
      <c r="D278" s="52">
        <f>(54.82+0.6*2.125+(0.72+1.461+1.8+1.8)+(2.286+1.95))*10.764</f>
        <v>711.62956799999995</v>
      </c>
      <c r="E278" s="52">
        <f t="shared" ref="E278:E279" si="99">4.575*10.764</f>
        <v>49.2453</v>
      </c>
      <c r="F278" s="52">
        <f t="shared" si="98"/>
        <v>1223.4340871999998</v>
      </c>
      <c r="G278" s="124" t="str">
        <f>G277</f>
        <v>23rd Floor</v>
      </c>
      <c r="H278" s="125"/>
      <c r="I278" s="30"/>
      <c r="N278" s="30"/>
    </row>
    <row r="279" spans="1:15" s="54" customFormat="1" ht="15.75" customHeight="1" x14ac:dyDescent="0.25">
      <c r="A279" s="118">
        <f>A278+1</f>
        <v>2306</v>
      </c>
      <c r="B279" s="118"/>
      <c r="C279" s="52" t="s">
        <v>175</v>
      </c>
      <c r="D279" s="52">
        <f>(54.82+0.6*2.125+(0.72+1.461+1.8+1.8)+(2.262+1.95))*10.764</f>
        <v>711.37123199999985</v>
      </c>
      <c r="E279" s="52">
        <f t="shared" si="99"/>
        <v>49.2453</v>
      </c>
      <c r="F279" s="52">
        <f>D279*(($F$135)+1)+(IF(E279&lt;101,E279,IF(E279&lt;201,E279/2,IF(E279&lt;=301,E279/3,E279/4))))</f>
        <v>1223.0078327999997</v>
      </c>
      <c r="G279" s="126" t="str">
        <f>G278</f>
        <v>23rd Floor</v>
      </c>
      <c r="H279" s="127"/>
      <c r="I279" s="30"/>
      <c r="N279" s="30"/>
    </row>
    <row r="280" spans="1:15" s="54" customFormat="1" x14ac:dyDescent="0.25">
      <c r="A280" s="135" t="s">
        <v>186</v>
      </c>
      <c r="B280" s="135"/>
      <c r="C280" s="135"/>
      <c r="D280" s="135"/>
      <c r="E280" s="135"/>
      <c r="F280" s="135"/>
      <c r="G280" s="135"/>
      <c r="H280" s="135"/>
      <c r="I280" s="30"/>
      <c r="L280" s="134"/>
      <c r="M280" s="134"/>
    </row>
    <row r="281" spans="1:15" s="54" customFormat="1" ht="15.75" customHeight="1" x14ac:dyDescent="0.25">
      <c r="A281" s="118">
        <f>LEFT(A280,SUM(LEN(A280)-LEN(SUBSTITUTE(A280,{"0","1","2","3","4","5","6","7","8","9"},""))))*100+1</f>
        <v>2401</v>
      </c>
      <c r="B281" s="118"/>
      <c r="C281" s="52" t="s">
        <v>175</v>
      </c>
      <c r="D281" s="52">
        <f>(54.69+0.6*2.125+(1.8+1.461+1.8+0.72)+(1.95+2.262))*10.764</f>
        <v>709.97191199999997</v>
      </c>
      <c r="E281" s="52">
        <f>4.687*10.764</f>
        <v>50.450868</v>
      </c>
      <c r="F281" s="52">
        <f t="shared" ref="F281:F282" si="100">D281*(($F$135)+1)+(IF(E281&lt;101,E281,IF(E281&lt;201,E281/2,IF(E281&lt;=301,E281/3,E281/4))))</f>
        <v>1221.9045227999998</v>
      </c>
      <c r="G281" s="122" t="str">
        <f>A280</f>
        <v>24th Floor</v>
      </c>
      <c r="H281" s="123"/>
      <c r="I281" s="242" t="s">
        <v>263</v>
      </c>
      <c r="J281" s="243"/>
      <c r="K281" s="243"/>
      <c r="L281" s="243"/>
      <c r="M281" s="243"/>
      <c r="N281" s="30"/>
    </row>
    <row r="282" spans="1:15" s="54" customFormat="1" ht="15.75" customHeight="1" x14ac:dyDescent="0.25">
      <c r="A282" s="118">
        <f>A281+1</f>
        <v>2402</v>
      </c>
      <c r="B282" s="118"/>
      <c r="C282" s="52" t="s">
        <v>175</v>
      </c>
      <c r="D282" s="52">
        <f>(54.82+0.6*2.125+(1.8+1.8+0.69+1.437)+(1.9+2.286))*10.764</f>
        <v>710.51011200000005</v>
      </c>
      <c r="E282" s="52">
        <f>4.687*10.764</f>
        <v>50.450868</v>
      </c>
      <c r="F282" s="52">
        <f t="shared" si="100"/>
        <v>1222.7925527999998</v>
      </c>
      <c r="G282" s="124" t="str">
        <f>G281</f>
        <v>24th Floor</v>
      </c>
      <c r="H282" s="125"/>
      <c r="I282" s="242"/>
      <c r="J282" s="243"/>
      <c r="K282" s="243"/>
      <c r="L282" s="243"/>
      <c r="M282" s="243"/>
      <c r="N282" s="30"/>
    </row>
    <row r="283" spans="1:15" s="54" customFormat="1" ht="15.75" customHeight="1" x14ac:dyDescent="0.25">
      <c r="A283" s="118">
        <f>A282+1</f>
        <v>2403</v>
      </c>
      <c r="B283" s="118"/>
      <c r="C283" s="52" t="s">
        <v>176</v>
      </c>
      <c r="D283" s="52">
        <f>(70.84+0.6*2.125+(1.8+1.8+1.53+0.72+1.185)+(2.226+1.83))*10.764</f>
        <v>895.62938399999996</v>
      </c>
      <c r="E283" s="52">
        <f>1.5*2.925*10.764</f>
        <v>47.227049999999991</v>
      </c>
      <c r="F283" s="52">
        <f>D283*(($F$135)+1)+(IF(E283&lt;101,E283,IF(E283&lt;201,E283/2,IF(E283&lt;=301,E283/3,E283/4))))</f>
        <v>1525.0155335999998</v>
      </c>
      <c r="G283" s="124" t="str">
        <f>G282</f>
        <v>24th Floor</v>
      </c>
      <c r="H283" s="125"/>
      <c r="I283" s="242"/>
      <c r="J283" s="243"/>
      <c r="K283" s="243"/>
      <c r="L283" s="243"/>
      <c r="M283" s="243"/>
      <c r="N283" s="30"/>
    </row>
    <row r="284" spans="1:15" s="54" customFormat="1" ht="15.75" customHeight="1" x14ac:dyDescent="0.25">
      <c r="A284" s="118">
        <f>A283+1</f>
        <v>2404</v>
      </c>
      <c r="B284" s="118"/>
      <c r="C284" s="52" t="s">
        <v>176</v>
      </c>
      <c r="D284" s="52">
        <f>(70.84+0.6*2.125+(1.8+1.8+1.53+0.72+1.185)+(2.226+1.83))*10.764</f>
        <v>895.62938399999996</v>
      </c>
      <c r="E284" s="52">
        <f>1.5*2.925*10.764</f>
        <v>47.227049999999991</v>
      </c>
      <c r="F284" s="52">
        <f t="shared" ref="F284:F285" si="101">D284*(($F$135)+1)+(IF(E284&lt;101,E284,IF(E284&lt;201,E284/2,IF(E284&lt;=301,E284/3,E284/4))))</f>
        <v>1525.0155335999998</v>
      </c>
      <c r="G284" s="124" t="str">
        <f>G283</f>
        <v>24th Floor</v>
      </c>
      <c r="H284" s="125"/>
      <c r="I284" s="242"/>
      <c r="J284" s="243"/>
      <c r="K284" s="243"/>
      <c r="L284" s="243"/>
      <c r="M284" s="243"/>
      <c r="N284" s="30"/>
    </row>
    <row r="285" spans="1:15" s="54" customFormat="1" ht="15.75" customHeight="1" x14ac:dyDescent="0.25">
      <c r="A285" s="118">
        <f>A284+1</f>
        <v>2405</v>
      </c>
      <c r="B285" s="118"/>
      <c r="C285" s="52" t="s">
        <v>175</v>
      </c>
      <c r="D285" s="52">
        <f>(54.82+0.6*2.125+(0.72+1.461+1.8+1.8)+(2.286+1.95))*10.764</f>
        <v>711.62956799999995</v>
      </c>
      <c r="E285" s="52">
        <f t="shared" ref="E285:E286" si="102">4.687*10.764</f>
        <v>50.450868</v>
      </c>
      <c r="F285" s="52">
        <f t="shared" si="101"/>
        <v>1224.6396551999997</v>
      </c>
      <c r="G285" s="124" t="str">
        <f>G284</f>
        <v>24th Floor</v>
      </c>
      <c r="H285" s="125"/>
      <c r="I285" s="242"/>
      <c r="J285" s="243"/>
      <c r="K285" s="243"/>
      <c r="L285" s="243"/>
      <c r="M285" s="243"/>
      <c r="N285" s="30"/>
    </row>
    <row r="286" spans="1:15" s="54" customFormat="1" ht="15.75" customHeight="1" x14ac:dyDescent="0.25">
      <c r="A286" s="118">
        <f>A285+1</f>
        <v>2406</v>
      </c>
      <c r="B286" s="118"/>
      <c r="C286" s="52" t="s">
        <v>175</v>
      </c>
      <c r="D286" s="52">
        <f>(54.82+0.6*2.125+(0.72+1.461+1.8+1.8)+(2.262+1.95))*10.764</f>
        <v>711.37123199999985</v>
      </c>
      <c r="E286" s="52">
        <f t="shared" si="102"/>
        <v>50.450868</v>
      </c>
      <c r="F286" s="52">
        <f t="shared" ref="F286" si="103">D286*(($F$135)+1)+(IF(E286&lt;101,E286,IF(E286&lt;201,E286/2,IF(E286&lt;=301,E286/3,E286/4))))</f>
        <v>1224.2134007999996</v>
      </c>
      <c r="G286" s="126" t="str">
        <f>G285</f>
        <v>24th Floor</v>
      </c>
      <c r="H286" s="127"/>
      <c r="I286" s="30"/>
      <c r="N286" s="30"/>
    </row>
    <row r="287" spans="1:15" s="1" customFormat="1" x14ac:dyDescent="0.25">
      <c r="A287" s="205" t="s">
        <v>71</v>
      </c>
      <c r="B287" s="206"/>
      <c r="C287" s="206"/>
      <c r="D287" s="206"/>
      <c r="E287" s="206"/>
      <c r="F287" s="206"/>
      <c r="G287" s="206"/>
      <c r="H287" s="207"/>
      <c r="I287" s="165" t="s">
        <v>204</v>
      </c>
      <c r="J287" s="166"/>
      <c r="K287" s="166"/>
      <c r="L287" s="166"/>
      <c r="M287" s="166"/>
      <c r="N287" s="166"/>
      <c r="O287" s="167"/>
    </row>
    <row r="288" spans="1:15" s="1" customFormat="1" x14ac:dyDescent="0.25">
      <c r="A288" s="41">
        <v>1</v>
      </c>
      <c r="B288" s="165" t="s">
        <v>204</v>
      </c>
      <c r="C288" s="166"/>
      <c r="D288" s="166"/>
      <c r="E288" s="166"/>
      <c r="F288" s="166"/>
      <c r="G288" s="166"/>
      <c r="H288" s="167"/>
    </row>
    <row r="289" spans="1:8" s="1" customFormat="1" ht="15.75" customHeight="1" x14ac:dyDescent="0.25">
      <c r="A289" s="41">
        <f t="shared" ref="A289:A298" si="104">A288+1</f>
        <v>2</v>
      </c>
      <c r="B289" s="165" t="str">
        <f>(IF(F134="Saleable area Loading :","We have considered Saleable area of Flats as per our Calculation.","We considered Saleable area of Flat as per Builder area Sheet."))</f>
        <v>We have considered Saleable area of Flats as per our Calculation.</v>
      </c>
      <c r="C289" s="166"/>
      <c r="D289" s="166"/>
      <c r="E289" s="166"/>
      <c r="F289" s="166"/>
      <c r="G289" s="166"/>
      <c r="H289" s="167"/>
    </row>
    <row r="290" spans="1:8" s="1" customFormat="1" ht="15.75" customHeight="1" x14ac:dyDescent="0.25">
      <c r="A290" s="44">
        <v>3</v>
      </c>
      <c r="B290" s="162" t="s">
        <v>123</v>
      </c>
      <c r="C290" s="163"/>
      <c r="D290" s="163"/>
      <c r="E290" s="163"/>
      <c r="F290" s="163"/>
      <c r="G290" s="163"/>
      <c r="H290" s="164"/>
    </row>
    <row r="291" spans="1:8" s="1" customFormat="1" ht="15.75" customHeight="1" x14ac:dyDescent="0.25">
      <c r="A291" s="50">
        <f t="shared" si="104"/>
        <v>4</v>
      </c>
      <c r="B291" s="162" t="s">
        <v>153</v>
      </c>
      <c r="C291" s="163"/>
      <c r="D291" s="163"/>
      <c r="E291" s="163"/>
      <c r="F291" s="163"/>
      <c r="G291" s="163"/>
      <c r="H291" s="164"/>
    </row>
    <row r="292" spans="1:8" s="1" customFormat="1" x14ac:dyDescent="0.25">
      <c r="A292" s="50">
        <f t="shared" si="104"/>
        <v>5</v>
      </c>
      <c r="B292" s="162" t="s">
        <v>169</v>
      </c>
      <c r="C292" s="163"/>
      <c r="D292" s="163"/>
      <c r="E292" s="163"/>
      <c r="F292" s="163"/>
      <c r="G292" s="163"/>
      <c r="H292" s="164"/>
    </row>
    <row r="293" spans="1:8" s="1" customFormat="1" ht="15.75" customHeight="1" x14ac:dyDescent="0.25">
      <c r="A293" s="50">
        <f t="shared" si="104"/>
        <v>6</v>
      </c>
      <c r="B293" s="162" t="s">
        <v>124</v>
      </c>
      <c r="C293" s="163"/>
      <c r="D293" s="163"/>
      <c r="E293" s="163"/>
      <c r="F293" s="163"/>
      <c r="G293" s="163"/>
      <c r="H293" s="164"/>
    </row>
    <row r="294" spans="1:8" s="1" customFormat="1" ht="15.75" customHeight="1" x14ac:dyDescent="0.25">
      <c r="A294" s="50">
        <f t="shared" si="104"/>
        <v>7</v>
      </c>
      <c r="B294" s="162" t="s">
        <v>125</v>
      </c>
      <c r="C294" s="163"/>
      <c r="D294" s="163"/>
      <c r="E294" s="163"/>
      <c r="F294" s="163"/>
      <c r="G294" s="163"/>
      <c r="H294" s="164"/>
    </row>
    <row r="295" spans="1:8" s="1" customFormat="1" ht="31.5" hidden="1" customHeight="1" x14ac:dyDescent="0.25">
      <c r="A295" s="75">
        <f t="shared" si="104"/>
        <v>8</v>
      </c>
      <c r="B295" s="165" t="s">
        <v>170</v>
      </c>
      <c r="C295" s="166"/>
      <c r="D295" s="166"/>
      <c r="E295" s="166"/>
      <c r="F295" s="166"/>
      <c r="G295" s="166"/>
      <c r="H295" s="167"/>
    </row>
    <row r="296" spans="1:8" s="1" customFormat="1" ht="32.25" customHeight="1" x14ac:dyDescent="0.25">
      <c r="A296" s="75">
        <f>A294+1</f>
        <v>8</v>
      </c>
      <c r="B296" s="165" t="s">
        <v>208</v>
      </c>
      <c r="C296" s="166"/>
      <c r="D296" s="166"/>
      <c r="E296" s="166"/>
      <c r="F296" s="166"/>
      <c r="G296" s="166"/>
      <c r="H296" s="167"/>
    </row>
    <row r="297" spans="1:8" s="1" customFormat="1" x14ac:dyDescent="0.25">
      <c r="A297" s="51">
        <f t="shared" si="104"/>
        <v>9</v>
      </c>
      <c r="B297" s="168" t="s">
        <v>256</v>
      </c>
      <c r="C297" s="169"/>
      <c r="D297" s="169"/>
      <c r="E297" s="169"/>
      <c r="F297" s="169"/>
      <c r="G297" s="169"/>
      <c r="H297" s="170"/>
    </row>
    <row r="298" spans="1:8" s="1" customFormat="1" x14ac:dyDescent="0.25">
      <c r="A298" s="86">
        <f t="shared" si="104"/>
        <v>10</v>
      </c>
      <c r="B298" s="168" t="s">
        <v>255</v>
      </c>
      <c r="C298" s="169"/>
      <c r="D298" s="169"/>
      <c r="E298" s="169"/>
      <c r="F298" s="169"/>
      <c r="G298" s="169"/>
      <c r="H298" s="170"/>
    </row>
    <row r="299" spans="1:8" x14ac:dyDescent="0.25">
      <c r="A299" s="171" t="s">
        <v>64</v>
      </c>
      <c r="B299" s="172"/>
      <c r="C299" s="172"/>
      <c r="D299" s="172"/>
      <c r="E299" s="172"/>
      <c r="F299" s="172"/>
      <c r="G299" s="172"/>
      <c r="H299" s="173"/>
    </row>
    <row r="300" spans="1:8" x14ac:dyDescent="0.25">
      <c r="A300" s="156" t="s">
        <v>65</v>
      </c>
      <c r="B300" s="157"/>
      <c r="C300" s="157"/>
      <c r="D300" s="157"/>
      <c r="E300" s="157"/>
      <c r="F300" s="157"/>
      <c r="G300" s="157"/>
      <c r="H300" s="158"/>
    </row>
    <row r="301" spans="1:8" ht="15.75" customHeight="1" x14ac:dyDescent="0.25">
      <c r="A301" s="159" t="s">
        <v>66</v>
      </c>
      <c r="B301" s="160"/>
      <c r="C301" s="160"/>
      <c r="D301" s="160"/>
      <c r="E301" s="160"/>
      <c r="F301" s="160"/>
      <c r="G301" s="160"/>
      <c r="H301" s="161"/>
    </row>
    <row r="302" spans="1:8" x14ac:dyDescent="0.25">
      <c r="A302" s="156" t="s">
        <v>67</v>
      </c>
      <c r="B302" s="157"/>
      <c r="C302" s="157"/>
      <c r="D302" s="157"/>
      <c r="E302" s="157"/>
      <c r="F302" s="157"/>
      <c r="G302" s="157"/>
      <c r="H302" s="158"/>
    </row>
    <row r="303" spans="1:8" x14ac:dyDescent="0.25">
      <c r="A303" s="156" t="s">
        <v>68</v>
      </c>
      <c r="B303" s="157"/>
      <c r="C303" s="157"/>
      <c r="D303" s="157"/>
      <c r="E303" s="157"/>
      <c r="F303" s="157"/>
      <c r="G303" s="157"/>
      <c r="H303" s="158"/>
    </row>
    <row r="304" spans="1:8" x14ac:dyDescent="0.25">
      <c r="A304" s="156" t="s">
        <v>126</v>
      </c>
      <c r="B304" s="157"/>
      <c r="C304" s="157"/>
      <c r="D304" s="157"/>
      <c r="E304" s="157"/>
      <c r="F304" s="157"/>
      <c r="G304" s="157"/>
      <c r="H304" s="158"/>
    </row>
    <row r="305" spans="1:8" ht="35.25" customHeight="1" x14ac:dyDescent="0.25">
      <c r="A305" s="200" t="s">
        <v>127</v>
      </c>
      <c r="B305" s="201"/>
      <c r="C305" s="201"/>
      <c r="D305" s="201"/>
      <c r="E305" s="201"/>
      <c r="F305" s="201"/>
      <c r="G305" s="201"/>
      <c r="H305" s="202"/>
    </row>
    <row r="306" spans="1:8" x14ac:dyDescent="0.25">
      <c r="A306" s="197" t="s">
        <v>81</v>
      </c>
      <c r="B306" s="197"/>
      <c r="C306" s="198" t="s">
        <v>262</v>
      </c>
      <c r="D306" s="199"/>
      <c r="E306" s="197" t="s">
        <v>106</v>
      </c>
      <c r="F306" s="197"/>
      <c r="G306" s="197" t="s">
        <v>261</v>
      </c>
      <c r="H306" s="197"/>
    </row>
    <row r="307" spans="1:8" ht="15.75" customHeight="1" x14ac:dyDescent="0.25">
      <c r="A307" s="188" t="s">
        <v>83</v>
      </c>
      <c r="B307" s="189"/>
      <c r="C307" s="189"/>
      <c r="D307" s="189"/>
      <c r="E307" s="189"/>
      <c r="F307" s="189"/>
      <c r="G307" s="189"/>
      <c r="H307" s="190"/>
    </row>
    <row r="308" spans="1:8" x14ac:dyDescent="0.25">
      <c r="A308" s="191"/>
      <c r="B308" s="192"/>
      <c r="C308" s="192"/>
      <c r="D308" s="192"/>
      <c r="E308" s="192"/>
      <c r="F308" s="192"/>
      <c r="G308" s="192"/>
      <c r="H308" s="193"/>
    </row>
    <row r="309" spans="1:8" x14ac:dyDescent="0.25">
      <c r="A309" s="191"/>
      <c r="B309" s="192"/>
      <c r="C309" s="192"/>
      <c r="D309" s="192"/>
      <c r="E309" s="192"/>
      <c r="F309" s="192"/>
      <c r="G309" s="192"/>
      <c r="H309" s="193"/>
    </row>
    <row r="310" spans="1:8" x14ac:dyDescent="0.25">
      <c r="A310" s="194"/>
      <c r="B310" s="195"/>
      <c r="C310" s="195"/>
      <c r="D310" s="195"/>
      <c r="E310" s="195"/>
      <c r="F310" s="195"/>
      <c r="G310" s="195"/>
      <c r="H310" s="196"/>
    </row>
    <row r="311" spans="1:8" x14ac:dyDescent="0.25">
      <c r="A311" s="8" t="s">
        <v>69</v>
      </c>
      <c r="B311" s="9"/>
      <c r="C311" s="9"/>
      <c r="D311" s="8" t="str">
        <f>E8</f>
        <v>Godrej Bayview Vashi</v>
      </c>
      <c r="F311" s="9"/>
      <c r="G311" s="9"/>
      <c r="H311" s="9"/>
    </row>
    <row r="312" spans="1:8" x14ac:dyDescent="0.25">
      <c r="A312" s="9"/>
      <c r="B312" s="9"/>
      <c r="C312" s="9"/>
      <c r="D312" s="9"/>
      <c r="E312" s="9"/>
      <c r="F312" s="9"/>
      <c r="G312" s="9"/>
      <c r="H312" s="9"/>
    </row>
    <row r="313" spans="1:8" x14ac:dyDescent="0.25">
      <c r="A313" s="9"/>
      <c r="B313" s="9"/>
      <c r="C313" s="9"/>
      <c r="D313" s="9"/>
      <c r="E313" s="9"/>
      <c r="F313" s="9"/>
      <c r="G313" s="9"/>
      <c r="H313" s="9"/>
    </row>
    <row r="314" spans="1:8" ht="15" customHeight="1" x14ac:dyDescent="0.25"/>
    <row r="319" spans="1:8" x14ac:dyDescent="0.25">
      <c r="G319"/>
    </row>
    <row r="354" spans="1:1" ht="16.149999999999999" customHeight="1" x14ac:dyDescent="0.25">
      <c r="A354" s="11" t="s">
        <v>234</v>
      </c>
    </row>
    <row r="397" spans="1:1" ht="16.149999999999999" customHeight="1" x14ac:dyDescent="0.25">
      <c r="A397" s="11" t="s">
        <v>70</v>
      </c>
    </row>
  </sheetData>
  <mergeCells count="495">
    <mergeCell ref="I287:O287"/>
    <mergeCell ref="B298:H298"/>
    <mergeCell ref="A38:H38"/>
    <mergeCell ref="C34:E34"/>
    <mergeCell ref="A37:B37"/>
    <mergeCell ref="G129:H129"/>
    <mergeCell ref="A116:E116"/>
    <mergeCell ref="A66:C66"/>
    <mergeCell ref="A67:C67"/>
    <mergeCell ref="D66:H66"/>
    <mergeCell ref="E105:F114"/>
    <mergeCell ref="G105:H114"/>
    <mergeCell ref="A113:B113"/>
    <mergeCell ref="A114:B114"/>
    <mergeCell ref="D67:H67"/>
    <mergeCell ref="G104:H104"/>
    <mergeCell ref="A103:B103"/>
    <mergeCell ref="A101:B101"/>
    <mergeCell ref="C127:D127"/>
    <mergeCell ref="G127:H127"/>
    <mergeCell ref="A118:E118"/>
    <mergeCell ref="F118:H118"/>
    <mergeCell ref="A117:E117"/>
    <mergeCell ref="F117:H117"/>
    <mergeCell ref="A35:H35"/>
    <mergeCell ref="A34:B34"/>
    <mergeCell ref="C36:H36"/>
    <mergeCell ref="E41:H41"/>
    <mergeCell ref="E40:H40"/>
    <mergeCell ref="A40:D40"/>
    <mergeCell ref="C37:H37"/>
    <mergeCell ref="A39:D39"/>
    <mergeCell ref="E39:H39"/>
    <mergeCell ref="A41:D41"/>
    <mergeCell ref="E29:H29"/>
    <mergeCell ref="A22:D22"/>
    <mergeCell ref="E22:H22"/>
    <mergeCell ref="A20:D21"/>
    <mergeCell ref="E20:H21"/>
    <mergeCell ref="E24:H24"/>
    <mergeCell ref="A26:D26"/>
    <mergeCell ref="E26:H26"/>
    <mergeCell ref="A23:D23"/>
    <mergeCell ref="E23:H23"/>
    <mergeCell ref="A27:D27"/>
    <mergeCell ref="E27:H27"/>
    <mergeCell ref="A24:D24"/>
    <mergeCell ref="A25:D25"/>
    <mergeCell ref="E25:H25"/>
    <mergeCell ref="F32:H32"/>
    <mergeCell ref="C30:E30"/>
    <mergeCell ref="F33:H33"/>
    <mergeCell ref="F34:H34"/>
    <mergeCell ref="A36:B36"/>
    <mergeCell ref="F30:H30"/>
    <mergeCell ref="A31:B31"/>
    <mergeCell ref="A30:B30"/>
    <mergeCell ref="A17:B17"/>
    <mergeCell ref="C17:D17"/>
    <mergeCell ref="E17:F17"/>
    <mergeCell ref="G17:H17"/>
    <mergeCell ref="A18:B18"/>
    <mergeCell ref="C18:D18"/>
    <mergeCell ref="E18:F18"/>
    <mergeCell ref="G18:H18"/>
    <mergeCell ref="A33:B33"/>
    <mergeCell ref="C33:E33"/>
    <mergeCell ref="A28:D28"/>
    <mergeCell ref="E28:H28"/>
    <mergeCell ref="A29:D29"/>
    <mergeCell ref="C31:E31"/>
    <mergeCell ref="A32:B32"/>
    <mergeCell ref="C32:E32"/>
    <mergeCell ref="F31:H31"/>
    <mergeCell ref="A19:B19"/>
    <mergeCell ref="C19:D19"/>
    <mergeCell ref="E19:F19"/>
    <mergeCell ref="G19:H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E13:H13"/>
    <mergeCell ref="A14:B14"/>
    <mergeCell ref="C14:H14"/>
    <mergeCell ref="C15:H15"/>
    <mergeCell ref="A16:B16"/>
    <mergeCell ref="C16:D16"/>
    <mergeCell ref="E16:F16"/>
    <mergeCell ref="G16:H16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105:B105"/>
    <mergeCell ref="E42:H42"/>
    <mergeCell ref="E43:H43"/>
    <mergeCell ref="E44:H44"/>
    <mergeCell ref="A42:D42"/>
    <mergeCell ref="A43:D43"/>
    <mergeCell ref="A44:D44"/>
    <mergeCell ref="A45:H45"/>
    <mergeCell ref="G48:H48"/>
    <mergeCell ref="A48:B48"/>
    <mergeCell ref="A46:B46"/>
    <mergeCell ref="C46:H46"/>
    <mergeCell ref="A47:B47"/>
    <mergeCell ref="C47:E47"/>
    <mergeCell ref="G47:H47"/>
    <mergeCell ref="C103:H103"/>
    <mergeCell ref="A51:B52"/>
    <mergeCell ref="C51:E51"/>
    <mergeCell ref="G51:H51"/>
    <mergeCell ref="E104:F104"/>
    <mergeCell ref="A69:C69"/>
    <mergeCell ref="D69:H69"/>
    <mergeCell ref="A72:C72"/>
    <mergeCell ref="D72:H72"/>
    <mergeCell ref="A70:C70"/>
    <mergeCell ref="D70:H70"/>
    <mergeCell ref="A77:B77"/>
    <mergeCell ref="E77:F86"/>
    <mergeCell ref="G77:H86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71:C71"/>
    <mergeCell ref="D71:H71"/>
    <mergeCell ref="A287:H287"/>
    <mergeCell ref="B134:B135"/>
    <mergeCell ref="A176:H176"/>
    <mergeCell ref="A170:B170"/>
    <mergeCell ref="A181:B181"/>
    <mergeCell ref="A180:B180"/>
    <mergeCell ref="B295:H295"/>
    <mergeCell ref="A187:B187"/>
    <mergeCell ref="A106:B106"/>
    <mergeCell ref="A108:B108"/>
    <mergeCell ref="A119:E119"/>
    <mergeCell ref="F119:H119"/>
    <mergeCell ref="A124:E124"/>
    <mergeCell ref="F124:H124"/>
    <mergeCell ref="C129:D129"/>
    <mergeCell ref="E129:F129"/>
    <mergeCell ref="A127:B127"/>
    <mergeCell ref="E127:F127"/>
    <mergeCell ref="A121:E121"/>
    <mergeCell ref="F121:H121"/>
    <mergeCell ref="A120:E120"/>
    <mergeCell ref="F120:H120"/>
    <mergeCell ref="A174:B174"/>
    <mergeCell ref="A175:B175"/>
    <mergeCell ref="A307:H310"/>
    <mergeCell ref="A306:B306"/>
    <mergeCell ref="E306:F306"/>
    <mergeCell ref="C306:D306"/>
    <mergeCell ref="G306:H306"/>
    <mergeCell ref="A122:E122"/>
    <mergeCell ref="F122:H122"/>
    <mergeCell ref="A125:E125"/>
    <mergeCell ref="F125:H125"/>
    <mergeCell ref="A166:H166"/>
    <mergeCell ref="A129:B129"/>
    <mergeCell ref="A179:B179"/>
    <mergeCell ref="A302:H302"/>
    <mergeCell ref="A126:H126"/>
    <mergeCell ref="A305:H305"/>
    <mergeCell ref="A303:H303"/>
    <mergeCell ref="F123:H123"/>
    <mergeCell ref="G131:H131"/>
    <mergeCell ref="A130:B130"/>
    <mergeCell ref="C130:D130"/>
    <mergeCell ref="E130:F130"/>
    <mergeCell ref="G130:H130"/>
    <mergeCell ref="A177:B177"/>
    <mergeCell ref="A173:B173"/>
    <mergeCell ref="G49:H49"/>
    <mergeCell ref="D61:H61"/>
    <mergeCell ref="C49:E49"/>
    <mergeCell ref="D64:H64"/>
    <mergeCell ref="C48:E48"/>
    <mergeCell ref="A59:B59"/>
    <mergeCell ref="A62:C62"/>
    <mergeCell ref="D62:H62"/>
    <mergeCell ref="G59:H59"/>
    <mergeCell ref="C50:H50"/>
    <mergeCell ref="A49:B50"/>
    <mergeCell ref="C59:E59"/>
    <mergeCell ref="A60:H60"/>
    <mergeCell ref="A61:C61"/>
    <mergeCell ref="D63:H63"/>
    <mergeCell ref="A63:C63"/>
    <mergeCell ref="C52:H52"/>
    <mergeCell ref="A53:B54"/>
    <mergeCell ref="C53:E53"/>
    <mergeCell ref="G53:H53"/>
    <mergeCell ref="C54:H54"/>
    <mergeCell ref="A55:B56"/>
    <mergeCell ref="C55:E55"/>
    <mergeCell ref="G55:H55"/>
    <mergeCell ref="C167:F167"/>
    <mergeCell ref="A165:H165"/>
    <mergeCell ref="A167:B167"/>
    <mergeCell ref="C134:C135"/>
    <mergeCell ref="A134:A135"/>
    <mergeCell ref="A168:B168"/>
    <mergeCell ref="A169:B169"/>
    <mergeCell ref="G167:H170"/>
    <mergeCell ref="D134:D135"/>
    <mergeCell ref="E134:E135"/>
    <mergeCell ref="G134:H135"/>
    <mergeCell ref="A136:H136"/>
    <mergeCell ref="A145:H145"/>
    <mergeCell ref="A157:H157"/>
    <mergeCell ref="A158:B158"/>
    <mergeCell ref="G158:H162"/>
    <mergeCell ref="A159:B159"/>
    <mergeCell ref="A160:B160"/>
    <mergeCell ref="A161:B161"/>
    <mergeCell ref="A162:B162"/>
    <mergeCell ref="C149:F149"/>
    <mergeCell ref="A138:H138"/>
    <mergeCell ref="C160:F160"/>
    <mergeCell ref="A148:B148"/>
    <mergeCell ref="A188:H188"/>
    <mergeCell ref="L188:M188"/>
    <mergeCell ref="A189:B189"/>
    <mergeCell ref="A190:B190"/>
    <mergeCell ref="A191:B191"/>
    <mergeCell ref="L165:M165"/>
    <mergeCell ref="A164:H164"/>
    <mergeCell ref="L164:M164"/>
    <mergeCell ref="A163:H163"/>
    <mergeCell ref="L163:M163"/>
    <mergeCell ref="A171:H171"/>
    <mergeCell ref="L171:M171"/>
    <mergeCell ref="A172:B172"/>
    <mergeCell ref="L166:M166"/>
    <mergeCell ref="A184:B184"/>
    <mergeCell ref="A185:B185"/>
    <mergeCell ref="A182:H182"/>
    <mergeCell ref="A183:B183"/>
    <mergeCell ref="A178:B178"/>
    <mergeCell ref="A186:B186"/>
    <mergeCell ref="C190:F190"/>
    <mergeCell ref="G183:H187"/>
    <mergeCell ref="G177:H181"/>
    <mergeCell ref="G172:H175"/>
    <mergeCell ref="C196:F196"/>
    <mergeCell ref="A200:H200"/>
    <mergeCell ref="A205:B205"/>
    <mergeCell ref="A206:H206"/>
    <mergeCell ref="A211:B211"/>
    <mergeCell ref="A212:H212"/>
    <mergeCell ref="B297:H297"/>
    <mergeCell ref="A300:H300"/>
    <mergeCell ref="A197:B197"/>
    <mergeCell ref="A299:H299"/>
    <mergeCell ref="B294:H294"/>
    <mergeCell ref="B296:H296"/>
    <mergeCell ref="A217:B217"/>
    <mergeCell ref="A218:H218"/>
    <mergeCell ref="G222:H225"/>
    <mergeCell ref="A227:B227"/>
    <mergeCell ref="C202:F202"/>
    <mergeCell ref="A203:B203"/>
    <mergeCell ref="A204:B204"/>
    <mergeCell ref="G201:H205"/>
    <mergeCell ref="A231:H231"/>
    <mergeCell ref="A232:B232"/>
    <mergeCell ref="A233:B233"/>
    <mergeCell ref="A234:B234"/>
    <mergeCell ref="A304:H304"/>
    <mergeCell ref="A301:H301"/>
    <mergeCell ref="B293:H293"/>
    <mergeCell ref="B292:H292"/>
    <mergeCell ref="B291:H291"/>
    <mergeCell ref="B290:H290"/>
    <mergeCell ref="B289:H289"/>
    <mergeCell ref="B288:H288"/>
    <mergeCell ref="A192:B192"/>
    <mergeCell ref="A193:B193"/>
    <mergeCell ref="A199:B199"/>
    <mergeCell ref="A198:B198"/>
    <mergeCell ref="G195:H199"/>
    <mergeCell ref="G189:H193"/>
    <mergeCell ref="A194:H194"/>
    <mergeCell ref="A195:B195"/>
    <mergeCell ref="A196:B196"/>
    <mergeCell ref="A226:H226"/>
    <mergeCell ref="A236:B236"/>
    <mergeCell ref="A238:H238"/>
    <mergeCell ref="A239:B239"/>
    <mergeCell ref="A240:B240"/>
    <mergeCell ref="A241:B241"/>
    <mergeCell ref="G232:H237"/>
    <mergeCell ref="L200:M200"/>
    <mergeCell ref="A201:B201"/>
    <mergeCell ref="A202:B202"/>
    <mergeCell ref="L218:M218"/>
    <mergeCell ref="A219:H219"/>
    <mergeCell ref="L219:M219"/>
    <mergeCell ref="A220:H220"/>
    <mergeCell ref="L220:M220"/>
    <mergeCell ref="A221:H221"/>
    <mergeCell ref="L221:M221"/>
    <mergeCell ref="L212:M212"/>
    <mergeCell ref="A213:B213"/>
    <mergeCell ref="A214:B214"/>
    <mergeCell ref="A215:B215"/>
    <mergeCell ref="A216:B216"/>
    <mergeCell ref="L206:M206"/>
    <mergeCell ref="A207:B207"/>
    <mergeCell ref="A208:B208"/>
    <mergeCell ref="A209:B209"/>
    <mergeCell ref="A210:B210"/>
    <mergeCell ref="G207:H211"/>
    <mergeCell ref="G213:H217"/>
    <mergeCell ref="L226:M226"/>
    <mergeCell ref="A228:B228"/>
    <mergeCell ref="A229:B229"/>
    <mergeCell ref="A230:B230"/>
    <mergeCell ref="G227:H230"/>
    <mergeCell ref="A222:B222"/>
    <mergeCell ref="A223:B223"/>
    <mergeCell ref="A224:B224"/>
    <mergeCell ref="A225:B225"/>
    <mergeCell ref="C222:F224"/>
    <mergeCell ref="C227:F228"/>
    <mergeCell ref="A235:B235"/>
    <mergeCell ref="A237:B237"/>
    <mergeCell ref="A242:B242"/>
    <mergeCell ref="A243:B243"/>
    <mergeCell ref="A252:H252"/>
    <mergeCell ref="G239:H244"/>
    <mergeCell ref="G253:H258"/>
    <mergeCell ref="L252:M252"/>
    <mergeCell ref="A253:B253"/>
    <mergeCell ref="A254:B254"/>
    <mergeCell ref="C254:F254"/>
    <mergeCell ref="A244:B244"/>
    <mergeCell ref="A258:B258"/>
    <mergeCell ref="A255:B255"/>
    <mergeCell ref="A256:B256"/>
    <mergeCell ref="A257:B257"/>
    <mergeCell ref="A245:H245"/>
    <mergeCell ref="A246:B246"/>
    <mergeCell ref="G246:H251"/>
    <mergeCell ref="A247:B247"/>
    <mergeCell ref="A248:B248"/>
    <mergeCell ref="A249:B249"/>
    <mergeCell ref="A250:B250"/>
    <mergeCell ref="A251:B251"/>
    <mergeCell ref="L266:M266"/>
    <mergeCell ref="A267:B267"/>
    <mergeCell ref="A268:B268"/>
    <mergeCell ref="C268:F268"/>
    <mergeCell ref="G260:H265"/>
    <mergeCell ref="A259:H259"/>
    <mergeCell ref="A260:B260"/>
    <mergeCell ref="A261:B261"/>
    <mergeCell ref="C261:F261"/>
    <mergeCell ref="A262:B262"/>
    <mergeCell ref="A263:B263"/>
    <mergeCell ref="A265:B265"/>
    <mergeCell ref="A264:B264"/>
    <mergeCell ref="A266:H266"/>
    <mergeCell ref="L280:M280"/>
    <mergeCell ref="A281:B281"/>
    <mergeCell ref="A282:B282"/>
    <mergeCell ref="A283:B283"/>
    <mergeCell ref="A284:B284"/>
    <mergeCell ref="G281:H286"/>
    <mergeCell ref="A278:B278"/>
    <mergeCell ref="A280:H280"/>
    <mergeCell ref="A269:B269"/>
    <mergeCell ref="A270:B270"/>
    <mergeCell ref="A271:B271"/>
    <mergeCell ref="A273:H273"/>
    <mergeCell ref="G267:H272"/>
    <mergeCell ref="G274:H279"/>
    <mergeCell ref="L273:M273"/>
    <mergeCell ref="A274:B274"/>
    <mergeCell ref="A286:B286"/>
    <mergeCell ref="A285:B285"/>
    <mergeCell ref="A272:B272"/>
    <mergeCell ref="A279:B279"/>
    <mergeCell ref="A275:B275"/>
    <mergeCell ref="A276:B276"/>
    <mergeCell ref="A277:B277"/>
    <mergeCell ref="I281:M285"/>
    <mergeCell ref="C58:E58"/>
    <mergeCell ref="A68:C68"/>
    <mergeCell ref="D68:H68"/>
    <mergeCell ref="L136:M136"/>
    <mergeCell ref="A137:H137"/>
    <mergeCell ref="L137:M137"/>
    <mergeCell ref="G58:H58"/>
    <mergeCell ref="A104:B104"/>
    <mergeCell ref="A107:B107"/>
    <mergeCell ref="C101:H101"/>
    <mergeCell ref="A109:B109"/>
    <mergeCell ref="D65:H65"/>
    <mergeCell ref="A64:C65"/>
    <mergeCell ref="A73:B73"/>
    <mergeCell ref="C73:H73"/>
    <mergeCell ref="A75:B75"/>
    <mergeCell ref="C75:H75"/>
    <mergeCell ref="A76:B76"/>
    <mergeCell ref="E76:F76"/>
    <mergeCell ref="G76:H76"/>
    <mergeCell ref="E131:F131"/>
    <mergeCell ref="A131:B131"/>
    <mergeCell ref="C131:D131"/>
    <mergeCell ref="A123:E123"/>
    <mergeCell ref="L138:M138"/>
    <mergeCell ref="A139:H139"/>
    <mergeCell ref="L139:M139"/>
    <mergeCell ref="A140:B140"/>
    <mergeCell ref="A141:B141"/>
    <mergeCell ref="L145:M145"/>
    <mergeCell ref="A146:B146"/>
    <mergeCell ref="A147:B147"/>
    <mergeCell ref="A144:B144"/>
    <mergeCell ref="G140:H144"/>
    <mergeCell ref="C143:F143"/>
    <mergeCell ref="A128:B128"/>
    <mergeCell ref="C128:D128"/>
    <mergeCell ref="E128:F128"/>
    <mergeCell ref="G128:H128"/>
    <mergeCell ref="A142:B142"/>
    <mergeCell ref="A143:B143"/>
    <mergeCell ref="A110:B110"/>
    <mergeCell ref="F116:H116"/>
    <mergeCell ref="A115:H115"/>
    <mergeCell ref="A111:B111"/>
    <mergeCell ref="A132:H132"/>
    <mergeCell ref="A133:H133"/>
    <mergeCell ref="A112:B112"/>
    <mergeCell ref="A149:B149"/>
    <mergeCell ref="A151:H151"/>
    <mergeCell ref="A152:B152"/>
    <mergeCell ref="G152:H156"/>
    <mergeCell ref="A153:B153"/>
    <mergeCell ref="A154:B154"/>
    <mergeCell ref="A155:B155"/>
    <mergeCell ref="A156:B156"/>
    <mergeCell ref="A150:B150"/>
    <mergeCell ref="G146:H150"/>
    <mergeCell ref="I10:L10"/>
    <mergeCell ref="A87:B87"/>
    <mergeCell ref="C87:H87"/>
    <mergeCell ref="A89:B89"/>
    <mergeCell ref="C89:H89"/>
    <mergeCell ref="A90:B90"/>
    <mergeCell ref="E90:F90"/>
    <mergeCell ref="G90:H90"/>
    <mergeCell ref="A91:B91"/>
    <mergeCell ref="E91:F100"/>
    <mergeCell ref="G91:H100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C56:H56"/>
    <mergeCell ref="A57:B58"/>
    <mergeCell ref="C57:E57"/>
    <mergeCell ref="G57:H57"/>
  </mergeCells>
  <hyperlinks>
    <hyperlink ref="C37" r:id="rId1"/>
  </hyperlinks>
  <printOptions horizontalCentered="1"/>
  <pageMargins left="0.39370078740157499" right="0.39370078740157499" top="0.78740157480314998" bottom="0.78740157480314998" header="0.196850393700787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35" max="7" man="1"/>
    <brk id="100" max="16383" man="1"/>
    <brk id="310" max="16383" man="1"/>
    <brk id="353" max="16383" man="1"/>
    <brk id="39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5"/>
    <col min="2" max="2" width="22.140625" style="15" customWidth="1"/>
    <col min="3" max="3" width="37" style="15" customWidth="1"/>
    <col min="4" max="5" width="11.42578125" style="15" customWidth="1"/>
    <col min="6" max="6" width="14" style="15" customWidth="1"/>
    <col min="7" max="7" width="20" style="15" customWidth="1"/>
    <col min="8" max="8" width="16.42578125" style="15" customWidth="1"/>
    <col min="9" max="16384" width="8.7109375" style="15"/>
  </cols>
  <sheetData>
    <row r="1" spans="1:9" ht="15" customHeight="1" x14ac:dyDescent="0.25">
      <c r="A1" s="14"/>
      <c r="B1" s="14"/>
      <c r="C1" s="14"/>
      <c r="D1" s="14"/>
      <c r="E1" s="14"/>
      <c r="F1" s="14"/>
      <c r="G1" s="14"/>
      <c r="H1" s="14"/>
    </row>
    <row r="2" spans="1:9" ht="15" customHeight="1" x14ac:dyDescent="0.25">
      <c r="A2" s="16"/>
      <c r="B2" s="16"/>
      <c r="C2" s="16"/>
      <c r="D2" s="16"/>
      <c r="E2" s="16"/>
      <c r="F2" s="16"/>
      <c r="G2" s="16"/>
      <c r="H2" s="16"/>
    </row>
    <row r="3" spans="1:9" ht="15.75" customHeight="1" x14ac:dyDescent="0.25">
      <c r="A3" s="16"/>
      <c r="B3" s="241" t="s">
        <v>107</v>
      </c>
      <c r="C3" s="241"/>
      <c r="D3" s="241"/>
      <c r="E3" s="241"/>
      <c r="F3" s="241"/>
      <c r="G3" s="241"/>
      <c r="H3" s="241"/>
    </row>
    <row r="4" spans="1:9" x14ac:dyDescent="0.25">
      <c r="A4" s="16"/>
      <c r="B4" s="17" t="s">
        <v>108</v>
      </c>
      <c r="C4" s="17" t="s">
        <v>109</v>
      </c>
      <c r="D4" s="17" t="s">
        <v>72</v>
      </c>
      <c r="E4" s="17" t="s">
        <v>110</v>
      </c>
      <c r="F4" s="17" t="s">
        <v>116</v>
      </c>
      <c r="G4" s="17" t="s">
        <v>117</v>
      </c>
      <c r="H4" s="17" t="s">
        <v>111</v>
      </c>
    </row>
    <row r="5" spans="1:9" ht="15" customHeight="1" x14ac:dyDescent="0.25">
      <c r="A5" s="16"/>
      <c r="B5" s="19" t="s">
        <v>112</v>
      </c>
      <c r="C5" s="20"/>
      <c r="D5" s="19"/>
      <c r="E5" s="19"/>
      <c r="F5" s="21">
        <f>E5*1.6</f>
        <v>0</v>
      </c>
      <c r="G5" s="21" t="e">
        <f>H5/F5</f>
        <v>#DIV/0!</v>
      </c>
      <c r="H5" s="22"/>
    </row>
    <row r="6" spans="1:9" x14ac:dyDescent="0.25">
      <c r="A6" s="16"/>
      <c r="B6" s="19" t="s">
        <v>112</v>
      </c>
      <c r="C6" s="23"/>
      <c r="D6" s="19"/>
      <c r="E6" s="19"/>
      <c r="F6" s="21">
        <f t="shared" ref="F6:F11" si="0">E6*1.6</f>
        <v>0</v>
      </c>
      <c r="G6" s="21" t="e">
        <f t="shared" ref="G6:G11" si="1">H6/F6</f>
        <v>#DIV/0!</v>
      </c>
      <c r="H6" s="22"/>
    </row>
    <row r="7" spans="1:9" ht="15" customHeight="1" x14ac:dyDescent="0.25">
      <c r="A7" s="16"/>
      <c r="B7" s="19" t="s">
        <v>112</v>
      </c>
      <c r="C7" s="20"/>
      <c r="D7" s="19"/>
      <c r="E7" s="19"/>
      <c r="F7" s="21">
        <f t="shared" si="0"/>
        <v>0</v>
      </c>
      <c r="G7" s="21" t="e">
        <f t="shared" si="1"/>
        <v>#DIV/0!</v>
      </c>
      <c r="H7" s="22"/>
    </row>
    <row r="8" spans="1:9" x14ac:dyDescent="0.25">
      <c r="A8" s="16"/>
      <c r="B8" s="19" t="s">
        <v>112</v>
      </c>
      <c r="C8" s="23"/>
      <c r="D8" s="19"/>
      <c r="E8" s="19"/>
      <c r="F8" s="21">
        <f t="shared" si="0"/>
        <v>0</v>
      </c>
      <c r="G8" s="21" t="e">
        <f t="shared" si="1"/>
        <v>#DIV/0!</v>
      </c>
      <c r="H8" s="22"/>
    </row>
    <row r="9" spans="1:9" ht="15" customHeight="1" x14ac:dyDescent="0.25">
      <c r="A9" s="16"/>
      <c r="B9" s="19" t="s">
        <v>112</v>
      </c>
      <c r="C9" s="23"/>
      <c r="D9" s="19"/>
      <c r="E9" s="19"/>
      <c r="F9" s="21">
        <f t="shared" si="0"/>
        <v>0</v>
      </c>
      <c r="G9" s="21" t="e">
        <f t="shared" si="1"/>
        <v>#DIV/0!</v>
      </c>
      <c r="H9" s="22"/>
    </row>
    <row r="10" spans="1:9" ht="15" customHeight="1" x14ac:dyDescent="0.25">
      <c r="A10" s="16"/>
      <c r="B10" s="19" t="s">
        <v>113</v>
      </c>
      <c r="C10" s="20"/>
      <c r="D10" s="19"/>
      <c r="E10" s="19"/>
      <c r="F10" s="21">
        <f t="shared" si="0"/>
        <v>0</v>
      </c>
      <c r="G10" s="21" t="e">
        <f t="shared" si="1"/>
        <v>#DIV/0!</v>
      </c>
      <c r="H10" s="22"/>
    </row>
    <row r="11" spans="1:9" ht="15" customHeight="1" x14ac:dyDescent="0.25">
      <c r="A11" s="16"/>
      <c r="B11" s="19" t="s">
        <v>113</v>
      </c>
      <c r="C11" s="20"/>
      <c r="D11" s="19"/>
      <c r="E11" s="19"/>
      <c r="F11" s="21">
        <f t="shared" si="0"/>
        <v>0</v>
      </c>
      <c r="G11" s="21" t="e">
        <f t="shared" si="1"/>
        <v>#DIV/0!</v>
      </c>
      <c r="H11" s="22"/>
    </row>
    <row r="12" spans="1:9" ht="15" customHeight="1" x14ac:dyDescent="0.25">
      <c r="A12" s="16"/>
      <c r="B12" s="24" t="s">
        <v>114</v>
      </c>
      <c r="C12" s="19"/>
      <c r="D12" s="19"/>
      <c r="E12" s="19"/>
      <c r="F12" s="19"/>
      <c r="G12" s="25" t="e">
        <f>AVERAGE(G5:G11)</f>
        <v>#DIV/0!</v>
      </c>
      <c r="H12" s="19"/>
    </row>
    <row r="13" spans="1:9" ht="15" customHeight="1" x14ac:dyDescent="0.25">
      <c r="A13" s="14"/>
      <c r="B13" s="24" t="s">
        <v>115</v>
      </c>
      <c r="C13" s="26"/>
      <c r="D13" s="26"/>
      <c r="E13" s="26"/>
      <c r="F13" s="27"/>
      <c r="G13" s="24"/>
      <c r="H13" s="24"/>
      <c r="I13" s="18"/>
    </row>
    <row r="14" spans="1:9" ht="15" customHeight="1" x14ac:dyDescent="0.25">
      <c r="B14" s="14"/>
      <c r="C14" s="14"/>
      <c r="D14" s="14"/>
      <c r="E14" s="14"/>
    </row>
    <row r="15" spans="1:9" ht="15" customHeight="1" x14ac:dyDescent="0.25">
      <c r="B15" s="14"/>
      <c r="C15" s="14"/>
      <c r="D15" s="14"/>
      <c r="E15" s="14"/>
    </row>
    <row r="16" spans="1:9" ht="15" customHeight="1" x14ac:dyDescent="0.25">
      <c r="B16" s="14"/>
      <c r="C16" s="14"/>
      <c r="D16" s="14"/>
      <c r="E16" s="14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2025-09-11T09:50:38Z</cp:lastPrinted>
  <dcterms:created xsi:type="dcterms:W3CDTF">2019-07-16T09:29:46Z</dcterms:created>
  <dcterms:modified xsi:type="dcterms:W3CDTF">2025-09-20T07:03:30Z</dcterms:modified>
</cp:coreProperties>
</file>