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VSJC-06\Downloads\APF Dump\"/>
    </mc:Choice>
  </mc:AlternateContent>
  <bookViews>
    <workbookView xWindow="0" yWindow="0" windowWidth="20490" windowHeight="7020" tabRatio="725"/>
  </bookViews>
  <sheets>
    <sheet name="Report" sheetId="1" r:id="rId1"/>
    <sheet name="valuation" sheetId="5" r:id="rId2"/>
    <sheet name="Research" sheetId="4" r:id="rId3"/>
    <sheet name="Remarks" sheetId="6" r:id="rId4"/>
  </sheets>
  <definedNames>
    <definedName name="_xlnm.Print_Area" localSheetId="0">Report!$A$1:$H$356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69" i="1" l="1"/>
  <c r="K168" i="1"/>
  <c r="L168" i="1"/>
  <c r="L169" i="1"/>
  <c r="L167" i="1"/>
  <c r="K185" i="1"/>
  <c r="D182" i="1"/>
  <c r="D177" i="1"/>
  <c r="E179" i="1"/>
  <c r="E183" i="1"/>
  <c r="E187" i="1"/>
  <c r="E191" i="1"/>
  <c r="D172" i="1"/>
  <c r="E175" i="1"/>
  <c r="D170" i="1"/>
  <c r="E170" i="1"/>
  <c r="O174" i="1"/>
  <c r="E169" i="1"/>
  <c r="D169" i="1"/>
  <c r="D168" i="1"/>
  <c r="D161" i="1"/>
  <c r="D160" i="1"/>
  <c r="D167" i="1"/>
  <c r="D194" i="1"/>
  <c r="F170" i="1" l="1"/>
  <c r="H170" i="1" s="1"/>
  <c r="K170" i="1" s="1"/>
  <c r="K171" i="1" s="1"/>
  <c r="N195" i="1"/>
  <c r="N196" i="1"/>
  <c r="N197" i="1"/>
  <c r="N198" i="1"/>
  <c r="N199" i="1"/>
  <c r="N200" i="1"/>
  <c r="N194" i="1"/>
  <c r="O173" i="1"/>
  <c r="O169" i="1"/>
  <c r="O170" i="1"/>
  <c r="O171" i="1"/>
  <c r="O172" i="1"/>
  <c r="O168" i="1"/>
  <c r="J168" i="1"/>
  <c r="J173" i="1"/>
  <c r="L170" i="1" l="1"/>
  <c r="G173" i="1"/>
  <c r="G168" i="1"/>
  <c r="E206" i="1"/>
  <c r="D206" i="1"/>
  <c r="E205" i="1"/>
  <c r="D205" i="1"/>
  <c r="E204" i="1"/>
  <c r="D204" i="1"/>
  <c r="E203" i="1"/>
  <c r="D203" i="1"/>
  <c r="E201" i="1"/>
  <c r="E200" i="1"/>
  <c r="E198" i="1"/>
  <c r="E199" i="1"/>
  <c r="D201" i="1"/>
  <c r="F201" i="1" s="1"/>
  <c r="D200" i="1"/>
  <c r="D199" i="1"/>
  <c r="D198" i="1"/>
  <c r="D196" i="1"/>
  <c r="E195" i="1"/>
  <c r="D195" i="1"/>
  <c r="F194" i="1"/>
  <c r="A195" i="1"/>
  <c r="A196" i="1" s="1"/>
  <c r="A204" i="1"/>
  <c r="A205" i="1" s="1"/>
  <c r="A206" i="1" s="1"/>
  <c r="A199" i="1"/>
  <c r="A200" i="1" s="1"/>
  <c r="A201" i="1" s="1"/>
  <c r="D191" i="1"/>
  <c r="A191" i="1"/>
  <c r="E190" i="1"/>
  <c r="D190" i="1"/>
  <c r="E189" i="1"/>
  <c r="D189" i="1"/>
  <c r="D186" i="1"/>
  <c r="D187" i="1"/>
  <c r="A187" i="1"/>
  <c r="E186" i="1"/>
  <c r="E185" i="1"/>
  <c r="D185" i="1"/>
  <c r="E182" i="1"/>
  <c r="D183" i="1"/>
  <c r="A183" i="1"/>
  <c r="E181" i="1"/>
  <c r="D181" i="1"/>
  <c r="D179" i="1"/>
  <c r="E178" i="1"/>
  <c r="D178" i="1"/>
  <c r="A179" i="1"/>
  <c r="E177" i="1"/>
  <c r="E174" i="1"/>
  <c r="E173" i="1"/>
  <c r="E172" i="1"/>
  <c r="D175" i="1"/>
  <c r="D174" i="1"/>
  <c r="D173" i="1"/>
  <c r="A173" i="1"/>
  <c r="A174" i="1" s="1"/>
  <c r="A175" i="1" s="1"/>
  <c r="E168" i="1"/>
  <c r="E167" i="1"/>
  <c r="E43" i="1"/>
  <c r="F200" i="1" l="1"/>
  <c r="F185" i="1"/>
  <c r="F195" i="1"/>
  <c r="F205" i="1"/>
  <c r="F186" i="1"/>
  <c r="F187" i="1"/>
  <c r="H187" i="1" s="1"/>
  <c r="F191" i="1"/>
  <c r="H191" i="1" s="1"/>
  <c r="F179" i="1"/>
  <c r="H179" i="1" s="1"/>
  <c r="F204" i="1"/>
  <c r="F196" i="1"/>
  <c r="F178" i="1"/>
  <c r="F182" i="1"/>
  <c r="L182" i="1" s="1"/>
  <c r="F172" i="1"/>
  <c r="F189" i="1"/>
  <c r="F203" i="1"/>
  <c r="F206" i="1"/>
  <c r="F177" i="1"/>
  <c r="F199" i="1"/>
  <c r="F173" i="1"/>
  <c r="K173" i="1" s="1"/>
  <c r="F181" i="1"/>
  <c r="F198" i="1"/>
  <c r="F174" i="1"/>
  <c r="F175" i="1"/>
  <c r="H175" i="1" s="1"/>
  <c r="F183" i="1"/>
  <c r="H183" i="1" s="1"/>
  <c r="F190" i="1"/>
  <c r="B209" i="1"/>
  <c r="E151" i="1" l="1"/>
  <c r="C151" i="1"/>
  <c r="G151" i="1"/>
  <c r="G58" i="1"/>
  <c r="C58" i="1"/>
  <c r="G56" i="1"/>
  <c r="C56" i="1"/>
  <c r="C54" i="1"/>
  <c r="S33" i="1" l="1"/>
  <c r="F11" i="5" l="1"/>
  <c r="G11" i="5" s="1"/>
  <c r="F10" i="5"/>
  <c r="G10" i="5" s="1"/>
  <c r="F9" i="5"/>
  <c r="G9" i="5" s="1"/>
  <c r="F8" i="5"/>
  <c r="G8" i="5" s="1"/>
  <c r="F7" i="5"/>
  <c r="G7" i="5" s="1"/>
  <c r="F6" i="5"/>
  <c r="G6" i="5" s="1"/>
  <c r="F5" i="5"/>
  <c r="G5" i="5" s="1"/>
  <c r="G12" i="5" s="1"/>
  <c r="D231" i="1"/>
  <c r="B210" i="1"/>
  <c r="F169" i="1"/>
  <c r="F168" i="1"/>
  <c r="A168" i="1"/>
  <c r="A169" i="1" s="1"/>
  <c r="A170" i="1" s="1"/>
  <c r="F167" i="1"/>
  <c r="H161" i="1"/>
  <c r="F161" i="1"/>
  <c r="A161" i="1"/>
  <c r="H160" i="1"/>
  <c r="F160" i="1"/>
  <c r="F144" i="1"/>
  <c r="C118" i="1"/>
  <c r="C104" i="1"/>
  <c r="C75" i="1"/>
  <c r="D69" i="1"/>
  <c r="D62" i="1"/>
  <c r="G51" i="1"/>
  <c r="G52" i="1" s="1"/>
  <c r="C51" i="1"/>
  <c r="C52" i="1" s="1"/>
  <c r="E44" i="1"/>
  <c r="E45" i="1" s="1"/>
  <c r="E31" i="1"/>
  <c r="E28" i="1"/>
  <c r="E26" i="1"/>
  <c r="C16" i="1"/>
  <c r="I15" i="1"/>
  <c r="Z13" i="1"/>
  <c r="E8" i="1"/>
  <c r="E3" i="1"/>
  <c r="H105" i="1"/>
  <c r="H76" i="1"/>
  <c r="H119" i="1"/>
  <c r="G147" i="1" l="1"/>
  <c r="G150" i="1"/>
  <c r="G152" i="1" s="1"/>
  <c r="E150" i="1"/>
  <c r="E152" i="1" s="1"/>
  <c r="C150" i="1"/>
  <c r="C152" i="1" s="1"/>
  <c r="C147" i="1"/>
  <c r="E147" i="1"/>
  <c r="J75" i="1"/>
  <c r="J77" i="1" s="1"/>
  <c r="J78" i="1"/>
  <c r="J79" i="1"/>
  <c r="J80" i="1"/>
  <c r="C79" i="1" s="1"/>
  <c r="J109" i="1"/>
  <c r="D113" i="1"/>
  <c r="D115" i="1"/>
  <c r="J108" i="1"/>
  <c r="D114" i="1"/>
  <c r="J104" i="1"/>
  <c r="J106" i="1" s="1"/>
  <c r="D112" i="1"/>
  <c r="J107" i="1"/>
  <c r="D111" i="1"/>
  <c r="D117" i="1"/>
  <c r="D116" i="1"/>
  <c r="D110" i="1"/>
  <c r="D83" i="1"/>
  <c r="D85" i="1"/>
  <c r="D84" i="1"/>
  <c r="D88" i="1"/>
  <c r="D82" i="1"/>
  <c r="D87" i="1"/>
  <c r="D81" i="1"/>
  <c r="D86" i="1"/>
  <c r="C124" i="1"/>
  <c r="J118" i="1" s="1"/>
  <c r="J120" i="1" s="1"/>
  <c r="D127" i="1"/>
  <c r="D129" i="1"/>
  <c r="J123" i="1"/>
  <c r="C122" i="1" s="1"/>
  <c r="D122" i="1" s="1"/>
  <c r="D128" i="1"/>
  <c r="J122" i="1"/>
  <c r="D126" i="1"/>
  <c r="J121" i="1"/>
  <c r="D125" i="1"/>
  <c r="D131" i="1"/>
  <c r="D130" i="1"/>
  <c r="B119" i="1"/>
  <c r="B105" i="1"/>
  <c r="B76" i="1"/>
  <c r="J81" i="1" s="1"/>
  <c r="C108" i="1" l="1"/>
  <c r="D108" i="1" s="1"/>
  <c r="C153" i="1"/>
  <c r="E153" i="1"/>
  <c r="G153" i="1"/>
  <c r="D79" i="1"/>
  <c r="D124" i="1"/>
  <c r="J129" i="1"/>
  <c r="J126" i="1"/>
  <c r="J128" i="1"/>
  <c r="J127" i="1"/>
  <c r="J124" i="1"/>
  <c r="J125" i="1" s="1"/>
  <c r="J130" i="1" s="1"/>
  <c r="J131" i="1" s="1"/>
  <c r="C123" i="1" s="1"/>
  <c r="J115" i="1"/>
  <c r="J112" i="1"/>
  <c r="J114" i="1"/>
  <c r="J113" i="1"/>
  <c r="J110" i="1"/>
  <c r="J111" i="1" s="1"/>
  <c r="J85" i="1"/>
  <c r="J83" i="1"/>
  <c r="J84" i="1"/>
  <c r="J82" i="1"/>
  <c r="J87" i="1" s="1"/>
  <c r="J88" i="1" s="1"/>
  <c r="C80" i="1" s="1"/>
  <c r="J86" i="1"/>
  <c r="B90" i="1" l="1"/>
  <c r="J76" i="1"/>
  <c r="J116" i="1"/>
  <c r="E122" i="1"/>
  <c r="D123" i="1"/>
  <c r="I119" i="1" s="1"/>
  <c r="J119" i="1"/>
  <c r="G122" i="1"/>
  <c r="E79" i="1"/>
  <c r="D80" i="1"/>
  <c r="I76" i="1" s="1"/>
  <c r="G79" i="1"/>
  <c r="H90" i="1"/>
  <c r="D73" i="1" l="1"/>
  <c r="D74" i="1" s="1"/>
  <c r="J94" i="1"/>
  <c r="C93" i="1" s="1"/>
  <c r="D93" i="1" s="1"/>
  <c r="J92" i="1"/>
  <c r="J89" i="1"/>
  <c r="J91" i="1" s="1"/>
  <c r="D95" i="1"/>
  <c r="D102" i="1"/>
  <c r="D98" i="1"/>
  <c r="D97" i="1"/>
  <c r="J93" i="1"/>
  <c r="D101" i="1"/>
  <c r="D100" i="1"/>
  <c r="D96" i="1"/>
  <c r="D99" i="1"/>
  <c r="J98" i="1"/>
  <c r="J97" i="1"/>
  <c r="J100" i="1"/>
  <c r="J99" i="1"/>
  <c r="J95" i="1"/>
  <c r="J96" i="1" s="1"/>
  <c r="J101" i="1" s="1"/>
  <c r="J102" i="1" s="1"/>
  <c r="C94" i="1" s="1"/>
  <c r="J117" i="1"/>
  <c r="C109" i="1" s="1"/>
  <c r="I120" i="1"/>
  <c r="I118" i="1" s="1"/>
  <c r="C120" i="1" s="1"/>
  <c r="I77" i="1"/>
  <c r="I75" i="1" s="1"/>
  <c r="C77" i="1" s="1"/>
  <c r="F74" i="1" l="1"/>
  <c r="E93" i="1"/>
  <c r="C103" i="1" s="1"/>
  <c r="D94" i="1"/>
  <c r="I90" i="1" s="1"/>
  <c r="I91" i="1" s="1"/>
  <c r="G93" i="1"/>
  <c r="G103" i="1" s="1"/>
  <c r="J90" i="1"/>
  <c r="J105" i="1"/>
  <c r="E108" i="1"/>
  <c r="D109" i="1"/>
  <c r="I105" i="1" s="1"/>
  <c r="I106" i="1" s="1"/>
  <c r="G108" i="1"/>
  <c r="I89" i="1" l="1"/>
  <c r="C91" i="1" s="1"/>
  <c r="I104" i="1"/>
  <c r="C106" i="1" l="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37"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64"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<sst xmlns="http://schemas.openxmlformats.org/spreadsheetml/2006/main" count="689" uniqueCount="365">
  <si>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</si>
  <si>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</si>
  <si>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</si>
  <si>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</si>
  <si>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</si>
  <si>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</si>
  <si>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</si>
  <si>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</si>
  <si>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</si>
  <si>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</si>
  <si>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</si>
  <si>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</si>
  <si>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</si>
  <si>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</si>
  <si>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</si>
  <si>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</si>
  <si>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</si>
  <si>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</si>
  <si>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</si>
  <si>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</si>
  <si>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</si>
  <si>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</si>
  <si>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</si>
  <si>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</si>
  <si>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</si>
  <si>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</si>
  <si>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</si>
  <si>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</si>
  <si>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</si>
  <si>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</si>
  <si>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</si>
  <si>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</si>
  <si>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</si>
  <si>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</si>
  <si>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</si>
  <si>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</si>
  <si>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</si>
  <si>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</si>
  <si>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</si>
  <si>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</si>
  <si>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</si>
  <si>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</si>
  <si>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</si>
  <si>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</si>
  <si>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</si>
  <si>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</si>
  <si>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</si>
  <si>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</si>
  <si>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</si>
  <si>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</si>
  <si>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</si>
  <si>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</si>
  <si>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</si>
  <si>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</si>
  <si>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</si>
  <si>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</si>
  <si>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</si>
  <si>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</si>
  <si>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</si>
  <si>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</si>
  <si>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</si>
  <si>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</si>
  <si>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</si>
  <si>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</si>
  <si>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</si>
  <si>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</si>
  <si>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</si>
  <si>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</si>
  <si>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</si>
  <si>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</si>
  <si>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</si>
  <si>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</si>
  <si>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</si>
  <si>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</si>
  <si>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</si>
  <si>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</si>
  <si>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</si>
  <si>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</si>
  <si>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</si>
  <si>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</si>
  <si>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</si>
  <si>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</si>
  <si>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</si>
  <si>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</si>
  <si>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</si>
  <si>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</si>
  <si>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</si>
  <si>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</si>
  <si>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</si>
  <si>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</si>
  <si>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</si>
  <si>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</si>
  <si>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</si>
  <si>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</si>
  <si>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</si>
  <si>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</si>
  <si>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</si>
  <si>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</si>
  <si>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</si>
  <si>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</si>
  <si>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</si>
  <si>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</si>
  <si>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</si>
  <si>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</si>
  <si>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</si>
  <si>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</si>
  <si>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</si>
  <si>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</si>
  <si>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</si>
  <si>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</si>
  <si>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</si>
  <si>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</si>
  <si>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</si>
  <si>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</si>
  <si>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</si>
  <si>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</si>
  <si>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</si>
  <si>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</si>
  <si>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</si>
  <si>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</si>
  <si>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</si>
  <si>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</si>
  <si>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</si>
  <si>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</si>
  <si>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</si>
  <si>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</si>
  <si>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</si>
  <si>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</si>
  <si>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</si>
  <si>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</si>
  <si>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</si>
  <si>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</si>
  <si>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</si>
  <si>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</si>
  <si>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</si>
  <si>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</si>
  <si>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</si>
  <si>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</si>
  <si>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</si>
  <si>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</si>
  <si>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</si>
  <si>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</si>
  <si>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</si>
  <si>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</si>
  <si>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</si>
  <si>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</si>
  <si>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</si>
  <si>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</si>
  <si>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</si>
  <si>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</si>
  <si>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</si>
  <si>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</si>
  <si>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</si>
  <si>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</si>
  <si>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</si>
  <si>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</si>
  <si>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</si>
  <si>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</si>
  <si>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</si>
  <si>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</si>
  <si>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</si>
  <si>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</si>
  <si>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</si>
  <si>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</si>
  <si>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</si>
  <si>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</si>
  <si>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</si>
  <si>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</si>
  <si>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</si>
  <si>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</si>
  <si>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</si>
  <si>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</si>
  <si>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</si>
  <si>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</si>
  <si>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</si>
  <si>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</si>
  <si>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</si>
  <si>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</si>
  <si>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</si>
  <si>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</si>
  <si>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</si>
  <si>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</si>
  <si>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</si>
  <si>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</si>
  <si>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</si>
  <si>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</si>
  <si>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</si>
  <si>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</si>
  <si>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</si>
  <si>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</si>
  <si>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</si>
  <si>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</si>
  <si>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</si>
  <si>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</si>
  <si>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</si>
  <si>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</si>
  <si>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</si>
  <si>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</si>
  <si>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</si>
  <si>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</si>
  <si>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</si>
  <si>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</si>
  <si>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</si>
  <si>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</si>
  <si>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</si>
  <si>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</si>
  <si>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</si>
  <si>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</si>
  <si>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</si>
  <si>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</si>
  <si>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</si>
  <si>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</si>
  <si>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</si>
  <si>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</si>
  <si>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</si>
  <si>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</si>
  <si>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</si>
  <si>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</si>
  <si>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</si>
  <si>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</si>
  <si>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</si>
  <si>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</si>
  <si>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</si>
  <si>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</si>
  <si>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</si>
  <si>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</si>
  <si>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</si>
  <si>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</si>
  <si>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</si>
  <si>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</si>
  <si>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</si>
  <si>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</si>
  <si>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</si>
  <si>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</si>
  <si>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</si>
  <si>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</si>
  <si>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</si>
  <si>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</si>
  <si>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</si>
  <si>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</si>
  <si>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</si>
  <si>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</si>
  <si>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</si>
  <si>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</si>
  <si>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</si>
  <si>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</si>
  <si>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</si>
  <si>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</si>
  <si>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</si>
  <si>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</si>
  <si>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</si>
  <si>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</si>
  <si>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</si>
  <si>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</si>
  <si>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</si>
  <si>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</si>
  <si>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</si>
  <si>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</si>
  <si>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</si>
  <si>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</si>
  <si>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</si>
  <si>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</si>
  <si>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</si>
  <si>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</si>
  <si>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</si>
  <si>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</si>
  <si>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</si>
  <si>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</si>
  <si>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</si>
  <si>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</si>
  <si>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</si>
  <si>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</si>
  <si>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</si>
  <si>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</si>
  <si>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</si>
  <si>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</si>
  <si>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</si>
  <si>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</si>
  <si>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</si>
  <si>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</si>
  <si>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</si>
  <si>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</si>
  <si>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</si>
  <si>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</si>
  <si>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</si>
  <si>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</si>
  <si>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</si>
  <si>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</si>
  <si>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</si>
  <si>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</si>
  <si>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</si>
  <si>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</si>
  <si>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</si>
  <si>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</si>
  <si>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</si>
  <si>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There are inadequate transportation options to get to the project and the area is not 
developed.</t>
  </si>
  <si>
    <t>We did not consider the terrace area attached to the 1st floor flats because it was not shown in the approved plans. However, it was shown in the sales plan.</t>
  </si>
  <si>
    <t>River located on west side of the project.</t>
  </si>
  <si>
    <t>Chintamani Developers</t>
  </si>
  <si>
    <t>Chintamani Heights &amp; Chintamani Kuber</t>
  </si>
  <si>
    <t>P51700030843</t>
  </si>
  <si>
    <t>Chintamani Heights (Building No 1) &amp; Chintamani Kuber (Building No 2)</t>
  </si>
  <si>
    <t>Gaondevi</t>
  </si>
  <si>
    <t>Dombivali West</t>
  </si>
  <si>
    <t>19.230577,73.079309</t>
  </si>
  <si>
    <t>https://maps.app.goo.gl/m1uDA6a6fNecSGEb9</t>
  </si>
  <si>
    <t>Reti Bander Cross Road</t>
  </si>
  <si>
    <t>Devicha Pada</t>
  </si>
  <si>
    <t>1.90KM from Dombivali Railway Station</t>
  </si>
  <si>
    <t>15.00 M. Wide Road</t>
  </si>
  <si>
    <t>Railway Line</t>
  </si>
  <si>
    <t>Other Plot</t>
  </si>
  <si>
    <t>Deepbhushan Society</t>
  </si>
  <si>
    <t>Houses/Building</t>
  </si>
  <si>
    <t>02 Buildings</t>
  </si>
  <si>
    <t>KDMC/TPD/BP/DOM/2020-21/05/82</t>
  </si>
  <si>
    <t>Building No.1 = Stilt/Ground + 1st to 14th Floor
Building No. 2 = Stilt/Ground + 1st to 7th Floor</t>
  </si>
  <si>
    <t>Building No. 2 = Stilt/Ground + 1st to 7th Floor</t>
  </si>
  <si>
    <r>
      <t xml:space="preserve">Proposed Amenities :                                                                                                                                                                                                                         </t>
    </r>
    <r>
      <rPr>
        <b/>
        <sz val="12"/>
        <rFont val="Times New Roman"/>
        <family val="1"/>
      </rPr>
      <t xml:space="preserve">                                               </t>
    </r>
  </si>
  <si>
    <t>Vitrified tiles flooring, Granite Kitchen Platform, Decorative Entrance &amp; Landscape Garden, etc.</t>
  </si>
  <si>
    <t>As per RERA - 31/12/2026</t>
  </si>
  <si>
    <t>Building No. 1</t>
  </si>
  <si>
    <t>Ground Floor For Commercial, Entrance Lobby, Meter Room &amp; Parking</t>
  </si>
  <si>
    <t>Shop</t>
  </si>
  <si>
    <t>1st, 3rd &amp; 5th Floor For Residential</t>
  </si>
  <si>
    <t>1BHK</t>
  </si>
  <si>
    <t>2BHK</t>
  </si>
  <si>
    <t>2nd, 4th &amp; 6th Floor</t>
  </si>
  <si>
    <t>7th Floor (Part Terrace Area)</t>
  </si>
  <si>
    <t>8th &amp; 13th Floor ( Part Refuge Area)</t>
  </si>
  <si>
    <t>9th Floor</t>
  </si>
  <si>
    <t>10th to 12th &amp; 14th Floor</t>
  </si>
  <si>
    <t>Building No. 2</t>
  </si>
  <si>
    <t>1st to 4th Floor For Residential</t>
  </si>
  <si>
    <t>5th to 7th Floor</t>
  </si>
  <si>
    <t>Ground Floor For Residential &amp; Parking</t>
  </si>
  <si>
    <t>1RK</t>
  </si>
  <si>
    <t>We considered Gross carpet area = Net carpet + Open Balcony.</t>
  </si>
  <si>
    <t>Balcony Area</t>
  </si>
  <si>
    <t>Flats - 79, Shops - 02</t>
  </si>
  <si>
    <t>Railway Noc. Required</t>
  </si>
  <si>
    <t xml:space="preserve">Railway Noc No
Valid Up to: </t>
  </si>
  <si>
    <t>Approved Plans, CC, Builder Saleable Area &amp; Cost Sheet.</t>
  </si>
  <si>
    <t>Builder Saleable Area :</t>
  </si>
  <si>
    <t>Old Survey No</t>
  </si>
  <si>
    <t>358, New Survey No.05, &amp; H. No. 7, 16/A(Pt), 16/B, 18</t>
  </si>
  <si>
    <t>Krushan Kunj Apartment</t>
  </si>
  <si>
    <t>3BHK</t>
  </si>
  <si>
    <t>Railway Track is located on the west side of the project. The distance between the railway track and Chintamani Kuber (Building No. 2) is less than 30 m.Please check the railway NOC before disbursement.</t>
  </si>
  <si>
    <t>Mr. Swapnil : 9768862621</t>
  </si>
  <si>
    <t xml:space="preserve">Mr. Rajesh Mhatre 9820105151
</t>
  </si>
  <si>
    <t xml:space="preserve">Please check proposed no. of floor </t>
  </si>
  <si>
    <t>Building No.1 = Stilt/Ground + 1st to 15th Floor</t>
  </si>
  <si>
    <t>Gangaram Lambore</t>
  </si>
  <si>
    <t xml:space="preserve">For Building No. 1 Construction work goes beyond the Approved plan &amp; CC permission. Provide revised approved plan &amp; CC </t>
  </si>
  <si>
    <t>Part 2 Building No.1 = Stilt/Ground + 1st to 15th Floor</t>
  </si>
  <si>
    <t>Average Progress %
Of Building No. 1</t>
  </si>
  <si>
    <t>Average Disbursement % Of Building No. 1</t>
  </si>
  <si>
    <t>As per the last site visit dtd 12/12/2024, Construction work of Chintamani Heights Building No. 1 has completed upto Terrace RCC Slab (Excluding Flat No 2 from 7th Floor i.e. Flat No. 702 to 1402).
But, As per the site visit dtd 10/03/2025, We have observed that some contruction activity is in process from 7th floor Flat No. 02 and above. 
Hence we are maintaining the same progress % for Building No. 1</t>
  </si>
  <si>
    <t>Check for Last remark progress % not changed</t>
  </si>
  <si>
    <t>Check for Last remark progress % is not changed</t>
  </si>
  <si>
    <t>Pranita Mhatre</t>
  </si>
  <si>
    <t>Building No.1 &amp; 2</t>
  </si>
  <si>
    <t>Building No.2 = Constrution stage same as last visit dtd 12/09/2024 but work is in the process at the time of visit.</t>
  </si>
  <si>
    <t xml:space="preserve">Building No.1 &amp; 2 = Construction work is in process at the time of Visit. (labour found)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</si>
</sst>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2"/>
      <color rgb="FFFF0000"/>
      <name val="Times New Roman"/>
      <family val="1"/>
    </font>
    <font>
      <sz val="18"/>
      <color rgb="FFFF0000"/>
      <name val="Times New Roman"/>
      <family val="1"/>
    </font>
  </fonts>
  <fills count="3">
    <fill>
      <patternFill patternType="none"/>
    </fill>
    <fill>
      <patternFill patternType="gray125"/>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239">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0" fontId="17" fillId="0" borderId="0" xfId="0" applyFont="1" applyProtection="1">
      <protection hidden="1"/>
    </xf>
    <xf numFmtId="0" fontId="15" fillId="0" borderId="1" xfId="1" applyFont="1" applyBorder="1" applyAlignment="1" applyProtection="1">
      <alignment horizontal="center" vertical="top"/>
      <protection locked="0"/>
    </xf>
    <xf numFmtId="0" fontId="17"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4" fillId="2" borderId="30" xfId="0" applyFont="1" applyFill="1" applyBorder="1"/>
    <xf numFmtId="0" fontId="25" fillId="0" borderId="31" xfId="0" applyFont="1" applyBorder="1"/>
    <xf numFmtId="0" fontId="25" fillId="0" borderId="1" xfId="0" applyFont="1" applyBorder="1"/>
    <xf numFmtId="0" fontId="25" fillId="0" borderId="5" xfId="0" applyFont="1" applyBorder="1"/>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1" fontId="7" fillId="0" borderId="1" xfId="1" applyNumberFormat="1" applyFont="1" applyBorder="1" applyAlignment="1" applyProtection="1">
      <alignment horizontal="center" vertical="top"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8" fillId="0" borderId="3" xfId="1" applyNumberFormat="1" applyFont="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0" fillId="0" borderId="34" xfId="0" applyFill="1" applyBorder="1" applyAlignment="1"/>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vertical="top" wrapText="1"/>
      <protection locked="0"/>
    </xf>
    <xf numFmtId="0" fontId="7" fillId="0" borderId="0" xfId="1" applyFont="1" applyAlignment="1">
      <alignment vertical="center"/>
    </xf>
    <xf numFmtId="9" fontId="13" fillId="0" borderId="16" xfId="8" applyFont="1" applyFill="1" applyBorder="1" applyAlignment="1" applyProtection="1">
      <alignment horizontal="center" vertical="top" wrapText="1"/>
      <protection locked="0"/>
    </xf>
    <xf numFmtId="168" fontId="7" fillId="0" borderId="0" xfId="1" applyNumberFormat="1" applyFont="1" applyAlignment="1">
      <alignment vertical="center"/>
    </xf>
    <xf numFmtId="168" fontId="7" fillId="0" borderId="0" xfId="1" applyNumberFormat="1" applyFont="1" applyAlignment="1">
      <alignment horizontal="center" vertical="center"/>
    </xf>
    <xf numFmtId="2" fontId="7" fillId="0" borderId="0" xfId="1" applyNumberFormat="1" applyFont="1" applyAlignment="1">
      <alignment horizontal="center" vertical="center"/>
    </xf>
    <xf numFmtId="1" fontId="7" fillId="0" borderId="0" xfId="1" applyNumberFormat="1" applyFont="1" applyAlignment="1">
      <alignment vertical="center"/>
    </xf>
    <xf numFmtId="1" fontId="6" fillId="0" borderId="1" xfId="0" applyNumberFormat="1" applyFont="1" applyBorder="1" applyAlignment="1" applyProtection="1">
      <alignment horizontal="center" vertical="center" wrapText="1"/>
      <protection locked="0"/>
    </xf>
    <xf numFmtId="0" fontId="31" fillId="0" borderId="0" xfId="1" applyFont="1"/>
    <xf numFmtId="0" fontId="7" fillId="0" borderId="7"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30" fillId="0" borderId="0" xfId="0" applyFont="1" applyAlignment="1">
      <alignment horizontal="left" vertical="center"/>
    </xf>
    <xf numFmtId="1" fontId="30" fillId="0" borderId="8" xfId="0" applyNumberFormat="1" applyFont="1" applyBorder="1" applyAlignment="1" applyProtection="1">
      <alignment vertical="top" wrapText="1"/>
      <protection locked="0"/>
    </xf>
    <xf numFmtId="1" fontId="30" fillId="0" borderId="21" xfId="0" applyNumberFormat="1" applyFont="1" applyBorder="1" applyAlignment="1" applyProtection="1">
      <alignment vertical="top" wrapText="1"/>
      <protection locked="0"/>
    </xf>
    <xf numFmtId="1" fontId="30" fillId="0" borderId="9" xfId="0" applyNumberFormat="1" applyFont="1" applyBorder="1" applyAlignment="1" applyProtection="1">
      <alignment vertical="top"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8" fillId="0" borderId="24" xfId="1" applyFont="1" applyBorder="1" applyAlignment="1" applyProtection="1">
      <alignment horizontal="center" vertical="top"/>
      <protection locked="0"/>
    </xf>
    <xf numFmtId="0" fontId="8" fillId="0" borderId="0" xfId="1" applyFont="1" applyBorder="1" applyAlignment="1" applyProtection="1">
      <alignment horizontal="center" vertical="top"/>
      <protection locked="0"/>
    </xf>
    <xf numFmtId="0" fontId="8" fillId="0" borderId="24" xfId="1" applyFont="1" applyBorder="1" applyAlignment="1" applyProtection="1">
      <alignment horizontal="left" vertical="top" wrapText="1"/>
      <protection locked="0"/>
    </xf>
    <xf numFmtId="0" fontId="8" fillId="0" borderId="0" xfId="1" applyFont="1" applyBorder="1" applyAlignment="1" applyProtection="1">
      <alignment horizontal="lef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8" xfId="1" applyNumberFormat="1" applyFont="1" applyFill="1" applyBorder="1" applyAlignment="1" applyProtection="1">
      <alignment horizontal="center" vertical="center" wrapText="1"/>
      <protection locked="0"/>
    </xf>
    <xf numFmtId="1" fontId="8" fillId="0" borderId="21" xfId="1" applyNumberFormat="1" applyFont="1" applyFill="1" applyBorder="1" applyAlignment="1" applyProtection="1">
      <alignment horizontal="center" vertical="center" wrapText="1"/>
      <protection locked="0"/>
    </xf>
    <xf numFmtId="1" fontId="8" fillId="0" borderId="9" xfId="1" applyNumberFormat="1" applyFont="1" applyFill="1" applyBorder="1" applyAlignment="1" applyProtection="1">
      <alignment horizontal="center" vertical="center" wrapText="1"/>
      <protection locked="0"/>
    </xf>
    <xf numFmtId="0" fontId="7" fillId="0" borderId="25"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164" fontId="6" fillId="0" borderId="1" xfId="1" applyNumberFormat="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12" fillId="0" borderId="21"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14" fontId="12" fillId="0" borderId="8" xfId="1" applyNumberFormat="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17" xfId="1" applyFont="1" applyBorder="1" applyAlignment="1" applyProtection="1">
      <alignment horizontal="left" vertical="top"/>
      <protection locked="0"/>
    </xf>
    <xf numFmtId="0" fontId="12" fillId="0" borderId="24" xfId="1" applyFont="1" applyBorder="1" applyAlignment="1" applyProtection="1">
      <alignment horizontal="left" vertical="top"/>
      <protection locked="0"/>
    </xf>
    <xf numFmtId="0" fontId="12" fillId="0" borderId="18" xfId="1" applyFont="1" applyBorder="1" applyAlignment="1" applyProtection="1">
      <alignment horizontal="left" vertical="top"/>
      <protection locked="0"/>
    </xf>
    <xf numFmtId="0" fontId="12" fillId="0" borderId="19"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6" fillId="0" borderId="1" xfId="1" applyFont="1" applyBorder="1" applyAlignment="1" applyProtection="1">
      <alignment vertical="top"/>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10" fillId="0" borderId="3" xfId="0" applyFont="1" applyBorder="1" applyAlignment="1" applyProtection="1">
      <alignment horizontal="center" vertical="center"/>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0" fontId="15" fillId="0" borderId="19" xfId="1" applyFont="1" applyBorder="1" applyAlignment="1" applyProtection="1">
      <alignment horizontal="left" vertical="top"/>
      <protection locked="0"/>
    </xf>
    <xf numFmtId="0" fontId="15" fillId="0" borderId="2" xfId="1" applyFont="1" applyBorder="1" applyAlignment="1" applyProtection="1">
      <alignment horizontal="left" vertical="top"/>
      <protection locked="0"/>
    </xf>
    <xf numFmtId="0" fontId="15" fillId="0" borderId="20" xfId="1" applyFont="1" applyBorder="1" applyAlignment="1" applyProtection="1">
      <alignment horizontal="left" vertical="top"/>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10" fillId="0" borderId="33" xfId="0" applyNumberFormat="1" applyFont="1" applyBorder="1" applyAlignment="1" applyProtection="1">
      <alignment horizontal="center" vertical="top" wrapText="1"/>
      <protection locked="0"/>
    </xf>
    <xf numFmtId="0" fontId="10" fillId="0" borderId="33"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6" fillId="0" borderId="21" xfId="1" applyNumberFormat="1" applyFont="1" applyBorder="1" applyAlignment="1" applyProtection="1">
      <alignment horizontal="center" vertical="center" wrapText="1"/>
      <protection locked="0"/>
    </xf>
    <xf numFmtId="0" fontId="12" fillId="0" borderId="3" xfId="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0" fontId="8" fillId="0" borderId="1" xfId="1" applyFont="1" applyBorder="1" applyAlignment="1" applyProtection="1">
      <alignment horizontal="left" vertical="top"/>
      <protection locked="0"/>
    </xf>
    <xf numFmtId="0" fontId="8" fillId="0" borderId="16" xfId="1" applyFont="1" applyBorder="1" applyAlignment="1" applyProtection="1">
      <alignment horizontal="center" vertical="top"/>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6" fillId="0" borderId="3" xfId="1" applyFont="1" applyBorder="1" applyAlignment="1" applyProtection="1">
      <alignment horizontal="left" vertical="top" wrapText="1"/>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2" fontId="6" fillId="0" borderId="1" xfId="1" applyNumberFormat="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2" fillId="0" borderId="3" xfId="1" applyFont="1" applyBorder="1" applyAlignment="1" applyProtection="1">
      <alignment horizontal="left" vertical="top"/>
      <protection locked="0"/>
    </xf>
    <xf numFmtId="0" fontId="12" fillId="0" borderId="18"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26" fillId="0" borderId="1" xfId="10" applyFill="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8" fillId="0" borderId="16" xfId="1" applyFont="1" applyBorder="1" applyAlignment="1" applyProtection="1">
      <alignment horizontal="left" vertical="top"/>
      <protection locked="0"/>
    </xf>
    <xf numFmtId="0" fontId="30" fillId="0" borderId="25" xfId="1" applyFont="1" applyBorder="1" applyAlignment="1">
      <alignment horizontal="left"/>
    </xf>
    <xf numFmtId="0" fontId="30" fillId="0" borderId="0" xfId="1" applyFont="1" applyAlignment="1">
      <alignment horizontal="left"/>
    </xf>
    <xf numFmtId="1" fontId="8" fillId="0" borderId="3" xfId="0" applyNumberFormat="1" applyFont="1" applyBorder="1" applyAlignment="1" applyProtection="1">
      <alignment horizontal="center" vertical="center" wrapText="1"/>
      <protection locked="0"/>
    </xf>
    <xf numFmtId="1" fontId="10" fillId="0" borderId="3" xfId="0" applyNumberFormat="1" applyFont="1" applyBorder="1" applyAlignment="1" applyProtection="1">
      <alignment horizontal="center" vertical="center"/>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8" fillId="0" borderId="35" xfId="1" applyFont="1" applyBorder="1" applyAlignment="1" applyProtection="1">
      <alignment horizontal="center" vertical="center" wrapText="1"/>
      <protection locked="0"/>
    </xf>
    <xf numFmtId="0" fontId="8" fillId="0" borderId="36" xfId="1" applyFont="1" applyBorder="1" applyAlignment="1" applyProtection="1">
      <alignment horizontal="center" vertical="center" wrapText="1"/>
      <protection locked="0"/>
    </xf>
    <xf numFmtId="9" fontId="8" fillId="0" borderId="35" xfId="1" applyNumberFormat="1" applyFont="1" applyBorder="1" applyAlignment="1" applyProtection="1">
      <alignment horizontal="center" vertical="center"/>
      <protection locked="0"/>
    </xf>
    <xf numFmtId="0" fontId="8" fillId="0" borderId="36" xfId="1" applyFont="1" applyBorder="1" applyAlignment="1" applyProtection="1">
      <alignment horizontal="center" vertical="center"/>
      <protection locked="0"/>
    </xf>
    <xf numFmtId="0" fontId="9" fillId="0" borderId="1" xfId="5" applyFont="1" applyBorder="1" applyAlignment="1">
      <alignment horizontal="left"/>
    </xf>
    <xf numFmtId="0" fontId="7" fillId="0" borderId="4" xfId="1" applyFont="1" applyBorder="1" applyAlignment="1" applyProtection="1">
      <alignment horizontal="center" vertical="top"/>
      <protection locked="0"/>
    </xf>
    <xf numFmtId="0" fontId="7" fillId="0" borderId="1" xfId="1" applyFont="1" applyBorder="1" applyAlignment="1" applyProtection="1">
      <alignment horizontal="center" vertical="top"/>
      <protection locked="0"/>
    </xf>
    <xf numFmtId="0" fontId="10" fillId="0" borderId="0" xfId="1" applyFont="1"/>
    <xf numFmtId="0" fontId="29" fillId="0" borderId="0" xfId="0" applyFont="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27.jpeg"/><Relationship Id="rId4" Type="http://schemas.openxmlformats.org/officeDocument/2006/relationships/image" Target="../media/image30.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twoCellAnchor editAs="oneCell">
    <xdr:from>
      <xdr:col>1</xdr:col>
      <xdr:colOff>620912</xdr:colOff>
      <xdr:row>293</xdr:row>
      <xdr:rowOff>140900</xdr:rowOff>
    </xdr:from>
    <xdr:to>
      <xdr:col>6</xdr:col>
      <xdr:colOff>177000</xdr:colOff>
      <xdr:row>310</xdr:row>
      <xdr:rowOff>179635</xdr:rowOff>
    </xdr:to>
    <xdr:pic>
      <xdr:nvPicPr>
        <xdr:cNvPr id="46" name="Picture 45"/>
        <xdr:cNvPicPr>
          <a:picLocks noChangeAspect="1"/>
        </xdr:cNvPicPr>
      </xdr:nvPicPr>
      <xdr:blipFill>
        <a:blip xmlns:r="http://schemas.openxmlformats.org/officeDocument/2006/relationships" r:embed="rId1"/>
        <a:stretch>
          <a:fillRect/>
        </a:stretch>
      </xdr:blipFill>
      <xdr:spPr>
        <a:xfrm>
          <a:off x="1438941" y="58299429"/>
          <a:ext cx="3960000" cy="3467735"/>
        </a:xfrm>
        <a:prstGeom prst="rect">
          <a:avLst/>
        </a:prstGeom>
        <a:ln>
          <a:solidFill>
            <a:schemeClr val="tx1"/>
          </a:solidFill>
        </a:ln>
      </xdr:spPr>
    </xdr:pic>
    <xdr:clientData/>
  </xdr:twoCellAnchor>
  <xdr:twoCellAnchor>
    <xdr:from>
      <xdr:col>0</xdr:col>
      <xdr:colOff>268941</xdr:colOff>
      <xdr:row>274</xdr:row>
      <xdr:rowOff>22412</xdr:rowOff>
    </xdr:from>
    <xdr:to>
      <xdr:col>7</xdr:col>
      <xdr:colOff>551382</xdr:colOff>
      <xdr:row>292</xdr:row>
      <xdr:rowOff>107091</xdr:rowOff>
    </xdr:to>
    <xdr:grpSp>
      <xdr:nvGrpSpPr>
        <xdr:cNvPr id="47" name="Group 46"/>
        <xdr:cNvGrpSpPr/>
      </xdr:nvGrpSpPr>
      <xdr:grpSpPr>
        <a:xfrm>
          <a:off x="268941" y="51457412"/>
          <a:ext cx="5862970" cy="3715385"/>
          <a:chOff x="465825" y="229139"/>
          <a:chExt cx="6300000" cy="3715385"/>
        </a:xfrm>
      </xdr:grpSpPr>
      <xdr:pic>
        <xdr:nvPicPr>
          <xdr:cNvPr id="53" name="Picture 52"/>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465825" y="229139"/>
            <a:ext cx="6300000" cy="3715385"/>
          </a:xfrm>
          <a:prstGeom prst="rect">
            <a:avLst/>
          </a:prstGeom>
          <a:ln>
            <a:solidFill>
              <a:schemeClr val="tx1"/>
            </a:solidFill>
          </a:ln>
        </xdr:spPr>
      </xdr:pic>
      <xdr:sp macro="" textlink="">
        <xdr:nvSpPr>
          <xdr:cNvPr id="54" name="Rectangle 53"/>
          <xdr:cNvSpPr/>
        </xdr:nvSpPr>
        <xdr:spPr>
          <a:xfrm>
            <a:off x="3398807" y="1155940"/>
            <a:ext cx="2070340" cy="127671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55" name="Rectangle 54"/>
          <xdr:cNvSpPr/>
        </xdr:nvSpPr>
        <xdr:spPr>
          <a:xfrm rot="18230858">
            <a:off x="1849233" y="1435406"/>
            <a:ext cx="1027878" cy="180216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56" name="TextBox 5"/>
          <xdr:cNvSpPr txBox="1"/>
        </xdr:nvSpPr>
        <xdr:spPr>
          <a:xfrm>
            <a:off x="3615825" y="668851"/>
            <a:ext cx="146065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Building No 1</a:t>
            </a:r>
            <a:endParaRPr lang="en-IN" b="1">
              <a:solidFill>
                <a:srgbClr val="FF0000"/>
              </a:solidFill>
            </a:endParaRPr>
          </a:p>
        </xdr:txBody>
      </xdr:sp>
      <xdr:sp macro="" textlink="">
        <xdr:nvSpPr>
          <xdr:cNvPr id="57" name="TextBox 6"/>
          <xdr:cNvSpPr txBox="1"/>
        </xdr:nvSpPr>
        <xdr:spPr>
          <a:xfrm>
            <a:off x="839037" y="3147035"/>
            <a:ext cx="146065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Building No 2</a:t>
            </a:r>
            <a:endParaRPr lang="en-IN" b="1">
              <a:solidFill>
                <a:srgbClr val="FF0000"/>
              </a:solidFill>
            </a:endParaRPr>
          </a:p>
        </xdr:txBody>
      </xdr:sp>
    </xdr:grpSp>
    <xdr:clientData/>
  </xdr:twoCellAnchor>
  <xdr:twoCellAnchor>
    <xdr:from>
      <xdr:col>2</xdr:col>
      <xdr:colOff>560634</xdr:colOff>
      <xdr:row>297</xdr:row>
      <xdr:rowOff>25363</xdr:rowOff>
    </xdr:from>
    <xdr:to>
      <xdr:col>3</xdr:col>
      <xdr:colOff>321201</xdr:colOff>
      <xdr:row>307</xdr:row>
      <xdr:rowOff>33079</xdr:rowOff>
    </xdr:to>
    <xdr:cxnSp macro="">
      <xdr:nvCxnSpPr>
        <xdr:cNvPr id="48" name="Straight Connector 47"/>
        <xdr:cNvCxnSpPr/>
      </xdr:nvCxnSpPr>
      <xdr:spPr>
        <a:xfrm>
          <a:off x="2241516" y="58990716"/>
          <a:ext cx="679450" cy="2024775"/>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846384</xdr:colOff>
      <xdr:row>295</xdr:row>
      <xdr:rowOff>193613</xdr:rowOff>
    </xdr:from>
    <xdr:to>
      <xdr:col>3</xdr:col>
      <xdr:colOff>686722</xdr:colOff>
      <xdr:row>307</xdr:row>
      <xdr:rowOff>115629</xdr:rowOff>
    </xdr:to>
    <xdr:cxnSp macro="">
      <xdr:nvCxnSpPr>
        <xdr:cNvPr id="49" name="Straight Connector 48"/>
        <xdr:cNvCxnSpPr/>
      </xdr:nvCxnSpPr>
      <xdr:spPr>
        <a:xfrm>
          <a:off x="2527266" y="58755554"/>
          <a:ext cx="759221" cy="2342487"/>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719851</xdr:colOff>
      <xdr:row>302</xdr:row>
      <xdr:rowOff>63335</xdr:rowOff>
    </xdr:from>
    <xdr:to>
      <xdr:col>4</xdr:col>
      <xdr:colOff>565584</xdr:colOff>
      <xdr:row>304</xdr:row>
      <xdr:rowOff>110773</xdr:rowOff>
    </xdr:to>
    <xdr:sp macro="" textlink="">
      <xdr:nvSpPr>
        <xdr:cNvPr id="50" name="Rectangle 49"/>
        <xdr:cNvSpPr/>
      </xdr:nvSpPr>
      <xdr:spPr>
        <a:xfrm rot="20993024">
          <a:off x="3319616" y="60037217"/>
          <a:ext cx="831850" cy="4508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2</xdr:col>
      <xdr:colOff>884494</xdr:colOff>
      <xdr:row>296</xdr:row>
      <xdr:rowOff>3127</xdr:rowOff>
    </xdr:from>
    <xdr:to>
      <xdr:col>3</xdr:col>
      <xdr:colOff>770255</xdr:colOff>
      <xdr:row>298</xdr:row>
      <xdr:rowOff>122935</xdr:rowOff>
    </xdr:to>
    <xdr:sp macro="" textlink="">
      <xdr:nvSpPr>
        <xdr:cNvPr id="51" name="TextBox 20"/>
        <xdr:cNvSpPr txBox="1"/>
      </xdr:nvSpPr>
      <xdr:spPr>
        <a:xfrm>
          <a:off x="2565376" y="58766774"/>
          <a:ext cx="804644" cy="52322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400" b="1">
              <a:solidFill>
                <a:srgbClr val="FF0000"/>
              </a:solidFill>
            </a:rPr>
            <a:t>Railway </a:t>
          </a:r>
        </a:p>
        <a:p>
          <a:pPr algn="ctr"/>
          <a:r>
            <a:rPr lang="en-US" sz="1400" b="1">
              <a:solidFill>
                <a:srgbClr val="FF0000"/>
              </a:solidFill>
            </a:rPr>
            <a:t>Track</a:t>
          </a:r>
          <a:endParaRPr lang="en-IN" sz="1400" b="1">
            <a:solidFill>
              <a:srgbClr val="FF0000"/>
            </a:solidFill>
          </a:endParaRPr>
        </a:p>
      </xdr:txBody>
    </xdr:sp>
    <xdr:clientData/>
  </xdr:twoCellAnchor>
  <xdr:twoCellAnchor>
    <xdr:from>
      <xdr:col>3</xdr:col>
      <xdr:colOff>738839</xdr:colOff>
      <xdr:row>300</xdr:row>
      <xdr:rowOff>124616</xdr:rowOff>
    </xdr:from>
    <xdr:to>
      <xdr:col>4</xdr:col>
      <xdr:colOff>413348</xdr:colOff>
      <xdr:row>302</xdr:row>
      <xdr:rowOff>103380</xdr:rowOff>
    </xdr:to>
    <xdr:sp macro="" textlink="">
      <xdr:nvSpPr>
        <xdr:cNvPr id="52" name="TextBox 21"/>
        <xdr:cNvSpPr txBox="1"/>
      </xdr:nvSpPr>
      <xdr:spPr>
        <a:xfrm rot="21010477">
          <a:off x="3326764" y="59188602"/>
          <a:ext cx="653966"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solidFill>
                <a:srgbClr val="FF0000"/>
              </a:solidFill>
            </a:rPr>
            <a:t>Site</a:t>
          </a:r>
          <a:endParaRPr lang="en-IN">
            <a:solidFill>
              <a:srgbClr val="FF0000"/>
            </a:solidFill>
          </a:endParaRPr>
        </a:p>
      </xdr:txBody>
    </xdr:sp>
    <xdr:clientData/>
  </xdr:twoCellAnchor>
  <xdr:twoCellAnchor editAs="oneCell">
    <xdr:from>
      <xdr:col>1</xdr:col>
      <xdr:colOff>211970</xdr:colOff>
      <xdr:row>316</xdr:row>
      <xdr:rowOff>22410</xdr:rowOff>
    </xdr:from>
    <xdr:to>
      <xdr:col>6</xdr:col>
      <xdr:colOff>601742</xdr:colOff>
      <xdr:row>335</xdr:row>
      <xdr:rowOff>149999</xdr:rowOff>
    </xdr:to>
    <xdr:pic>
      <xdr:nvPicPr>
        <xdr:cNvPr id="58" name="Picture 57"/>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1029999" y="63223586"/>
          <a:ext cx="4793684" cy="3960000"/>
        </a:xfrm>
        <a:prstGeom prst="rect">
          <a:avLst/>
        </a:prstGeom>
        <a:ln>
          <a:solidFill>
            <a:schemeClr val="tx1"/>
          </a:solidFill>
        </a:ln>
      </xdr:spPr>
    </xdr:pic>
    <xdr:clientData/>
  </xdr:twoCellAnchor>
  <xdr:twoCellAnchor>
    <xdr:from>
      <xdr:col>0</xdr:col>
      <xdr:colOff>571497</xdr:colOff>
      <xdr:row>336</xdr:row>
      <xdr:rowOff>155326</xdr:rowOff>
    </xdr:from>
    <xdr:to>
      <xdr:col>7</xdr:col>
      <xdr:colOff>264625</xdr:colOff>
      <xdr:row>355</xdr:row>
      <xdr:rowOff>30480</xdr:rowOff>
    </xdr:to>
    <xdr:grpSp>
      <xdr:nvGrpSpPr>
        <xdr:cNvPr id="59" name="Group 58"/>
        <xdr:cNvGrpSpPr/>
      </xdr:nvGrpSpPr>
      <xdr:grpSpPr>
        <a:xfrm>
          <a:off x="571497" y="64096091"/>
          <a:ext cx="5273657" cy="3707565"/>
          <a:chOff x="474451" y="4322309"/>
          <a:chExt cx="5710687" cy="3847382"/>
        </a:xfrm>
      </xdr:grpSpPr>
      <xdr:pic>
        <xdr:nvPicPr>
          <xdr:cNvPr id="60" name="Picture 59"/>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474451" y="4322309"/>
            <a:ext cx="5710687" cy="3847382"/>
          </a:xfrm>
          <a:prstGeom prst="rect">
            <a:avLst/>
          </a:prstGeom>
          <a:ln>
            <a:solidFill>
              <a:schemeClr val="tx1"/>
            </a:solidFill>
          </a:ln>
        </xdr:spPr>
      </xdr:pic>
      <xdr:sp macro="" textlink="">
        <xdr:nvSpPr>
          <xdr:cNvPr id="61" name="Rectangle 60"/>
          <xdr:cNvSpPr/>
        </xdr:nvSpPr>
        <xdr:spPr>
          <a:xfrm>
            <a:off x="1777039" y="5055079"/>
            <a:ext cx="3105510" cy="1639019"/>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xdr:from>
      <xdr:col>1</xdr:col>
      <xdr:colOff>414618</xdr:colOff>
      <xdr:row>337</xdr:row>
      <xdr:rowOff>78441</xdr:rowOff>
    </xdr:from>
    <xdr:to>
      <xdr:col>1</xdr:col>
      <xdr:colOff>460337</xdr:colOff>
      <xdr:row>354</xdr:row>
      <xdr:rowOff>0</xdr:rowOff>
    </xdr:to>
    <xdr:sp macro="" textlink="">
      <xdr:nvSpPr>
        <xdr:cNvPr id="8" name="Freeform 7"/>
        <xdr:cNvSpPr/>
      </xdr:nvSpPr>
      <xdr:spPr>
        <a:xfrm>
          <a:off x="1199478" y="64696041"/>
          <a:ext cx="45719" cy="3289599"/>
        </a:xfrm>
        <a:custGeom>
          <a:avLst/>
          <a:gdLst>
            <a:gd name="connsiteX0" fmla="*/ 78441 w 78441"/>
            <a:gd name="connsiteY0" fmla="*/ 0 h 3697941"/>
            <a:gd name="connsiteX1" fmla="*/ 0 w 78441"/>
            <a:gd name="connsiteY1" fmla="*/ 3697941 h 3697941"/>
          </a:gdLst>
          <a:ahLst/>
          <a:cxnLst>
            <a:cxn ang="0">
              <a:pos x="connsiteX0" y="connsiteY0"/>
            </a:cxn>
            <a:cxn ang="0">
              <a:pos x="connsiteX1" y="connsiteY1"/>
            </a:cxn>
          </a:cxnLst>
          <a:rect l="l" t="t" r="r" b="b"/>
          <a:pathLst>
            <a:path w="78441" h="3697941">
              <a:moveTo>
                <a:pt x="78441" y="0"/>
              </a:moveTo>
              <a:lnTo>
                <a:pt x="0" y="3697941"/>
              </a:lnTo>
            </a:path>
          </a:pathLst>
        </a:cu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168089</xdr:colOff>
      <xdr:row>337</xdr:row>
      <xdr:rowOff>100853</xdr:rowOff>
    </xdr:from>
    <xdr:to>
      <xdr:col>1</xdr:col>
      <xdr:colOff>297180</xdr:colOff>
      <xdr:row>354</xdr:row>
      <xdr:rowOff>7620</xdr:rowOff>
    </xdr:to>
    <xdr:sp macro="" textlink="">
      <xdr:nvSpPr>
        <xdr:cNvPr id="9" name="Freeform 8"/>
        <xdr:cNvSpPr/>
      </xdr:nvSpPr>
      <xdr:spPr>
        <a:xfrm>
          <a:off x="952949" y="64718453"/>
          <a:ext cx="129091" cy="3274807"/>
        </a:xfrm>
        <a:custGeom>
          <a:avLst/>
          <a:gdLst>
            <a:gd name="connsiteX0" fmla="*/ 44823 w 69221"/>
            <a:gd name="connsiteY0" fmla="*/ 0 h 3619500"/>
            <a:gd name="connsiteX1" fmla="*/ 67235 w 69221"/>
            <a:gd name="connsiteY1" fmla="*/ 1647265 h 3619500"/>
            <a:gd name="connsiteX2" fmla="*/ 0 w 69221"/>
            <a:gd name="connsiteY2" fmla="*/ 3619500 h 3619500"/>
          </a:gdLst>
          <a:ahLst/>
          <a:cxnLst>
            <a:cxn ang="0">
              <a:pos x="connsiteX0" y="connsiteY0"/>
            </a:cxn>
            <a:cxn ang="0">
              <a:pos x="connsiteX1" y="connsiteY1"/>
            </a:cxn>
            <a:cxn ang="0">
              <a:pos x="connsiteX2" y="connsiteY2"/>
            </a:cxn>
          </a:cxnLst>
          <a:rect l="l" t="t" r="r" b="b"/>
          <a:pathLst>
            <a:path w="69221" h="3619500">
              <a:moveTo>
                <a:pt x="44823" y="0"/>
              </a:moveTo>
              <a:cubicBezTo>
                <a:pt x="59764" y="522007"/>
                <a:pt x="74705" y="1044015"/>
                <a:pt x="67235" y="1647265"/>
              </a:cubicBezTo>
              <a:cubicBezTo>
                <a:pt x="59765" y="2250515"/>
                <a:pt x="29882" y="2935007"/>
                <a:pt x="0" y="3619500"/>
              </a:cubicBezTo>
            </a:path>
          </a:pathLst>
        </a:cu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oneCellAnchor>
    <xdr:from>
      <xdr:col>1</xdr:col>
      <xdr:colOff>616324</xdr:colOff>
      <xdr:row>337</xdr:row>
      <xdr:rowOff>44824</xdr:rowOff>
    </xdr:from>
    <xdr:ext cx="967060" cy="264560"/>
    <xdr:sp macro="" textlink="">
      <xdr:nvSpPr>
        <xdr:cNvPr id="10" name="TextBox 9"/>
        <xdr:cNvSpPr txBox="1"/>
      </xdr:nvSpPr>
      <xdr:spPr>
        <a:xfrm>
          <a:off x="1434353" y="67952471"/>
          <a:ext cx="967060" cy="26456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a:solidFill>
                <a:srgbClr val="FF0000"/>
              </a:solidFill>
            </a:rPr>
            <a:t>Railway</a:t>
          </a:r>
          <a:r>
            <a:rPr lang="en-IN" sz="1100" baseline="0">
              <a:solidFill>
                <a:srgbClr val="FF0000"/>
              </a:solidFill>
            </a:rPr>
            <a:t> Track</a:t>
          </a:r>
          <a:endParaRPr lang="en-IN" sz="1100">
            <a:solidFill>
              <a:srgbClr val="FF0000"/>
            </a:solidFill>
          </a:endParaRPr>
        </a:p>
      </xdr:txBody>
    </xdr:sp>
    <xdr:clientData/>
  </xdr:oneCellAnchor>
  <xdr:twoCellAnchor>
    <xdr:from>
      <xdr:col>1</xdr:col>
      <xdr:colOff>571500</xdr:colOff>
      <xdr:row>338</xdr:row>
      <xdr:rowOff>107678</xdr:rowOff>
    </xdr:from>
    <xdr:to>
      <xdr:col>2</xdr:col>
      <xdr:colOff>237001</xdr:colOff>
      <xdr:row>340</xdr:row>
      <xdr:rowOff>168088</xdr:rowOff>
    </xdr:to>
    <xdr:cxnSp macro="">
      <xdr:nvCxnSpPr>
        <xdr:cNvPr id="12" name="Straight Arrow Connector 11"/>
        <xdr:cNvCxnSpPr>
          <a:stCxn id="10" idx="2"/>
        </xdr:cNvCxnSpPr>
      </xdr:nvCxnSpPr>
      <xdr:spPr>
        <a:xfrm flipH="1">
          <a:off x="1389529" y="68217031"/>
          <a:ext cx="528354" cy="463822"/>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464314</xdr:colOff>
      <xdr:row>52</xdr:row>
      <xdr:rowOff>366383</xdr:rowOff>
    </xdr:from>
    <xdr:to>
      <xdr:col>16</xdr:col>
      <xdr:colOff>251537</xdr:colOff>
      <xdr:row>71</xdr:row>
      <xdr:rowOff>119880</xdr:rowOff>
    </xdr:to>
    <xdr:pic>
      <xdr:nvPicPr>
        <xdr:cNvPr id="2" name="Picture 1"/>
        <xdr:cNvPicPr>
          <a:picLocks noChangeAspect="1"/>
        </xdr:cNvPicPr>
      </xdr:nvPicPr>
      <xdr:blipFill>
        <a:blip xmlns:r="http://schemas.openxmlformats.org/officeDocument/2006/relationships" r:embed="rId5"/>
        <a:stretch>
          <a:fillRect/>
        </a:stretch>
      </xdr:blipFill>
      <xdr:spPr>
        <a:xfrm>
          <a:off x="6773226" y="12950589"/>
          <a:ext cx="6566782" cy="2823909"/>
        </a:xfrm>
        <a:prstGeom prst="rect">
          <a:avLst/>
        </a:prstGeom>
      </xdr:spPr>
    </xdr:pic>
    <xdr:clientData/>
  </xdr:twoCellAnchor>
  <xdr:twoCellAnchor>
    <xdr:from>
      <xdr:col>8</xdr:col>
      <xdr:colOff>370163</xdr:colOff>
      <xdr:row>230</xdr:row>
      <xdr:rowOff>13548</xdr:rowOff>
    </xdr:from>
    <xdr:to>
      <xdr:col>15</xdr:col>
      <xdr:colOff>408022</xdr:colOff>
      <xdr:row>267</xdr:row>
      <xdr:rowOff>6509</xdr:rowOff>
    </xdr:to>
    <xdr:grpSp>
      <xdr:nvGrpSpPr>
        <xdr:cNvPr id="3" name="Group 2"/>
        <xdr:cNvGrpSpPr/>
      </xdr:nvGrpSpPr>
      <xdr:grpSpPr>
        <a:xfrm>
          <a:off x="6679075" y="42584695"/>
          <a:ext cx="6033006" cy="7444873"/>
          <a:chOff x="288520" y="42977214"/>
          <a:chExt cx="6042158" cy="7339635"/>
        </a:xfrm>
      </xdr:grpSpPr>
      <xdr:grpSp>
        <xdr:nvGrpSpPr>
          <xdr:cNvPr id="34" name="Group 33"/>
          <xdr:cNvGrpSpPr/>
        </xdr:nvGrpSpPr>
        <xdr:grpSpPr>
          <a:xfrm>
            <a:off x="288520" y="42977214"/>
            <a:ext cx="5832328" cy="7339635"/>
            <a:chOff x="336617" y="197080"/>
            <a:chExt cx="6471862" cy="7789867"/>
          </a:xfrm>
        </xdr:grpSpPr>
        <xdr:pic>
          <xdr:nvPicPr>
            <xdr:cNvPr id="35" name="Picture 34" descr="https://vsjcllp.vsjadon.com/upload/insp-236776-1525.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190166" y="5826947"/>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6" name="Picture 35" descr="https://vsjcllp.vsjadon.com/upload/insp-236776-843.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06912" y="197081"/>
              <a:ext cx="2757238" cy="36801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7" name="Picture 36" descr="https://vsjcllp.vsjadon.com/upload/insp-236776-844.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02475" y="5815204"/>
              <a:ext cx="2877714"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9" name="Picture 38" descr="https://vsjcllp.vsjadon.com/upload/insp-236776-860.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36617" y="3960228"/>
              <a:ext cx="1317233" cy="1758140"/>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40" name="Picture 39" descr="https://vsjcllp.vsjadon.com/upload/insp-236776-874.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754733" y="3960228"/>
              <a:ext cx="1317233" cy="1758140"/>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41" name="Picture 40" descr="https://vsjcllp.vsjadon.com/upload/insp-236776-880.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156132" y="3977810"/>
              <a:ext cx="1317233" cy="1758140"/>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42" name="Picture 41" descr="https://vsjcllp.vsjadon.com/upload/insp-236776-883.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564127" y="197080"/>
              <a:ext cx="2757238" cy="36801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7" name="Picture 66" descr="https://vsjcllp.vsjadon.com/upload/insp-236776-916.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3412581" y="5826947"/>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pic>
        <xdr:nvPicPr>
          <xdr:cNvPr id="68" name="Picture 67" descr="https://vsjcllp.vsjadon.com/upload/insp-236776-862.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4108174" y="46523408"/>
            <a:ext cx="2222504" cy="1656525"/>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247650</xdr:colOff>
      <xdr:row>232</xdr:row>
      <xdr:rowOff>85725</xdr:rowOff>
    </xdr:from>
    <xdr:to>
      <xdr:col>7</xdr:col>
      <xdr:colOff>323850</xdr:colOff>
      <xdr:row>270</xdr:row>
      <xdr:rowOff>167527</xdr:rowOff>
    </xdr:to>
    <xdr:grpSp>
      <xdr:nvGrpSpPr>
        <xdr:cNvPr id="69" name="Group 68"/>
        <xdr:cNvGrpSpPr/>
      </xdr:nvGrpSpPr>
      <xdr:grpSpPr>
        <a:xfrm>
          <a:off x="247650" y="43060284"/>
          <a:ext cx="5656729" cy="7735419"/>
          <a:chOff x="56248" y="70823"/>
          <a:chExt cx="6374836" cy="8882485"/>
        </a:xfrm>
      </xdr:grpSpPr>
      <xdr:pic>
        <xdr:nvPicPr>
          <xdr:cNvPr id="70" name="Picture 69" descr="https://vsjcllp.vsjadon.com/upload/insp-246823-1525.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272581" y="6998673"/>
            <a:ext cx="1464449" cy="195463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1" name="Picture 70" descr="https://vsjcllp.vsjadon.com/upload/insp-246823-843.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740752" y="5113244"/>
            <a:ext cx="2373934" cy="178186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2" name="Picture 71" descr="https://vsjcllp.vsjadon.com/upload/insp-246823-844.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802017" y="70823"/>
            <a:ext cx="2337075" cy="311934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3" name="Picture 72" descr="https://vsjcllp.vsjadon.com/upload/insp-246823-847.jp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2831608" y="3331915"/>
            <a:ext cx="2227865" cy="167222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4" name="Picture 73" descr="https://vsjcllp.vsjadon.com/upload/insp-246823-849.jpg"/>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3259951" y="5113242"/>
            <a:ext cx="2373934" cy="178186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5" name="Picture 74" descr="https://vsjcllp.vsjadon.com/upload/insp-246823-861.jpg"/>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463629" y="3331915"/>
            <a:ext cx="1252863" cy="167222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6" name="Picture 75" descr="https://vsjcllp.vsjadon.com/upload/insp-246823-860.jpg"/>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56248" y="3331915"/>
            <a:ext cx="1252863" cy="167222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7" name="Picture 76" descr="https://vsjcllp.vsjadon.com/upload/insp-246823-1022.jpg"/>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3271568" y="70823"/>
            <a:ext cx="2337075" cy="311934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8" name="Picture 77" descr="https://vsjcllp.vsjadon.com/upload/insp-246823-940.jpg"/>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676058" y="6998673"/>
            <a:ext cx="1464449" cy="195463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9" name="Picture 78" descr="https://vsjcllp.vsjadon.com/upload/insp-246823-880.jpg"/>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5178221" y="3334919"/>
            <a:ext cx="1252863" cy="167222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0</xdr:colOff>
      <xdr:row>17</xdr:row>
      <xdr:rowOff>13912</xdr:rowOff>
    </xdr:from>
    <xdr:to>
      <xdr:col>15</xdr:col>
      <xdr:colOff>101974</xdr:colOff>
      <xdr:row>55</xdr:row>
      <xdr:rowOff>90112</xdr:rowOff>
    </xdr:to>
    <xdr:pic>
      <xdr:nvPicPr>
        <xdr:cNvPr id="3" name="Picture 2"/>
        <xdr:cNvPicPr>
          <a:picLocks noChangeAspect="1"/>
        </xdr:cNvPicPr>
      </xdr:nvPicPr>
      <xdr:blipFill>
        <a:blip xmlns:r="http://schemas.openxmlformats.org/officeDocument/2006/relationships" r:embed="rId2"/>
        <a:stretch>
          <a:fillRect/>
        </a:stretch>
      </xdr:blipFill>
      <xdr:spPr>
        <a:xfrm>
          <a:off x="582706" y="3263618"/>
          <a:ext cx="13011150" cy="7315200"/>
        </a:xfrm>
        <a:prstGeom prst="rect">
          <a:avLst/>
        </a:prstGeom>
      </xdr:spPr>
    </xdr:pic>
    <xdr:clientData/>
  </xdr:twoCellAnchor>
  <xdr:twoCellAnchor editAs="oneCell">
    <xdr:from>
      <xdr:col>7</xdr:col>
      <xdr:colOff>194939</xdr:colOff>
      <xdr:row>14</xdr:row>
      <xdr:rowOff>0</xdr:rowOff>
    </xdr:from>
    <xdr:to>
      <xdr:col>28</xdr:col>
      <xdr:colOff>453795</xdr:colOff>
      <xdr:row>52</xdr:row>
      <xdr:rowOff>76200</xdr:rowOff>
    </xdr:to>
    <xdr:pic>
      <xdr:nvPicPr>
        <xdr:cNvPr id="4" name="Picture 3"/>
        <xdr:cNvPicPr>
          <a:picLocks noChangeAspect="1"/>
        </xdr:cNvPicPr>
      </xdr:nvPicPr>
      <xdr:blipFill>
        <a:blip xmlns:r="http://schemas.openxmlformats.org/officeDocument/2006/relationships" r:embed="rId3"/>
        <a:stretch>
          <a:fillRect/>
        </a:stretch>
      </xdr:blipFill>
      <xdr:spPr>
        <a:xfrm>
          <a:off x="8509704" y="2678206"/>
          <a:ext cx="13011150" cy="7315200"/>
        </a:xfrm>
        <a:prstGeom prst="rect">
          <a:avLst/>
        </a:prstGeom>
      </xdr:spPr>
    </xdr:pic>
    <xdr:clientData/>
  </xdr:twoCellAnchor>
  <xdr:twoCellAnchor editAs="oneCell">
    <xdr:from>
      <xdr:col>2</xdr:col>
      <xdr:colOff>939434</xdr:colOff>
      <xdr:row>44</xdr:row>
      <xdr:rowOff>154176</xdr:rowOff>
    </xdr:from>
    <xdr:to>
      <xdr:col>19</xdr:col>
      <xdr:colOff>189760</xdr:colOff>
      <xdr:row>83</xdr:row>
      <xdr:rowOff>39876</xdr:rowOff>
    </xdr:to>
    <xdr:pic>
      <xdr:nvPicPr>
        <xdr:cNvPr id="5" name="Picture 4"/>
        <xdr:cNvPicPr>
          <a:picLocks noChangeAspect="1"/>
        </xdr:cNvPicPr>
      </xdr:nvPicPr>
      <xdr:blipFill>
        <a:blip xmlns:r="http://schemas.openxmlformats.org/officeDocument/2006/relationships" r:embed="rId4"/>
        <a:stretch>
          <a:fillRect/>
        </a:stretch>
      </xdr:blipFill>
      <xdr:spPr>
        <a:xfrm>
          <a:off x="3001316" y="8547382"/>
          <a:ext cx="13011150" cy="7315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m1uDA6a6fNecSGEb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315"/>
  <sheetViews>
    <sheetView tabSelected="1" view="pageBreakPreview" topLeftCell="A201" zoomScale="85" zoomScaleNormal="100" zoomScaleSheetLayoutView="85" zoomScalePageLayoutView="106" workbookViewId="0">
      <selection activeCell="J212" sqref="J212"/>
    </sheetView>
  </sheetViews>
  <sheetFormatPr defaultColWidth="9.140625" defaultRowHeight="15.75" x14ac:dyDescent="0.25"/>
  <cols>
    <col min="1" max="1" width="11.42578125" style="39" customWidth="1"/>
    <col min="2" max="2" width="12" style="39" customWidth="1"/>
    <col min="3" max="3" width="12.7109375" style="39" customWidth="1"/>
    <col min="4" max="4" width="13.7109375" style="39" customWidth="1"/>
    <col min="5" max="5" width="11.7109375" style="39" customWidth="1"/>
    <col min="6" max="6" width="11.140625" style="39" customWidth="1"/>
    <col min="7" max="8" width="11" style="39" customWidth="1"/>
    <col min="9" max="9" width="17.42578125" style="21" customWidth="1"/>
    <col min="10" max="10" width="11.42578125" style="21" customWidth="1"/>
    <col min="11" max="11" width="10.57031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195" t="s">
        <v>162</v>
      </c>
      <c r="B1" s="195"/>
      <c r="C1" s="195"/>
      <c r="D1" s="195"/>
      <c r="E1" s="195"/>
      <c r="F1" s="195"/>
      <c r="G1" s="195"/>
      <c r="H1" s="195"/>
      <c r="I1" s="223" t="s">
        <v>360</v>
      </c>
      <c r="J1" s="224"/>
      <c r="K1" s="224"/>
      <c r="L1" s="224"/>
      <c r="N1" s="21" t="s">
        <v>340</v>
      </c>
    </row>
    <row r="2" spans="1:26" ht="16.5" customHeight="1" x14ac:dyDescent="0.25">
      <c r="A2" s="196" t="s">
        <v>0</v>
      </c>
      <c r="B2" s="196"/>
      <c r="C2" s="196"/>
      <c r="D2" s="196"/>
      <c r="E2" s="196"/>
      <c r="F2" s="196"/>
      <c r="G2" s="196"/>
      <c r="H2" s="196"/>
    </row>
    <row r="3" spans="1:26" x14ac:dyDescent="0.25">
      <c r="A3" s="129" t="s">
        <v>1</v>
      </c>
      <c r="B3" s="129"/>
      <c r="C3" s="129"/>
      <c r="D3" s="129"/>
      <c r="E3" s="129" t="str">
        <f ca="1">TEXT(TODAY(),"DD/MM/YYYY")</f>
        <v>10/09/2025</v>
      </c>
      <c r="F3" s="129"/>
      <c r="G3" s="129"/>
      <c r="H3" s="129"/>
      <c r="K3" s="59" t="s">
        <v>234</v>
      </c>
      <c r="L3" s="56" t="s">
        <v>232</v>
      </c>
      <c r="M3" s="56" t="s">
        <v>237</v>
      </c>
      <c r="N3" s="56" t="s">
        <v>235</v>
      </c>
      <c r="O3" s="56" t="s">
        <v>236</v>
      </c>
      <c r="P3" s="56" t="s">
        <v>238</v>
      </c>
    </row>
    <row r="4" spans="1:26" ht="15" customHeight="1" x14ac:dyDescent="0.25">
      <c r="A4" s="129" t="s">
        <v>231</v>
      </c>
      <c r="B4" s="129"/>
      <c r="C4" s="129"/>
      <c r="D4" s="129"/>
      <c r="E4" s="129" t="s">
        <v>232</v>
      </c>
      <c r="F4" s="129"/>
      <c r="G4" s="129"/>
      <c r="H4" s="129"/>
      <c r="K4" s="55" t="s">
        <v>233</v>
      </c>
      <c r="L4" s="56" t="s">
        <v>169</v>
      </c>
      <c r="M4" s="56" t="s">
        <v>242</v>
      </c>
      <c r="N4" s="56" t="s">
        <v>244</v>
      </c>
      <c r="O4" s="56" t="s">
        <v>246</v>
      </c>
      <c r="P4" s="56"/>
    </row>
    <row r="5" spans="1:26" ht="15" customHeight="1" x14ac:dyDescent="0.25">
      <c r="A5" s="129" t="s">
        <v>2</v>
      </c>
      <c r="B5" s="129"/>
      <c r="C5" s="129"/>
      <c r="D5" s="129"/>
      <c r="E5" s="129" t="s">
        <v>241</v>
      </c>
      <c r="F5" s="129"/>
      <c r="G5" s="129"/>
      <c r="H5" s="129"/>
      <c r="K5" s="55"/>
      <c r="L5" s="56" t="s">
        <v>239</v>
      </c>
      <c r="M5" s="56" t="s">
        <v>243</v>
      </c>
      <c r="N5" s="56" t="s">
        <v>245</v>
      </c>
      <c r="O5" s="56" t="s">
        <v>247</v>
      </c>
      <c r="P5" s="56"/>
    </row>
    <row r="6" spans="1:26" x14ac:dyDescent="0.25">
      <c r="A6" s="129" t="s">
        <v>3</v>
      </c>
      <c r="B6" s="129"/>
      <c r="C6" s="129"/>
      <c r="D6" s="129"/>
      <c r="E6" s="199">
        <v>45908</v>
      </c>
      <c r="F6" s="129"/>
      <c r="G6" s="129"/>
      <c r="H6" s="129"/>
      <c r="K6" s="55"/>
      <c r="L6" s="56" t="s">
        <v>240</v>
      </c>
      <c r="M6" s="56"/>
      <c r="N6" s="56"/>
      <c r="O6" s="56" t="s">
        <v>248</v>
      </c>
      <c r="P6" s="56"/>
    </row>
    <row r="7" spans="1:26" ht="16.5" customHeight="1" x14ac:dyDescent="0.25">
      <c r="A7" s="129" t="s">
        <v>4</v>
      </c>
      <c r="B7" s="129"/>
      <c r="C7" s="129"/>
      <c r="D7" s="129"/>
      <c r="E7" s="129" t="s">
        <v>298</v>
      </c>
      <c r="F7" s="129"/>
      <c r="G7" s="129"/>
      <c r="H7" s="129"/>
      <c r="I7" s="237"/>
      <c r="J7" s="237"/>
      <c r="K7" s="238"/>
      <c r="L7" s="56" t="s">
        <v>241</v>
      </c>
      <c r="M7" s="56"/>
      <c r="N7" s="56"/>
      <c r="O7" s="56" t="s">
        <v>248</v>
      </c>
      <c r="P7" s="56"/>
    </row>
    <row r="8" spans="1:26" ht="15" customHeight="1" x14ac:dyDescent="0.25">
      <c r="A8" s="129" t="s">
        <v>5</v>
      </c>
      <c r="B8" s="129"/>
      <c r="C8" s="129"/>
      <c r="D8" s="129"/>
      <c r="E8" s="129" t="str">
        <f>E7</f>
        <v>Chintamani Developers</v>
      </c>
      <c r="F8" s="129"/>
      <c r="G8" s="129"/>
      <c r="H8" s="129"/>
      <c r="K8" s="55"/>
      <c r="L8" s="56"/>
      <c r="M8" s="56"/>
      <c r="N8" s="56"/>
      <c r="O8" s="56" t="s">
        <v>249</v>
      </c>
      <c r="P8" s="56"/>
    </row>
    <row r="9" spans="1:26" ht="33" customHeight="1" x14ac:dyDescent="0.35">
      <c r="A9" s="129" t="s">
        <v>6</v>
      </c>
      <c r="B9" s="129"/>
      <c r="C9" s="129"/>
      <c r="D9" s="129"/>
      <c r="E9" s="197" t="s">
        <v>301</v>
      </c>
      <c r="F9" s="198"/>
      <c r="G9" s="198"/>
      <c r="H9" s="198"/>
      <c r="I9" s="76" t="s">
        <v>351</v>
      </c>
      <c r="K9" s="55"/>
      <c r="L9" s="56"/>
      <c r="M9" s="56"/>
      <c r="N9" s="56"/>
      <c r="O9" s="56" t="s">
        <v>250</v>
      </c>
      <c r="P9" s="56"/>
    </row>
    <row r="10" spans="1:26" x14ac:dyDescent="0.25">
      <c r="A10" s="129" t="s">
        <v>165</v>
      </c>
      <c r="B10" s="129"/>
      <c r="C10" s="129"/>
      <c r="D10" s="129"/>
      <c r="E10" s="128" t="s">
        <v>350</v>
      </c>
      <c r="F10" s="128"/>
      <c r="G10" s="128"/>
      <c r="H10" s="128"/>
      <c r="K10" s="55"/>
      <c r="L10" s="56"/>
      <c r="M10" s="56"/>
      <c r="N10" s="56"/>
      <c r="O10" s="56"/>
      <c r="P10" s="56"/>
    </row>
    <row r="11" spans="1:26" x14ac:dyDescent="0.25">
      <c r="A11" s="129" t="s">
        <v>166</v>
      </c>
      <c r="B11" s="129"/>
      <c r="C11" s="129"/>
      <c r="D11" s="129"/>
      <c r="E11" s="129" t="s">
        <v>349</v>
      </c>
      <c r="F11" s="129"/>
      <c r="G11" s="129"/>
      <c r="H11" s="129"/>
      <c r="I11" s="237" t="s">
        <v>299</v>
      </c>
    </row>
    <row r="12" spans="1:26" x14ac:dyDescent="0.25">
      <c r="A12" s="129" t="s">
        <v>7</v>
      </c>
      <c r="B12" s="129"/>
      <c r="C12" s="129"/>
      <c r="D12" s="129"/>
      <c r="E12" s="129" t="s">
        <v>362</v>
      </c>
      <c r="F12" s="129"/>
      <c r="G12" s="129"/>
      <c r="H12" s="129"/>
    </row>
    <row r="13" spans="1:26" x14ac:dyDescent="0.25">
      <c r="A13" s="129" t="s">
        <v>170</v>
      </c>
      <c r="B13" s="129"/>
      <c r="C13" s="129"/>
      <c r="D13" s="129"/>
      <c r="E13" s="129" t="s">
        <v>28</v>
      </c>
      <c r="F13" s="129"/>
      <c r="G13" s="129"/>
      <c r="H13" s="129"/>
      <c r="S13" s="56" t="s">
        <v>177</v>
      </c>
      <c r="T13" s="56" t="s">
        <v>187</v>
      </c>
      <c r="U13" s="56" t="s">
        <v>171</v>
      </c>
      <c r="V13" s="56" t="s">
        <v>192</v>
      </c>
      <c r="W13" s="56" t="s">
        <v>210</v>
      </c>
      <c r="X13"/>
      <c r="Y13" t="s">
        <v>192</v>
      </c>
      <c r="Z13" t="e">
        <f ca="1">OFFSET($S$13,1,MATCH($G20,$S$13:$W$13,0)-1,15,1)</f>
        <v>#VALUE!</v>
      </c>
    </row>
    <row r="14" spans="1:26" ht="32.25" customHeight="1" x14ac:dyDescent="0.25">
      <c r="A14" s="105" t="s">
        <v>277</v>
      </c>
      <c r="B14" s="105"/>
      <c r="C14" s="105"/>
      <c r="D14" s="105"/>
      <c r="E14" s="128" t="s">
        <v>342</v>
      </c>
      <c r="F14" s="128"/>
      <c r="G14" s="128"/>
      <c r="H14" s="128"/>
      <c r="S14" s="56" t="s">
        <v>178</v>
      </c>
      <c r="T14" s="56" t="s">
        <v>185</v>
      </c>
      <c r="U14" s="56" t="s">
        <v>207</v>
      </c>
      <c r="V14" s="56" t="s">
        <v>193</v>
      </c>
      <c r="W14" s="56" t="s">
        <v>211</v>
      </c>
      <c r="X14"/>
      <c r="Y14"/>
      <c r="Z14"/>
    </row>
    <row r="15" spans="1:26" x14ac:dyDescent="0.25">
      <c r="A15" s="105" t="s">
        <v>8</v>
      </c>
      <c r="B15" s="105"/>
      <c r="C15" s="105"/>
      <c r="D15" s="105"/>
      <c r="E15" s="128" t="s">
        <v>300</v>
      </c>
      <c r="F15" s="129"/>
      <c r="G15" s="129"/>
      <c r="H15" s="129"/>
      <c r="I15" s="100" t="e">
        <f ca="1">OFFSET($D$5,1,MATCH($J13,$D$5:$H$5,0)-1,15,1)</f>
        <v>#N/A</v>
      </c>
      <c r="J15" s="101"/>
      <c r="K15" s="101"/>
      <c r="L15" s="101"/>
      <c r="M15" s="101"/>
      <c r="N15" s="101"/>
      <c r="O15" s="101"/>
      <c r="P15" s="101"/>
      <c r="S15" s="56" t="s">
        <v>179</v>
      </c>
      <c r="T15" s="56" t="s">
        <v>186</v>
      </c>
      <c r="U15" s="56" t="s">
        <v>208</v>
      </c>
      <c r="V15" s="56" t="s">
        <v>194</v>
      </c>
      <c r="W15" s="56" t="s">
        <v>224</v>
      </c>
      <c r="X15"/>
      <c r="Y15"/>
      <c r="Z15"/>
    </row>
    <row r="16" spans="1:26" ht="66.75" customHeight="1" x14ac:dyDescent="0.25">
      <c r="A16" s="111" t="s">
        <v>9</v>
      </c>
      <c r="B16" s="111"/>
      <c r="C16" s="111" t="str">
        <f>CONCATENATE((IF(OR(E9="",E9="NA"),"",E9)),", ",(IF(OR(A17="",A17="NA"),"",A17)),".",(IF(OR(C17="",C17="NA"),"",C17)),", near ",(IF(OR(C22="",C22="NA"),"",C22)),", ",(IF(OR(C19="",C19="NA"),"",C19)),", ",(IF(OR(C18="",C18="NA"),"",C18)),", ",(IF(OR(G19="",G19="NA"),"",G19)),", ",(IF(OR(C20="",C20="NA"),"",C20)),", ",(IF(OR(C21="",C21="NA"),"",C21)),", ",(IF(OR(G20="",G20="NA"),"",G20))," - ",(IF(OR(G21="",G21="NA"),"",G21)),".")</f>
        <v>Chintamani Heights (Building No 1) &amp; Chintamani Kuber (Building No 2), Old Survey No.358, New Survey No.05, &amp; H. No. 7, 16/A(Pt), 16/B, 18, near Krushan Kunj Apartment, Reti Bander Cross Road, Devicha Pada, Gaondevi, Dombivali West, Kalyan, Thane  - 421202.</v>
      </c>
      <c r="D16" s="111"/>
      <c r="E16" s="111"/>
      <c r="F16" s="111"/>
      <c r="G16" s="111"/>
      <c r="H16" s="111"/>
      <c r="S16" s="56" t="s">
        <v>180</v>
      </c>
      <c r="T16" s="56" t="s">
        <v>188</v>
      </c>
      <c r="U16" s="56" t="s">
        <v>209</v>
      </c>
      <c r="V16" s="56" t="s">
        <v>195</v>
      </c>
      <c r="W16" s="56" t="s">
        <v>212</v>
      </c>
      <c r="X16"/>
      <c r="Y16"/>
      <c r="Z16"/>
    </row>
    <row r="17" spans="1:26" x14ac:dyDescent="0.25">
      <c r="A17" s="128" t="s">
        <v>344</v>
      </c>
      <c r="B17" s="128"/>
      <c r="C17" s="128" t="s">
        <v>345</v>
      </c>
      <c r="D17" s="128"/>
      <c r="E17" s="128"/>
      <c r="F17" s="128"/>
      <c r="G17" s="128"/>
      <c r="H17" s="128"/>
      <c r="S17" s="56" t="s">
        <v>181</v>
      </c>
      <c r="T17" s="56" t="s">
        <v>189</v>
      </c>
      <c r="U17" s="56" t="s">
        <v>171</v>
      </c>
      <c r="V17" s="56" t="s">
        <v>196</v>
      </c>
      <c r="W17" s="56" t="s">
        <v>213</v>
      </c>
      <c r="X17"/>
      <c r="Y17"/>
      <c r="Z17"/>
    </row>
    <row r="18" spans="1:26" ht="15.75" customHeight="1" x14ac:dyDescent="0.25">
      <c r="A18" s="128" t="s">
        <v>160</v>
      </c>
      <c r="B18" s="128"/>
      <c r="C18" s="128" t="s">
        <v>307</v>
      </c>
      <c r="D18" s="128"/>
      <c r="E18" s="128"/>
      <c r="F18" s="128"/>
      <c r="G18" s="128"/>
      <c r="H18" s="128"/>
      <c r="S18" s="56" t="s">
        <v>182</v>
      </c>
      <c r="T18" s="56" t="s">
        <v>187</v>
      </c>
      <c r="U18" s="56"/>
      <c r="V18" s="56" t="s">
        <v>197</v>
      </c>
      <c r="W18" s="56" t="s">
        <v>214</v>
      </c>
      <c r="X18"/>
      <c r="Y18"/>
      <c r="Z18"/>
    </row>
    <row r="19" spans="1:26" ht="15.75" customHeight="1" x14ac:dyDescent="0.25">
      <c r="A19" s="111" t="s">
        <v>10</v>
      </c>
      <c r="B19" s="111"/>
      <c r="C19" s="129" t="s">
        <v>306</v>
      </c>
      <c r="D19" s="129"/>
      <c r="E19" s="111" t="s">
        <v>70</v>
      </c>
      <c r="F19" s="111"/>
      <c r="G19" s="128" t="s">
        <v>302</v>
      </c>
      <c r="H19" s="128"/>
      <c r="S19" s="56" t="s">
        <v>183</v>
      </c>
      <c r="T19" s="56" t="s">
        <v>190</v>
      </c>
      <c r="U19" s="56"/>
      <c r="V19" s="56" t="s">
        <v>198</v>
      </c>
      <c r="W19" s="56" t="s">
        <v>215</v>
      </c>
      <c r="X19"/>
      <c r="Y19"/>
      <c r="Z19"/>
    </row>
    <row r="20" spans="1:26" x14ac:dyDescent="0.25">
      <c r="A20" s="105" t="s">
        <v>12</v>
      </c>
      <c r="B20" s="105"/>
      <c r="C20" s="128" t="s">
        <v>303</v>
      </c>
      <c r="D20" s="128"/>
      <c r="E20" s="128" t="s">
        <v>11</v>
      </c>
      <c r="F20" s="128"/>
      <c r="G20" s="200" t="s">
        <v>177</v>
      </c>
      <c r="H20" s="200"/>
      <c r="S20" s="56" t="s">
        <v>184</v>
      </c>
      <c r="T20" s="56" t="s">
        <v>191</v>
      </c>
      <c r="U20" s="56"/>
      <c r="V20" s="56" t="s">
        <v>199</v>
      </c>
      <c r="W20" s="56" t="s">
        <v>216</v>
      </c>
      <c r="X20"/>
      <c r="Y20"/>
      <c r="Z20"/>
    </row>
    <row r="21" spans="1:26" x14ac:dyDescent="0.25">
      <c r="A21" s="105" t="s">
        <v>71</v>
      </c>
      <c r="B21" s="105"/>
      <c r="C21" s="128" t="s">
        <v>180</v>
      </c>
      <c r="D21" s="128"/>
      <c r="E21" s="128" t="s">
        <v>13</v>
      </c>
      <c r="F21" s="128"/>
      <c r="G21" s="128">
        <v>421202</v>
      </c>
      <c r="H21" s="128"/>
      <c r="S21" s="56"/>
      <c r="T21" s="56"/>
      <c r="U21" s="56"/>
      <c r="V21" s="56" t="s">
        <v>200</v>
      </c>
      <c r="W21" s="56" t="s">
        <v>217</v>
      </c>
      <c r="X21"/>
      <c r="Y21"/>
      <c r="Z21"/>
    </row>
    <row r="22" spans="1:26" ht="49.5" customHeight="1" x14ac:dyDescent="0.25">
      <c r="A22" s="105" t="s">
        <v>119</v>
      </c>
      <c r="B22" s="105"/>
      <c r="C22" s="128" t="s">
        <v>346</v>
      </c>
      <c r="D22" s="128"/>
      <c r="E22" s="111" t="s">
        <v>14</v>
      </c>
      <c r="F22" s="111"/>
      <c r="G22" s="128" t="s">
        <v>308</v>
      </c>
      <c r="H22" s="128"/>
      <c r="S22" s="56"/>
      <c r="T22" s="56"/>
      <c r="U22" s="56"/>
      <c r="V22" s="56" t="s">
        <v>201</v>
      </c>
      <c r="W22" s="56" t="s">
        <v>218</v>
      </c>
      <c r="X22"/>
      <c r="Y22"/>
      <c r="Z22"/>
    </row>
    <row r="23" spans="1:26" ht="15" customHeight="1" x14ac:dyDescent="0.25">
      <c r="A23" s="111" t="s">
        <v>73</v>
      </c>
      <c r="B23" s="111"/>
      <c r="C23" s="111"/>
      <c r="D23" s="111"/>
      <c r="E23" s="129" t="s">
        <v>15</v>
      </c>
      <c r="F23" s="129"/>
      <c r="G23" s="129"/>
      <c r="H23" s="129"/>
      <c r="S23" s="56"/>
      <c r="T23" s="56"/>
      <c r="U23" s="56"/>
      <c r="V23" s="56" t="s">
        <v>202</v>
      </c>
      <c r="W23" s="56" t="s">
        <v>219</v>
      </c>
      <c r="X23"/>
      <c r="Y23"/>
      <c r="Z23"/>
    </row>
    <row r="24" spans="1:26" ht="18.75" customHeight="1" x14ac:dyDescent="0.25">
      <c r="A24" s="111"/>
      <c r="B24" s="111"/>
      <c r="C24" s="111"/>
      <c r="D24" s="111"/>
      <c r="E24" s="129"/>
      <c r="F24" s="129"/>
      <c r="G24" s="129"/>
      <c r="H24" s="129"/>
      <c r="S24" s="56"/>
      <c r="T24" s="56"/>
      <c r="U24" s="56"/>
      <c r="V24" s="56" t="s">
        <v>203</v>
      </c>
      <c r="W24" s="56" t="s">
        <v>220</v>
      </c>
      <c r="X24"/>
      <c r="Y24"/>
      <c r="Z24"/>
    </row>
    <row r="25" spans="1:26" ht="15" customHeight="1" x14ac:dyDescent="0.25">
      <c r="A25" s="111" t="s">
        <v>16</v>
      </c>
      <c r="B25" s="111"/>
      <c r="C25" s="111"/>
      <c r="D25" s="111"/>
      <c r="E25" s="128" t="s">
        <v>17</v>
      </c>
      <c r="F25" s="128"/>
      <c r="G25" s="128"/>
      <c r="H25" s="128"/>
      <c r="S25" s="56"/>
      <c r="T25" s="56"/>
      <c r="U25" s="56"/>
      <c r="V25" s="56" t="s">
        <v>204</v>
      </c>
      <c r="W25" s="56" t="s">
        <v>221</v>
      </c>
      <c r="X25"/>
      <c r="Y25"/>
      <c r="Z25"/>
    </row>
    <row r="26" spans="1:26" ht="15" customHeight="1" x14ac:dyDescent="0.25">
      <c r="A26" s="105" t="s">
        <v>18</v>
      </c>
      <c r="B26" s="105"/>
      <c r="C26" s="105"/>
      <c r="D26" s="105"/>
      <c r="E26" s="128" t="str">
        <f>IF(AND(G20="Mumbai"),"Upper Class","Middle Class")</f>
        <v>Middle Class</v>
      </c>
      <c r="F26" s="128"/>
      <c r="G26" s="128"/>
      <c r="H26" s="128"/>
      <c r="S26" s="56"/>
      <c r="T26" s="56"/>
      <c r="U26" s="56"/>
      <c r="V26" s="56" t="s">
        <v>205</v>
      </c>
      <c r="W26" s="56" t="s">
        <v>222</v>
      </c>
      <c r="X26"/>
      <c r="Y26"/>
      <c r="Z26"/>
    </row>
    <row r="27" spans="1:26" x14ac:dyDescent="0.25">
      <c r="A27" s="105" t="s">
        <v>19</v>
      </c>
      <c r="B27" s="105"/>
      <c r="C27" s="105"/>
      <c r="D27" s="105"/>
      <c r="E27" s="128" t="s">
        <v>20</v>
      </c>
      <c r="F27" s="128"/>
      <c r="G27" s="128"/>
      <c r="H27" s="128"/>
      <c r="S27" s="56"/>
      <c r="T27" s="56"/>
      <c r="U27" s="56"/>
      <c r="V27" s="56" t="s">
        <v>206</v>
      </c>
      <c r="W27" s="56" t="s">
        <v>223</v>
      </c>
      <c r="X27"/>
      <c r="Y27"/>
      <c r="Z27"/>
    </row>
    <row r="28" spans="1:26" ht="15.75" customHeight="1" x14ac:dyDescent="0.25">
      <c r="A28" s="105" t="s">
        <v>21</v>
      </c>
      <c r="B28" s="105"/>
      <c r="C28" s="105"/>
      <c r="D28" s="105"/>
      <c r="E28" s="128" t="str">
        <f>IF(AND(G20="Mumbai"),"Developed","Developing")</f>
        <v>Developing</v>
      </c>
      <c r="F28" s="128"/>
      <c r="G28" s="128"/>
      <c r="H28" s="128"/>
    </row>
    <row r="29" spans="1:26" x14ac:dyDescent="0.25">
      <c r="A29" s="105" t="s">
        <v>22</v>
      </c>
      <c r="B29" s="105"/>
      <c r="C29" s="105"/>
      <c r="D29" s="105"/>
      <c r="E29" s="128" t="s">
        <v>23</v>
      </c>
      <c r="F29" s="128"/>
      <c r="G29" s="128"/>
      <c r="H29" s="128"/>
    </row>
    <row r="30" spans="1:26" ht="15.75" customHeight="1" x14ac:dyDescent="0.25">
      <c r="A30" s="105" t="s">
        <v>78</v>
      </c>
      <c r="B30" s="105"/>
      <c r="C30" s="105"/>
      <c r="D30" s="105"/>
      <c r="E30" s="128" t="s">
        <v>79</v>
      </c>
      <c r="F30" s="128"/>
      <c r="G30" s="128"/>
      <c r="H30" s="128"/>
    </row>
    <row r="31" spans="1:26" ht="15" customHeight="1" x14ac:dyDescent="0.25">
      <c r="A31" s="105" t="s">
        <v>30</v>
      </c>
      <c r="B31" s="105"/>
      <c r="C31" s="105"/>
      <c r="D31" s="105"/>
      <c r="E31" s="128"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28"/>
      <c r="G31" s="128"/>
      <c r="H31" s="128"/>
    </row>
    <row r="32" spans="1:26" ht="15.75" customHeight="1" x14ac:dyDescent="0.25">
      <c r="A32" s="105" t="s">
        <v>90</v>
      </c>
      <c r="B32" s="105"/>
      <c r="C32" s="105"/>
      <c r="D32" s="105"/>
      <c r="E32" s="128" t="s">
        <v>31</v>
      </c>
      <c r="F32" s="128"/>
      <c r="G32" s="128"/>
      <c r="H32" s="128"/>
    </row>
    <row r="33" spans="1:19" s="22" customFormat="1" x14ac:dyDescent="0.25">
      <c r="A33" s="208" t="s">
        <v>91</v>
      </c>
      <c r="B33" s="208"/>
      <c r="C33" s="205" t="s">
        <v>172</v>
      </c>
      <c r="D33" s="206"/>
      <c r="E33" s="207"/>
      <c r="F33" s="205" t="s">
        <v>29</v>
      </c>
      <c r="G33" s="206"/>
      <c r="H33" s="207"/>
      <c r="S33" s="22" t="e">
        <f ca="1">OFFSET($S$13,1,MATCH($G20,$S$13:$W$13,0)-1,15,1)</f>
        <v>#VALUE!</v>
      </c>
    </row>
    <row r="34" spans="1:19" s="22" customFormat="1" x14ac:dyDescent="0.25">
      <c r="A34" s="204" t="s">
        <v>24</v>
      </c>
      <c r="B34" s="204" t="s">
        <v>28</v>
      </c>
      <c r="C34" s="201" t="s">
        <v>309</v>
      </c>
      <c r="D34" s="202"/>
      <c r="E34" s="203"/>
      <c r="F34" s="201" t="s">
        <v>306</v>
      </c>
      <c r="G34" s="202"/>
      <c r="H34" s="203"/>
    </row>
    <row r="35" spans="1:19" x14ac:dyDescent="0.25">
      <c r="A35" s="204" t="s">
        <v>25</v>
      </c>
      <c r="B35" s="204" t="s">
        <v>28</v>
      </c>
      <c r="C35" s="201" t="s">
        <v>310</v>
      </c>
      <c r="D35" s="202"/>
      <c r="E35" s="203"/>
      <c r="F35" s="201" t="s">
        <v>310</v>
      </c>
      <c r="G35" s="202"/>
      <c r="H35" s="203"/>
    </row>
    <row r="36" spans="1:19" s="22" customFormat="1" x14ac:dyDescent="0.25">
      <c r="A36" s="204" t="s">
        <v>27</v>
      </c>
      <c r="B36" s="204" t="s">
        <v>28</v>
      </c>
      <c r="C36" s="201" t="s">
        <v>311</v>
      </c>
      <c r="D36" s="202"/>
      <c r="E36" s="203"/>
      <c r="F36" s="201" t="s">
        <v>312</v>
      </c>
      <c r="G36" s="202"/>
      <c r="H36" s="203"/>
    </row>
    <row r="37" spans="1:19" x14ac:dyDescent="0.25">
      <c r="A37" s="204" t="s">
        <v>26</v>
      </c>
      <c r="B37" s="204" t="s">
        <v>28</v>
      </c>
      <c r="C37" s="201" t="s">
        <v>311</v>
      </c>
      <c r="D37" s="202"/>
      <c r="E37" s="203"/>
      <c r="F37" s="201" t="s">
        <v>313</v>
      </c>
      <c r="G37" s="202"/>
      <c r="H37" s="203"/>
    </row>
    <row r="38" spans="1:19" x14ac:dyDescent="0.25">
      <c r="A38" s="105" t="s">
        <v>278</v>
      </c>
      <c r="B38" s="105"/>
      <c r="C38" s="105"/>
      <c r="D38" s="105"/>
      <c r="E38" s="105"/>
      <c r="F38" s="105"/>
      <c r="G38" s="105"/>
      <c r="H38" s="105"/>
    </row>
    <row r="39" spans="1:19" ht="15.75" customHeight="1" x14ac:dyDescent="0.25">
      <c r="A39" s="105" t="s">
        <v>163</v>
      </c>
      <c r="B39" s="105"/>
      <c r="C39" s="105" t="s">
        <v>304</v>
      </c>
      <c r="D39" s="105"/>
      <c r="E39" s="105"/>
      <c r="F39" s="105"/>
      <c r="G39" s="105"/>
      <c r="H39" s="105"/>
    </row>
    <row r="40" spans="1:19" x14ac:dyDescent="0.25">
      <c r="A40" s="105" t="s">
        <v>159</v>
      </c>
      <c r="B40" s="105"/>
      <c r="C40" s="220" t="s">
        <v>305</v>
      </c>
      <c r="D40" s="128"/>
      <c r="E40" s="128"/>
      <c r="F40" s="128"/>
      <c r="G40" s="128"/>
      <c r="H40" s="128"/>
    </row>
    <row r="41" spans="1:19" x14ac:dyDescent="0.25">
      <c r="A41" s="187" t="s">
        <v>32</v>
      </c>
      <c r="B41" s="187"/>
      <c r="C41" s="187"/>
      <c r="D41" s="187"/>
      <c r="E41" s="187"/>
      <c r="F41" s="187"/>
      <c r="G41" s="187"/>
      <c r="H41" s="187"/>
    </row>
    <row r="42" spans="1:19" x14ac:dyDescent="0.25">
      <c r="A42" s="105" t="s">
        <v>33</v>
      </c>
      <c r="B42" s="105"/>
      <c r="C42" s="105"/>
      <c r="D42" s="105"/>
      <c r="E42" s="213">
        <v>1251.9000000000001</v>
      </c>
      <c r="F42" s="213"/>
      <c r="G42" s="213"/>
      <c r="H42" s="213"/>
    </row>
    <row r="43" spans="1:19" x14ac:dyDescent="0.25">
      <c r="A43" s="105" t="s">
        <v>34</v>
      </c>
      <c r="B43" s="105"/>
      <c r="C43" s="105"/>
      <c r="D43" s="105"/>
      <c r="E43" s="113">
        <f>1377.09/E42</f>
        <v>1.0999999999999999</v>
      </c>
      <c r="F43" s="113"/>
      <c r="G43" s="113"/>
      <c r="H43" s="113"/>
    </row>
    <row r="44" spans="1:19" x14ac:dyDescent="0.25">
      <c r="A44" s="105" t="s">
        <v>35</v>
      </c>
      <c r="B44" s="105"/>
      <c r="C44" s="105"/>
      <c r="D44" s="105"/>
      <c r="E44" s="113">
        <f>E46/E42-E43</f>
        <v>2.337910376228133</v>
      </c>
      <c r="F44" s="113"/>
      <c r="G44" s="113"/>
      <c r="H44" s="113"/>
    </row>
    <row r="45" spans="1:19" x14ac:dyDescent="0.25">
      <c r="A45" s="105" t="s">
        <v>36</v>
      </c>
      <c r="B45" s="105"/>
      <c r="C45" s="105"/>
      <c r="D45" s="105"/>
      <c r="E45" s="113">
        <f>E43+E44</f>
        <v>3.4379103762281327</v>
      </c>
      <c r="F45" s="113"/>
      <c r="G45" s="113"/>
      <c r="H45" s="113"/>
    </row>
    <row r="46" spans="1:19" x14ac:dyDescent="0.25">
      <c r="A46" s="105" t="s">
        <v>89</v>
      </c>
      <c r="B46" s="105"/>
      <c r="C46" s="105"/>
      <c r="D46" s="105"/>
      <c r="E46" s="216">
        <v>4303.92</v>
      </c>
      <c r="F46" s="216"/>
      <c r="G46" s="216"/>
      <c r="H46" s="216"/>
    </row>
    <row r="47" spans="1:19" x14ac:dyDescent="0.25">
      <c r="A47" s="129" t="s">
        <v>37</v>
      </c>
      <c r="B47" s="129"/>
      <c r="C47" s="129"/>
      <c r="D47" s="129"/>
      <c r="E47" s="129" t="s">
        <v>314</v>
      </c>
      <c r="F47" s="129"/>
      <c r="G47" s="129"/>
      <c r="H47" s="129"/>
    </row>
    <row r="48" spans="1:19" x14ac:dyDescent="0.25">
      <c r="A48" s="187" t="s">
        <v>38</v>
      </c>
      <c r="B48" s="187"/>
      <c r="C48" s="187"/>
      <c r="D48" s="187"/>
      <c r="E48" s="187"/>
      <c r="F48" s="187"/>
      <c r="G48" s="187"/>
      <c r="H48" s="187"/>
    </row>
    <row r="49" spans="1:24" ht="33.75" customHeight="1" x14ac:dyDescent="0.25">
      <c r="A49" s="121" t="s">
        <v>148</v>
      </c>
      <c r="B49" s="122"/>
      <c r="C49" s="227" t="s">
        <v>259</v>
      </c>
      <c r="D49" s="228"/>
      <c r="E49" s="228"/>
      <c r="F49" s="228"/>
      <c r="G49" s="228"/>
      <c r="H49" s="229"/>
      <c r="R49" t="s">
        <v>251</v>
      </c>
      <c r="S49" t="s">
        <v>171</v>
      </c>
      <c r="T49" t="s">
        <v>177</v>
      </c>
      <c r="U49" t="s">
        <v>192</v>
      </c>
      <c r="V49" t="s">
        <v>187</v>
      </c>
    </row>
    <row r="50" spans="1:24" ht="15.75" customHeight="1" x14ac:dyDescent="0.25">
      <c r="A50" s="121" t="s">
        <v>39</v>
      </c>
      <c r="B50" s="122"/>
      <c r="C50" s="123" t="s">
        <v>315</v>
      </c>
      <c r="D50" s="124"/>
      <c r="E50" s="125"/>
      <c r="F50" s="68" t="s">
        <v>40</v>
      </c>
      <c r="G50" s="126">
        <v>45063</v>
      </c>
      <c r="H50" s="125"/>
      <c r="R50"/>
      <c r="S50" t="s">
        <v>252</v>
      </c>
      <c r="T50" t="s">
        <v>257</v>
      </c>
      <c r="U50" t="s">
        <v>268</v>
      </c>
      <c r="V50" t="s">
        <v>273</v>
      </c>
    </row>
    <row r="51" spans="1:24" ht="15.75" customHeight="1" x14ac:dyDescent="0.25">
      <c r="A51" s="121" t="s">
        <v>41</v>
      </c>
      <c r="B51" s="122"/>
      <c r="C51" s="121" t="str">
        <f>C50</f>
        <v>KDMC/TPD/BP/DOM/2020-21/05/82</v>
      </c>
      <c r="D51" s="136"/>
      <c r="E51" s="122"/>
      <c r="F51" s="18" t="s">
        <v>40</v>
      </c>
      <c r="G51" s="137">
        <f>G50</f>
        <v>45063</v>
      </c>
      <c r="H51" s="122"/>
      <c r="R51"/>
      <c r="S51" t="s">
        <v>253</v>
      </c>
      <c r="T51" t="s">
        <v>258</v>
      </c>
      <c r="U51" t="s">
        <v>266</v>
      </c>
      <c r="V51" t="s">
        <v>274</v>
      </c>
    </row>
    <row r="52" spans="1:24" s="23" customFormat="1" ht="15.75" customHeight="1" x14ac:dyDescent="0.25">
      <c r="A52" s="138" t="s">
        <v>152</v>
      </c>
      <c r="B52" s="139"/>
      <c r="C52" s="121" t="str">
        <f>C51</f>
        <v>KDMC/TPD/BP/DOM/2020-21/05/82</v>
      </c>
      <c r="D52" s="136"/>
      <c r="E52" s="122"/>
      <c r="F52" s="18" t="s">
        <v>40</v>
      </c>
      <c r="G52" s="137">
        <f>G51</f>
        <v>45063</v>
      </c>
      <c r="H52" s="122"/>
      <c r="R52"/>
      <c r="S52" t="s">
        <v>254</v>
      </c>
      <c r="T52" t="s">
        <v>259</v>
      </c>
      <c r="U52" t="s">
        <v>256</v>
      </c>
      <c r="V52" t="s">
        <v>275</v>
      </c>
    </row>
    <row r="53" spans="1:24" s="23" customFormat="1" ht="33.75" customHeight="1" x14ac:dyDescent="0.25">
      <c r="A53" s="140"/>
      <c r="B53" s="141"/>
      <c r="C53" s="121" t="s">
        <v>316</v>
      </c>
      <c r="D53" s="136"/>
      <c r="E53" s="136"/>
      <c r="F53" s="136"/>
      <c r="G53" s="136"/>
      <c r="H53" s="122"/>
      <c r="R53"/>
      <c r="S53" t="s">
        <v>255</v>
      </c>
      <c r="T53" t="s">
        <v>262</v>
      </c>
      <c r="U53" t="s">
        <v>269</v>
      </c>
    </row>
    <row r="54" spans="1:24" s="23" customFormat="1" hidden="1" x14ac:dyDescent="0.25">
      <c r="A54" s="132" t="s">
        <v>279</v>
      </c>
      <c r="B54" s="133"/>
      <c r="C54" s="121" t="str">
        <f>C53</f>
        <v>Building No.1 = Stilt/Ground + 1st to 14th Floor
Building No. 2 = Stilt/Ground + 1st to 7th Floor</v>
      </c>
      <c r="D54" s="136"/>
      <c r="E54" s="122"/>
      <c r="F54" s="18" t="s">
        <v>40</v>
      </c>
      <c r="G54" s="121"/>
      <c r="H54" s="122"/>
      <c r="R54"/>
      <c r="S54" t="s">
        <v>254</v>
      </c>
      <c r="T54" t="s">
        <v>259</v>
      </c>
      <c r="U54" t="s">
        <v>256</v>
      </c>
      <c r="V54" t="s">
        <v>275</v>
      </c>
    </row>
    <row r="55" spans="1:24" s="23" customFormat="1" ht="32.25" hidden="1" customHeight="1" x14ac:dyDescent="0.25">
      <c r="A55" s="134"/>
      <c r="B55" s="135"/>
      <c r="C55" s="142"/>
      <c r="D55" s="143"/>
      <c r="E55" s="143"/>
      <c r="F55" s="143"/>
      <c r="G55" s="143"/>
      <c r="H55" s="144"/>
      <c r="R55"/>
      <c r="S55" t="s">
        <v>256</v>
      </c>
      <c r="T55" t="s">
        <v>260</v>
      </c>
      <c r="U55" t="s">
        <v>270</v>
      </c>
      <c r="V55" s="21"/>
      <c r="W55" s="21"/>
      <c r="X55" s="21"/>
    </row>
    <row r="56" spans="1:24" s="23" customFormat="1" ht="34.5" hidden="1" customHeight="1" x14ac:dyDescent="0.25">
      <c r="A56" s="132" t="s">
        <v>280</v>
      </c>
      <c r="B56" s="133"/>
      <c r="C56" s="121">
        <f>C55</f>
        <v>0</v>
      </c>
      <c r="D56" s="136"/>
      <c r="E56" s="122"/>
      <c r="F56" s="18" t="s">
        <v>40</v>
      </c>
      <c r="G56" s="121">
        <f>G55</f>
        <v>0</v>
      </c>
      <c r="H56" s="122"/>
      <c r="R56"/>
      <c r="S56" s="21"/>
      <c r="T56" t="s">
        <v>261</v>
      </c>
      <c r="U56" t="s">
        <v>271</v>
      </c>
      <c r="V56" s="21"/>
      <c r="W56" s="21"/>
      <c r="X56" s="21"/>
    </row>
    <row r="57" spans="1:24" s="23" customFormat="1" ht="41.25" hidden="1" customHeight="1" x14ac:dyDescent="0.25">
      <c r="A57" s="134"/>
      <c r="B57" s="135"/>
      <c r="C57" s="121"/>
      <c r="D57" s="136"/>
      <c r="E57" s="136"/>
      <c r="F57" s="136"/>
      <c r="G57" s="136"/>
      <c r="H57" s="122"/>
      <c r="R57"/>
      <c r="S57" s="21"/>
      <c r="T57" t="s">
        <v>263</v>
      </c>
      <c r="U57" t="s">
        <v>272</v>
      </c>
      <c r="V57" s="21"/>
      <c r="W57" s="21"/>
      <c r="X57" s="21"/>
    </row>
    <row r="58" spans="1:24" s="23" customFormat="1" ht="15.75" hidden="1" customHeight="1" x14ac:dyDescent="0.25">
      <c r="A58" s="132" t="s">
        <v>341</v>
      </c>
      <c r="B58" s="133"/>
      <c r="C58" s="121">
        <f>C57</f>
        <v>0</v>
      </c>
      <c r="D58" s="136"/>
      <c r="E58" s="122"/>
      <c r="F58" s="18" t="s">
        <v>40</v>
      </c>
      <c r="G58" s="121">
        <f>G57</f>
        <v>0</v>
      </c>
      <c r="H58" s="122"/>
      <c r="R58"/>
      <c r="S58" s="21"/>
      <c r="T58" t="s">
        <v>264</v>
      </c>
      <c r="U58" s="21" t="s">
        <v>294</v>
      </c>
      <c r="V58" s="21"/>
      <c r="W58" s="21"/>
      <c r="X58" s="21"/>
    </row>
    <row r="59" spans="1:24" s="23" customFormat="1" ht="33.75" hidden="1" customHeight="1" x14ac:dyDescent="0.25">
      <c r="A59" s="134"/>
      <c r="B59" s="135"/>
      <c r="C59" s="121"/>
      <c r="D59" s="136"/>
      <c r="E59" s="136"/>
      <c r="F59" s="136"/>
      <c r="G59" s="136"/>
      <c r="H59" s="122"/>
      <c r="R59"/>
      <c r="S59" s="21"/>
      <c r="T59" t="s">
        <v>265</v>
      </c>
      <c r="U59" s="21"/>
      <c r="V59" s="21"/>
      <c r="W59" s="21"/>
      <c r="X59" s="21"/>
    </row>
    <row r="60" spans="1:24" x14ac:dyDescent="0.25">
      <c r="A60" s="106" t="s">
        <v>42</v>
      </c>
      <c r="B60" s="107"/>
      <c r="C60" s="106" t="s">
        <v>103</v>
      </c>
      <c r="D60" s="108"/>
      <c r="E60" s="107"/>
      <c r="F60" s="44" t="s">
        <v>40</v>
      </c>
      <c r="G60" s="130" t="s">
        <v>28</v>
      </c>
      <c r="H60" s="131"/>
      <c r="R60"/>
      <c r="T60" t="s">
        <v>267</v>
      </c>
    </row>
    <row r="61" spans="1:24" x14ac:dyDescent="0.25">
      <c r="A61" s="127" t="s">
        <v>44</v>
      </c>
      <c r="B61" s="127"/>
      <c r="C61" s="127"/>
      <c r="D61" s="127"/>
      <c r="E61" s="127"/>
      <c r="F61" s="127"/>
      <c r="G61" s="127"/>
      <c r="H61" s="127"/>
      <c r="T61" t="s">
        <v>276</v>
      </c>
    </row>
    <row r="62" spans="1:24" x14ac:dyDescent="0.25">
      <c r="A62" s="111" t="s">
        <v>88</v>
      </c>
      <c r="B62" s="111"/>
      <c r="C62" s="111"/>
      <c r="D62" s="105">
        <f>E46</f>
        <v>4303.92</v>
      </c>
      <c r="E62" s="105"/>
      <c r="F62" s="105"/>
      <c r="G62" s="105"/>
      <c r="H62" s="105"/>
      <c r="R62"/>
    </row>
    <row r="63" spans="1:24" x14ac:dyDescent="0.25">
      <c r="A63" s="128" t="s">
        <v>45</v>
      </c>
      <c r="B63" s="129"/>
      <c r="C63" s="129"/>
      <c r="D63" s="129" t="s">
        <v>339</v>
      </c>
      <c r="E63" s="129"/>
      <c r="F63" s="129"/>
      <c r="G63" s="129"/>
      <c r="H63" s="129"/>
      <c r="I63" s="24"/>
      <c r="R63"/>
    </row>
    <row r="64" spans="1:24" ht="33" customHeight="1" x14ac:dyDescent="0.25">
      <c r="A64" s="145" t="s">
        <v>46</v>
      </c>
      <c r="B64" s="146"/>
      <c r="C64" s="218"/>
      <c r="D64" s="185" t="s">
        <v>316</v>
      </c>
      <c r="E64" s="217"/>
      <c r="F64" s="217"/>
      <c r="G64" s="217"/>
      <c r="H64" s="217"/>
      <c r="R64"/>
    </row>
    <row r="65" spans="1:19" ht="15.75" customHeight="1" x14ac:dyDescent="0.25">
      <c r="A65" s="145" t="s">
        <v>86</v>
      </c>
      <c r="B65" s="146"/>
      <c r="C65" s="146"/>
      <c r="D65" s="151" t="s">
        <v>352</v>
      </c>
      <c r="E65" s="152"/>
      <c r="F65" s="152"/>
      <c r="G65" s="152"/>
      <c r="H65" s="153"/>
      <c r="R65"/>
    </row>
    <row r="66" spans="1:19" ht="15.75" customHeight="1" x14ac:dyDescent="0.25">
      <c r="A66" s="147"/>
      <c r="B66" s="148"/>
      <c r="C66" s="148"/>
      <c r="D66" s="154" t="s">
        <v>317</v>
      </c>
      <c r="E66" s="155"/>
      <c r="F66" s="155"/>
      <c r="G66" s="155"/>
      <c r="H66" s="156"/>
      <c r="R66"/>
    </row>
    <row r="67" spans="1:19" ht="15.75" hidden="1" customHeight="1" x14ac:dyDescent="0.25">
      <c r="A67" s="149"/>
      <c r="B67" s="150"/>
      <c r="C67" s="150"/>
      <c r="D67" s="171" t="s">
        <v>167</v>
      </c>
      <c r="E67" s="172"/>
      <c r="F67" s="172"/>
      <c r="G67" s="172"/>
      <c r="H67" s="173"/>
      <c r="S67"/>
    </row>
    <row r="68" spans="1:19" ht="15.75" customHeight="1" x14ac:dyDescent="0.25">
      <c r="A68" s="105" t="s">
        <v>43</v>
      </c>
      <c r="B68" s="105"/>
      <c r="C68" s="105"/>
      <c r="D68" s="214" t="s">
        <v>320</v>
      </c>
      <c r="E68" s="214"/>
      <c r="F68" s="214"/>
      <c r="G68" s="214"/>
      <c r="H68" s="214"/>
      <c r="J68" s="25"/>
      <c r="K68" s="24"/>
      <c r="N68" s="24"/>
      <c r="S68"/>
    </row>
    <row r="69" spans="1:19" ht="15.75" customHeight="1" x14ac:dyDescent="0.25">
      <c r="A69" s="105" t="s">
        <v>84</v>
      </c>
      <c r="B69" s="105"/>
      <c r="C69" s="105"/>
      <c r="D69" s="215" t="str">
        <f>(IF(G60="NA","60 Years After Completion",IF(G60&lt;&gt;"NA",""&amp;60-ROUNDDOWN((E3-G60)/360,0)&amp;" Years"," ")))</f>
        <v>60 Years After Completion</v>
      </c>
      <c r="E69" s="215"/>
      <c r="F69" s="215"/>
      <c r="G69" s="215"/>
      <c r="H69" s="215"/>
      <c r="N69" s="24"/>
      <c r="S69"/>
    </row>
    <row r="70" spans="1:19" ht="15.75" customHeight="1" x14ac:dyDescent="0.25">
      <c r="A70" s="105" t="s">
        <v>85</v>
      </c>
      <c r="B70" s="105"/>
      <c r="C70" s="105"/>
      <c r="D70" s="111" t="s">
        <v>23</v>
      </c>
      <c r="E70" s="111"/>
      <c r="F70" s="111"/>
      <c r="G70" s="111"/>
      <c r="H70" s="111"/>
      <c r="J70" s="26"/>
      <c r="K70" s="26"/>
      <c r="S70"/>
    </row>
    <row r="71" spans="1:19" ht="33" customHeight="1" x14ac:dyDescent="0.25">
      <c r="A71" s="129" t="s">
        <v>318</v>
      </c>
      <c r="B71" s="129"/>
      <c r="C71" s="129"/>
      <c r="D71" s="128" t="s">
        <v>319</v>
      </c>
      <c r="E71" s="111"/>
      <c r="F71" s="111"/>
      <c r="G71" s="111"/>
      <c r="H71" s="111"/>
      <c r="S71"/>
    </row>
    <row r="72" spans="1:19" x14ac:dyDescent="0.25">
      <c r="A72" s="111" t="s">
        <v>145</v>
      </c>
      <c r="B72" s="111"/>
      <c r="C72" s="111"/>
      <c r="D72" s="111" t="s">
        <v>28</v>
      </c>
      <c r="E72" s="111"/>
      <c r="F72" s="111"/>
      <c r="G72" s="111"/>
      <c r="H72" s="111"/>
      <c r="I72" s="27"/>
      <c r="J72" s="27"/>
      <c r="K72" s="27"/>
      <c r="L72" s="27"/>
      <c r="M72" s="27"/>
      <c r="N72" s="27"/>
    </row>
    <row r="73" spans="1:19" ht="15.75" customHeight="1" x14ac:dyDescent="0.25">
      <c r="A73" s="112" t="s">
        <v>83</v>
      </c>
      <c r="B73" s="112"/>
      <c r="C73" s="112"/>
      <c r="D73" s="185" t="str">
        <f ca="1">(IF(G79&gt;95%,"Nothing",IF(G79&gt;0%,"Cement, Aggregate, Steel, etc",IF(G79=0%,"Work not yet Started"))))</f>
        <v>Cement, Aggregate, Steel, etc</v>
      </c>
      <c r="E73" s="185"/>
      <c r="F73" s="185"/>
      <c r="G73" s="185"/>
      <c r="H73" s="185"/>
      <c r="J73" s="26"/>
      <c r="S73"/>
    </row>
    <row r="74" spans="1:19" ht="33.75" customHeight="1" thickBot="1" x14ac:dyDescent="0.3">
      <c r="A74" s="209" t="s">
        <v>116</v>
      </c>
      <c r="B74" s="209"/>
      <c r="C74" s="209"/>
      <c r="D74" s="185" t="str">
        <f ca="1">(IF(D73="Nothing","Yes",IF(D73="Cement, Aggregate, Steel, etc","Under Construction",IF(D73="Work not yet Started","Work not yet Started"))))</f>
        <v>Under Construction</v>
      </c>
      <c r="E74" s="185"/>
      <c r="F74" s="185" t="str">
        <f ca="1">(IF(D73="Nothing","Yes",IF(D73="Cement, Aggregate, Steel, etc","Under Construction",IF(D73="Work not yet Started","Work not yet Started"))))</f>
        <v>Under Construction</v>
      </c>
      <c r="G74" s="185"/>
      <c r="H74" s="185"/>
      <c r="S74"/>
    </row>
    <row r="75" spans="1:19" ht="15.75" customHeight="1" x14ac:dyDescent="0.25">
      <c r="A75" s="114" t="s">
        <v>137</v>
      </c>
      <c r="B75" s="115"/>
      <c r="C75" s="116" t="str">
        <f>D65</f>
        <v>Building No.1 = Stilt/Ground + 1st to 15th Floor</v>
      </c>
      <c r="D75" s="117"/>
      <c r="E75" s="117"/>
      <c r="F75" s="117"/>
      <c r="G75" s="117"/>
      <c r="H75" s="118"/>
      <c r="I75" s="48" t="str">
        <f ca="1">IF(D88=100%,"All work Completed. Possession granted to the Building.",IF(D87=100%,"All work Completed, Waiting for OC",I76&amp;""&amp;I77&amp;""&amp;J76&amp;""&amp;J75&amp;" "&amp;J77))</f>
        <v>Excavation, Plinth, RCC Slab, Brickwork, Internal Plaster Completed, External Plaster upto 14 Floor, Flooring upto 7 Floor, Painting upto 6 Floor Completed</v>
      </c>
      <c r="J75" s="49"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External Plaster upto 14 Floor, Flooring upto 7 Floor, Painting upto 6 Floor</v>
      </c>
      <c r="S75"/>
    </row>
    <row r="76" spans="1:19" x14ac:dyDescent="0.25">
      <c r="A76" s="16" t="s">
        <v>139</v>
      </c>
      <c r="B76" s="52">
        <f>IF(AND(ISNUMBER(SEARCH("1B",C75))),1,IF(AND(ISNUMBER(SEARCH("2B",C75))),2,IF(AND(ISNUMBER(SEARCH("3B",C75))),3,IF(AND(ISNUMBER(SEARCH("4B",C75))),4,IF(ISNUMBER(SEARCH("5B",C75)),5,0)))))</f>
        <v>0</v>
      </c>
      <c r="C76" s="46" t="s">
        <v>69</v>
      </c>
      <c r="D76" s="46">
        <v>1</v>
      </c>
      <c r="E76" s="46" t="s">
        <v>68</v>
      </c>
      <c r="F76" s="53">
        <v>0</v>
      </c>
      <c r="G76" s="47" t="s">
        <v>77</v>
      </c>
      <c r="H76" s="17">
        <f ca="1">--TRIM(RIGHT(SUBSTITUTE(LEFT(C75,_xlfn.AGGREGATE(16,6,FIND({0,1,2,3,4,5,6,7,8,9},C75,ROW(INDIRECT("1:"&amp;LEN(C75)))),1))," ",REPT(" ",LEN(C75))),LEN(C75)))</f>
        <v>15</v>
      </c>
      <c r="I76" s="50" t="str">
        <f ca="1">IF(D79=100%,"Excavation","")&amp;IF(D80=100%,", Plinth","")&amp;IF(D81=100%,", RCC Slab","")&amp;IF(D82=100%,", Brickwork","")&amp;IF(D83=100%,", Internal Plaster","")&amp;IF(D84=100%,", External Plaster","")&amp;IF(D85=100%,", Flooring","")&amp;IF(D86=100%,", Painting","")&amp;IF(D87=100%,", Building common Amenities","")</f>
        <v>Excavation, Plinth, RCC Slab, Brickwork, Internal Plaster</v>
      </c>
      <c r="J76" s="51"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47.25" customHeight="1" x14ac:dyDescent="0.25">
      <c r="A77" s="221" t="s">
        <v>87</v>
      </c>
      <c r="B77" s="198"/>
      <c r="C77" s="197" t="str">
        <f ca="1">I75</f>
        <v>Excavation, Plinth, RCC Slab, Brickwork, Internal Plaster Completed, External Plaster upto 14 Floor, Flooring upto 7 Floor, Painting upto 6 Floor Completed</v>
      </c>
      <c r="D77" s="197"/>
      <c r="E77" s="197"/>
      <c r="F77" s="197"/>
      <c r="G77" s="197"/>
      <c r="H77" s="219"/>
      <c r="I77" s="50" t="str">
        <f ca="1">IF(I76&lt;&gt;""," Completed","")</f>
        <v xml:space="preserve"> Completed</v>
      </c>
      <c r="J77" s="51" t="str">
        <f ca="1">IF(J75&lt;&gt;"","Completed","")</f>
        <v>Completed</v>
      </c>
      <c r="S77"/>
    </row>
    <row r="78" spans="1:19" ht="15.75" customHeight="1" x14ac:dyDescent="0.25">
      <c r="A78" s="119" t="s">
        <v>47</v>
      </c>
      <c r="B78" s="120"/>
      <c r="C78" s="42" t="s">
        <v>136</v>
      </c>
      <c r="D78" s="42" t="s">
        <v>80</v>
      </c>
      <c r="E78" s="120" t="s">
        <v>82</v>
      </c>
      <c r="F78" s="120"/>
      <c r="G78" s="120" t="s">
        <v>81</v>
      </c>
      <c r="H78" s="186"/>
      <c r="I78" s="13" t="s">
        <v>138</v>
      </c>
      <c r="J78" s="28">
        <f ca="1">H76*25%</f>
        <v>3.75</v>
      </c>
      <c r="S78"/>
    </row>
    <row r="79" spans="1:19" x14ac:dyDescent="0.25">
      <c r="A79" s="119" t="s">
        <v>125</v>
      </c>
      <c r="B79" s="120"/>
      <c r="C79" s="42">
        <f ca="1">J80</f>
        <v>15</v>
      </c>
      <c r="D79" s="19">
        <f ca="1">((100/H76)*C79)/100</f>
        <v>1</v>
      </c>
      <c r="E79" s="189">
        <f ca="1">(((C80/H76*10)+(40/(D76+F76+H76)*C81)+(7.5/(H76)*C82)+(7.5/(H76)*C83)+(10/H76*C84)+(10/H76*C85)+(5/H76*C86)+(5/H76*C87)+(5/H76*C88))/100)</f>
        <v>0.81</v>
      </c>
      <c r="F79" s="190"/>
      <c r="G79" s="189">
        <f ca="1">((((C79/H76)*20)+((C80/H76)*25)+(30/(H76+F76+D76)*C81)+(5/H76*C82)+(5/H76*C83)+(5/H76*C84)+(5/H76*C85)+(0/H76*C86)+(0/H76*C87)+(5/H76*C88))/100)</f>
        <v>0.92</v>
      </c>
      <c r="H79" s="210"/>
      <c r="I79" s="13" t="s">
        <v>98</v>
      </c>
      <c r="J79" s="29">
        <f ca="1">H76*50%</f>
        <v>7.5</v>
      </c>
    </row>
    <row r="80" spans="1:19" x14ac:dyDescent="0.25">
      <c r="A80" s="119" t="s">
        <v>48</v>
      </c>
      <c r="B80" s="120"/>
      <c r="C80" s="42">
        <f ca="1">J88</f>
        <v>15</v>
      </c>
      <c r="D80" s="19">
        <f ca="1">((100/H76)*C80)/100</f>
        <v>1</v>
      </c>
      <c r="E80" s="191"/>
      <c r="F80" s="192"/>
      <c r="G80" s="191"/>
      <c r="H80" s="211"/>
      <c r="I80" s="13" t="s">
        <v>99</v>
      </c>
      <c r="J80" s="29">
        <f ca="1">H76</f>
        <v>15</v>
      </c>
      <c r="S80"/>
    </row>
    <row r="81" spans="1:19" ht="15.75" customHeight="1" x14ac:dyDescent="0.25">
      <c r="A81" s="119" t="s">
        <v>126</v>
      </c>
      <c r="B81" s="120"/>
      <c r="C81" s="42">
        <v>16</v>
      </c>
      <c r="D81" s="19">
        <f ca="1">((100/(D76+F76+H76))*C81)/100</f>
        <v>1</v>
      </c>
      <c r="E81" s="191"/>
      <c r="F81" s="192"/>
      <c r="G81" s="191"/>
      <c r="H81" s="211"/>
      <c r="I81" s="13" t="s">
        <v>100</v>
      </c>
      <c r="J81" s="30">
        <f ca="1">(IF(B76&gt;1,(H76/(B76+2)),H76/4))</f>
        <v>3.75</v>
      </c>
      <c r="S81"/>
    </row>
    <row r="82" spans="1:19" ht="15.75" customHeight="1" x14ac:dyDescent="0.35">
      <c r="A82" s="119" t="s">
        <v>133</v>
      </c>
      <c r="B82" s="120" t="s">
        <v>127</v>
      </c>
      <c r="C82" s="42">
        <v>15</v>
      </c>
      <c r="D82" s="19">
        <f ca="1">((100/H76)*C82)/100</f>
        <v>1</v>
      </c>
      <c r="E82" s="191"/>
      <c r="F82" s="192"/>
      <c r="G82" s="191"/>
      <c r="H82" s="211"/>
      <c r="I82" s="13" t="s">
        <v>101</v>
      </c>
      <c r="J82" s="30">
        <f ca="1">(IF(B76&gt;1,(H76/(B76+2)+J81),H76/4+J81))</f>
        <v>7.5</v>
      </c>
      <c r="L82" s="76" t="s">
        <v>351</v>
      </c>
    </row>
    <row r="83" spans="1:19" ht="15.75" customHeight="1" x14ac:dyDescent="0.25">
      <c r="A83" s="119" t="s">
        <v>134</v>
      </c>
      <c r="B83" s="120" t="s">
        <v>127</v>
      </c>
      <c r="C83" s="42">
        <v>15</v>
      </c>
      <c r="D83" s="19">
        <f ca="1">((100/H76)*C83)/100</f>
        <v>1</v>
      </c>
      <c r="E83" s="191"/>
      <c r="F83" s="192"/>
      <c r="G83" s="191"/>
      <c r="H83" s="211"/>
      <c r="I83" s="13" t="s">
        <v>143</v>
      </c>
      <c r="J83" s="30">
        <f>(IF(B76&gt;1,(H76/(B76+2)+J82),0))</f>
        <v>0</v>
      </c>
    </row>
    <row r="84" spans="1:19" ht="15" customHeight="1" x14ac:dyDescent="0.25">
      <c r="A84" s="235" t="s">
        <v>132</v>
      </c>
      <c r="B84" s="236" t="s">
        <v>129</v>
      </c>
      <c r="C84" s="42">
        <v>14</v>
      </c>
      <c r="D84" s="19">
        <f ca="1">((100/(H76))*C84)/100</f>
        <v>0.93333333333333346</v>
      </c>
      <c r="E84" s="191"/>
      <c r="F84" s="192"/>
      <c r="G84" s="191"/>
      <c r="H84" s="211"/>
      <c r="I84" s="13" t="s">
        <v>140</v>
      </c>
      <c r="J84" s="30">
        <f>(IF(B76&gt;2,(H76/(B76+2)+J83),0))</f>
        <v>0</v>
      </c>
    </row>
    <row r="85" spans="1:19" ht="15.75" customHeight="1" x14ac:dyDescent="0.25">
      <c r="A85" s="119" t="s">
        <v>128</v>
      </c>
      <c r="B85" s="120" t="s">
        <v>128</v>
      </c>
      <c r="C85" s="42">
        <v>7</v>
      </c>
      <c r="D85" s="19">
        <f ca="1">((100/H76)*C85)/100</f>
        <v>0.46666666666666673</v>
      </c>
      <c r="E85" s="191"/>
      <c r="F85" s="192"/>
      <c r="G85" s="191"/>
      <c r="H85" s="211"/>
      <c r="I85" s="13" t="s">
        <v>141</v>
      </c>
      <c r="J85" s="31">
        <f>(IF(B76&gt;3,(H76/(B76+2)+J84),0))</f>
        <v>0</v>
      </c>
    </row>
    <row r="86" spans="1:19" ht="15.75" customHeight="1" x14ac:dyDescent="0.25">
      <c r="A86" s="119" t="s">
        <v>135</v>
      </c>
      <c r="B86" s="120"/>
      <c r="C86" s="42">
        <v>6</v>
      </c>
      <c r="D86" s="19">
        <f ca="1">((100/H76)*C86)/100</f>
        <v>0.4</v>
      </c>
      <c r="E86" s="191"/>
      <c r="F86" s="192"/>
      <c r="G86" s="191"/>
      <c r="H86" s="211"/>
      <c r="I86" s="13" t="s">
        <v>142</v>
      </c>
      <c r="J86" s="30">
        <f>(IF(B76&gt;4,(H76/(B76+2)+J85),0))</f>
        <v>0</v>
      </c>
    </row>
    <row r="87" spans="1:19" ht="15.75" customHeight="1" x14ac:dyDescent="0.25">
      <c r="A87" s="119" t="s">
        <v>130</v>
      </c>
      <c r="B87" s="120" t="s">
        <v>130</v>
      </c>
      <c r="C87" s="42">
        <v>0</v>
      </c>
      <c r="D87" s="19">
        <f ca="1">((100/(H76))*C87)/100</f>
        <v>0</v>
      </c>
      <c r="E87" s="191"/>
      <c r="F87" s="192"/>
      <c r="G87" s="191"/>
      <c r="H87" s="211"/>
      <c r="I87" s="13" t="s">
        <v>144</v>
      </c>
      <c r="J87" s="30">
        <f ca="1">(IF(B76=1,(H76/(B76+3)+J82),IF(B76=0,(H76/4+J82),IF(B76&gt;1,0))))</f>
        <v>11.25</v>
      </c>
    </row>
    <row r="88" spans="1:19" ht="16.5" thickBot="1" x14ac:dyDescent="0.3">
      <c r="A88" s="162" t="s">
        <v>131</v>
      </c>
      <c r="B88" s="163"/>
      <c r="C88" s="43">
        <v>0</v>
      </c>
      <c r="D88" s="20">
        <f ca="1">((100/(H76))*C88)/100</f>
        <v>0</v>
      </c>
      <c r="E88" s="193"/>
      <c r="F88" s="194"/>
      <c r="G88" s="193"/>
      <c r="H88" s="212"/>
      <c r="I88" s="15" t="s">
        <v>102</v>
      </c>
      <c r="J88" s="32">
        <f ca="1">(IF(B76&gt;1.5,(H76/(B76+2)+J82+MAX(0,J83-J82)+MAX(0,J84-J83)+MAX(0,J85-J84)+MAX(0,J86-J85)+MAX(0,J87-J86)),IF(B76=1,(H76/(B76+3)+J87),IF(B76=0,H76/4+J87))))</f>
        <v>15</v>
      </c>
    </row>
    <row r="89" spans="1:19" ht="15.75" hidden="1" customHeight="1" x14ac:dyDescent="0.25">
      <c r="A89" s="114" t="s">
        <v>137</v>
      </c>
      <c r="B89" s="115"/>
      <c r="C89" s="116" t="s">
        <v>355</v>
      </c>
      <c r="D89" s="117"/>
      <c r="E89" s="117"/>
      <c r="F89" s="117"/>
      <c r="G89" s="117"/>
      <c r="H89" s="118"/>
      <c r="I89" s="48" t="str">
        <f ca="1">IF(D102=100%,"All work Completed. Possession granted to the Building.",IF(D101=100%,"All work Completed, Waiting for OC",I90&amp;""&amp;I91&amp;""&amp;J90&amp;""&amp;J89&amp;" "&amp;J91))</f>
        <v>Excavation, Plinth Completed, RCC upto 11 Slab, Brickwork upto 7 Floor, Internal Plaster upto 5 Floor, External Plaster upto 5 Floor, Flooring upto 1 Floor Completed</v>
      </c>
      <c r="J89" s="49"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RCC upto 11 Slab, Brickwork upto 7 Floor, Internal Plaster upto 5 Floor, External Plaster upto 5 Floor, Flooring upto 1 Floor</v>
      </c>
      <c r="S89"/>
    </row>
    <row r="90" spans="1:19" hidden="1" x14ac:dyDescent="0.25">
      <c r="A90" s="16" t="s">
        <v>139</v>
      </c>
      <c r="B90" s="53">
        <f>IF(AND(ISNUMBER(SEARCH("1B",C89))),1,IF(AND(ISNUMBER(SEARCH("2B",C89))),2,IF(AND(ISNUMBER(SEARCH("3B",C89))),3,IF(AND(ISNUMBER(SEARCH("4B",C89))),4,IF(ISNUMBER(SEARCH("5B",C89)),5,0)))))</f>
        <v>0</v>
      </c>
      <c r="C90" s="53" t="s">
        <v>69</v>
      </c>
      <c r="D90" s="53">
        <v>1</v>
      </c>
      <c r="E90" s="53" t="s">
        <v>68</v>
      </c>
      <c r="F90" s="53">
        <v>0</v>
      </c>
      <c r="G90" s="47" t="s">
        <v>77</v>
      </c>
      <c r="H90" s="17">
        <f ca="1">--TRIM(RIGHT(SUBSTITUTE(LEFT(C89,_xlfn.AGGREGATE(16,6,FIND({0,1,2,3,4,5,6,7,8,9},C89,ROW(INDIRECT("1:"&amp;LEN(C89)))),1))," ",REPT(" ",LEN(C89))),LEN(C89)))</f>
        <v>15</v>
      </c>
      <c r="I90" s="50" t="str">
        <f ca="1">IF(D93=100%,"Excavation","")&amp;IF(D94=100%,", Plinth","")&amp;IF(D95=100%,", RCC Slab","")&amp;IF(D96=100%,", Brickwork","")&amp;IF(D97=100%,", Internal Plaster","")&amp;IF(D98=100%,", External Plaster","")&amp;IF(D99=100%,", Flooring","")&amp;IF(D100=100%,", Painting","")&amp;IF(D101=100%,", Building common Amenities","")</f>
        <v>Excavation, Plinth</v>
      </c>
      <c r="J90" s="51"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c r="S90"/>
    </row>
    <row r="91" spans="1:19" ht="47.25" hidden="1" customHeight="1" x14ac:dyDescent="0.25">
      <c r="A91" s="221" t="s">
        <v>87</v>
      </c>
      <c r="B91" s="198"/>
      <c r="C91" s="197" t="str">
        <f ca="1">I89</f>
        <v>Excavation, Plinth Completed, RCC upto 11 Slab, Brickwork upto 7 Floor, Internal Plaster upto 5 Floor, External Plaster upto 5 Floor, Flooring upto 1 Floor Completed</v>
      </c>
      <c r="D91" s="197"/>
      <c r="E91" s="197"/>
      <c r="F91" s="197"/>
      <c r="G91" s="197"/>
      <c r="H91" s="219"/>
      <c r="I91" s="50" t="str">
        <f ca="1">IF(I90&lt;&gt;""," Completed","")</f>
        <v xml:space="preserve"> Completed</v>
      </c>
      <c r="J91" s="51" t="str">
        <f ca="1">IF(J89&lt;&gt;"","Completed","")</f>
        <v>Completed</v>
      </c>
      <c r="S91"/>
    </row>
    <row r="92" spans="1:19" ht="15.75" hidden="1" customHeight="1" x14ac:dyDescent="0.25">
      <c r="A92" s="119" t="s">
        <v>47</v>
      </c>
      <c r="B92" s="120"/>
      <c r="C92" s="78" t="s">
        <v>136</v>
      </c>
      <c r="D92" s="78" t="s">
        <v>80</v>
      </c>
      <c r="E92" s="120" t="s">
        <v>82</v>
      </c>
      <c r="F92" s="120"/>
      <c r="G92" s="120" t="s">
        <v>81</v>
      </c>
      <c r="H92" s="186"/>
      <c r="I92" s="13" t="s">
        <v>138</v>
      </c>
      <c r="J92" s="28">
        <f ca="1">H90*25%</f>
        <v>3.75</v>
      </c>
      <c r="S92"/>
    </row>
    <row r="93" spans="1:19" hidden="1" x14ac:dyDescent="0.25">
      <c r="A93" s="119" t="s">
        <v>125</v>
      </c>
      <c r="B93" s="120"/>
      <c r="C93" s="78">
        <f ca="1">J94</f>
        <v>15</v>
      </c>
      <c r="D93" s="19">
        <f ca="1">((100/H90)*C93)/100</f>
        <v>1</v>
      </c>
      <c r="E93" s="189">
        <f ca="1">(((C94/H90*10)+(40/(D90+F90+H90)*C95)+(7.5/(H90)*C96)+(7.5/(H90)*C97)+(10/H90*C98)+(10/H90*C99)+(5/H90*C100)+(5/H90*C101)+(5/H90*C102))/100)</f>
        <v>0.47499999999999998</v>
      </c>
      <c r="F93" s="190"/>
      <c r="G93" s="189">
        <f ca="1">((((C93/H90)*20)+((C94/H90)*25)+(30/(H90+F90+D90)*C95)+(5/H90*C96)+(5/H90*C97)+(5/H90*C98)+(5/H90*C99)+(0/H90*C100)+(0/H90*C101)+(5/H90*C102))/100)</f>
        <v>0.71625000000000005</v>
      </c>
      <c r="H93" s="210"/>
      <c r="I93" s="13" t="s">
        <v>98</v>
      </c>
      <c r="J93" s="29">
        <f ca="1">H90*50%</f>
        <v>7.5</v>
      </c>
    </row>
    <row r="94" spans="1:19" hidden="1" x14ac:dyDescent="0.25">
      <c r="A94" s="119" t="s">
        <v>48</v>
      </c>
      <c r="B94" s="120"/>
      <c r="C94" s="78">
        <f ca="1">J102</f>
        <v>15</v>
      </c>
      <c r="D94" s="19">
        <f ca="1">((100/H90)*C94)/100</f>
        <v>1</v>
      </c>
      <c r="E94" s="191"/>
      <c r="F94" s="192"/>
      <c r="G94" s="191"/>
      <c r="H94" s="211"/>
      <c r="I94" s="13" t="s">
        <v>99</v>
      </c>
      <c r="J94" s="29">
        <f ca="1">H90</f>
        <v>15</v>
      </c>
      <c r="S94"/>
    </row>
    <row r="95" spans="1:19" ht="15.75" hidden="1" customHeight="1" x14ac:dyDescent="0.25">
      <c r="A95" s="119" t="s">
        <v>126</v>
      </c>
      <c r="B95" s="120"/>
      <c r="C95" s="78">
        <v>11</v>
      </c>
      <c r="D95" s="19">
        <f ca="1">((100/(D90+F90+H90))*C95)/100</f>
        <v>0.6875</v>
      </c>
      <c r="E95" s="191"/>
      <c r="F95" s="192"/>
      <c r="G95" s="191"/>
      <c r="H95" s="211"/>
      <c r="I95" s="13" t="s">
        <v>100</v>
      </c>
      <c r="J95" s="30">
        <f ca="1">(IF(B90&gt;1,(H90/(B90+2)),H90/4))</f>
        <v>3.75</v>
      </c>
      <c r="S95"/>
    </row>
    <row r="96" spans="1:19" ht="15.75" hidden="1" customHeight="1" x14ac:dyDescent="0.35">
      <c r="A96" s="119" t="s">
        <v>133</v>
      </c>
      <c r="B96" s="120" t="s">
        <v>127</v>
      </c>
      <c r="C96" s="78">
        <v>7</v>
      </c>
      <c r="D96" s="19">
        <f ca="1">((100/H90)*C96)/100</f>
        <v>0.46666666666666673</v>
      </c>
      <c r="E96" s="191"/>
      <c r="F96" s="192"/>
      <c r="G96" s="191"/>
      <c r="H96" s="211"/>
      <c r="I96" s="13" t="s">
        <v>101</v>
      </c>
      <c r="J96" s="30">
        <f ca="1">(IF(B90&gt;1,(H90/(B90+2)+J95),H90/4+J95))</f>
        <v>7.5</v>
      </c>
      <c r="L96" s="76" t="s">
        <v>351</v>
      </c>
    </row>
    <row r="97" spans="1:22" ht="15.75" hidden="1" customHeight="1" x14ac:dyDescent="0.25">
      <c r="A97" s="119" t="s">
        <v>134</v>
      </c>
      <c r="B97" s="120" t="s">
        <v>127</v>
      </c>
      <c r="C97" s="78">
        <v>5</v>
      </c>
      <c r="D97" s="19">
        <f ca="1">((100/H90)*C97)/100</f>
        <v>0.33333333333333337</v>
      </c>
      <c r="E97" s="191"/>
      <c r="F97" s="192"/>
      <c r="G97" s="191"/>
      <c r="H97" s="211"/>
      <c r="I97" s="13" t="s">
        <v>143</v>
      </c>
      <c r="J97" s="30">
        <f>(IF(B90&gt;1,(H90/(B90+2)+J96),0))</f>
        <v>0</v>
      </c>
    </row>
    <row r="98" spans="1:22" ht="15" hidden="1" customHeight="1" x14ac:dyDescent="0.25">
      <c r="A98" s="119" t="s">
        <v>132</v>
      </c>
      <c r="B98" s="120" t="s">
        <v>129</v>
      </c>
      <c r="C98" s="78">
        <v>5</v>
      </c>
      <c r="D98" s="19">
        <f ca="1">((100/(H90))*C98)/100</f>
        <v>0.33333333333333337</v>
      </c>
      <c r="E98" s="191"/>
      <c r="F98" s="192"/>
      <c r="G98" s="191"/>
      <c r="H98" s="211"/>
      <c r="I98" s="13" t="s">
        <v>140</v>
      </c>
      <c r="J98" s="30">
        <f>(IF(B90&gt;2,(H90/(B90+2)+J97),0))</f>
        <v>0</v>
      </c>
    </row>
    <row r="99" spans="1:22" ht="15.75" hidden="1" customHeight="1" x14ac:dyDescent="0.25">
      <c r="A99" s="119" t="s">
        <v>128</v>
      </c>
      <c r="B99" s="120" t="s">
        <v>128</v>
      </c>
      <c r="C99" s="78">
        <v>1</v>
      </c>
      <c r="D99" s="19">
        <f ca="1">((100/H90)*C99)/100</f>
        <v>6.6666666666666666E-2</v>
      </c>
      <c r="E99" s="191"/>
      <c r="F99" s="192"/>
      <c r="G99" s="191"/>
      <c r="H99" s="211"/>
      <c r="I99" s="13" t="s">
        <v>141</v>
      </c>
      <c r="J99" s="31">
        <f>(IF(B90&gt;3,(H90/(B90+2)+J98),0))</f>
        <v>0</v>
      </c>
    </row>
    <row r="100" spans="1:22" ht="15.75" hidden="1" customHeight="1" x14ac:dyDescent="0.25">
      <c r="A100" s="119" t="s">
        <v>135</v>
      </c>
      <c r="B100" s="120"/>
      <c r="C100" s="78">
        <v>0</v>
      </c>
      <c r="D100" s="19">
        <f ca="1">((100/H90)*C100)/100</f>
        <v>0</v>
      </c>
      <c r="E100" s="191"/>
      <c r="F100" s="192"/>
      <c r="G100" s="191"/>
      <c r="H100" s="211"/>
      <c r="I100" s="13" t="s">
        <v>142</v>
      </c>
      <c r="J100" s="30">
        <f>(IF(B90&gt;4,(H90/(B90+2)+J99),0))</f>
        <v>0</v>
      </c>
    </row>
    <row r="101" spans="1:22" ht="15.75" hidden="1" customHeight="1" x14ac:dyDescent="0.25">
      <c r="A101" s="119" t="s">
        <v>130</v>
      </c>
      <c r="B101" s="120" t="s">
        <v>130</v>
      </c>
      <c r="C101" s="78">
        <v>0</v>
      </c>
      <c r="D101" s="19">
        <f ca="1">((100/(H90))*C101)/100</f>
        <v>0</v>
      </c>
      <c r="E101" s="191"/>
      <c r="F101" s="192"/>
      <c r="G101" s="191"/>
      <c r="H101" s="211"/>
      <c r="I101" s="13" t="s">
        <v>144</v>
      </c>
      <c r="J101" s="30">
        <f ca="1">(IF(B90=1,(H90/(B90+3)+J96),IF(B90=0,(H90/4+J96),IF(B90&gt;1,0))))</f>
        <v>11.25</v>
      </c>
    </row>
    <row r="102" spans="1:22" ht="16.5" hidden="1" thickBot="1" x14ac:dyDescent="0.3">
      <c r="A102" s="162" t="s">
        <v>131</v>
      </c>
      <c r="B102" s="163"/>
      <c r="C102" s="77">
        <v>0</v>
      </c>
      <c r="D102" s="20">
        <f ca="1">((100/(H90))*C102)/100</f>
        <v>0</v>
      </c>
      <c r="E102" s="193"/>
      <c r="F102" s="194"/>
      <c r="G102" s="193"/>
      <c r="H102" s="212"/>
      <c r="I102" s="15" t="s">
        <v>102</v>
      </c>
      <c r="J102" s="32">
        <f ca="1">(IF(B90&gt;1.5,(H90/(B90+2)+J96+MAX(0,J97-J96)+MAX(0,J98-J97)+MAX(0,J99-J98)+MAX(0,J100-J99)+MAX(0,J101-J100)),IF(B90=1,(H90/(B90+3)+J101),IF(B90=0,H90/4+J101))))</f>
        <v>15</v>
      </c>
    </row>
    <row r="103" spans="1:22" ht="39.6" hidden="1" customHeight="1" thickBot="1" x14ac:dyDescent="0.3">
      <c r="A103" s="230" t="s">
        <v>356</v>
      </c>
      <c r="B103" s="231"/>
      <c r="C103" s="232">
        <f ca="1">AVERAGE(E79,E93)</f>
        <v>0.64250000000000007</v>
      </c>
      <c r="D103" s="233"/>
      <c r="E103" s="230" t="s">
        <v>357</v>
      </c>
      <c r="F103" s="231"/>
      <c r="G103" s="232">
        <f ca="1">AVERAGE(G79,G93)</f>
        <v>0.81812499999999999</v>
      </c>
      <c r="H103" s="233"/>
      <c r="R103" t="s">
        <v>251</v>
      </c>
      <c r="S103" t="s">
        <v>171</v>
      </c>
      <c r="T103" t="s">
        <v>177</v>
      </c>
      <c r="U103" t="s">
        <v>192</v>
      </c>
      <c r="V103" t="s">
        <v>187</v>
      </c>
    </row>
    <row r="104" spans="1:22" ht="15.75" customHeight="1" x14ac:dyDescent="0.25">
      <c r="A104" s="114" t="s">
        <v>137</v>
      </c>
      <c r="B104" s="115"/>
      <c r="C104" s="116" t="str">
        <f>D66</f>
        <v>Building No. 2 = Stilt/Ground + 1st to 7th Floor</v>
      </c>
      <c r="D104" s="117"/>
      <c r="E104" s="117"/>
      <c r="F104" s="117"/>
      <c r="G104" s="117"/>
      <c r="H104" s="118"/>
      <c r="I104" s="48" t="str">
        <f ca="1">IF(D117=100%,"All work Completed. Possession granted to the Building.",IF(D116=100%,"All work Completed, Waiting for OC",I105&amp;""&amp;I106&amp;""&amp;J105&amp;""&amp;J104&amp;" "&amp;J106))</f>
        <v>Excavation, Plinth Completed, RCC upto 5 Slab Completed</v>
      </c>
      <c r="J104" s="49" t="str">
        <f ca="1">(IF(C110=(D105+F105+H105),"",IF(C110&gt;0,", RCC upto "&amp;C110&amp;" Slab","")))&amp;(IF(C111=H105,"",IF(C111&gt;0,", Brickwork upto "&amp;C111&amp;" Floor","")))&amp;(IF(C112=H105,"",IF(C112&gt;0,", Internal Plaster upto "&amp;C112&amp;" Floor","")))&amp;(IF(C113=H105,"",IF(C113&gt;0,", External Plaster upto "&amp;C113&amp;" Floor","")))&amp;(IF(C114=H105,"",IF(C114&gt;0,", Flooring upto "&amp;C114&amp;" Floor","")))&amp;(IF(C115=H105,"",IF(C115&gt;0,", Painting upto "&amp;C115&amp;" Floor","")))&amp;(IF(C116=H105,"",IF(C116&gt;0,", Finishing upto "&amp;C116&amp;" Floor","")))&amp;(IF(C117=H105,"",IF(C117&gt;0,", Possession upto "&amp;C117&amp;" Floor","")))</f>
        <v>, RCC upto 5 Slab</v>
      </c>
    </row>
    <row r="105" spans="1:22" x14ac:dyDescent="0.25">
      <c r="A105" s="16" t="s">
        <v>139</v>
      </c>
      <c r="B105" s="53">
        <f>IF(AND(ISNUMBER(SEARCH("1B",C104))),1,IF(AND(ISNUMBER(SEARCH("2B",C104))),2,IF(AND(ISNUMBER(SEARCH("3B",C104))),3,IF(AND(ISNUMBER(SEARCH("4B",C104))),4,IF(ISNUMBER(SEARCH("5B",C104)),5,0)))))</f>
        <v>0</v>
      </c>
      <c r="C105" s="46" t="s">
        <v>69</v>
      </c>
      <c r="D105" s="46">
        <v>1</v>
      </c>
      <c r="E105" s="46" t="s">
        <v>68</v>
      </c>
      <c r="F105" s="53">
        <v>0</v>
      </c>
      <c r="G105" s="47" t="s">
        <v>77</v>
      </c>
      <c r="H105" s="17">
        <f ca="1">--TRIM(RIGHT(SUBSTITUTE(LEFT(C104,_xlfn.AGGREGATE(16,6,FIND({0,1,2,3,4,5,6,7,8,9},C104,ROW(INDIRECT("1:"&amp;LEN(C104)))),1))," ",REPT(" ",LEN(C104))),LEN(C104)))</f>
        <v>7</v>
      </c>
      <c r="I105" s="50" t="str">
        <f ca="1">IF(D108=100%,"Excavation","")&amp;IF(D109=100%,", Plinth","")&amp;IF(D110=100%,", RCC Slab","")&amp;IF(D111=100%,", Brickwork","")&amp;IF(D112=100%,", Internal Plaster","")&amp;IF(D113=100%,", External Plaster","")&amp;IF(D114=100%,", Flooring","")&amp;IF(D115=100%,", Painting","")&amp;IF(D116=100%,", Building common Amenities","")</f>
        <v>Excavation, Plinth</v>
      </c>
      <c r="J105" s="51" t="str">
        <f ca="1">(IF(C108=0,"Work not yet Started.",IF(D108=25%,"Piling work in process",IF(D108=50%,"Excavation work in process",IF(D108=100%,"","0")))))&amp;(IF(C109=0%,"",IF(C109=J110,", Footing work is process",IF(C109=J111,", Footing work Completed",IF(C109=J112,", 1st Basement Completed",IF(C109=J113,", 1st &amp; 2nd Basement Completed",IF(C109=J114,", 1st to 3rd Basement Completed",IF(C109=J115,", 1st to 4th Basement Completed",IF(C109=J116,", Plinth work is process",IF(C109=J117,"","0"))))))))))</f>
        <v/>
      </c>
    </row>
    <row r="106" spans="1:22" x14ac:dyDescent="0.25">
      <c r="A106" s="221" t="s">
        <v>87</v>
      </c>
      <c r="B106" s="198"/>
      <c r="C106" s="197" t="str">
        <f ca="1">(IF($G$60="NA",I104,"All work Completed. OC Received."))</f>
        <v>Excavation, Plinth Completed, RCC upto 5 Slab Completed</v>
      </c>
      <c r="D106" s="197"/>
      <c r="E106" s="197"/>
      <c r="F106" s="197"/>
      <c r="G106" s="197"/>
      <c r="H106" s="219"/>
      <c r="I106" s="50" t="str">
        <f ca="1">IF(I105&lt;&gt;""," Completed","")</f>
        <v xml:space="preserve"> Completed</v>
      </c>
      <c r="J106" s="51" t="str">
        <f ca="1">IF(J104&lt;&gt;"","Completed","")</f>
        <v>Completed</v>
      </c>
    </row>
    <row r="107" spans="1:22" ht="15.75" customHeight="1" x14ac:dyDescent="0.25">
      <c r="A107" s="119" t="s">
        <v>47</v>
      </c>
      <c r="B107" s="120"/>
      <c r="C107" s="42" t="s">
        <v>136</v>
      </c>
      <c r="D107" s="42" t="s">
        <v>80</v>
      </c>
      <c r="E107" s="120" t="s">
        <v>82</v>
      </c>
      <c r="F107" s="120"/>
      <c r="G107" s="120" t="s">
        <v>81</v>
      </c>
      <c r="H107" s="186"/>
      <c r="I107" s="13" t="s">
        <v>138</v>
      </c>
      <c r="J107" s="28">
        <f ca="1">H105*25%</f>
        <v>1.75</v>
      </c>
    </row>
    <row r="108" spans="1:22" x14ac:dyDescent="0.25">
      <c r="A108" s="119" t="s">
        <v>125</v>
      </c>
      <c r="B108" s="120"/>
      <c r="C108" s="42">
        <f ca="1">J109</f>
        <v>7</v>
      </c>
      <c r="D108" s="19">
        <f ca="1">((100/H105)*C108)/100</f>
        <v>1</v>
      </c>
      <c r="E108" s="189">
        <f ca="1">(((C109/H105*10)+(40/(D105+F105+H105)*C110)+(7.5/(H105)*C111)+(7.5/(H105)*C112)+(10/H105*C113)+(10/H105*C114)+(5/H105*C115)+(5/H105*C116)+(5/H105*C117))/100)</f>
        <v>0.35</v>
      </c>
      <c r="F108" s="190"/>
      <c r="G108" s="189">
        <f ca="1">((((C108/H105)*20)+((C109/H105)*25)+(30/(H105+F105+D105)*C110)+(5/H105*C111)+(5/H105*C112)+(5/H105*C113)+(5/H105*C114)+(0/H105*C115)+(0/H105*C116)+(5/H105*C117))/100)</f>
        <v>0.63749999999999996</v>
      </c>
      <c r="H108" s="210"/>
      <c r="I108" s="13" t="s">
        <v>98</v>
      </c>
      <c r="J108" s="29">
        <f ca="1">H105*50%</f>
        <v>3.5</v>
      </c>
    </row>
    <row r="109" spans="1:22" x14ac:dyDescent="0.25">
      <c r="A109" s="119" t="s">
        <v>48</v>
      </c>
      <c r="B109" s="120"/>
      <c r="C109" s="54">
        <f ca="1">J117</f>
        <v>7</v>
      </c>
      <c r="D109" s="19">
        <f ca="1">((100/H105)*C109)/100</f>
        <v>1</v>
      </c>
      <c r="E109" s="191"/>
      <c r="F109" s="192"/>
      <c r="G109" s="191"/>
      <c r="H109" s="211"/>
      <c r="I109" s="13" t="s">
        <v>99</v>
      </c>
      <c r="J109" s="29">
        <f ca="1">H105</f>
        <v>7</v>
      </c>
    </row>
    <row r="110" spans="1:22" ht="15.75" customHeight="1" x14ac:dyDescent="0.25">
      <c r="A110" s="119" t="s">
        <v>126</v>
      </c>
      <c r="B110" s="120"/>
      <c r="C110" s="42">
        <v>5</v>
      </c>
      <c r="D110" s="19">
        <f ca="1">((100/(D105+F105+H105))*C110)/100</f>
        <v>0.625</v>
      </c>
      <c r="E110" s="191"/>
      <c r="F110" s="192"/>
      <c r="G110" s="191"/>
      <c r="H110" s="211"/>
      <c r="I110" s="13" t="s">
        <v>100</v>
      </c>
      <c r="J110" s="30">
        <f ca="1">(IF(B105&gt;1,(H105/(B105+2)),H105/4))</f>
        <v>1.75</v>
      </c>
    </row>
    <row r="111" spans="1:22" ht="15.75" customHeight="1" x14ac:dyDescent="0.25">
      <c r="A111" s="119" t="s">
        <v>133</v>
      </c>
      <c r="B111" s="120" t="s">
        <v>127</v>
      </c>
      <c r="C111" s="42">
        <v>0</v>
      </c>
      <c r="D111" s="19">
        <f ca="1">((100/H105)*C111)/100</f>
        <v>0</v>
      </c>
      <c r="E111" s="191"/>
      <c r="F111" s="192"/>
      <c r="G111" s="191"/>
      <c r="H111" s="211"/>
      <c r="I111" s="13" t="s">
        <v>101</v>
      </c>
      <c r="J111" s="30">
        <f ca="1">(IF(B105&gt;1,(H105/(B105+2)+J110),H105/4+J110))</f>
        <v>3.5</v>
      </c>
    </row>
    <row r="112" spans="1:22" ht="15.75" customHeight="1" x14ac:dyDescent="0.25">
      <c r="A112" s="119" t="s">
        <v>134</v>
      </c>
      <c r="B112" s="120" t="s">
        <v>127</v>
      </c>
      <c r="C112" s="42">
        <v>0</v>
      </c>
      <c r="D112" s="19">
        <f ca="1">((100/H105)*C112)/100</f>
        <v>0</v>
      </c>
      <c r="E112" s="191"/>
      <c r="F112" s="192"/>
      <c r="G112" s="191"/>
      <c r="H112" s="211"/>
      <c r="I112" s="13" t="s">
        <v>143</v>
      </c>
      <c r="J112" s="30">
        <f>(IF(B105&gt;1,(H105/(B105+2)+J111),0))</f>
        <v>0</v>
      </c>
    </row>
    <row r="113" spans="1:10" ht="15" customHeight="1" x14ac:dyDescent="0.25">
      <c r="A113" s="119" t="s">
        <v>132</v>
      </c>
      <c r="B113" s="120" t="s">
        <v>129</v>
      </c>
      <c r="C113" s="42">
        <v>0</v>
      </c>
      <c r="D113" s="19">
        <f ca="1">((100/(H105))*C113)/100</f>
        <v>0</v>
      </c>
      <c r="E113" s="191"/>
      <c r="F113" s="192"/>
      <c r="G113" s="191"/>
      <c r="H113" s="211"/>
      <c r="I113" s="13" t="s">
        <v>140</v>
      </c>
      <c r="J113" s="30">
        <f>(IF(B105&gt;2,(H105/(B105+2)+J112),0))</f>
        <v>0</v>
      </c>
    </row>
    <row r="114" spans="1:10" ht="15.75" customHeight="1" x14ac:dyDescent="0.25">
      <c r="A114" s="119" t="s">
        <v>128</v>
      </c>
      <c r="B114" s="120" t="s">
        <v>128</v>
      </c>
      <c r="C114" s="42">
        <v>0</v>
      </c>
      <c r="D114" s="19">
        <f ca="1">((100/H105)*C114)/100</f>
        <v>0</v>
      </c>
      <c r="E114" s="191"/>
      <c r="F114" s="192"/>
      <c r="G114" s="191"/>
      <c r="H114" s="211"/>
      <c r="I114" s="13" t="s">
        <v>141</v>
      </c>
      <c r="J114" s="31">
        <f>(IF(B105&gt;3,(H105/(B105+2)+J113),0))</f>
        <v>0</v>
      </c>
    </row>
    <row r="115" spans="1:10" ht="15.75" customHeight="1" x14ac:dyDescent="0.25">
      <c r="A115" s="119" t="s">
        <v>135</v>
      </c>
      <c r="B115" s="120"/>
      <c r="C115" s="42">
        <v>0</v>
      </c>
      <c r="D115" s="19">
        <f ca="1">((100/H105)*C115)/100</f>
        <v>0</v>
      </c>
      <c r="E115" s="191"/>
      <c r="F115" s="192"/>
      <c r="G115" s="191"/>
      <c r="H115" s="211"/>
      <c r="I115" s="13" t="s">
        <v>142</v>
      </c>
      <c r="J115" s="30">
        <f>(IF(B105&gt;4,(H105/(B105+2)+J114),0))</f>
        <v>0</v>
      </c>
    </row>
    <row r="116" spans="1:10" ht="15.75" customHeight="1" x14ac:dyDescent="0.25">
      <c r="A116" s="119" t="s">
        <v>130</v>
      </c>
      <c r="B116" s="120" t="s">
        <v>130</v>
      </c>
      <c r="C116" s="42">
        <v>0</v>
      </c>
      <c r="D116" s="19">
        <f ca="1">((100/(H105))*C116)/100</f>
        <v>0</v>
      </c>
      <c r="E116" s="191"/>
      <c r="F116" s="192"/>
      <c r="G116" s="191"/>
      <c r="H116" s="211"/>
      <c r="I116" s="13" t="s">
        <v>144</v>
      </c>
      <c r="J116" s="30">
        <f ca="1">(IF(B105=1,(H105/(B105+3)+J111),IF(B105=0,(H105/4+J111),IF(B105&gt;1,0))))</f>
        <v>5.25</v>
      </c>
    </row>
    <row r="117" spans="1:10" ht="16.5" thickBot="1" x14ac:dyDescent="0.3">
      <c r="A117" s="162" t="s">
        <v>131</v>
      </c>
      <c r="B117" s="163"/>
      <c r="C117" s="43">
        <v>0</v>
      </c>
      <c r="D117" s="20">
        <f ca="1">((100/(H105))*C117)/100</f>
        <v>0</v>
      </c>
      <c r="E117" s="193"/>
      <c r="F117" s="194"/>
      <c r="G117" s="193"/>
      <c r="H117" s="212"/>
      <c r="I117" s="15" t="s">
        <v>102</v>
      </c>
      <c r="J117" s="32">
        <f ca="1">(IF(B105&gt;1.5,(H105/(B105+2)+J111+MAX(0,J112-J111)+MAX(0,J113-J112)+MAX(0,J114-J113)+MAX(0,J115-J114)+MAX(0,J116-J115)),IF(B105=1,(H105/(B105+3)+J116),IF(B105=0,H105/4+J116))))</f>
        <v>7</v>
      </c>
    </row>
    <row r="118" spans="1:10" ht="15.75" hidden="1" customHeight="1" x14ac:dyDescent="0.25">
      <c r="A118" s="114" t="s">
        <v>137</v>
      </c>
      <c r="B118" s="115"/>
      <c r="C118" s="116" t="str">
        <f>D67</f>
        <v>C Wing = 1B + G + 1st to 20th Floor</v>
      </c>
      <c r="D118" s="117"/>
      <c r="E118" s="117"/>
      <c r="F118" s="117"/>
      <c r="G118" s="117"/>
      <c r="H118" s="118"/>
      <c r="I118" s="48" t="str">
        <f ca="1">IF(D131=100%,"All work Completed. Possession granted to the Building.",IF(D130=100%,"All work Completed, Waiting for OC",I119&amp;""&amp;I120&amp;""&amp;J119&amp;""&amp;J118&amp;" "&amp;J120))</f>
        <v xml:space="preserve">Excavation, Plinth, RCC Slab Completed </v>
      </c>
      <c r="J118" s="49" t="str">
        <f ca="1">(IF(C124=(D119+F119+H119),"",IF(C124&gt;0,", RCC upto "&amp;C124&amp;" Slab","")))&amp;(IF(C125=H119,"",IF(C125&gt;0,", Brickwork upto "&amp;C125&amp;" Floor","")))&amp;(IF(C126=H119,"",IF(C126&gt;0,", Internal Plaster upto "&amp;C126&amp;" Floor","")))&amp;(IF(C127=H119,"",IF(C127&gt;0,", External Plaster upto "&amp;C127&amp;" Floor","")))&amp;(IF(C128=H119,"",IF(C128&gt;0,", Flooring upto "&amp;C128&amp;" Floor","")))&amp;(IF(C129=H119,"",IF(C129&gt;0,", Painting upto "&amp;C129&amp;" Floor","")))&amp;(IF(C130=H119,"",IF(C130&gt;0,", Finishing upto "&amp;C130&amp;" Floor","")))&amp;(IF(C131=H119,"",IF(C131&gt;0,", Possession upto "&amp;C131&amp;" Floor","")))</f>
        <v/>
      </c>
    </row>
    <row r="119" spans="1:10" hidden="1" x14ac:dyDescent="0.25">
      <c r="A119" s="16" t="s">
        <v>139</v>
      </c>
      <c r="B119" s="53">
        <f>IF(AND(ISNUMBER(SEARCH("1B",C118))),1,IF(AND(ISNUMBER(SEARCH("2B",C118))),2,IF(AND(ISNUMBER(SEARCH("3B",C118))),3,IF(AND(ISNUMBER(SEARCH("4B",C118))),4,IF(ISNUMBER(SEARCH("5B",C118)),5,0)))))</f>
        <v>1</v>
      </c>
      <c r="C119" s="46" t="s">
        <v>69</v>
      </c>
      <c r="D119" s="46">
        <v>1</v>
      </c>
      <c r="E119" s="46" t="s">
        <v>68</v>
      </c>
      <c r="F119" s="14">
        <v>0</v>
      </c>
      <c r="G119" s="47" t="s">
        <v>77</v>
      </c>
      <c r="H119" s="17">
        <f ca="1">--TRIM(RIGHT(SUBSTITUTE(LEFT(C118,_xlfn.AGGREGATE(16,6,FIND({0,1,2,3,4,5,6,7,8,9},C118,ROW(INDIRECT("1:"&amp;LEN(C118)))),1))," ",REPT(" ",LEN(C118))),LEN(C118)))</f>
        <v>20</v>
      </c>
      <c r="I119" s="50" t="str">
        <f ca="1">IF(D122=100%,"Excavation","")&amp;IF(D123=100%,", Plinth","")&amp;IF(D124=100%,", RCC Slab","")&amp;IF(D125=100%,", Brickwork","")&amp;IF(D126=100%,", Internal Plaster","")&amp;IF(D127=100%,", External Plaster","")&amp;IF(D128=100%,", Flooring","")&amp;IF(D129=100%,", Painting","")&amp;IF(D130=100%,", Building common Amenities","")</f>
        <v>Excavation, Plinth, RCC Slab</v>
      </c>
      <c r="J119" s="51" t="str">
        <f ca="1">(IF(C122=0,"Work not yet Started.",IF(D122=25%,"Piling work in process",IF(D122=50%,"Excavation work in process",IF(D122=100%,"","0")))))&amp;(IF(C123=0%,"",IF(C123=J124,", Footing work is process",IF(C123=J125,", Footing work Completed",IF(C123=J126,", 1st Basement Completed",IF(C123=J127,", 1st &amp; 2nd Basement Completed",IF(C123=J128,", 1st to 3rd Basement Completed",IF(C123=J129,", 1st to 4th Basement Completed",IF(C123=J130,", Plinth work is process",IF(C123=J131,"","0"))))))))))</f>
        <v/>
      </c>
    </row>
    <row r="120" spans="1:10" hidden="1" x14ac:dyDescent="0.25">
      <c r="A120" s="221" t="s">
        <v>87</v>
      </c>
      <c r="B120" s="198"/>
      <c r="C120" s="197" t="str">
        <f ca="1">(IF($G$60="NA",I118,"All work Completed. OC Received."))</f>
        <v xml:space="preserve">Excavation, Plinth, RCC Slab Completed </v>
      </c>
      <c r="D120" s="197"/>
      <c r="E120" s="197"/>
      <c r="F120" s="197"/>
      <c r="G120" s="197"/>
      <c r="H120" s="219"/>
      <c r="I120" s="50" t="str">
        <f ca="1">IF(I119&lt;&gt;""," Completed","")</f>
        <v xml:space="preserve"> Completed</v>
      </c>
      <c r="J120" s="51" t="str">
        <f ca="1">IF(J118&lt;&gt;"","Completed","")</f>
        <v/>
      </c>
    </row>
    <row r="121" spans="1:10" ht="15.75" hidden="1" customHeight="1" x14ac:dyDescent="0.25">
      <c r="A121" s="119" t="s">
        <v>47</v>
      </c>
      <c r="B121" s="120"/>
      <c r="C121" s="42" t="s">
        <v>136</v>
      </c>
      <c r="D121" s="42" t="s">
        <v>80</v>
      </c>
      <c r="E121" s="120" t="s">
        <v>82</v>
      </c>
      <c r="F121" s="120"/>
      <c r="G121" s="120" t="s">
        <v>81</v>
      </c>
      <c r="H121" s="186"/>
      <c r="I121" s="13" t="s">
        <v>138</v>
      </c>
      <c r="J121" s="28">
        <f ca="1">H119*25%</f>
        <v>5</v>
      </c>
    </row>
    <row r="122" spans="1:10" hidden="1" x14ac:dyDescent="0.25">
      <c r="A122" s="119" t="s">
        <v>125</v>
      </c>
      <c r="B122" s="120"/>
      <c r="C122" s="42">
        <f ca="1">J123</f>
        <v>20</v>
      </c>
      <c r="D122" s="19">
        <f ca="1">((100/H119)*C122)/100</f>
        <v>1</v>
      </c>
      <c r="E122" s="189">
        <f ca="1">(((C123/H119*10)+(40/(D119+F119+H119)*C124)+(7.5/(H119)*C125)+(7.5/(H119)*C126)+(10/H119*C127)+(10/H119*C128)+(5/H119*C129)+(5/H119*C130)+(5/H119*C131))/100)</f>
        <v>0.5</v>
      </c>
      <c r="F122" s="190"/>
      <c r="G122" s="189">
        <f ca="1">((((C122/H119)*20)+((C123/H119)*25)+(30/(H119+F119+D119)*C124)+(5/H119*C125)+(5/H119*C126)+(5/H119*C127)+(5/H119*C128)+(0/H119*C129)+(0/H119*C130)+(5/H119*C131))/100)</f>
        <v>0.75</v>
      </c>
      <c r="H122" s="210"/>
      <c r="I122" s="13" t="s">
        <v>98</v>
      </c>
      <c r="J122" s="29">
        <f ca="1">H119*50%</f>
        <v>10</v>
      </c>
    </row>
    <row r="123" spans="1:10" hidden="1" x14ac:dyDescent="0.25">
      <c r="A123" s="119" t="s">
        <v>48</v>
      </c>
      <c r="B123" s="120"/>
      <c r="C123" s="42">
        <f ca="1">J131</f>
        <v>20</v>
      </c>
      <c r="D123" s="19">
        <f ca="1">((100/H119)*C123)/100</f>
        <v>1</v>
      </c>
      <c r="E123" s="191"/>
      <c r="F123" s="192"/>
      <c r="G123" s="191"/>
      <c r="H123" s="211"/>
      <c r="I123" s="13" t="s">
        <v>99</v>
      </c>
      <c r="J123" s="29">
        <f ca="1">H119</f>
        <v>20</v>
      </c>
    </row>
    <row r="124" spans="1:10" ht="15.75" hidden="1" customHeight="1" x14ac:dyDescent="0.25">
      <c r="A124" s="119" t="s">
        <v>126</v>
      </c>
      <c r="B124" s="120"/>
      <c r="C124" s="42">
        <f ca="1">D119+H119</f>
        <v>21</v>
      </c>
      <c r="D124" s="19">
        <f ca="1">((100/(D119+F119+H119))*C124)/100</f>
        <v>1</v>
      </c>
      <c r="E124" s="191"/>
      <c r="F124" s="192"/>
      <c r="G124" s="191"/>
      <c r="H124" s="211"/>
      <c r="I124" s="13" t="s">
        <v>100</v>
      </c>
      <c r="J124" s="30">
        <f ca="1">(IF(B119&gt;1,(H119/(B119+2)),H119/4))</f>
        <v>5</v>
      </c>
    </row>
    <row r="125" spans="1:10" ht="15.75" hidden="1" customHeight="1" x14ac:dyDescent="0.25">
      <c r="A125" s="119" t="s">
        <v>133</v>
      </c>
      <c r="B125" s="120" t="s">
        <v>127</v>
      </c>
      <c r="C125" s="42">
        <v>0</v>
      </c>
      <c r="D125" s="19">
        <f ca="1">((100/H119)*C125)/100</f>
        <v>0</v>
      </c>
      <c r="E125" s="191"/>
      <c r="F125" s="192"/>
      <c r="G125" s="191"/>
      <c r="H125" s="211"/>
      <c r="I125" s="13" t="s">
        <v>101</v>
      </c>
      <c r="J125" s="30">
        <f ca="1">(IF(B119&gt;1,(H119/(B119+2)+J124),H119/4+J124))</f>
        <v>10</v>
      </c>
    </row>
    <row r="126" spans="1:10" ht="15.75" hidden="1" customHeight="1" x14ac:dyDescent="0.25">
      <c r="A126" s="119" t="s">
        <v>134</v>
      </c>
      <c r="B126" s="120" t="s">
        <v>127</v>
      </c>
      <c r="C126" s="42">
        <v>0</v>
      </c>
      <c r="D126" s="19">
        <f ca="1">((100/H119)*C126)/100</f>
        <v>0</v>
      </c>
      <c r="E126" s="191"/>
      <c r="F126" s="192"/>
      <c r="G126" s="191"/>
      <c r="H126" s="211"/>
      <c r="I126" s="13" t="s">
        <v>143</v>
      </c>
      <c r="J126" s="30">
        <f>(IF(B119&gt;1,(H119/(B119+2)+J125),0))</f>
        <v>0</v>
      </c>
    </row>
    <row r="127" spans="1:10" ht="15" hidden="1" customHeight="1" x14ac:dyDescent="0.25">
      <c r="A127" s="119" t="s">
        <v>132</v>
      </c>
      <c r="B127" s="120" t="s">
        <v>129</v>
      </c>
      <c r="C127" s="42">
        <v>0</v>
      </c>
      <c r="D127" s="19">
        <f ca="1">((100/(H119))*C127)/100</f>
        <v>0</v>
      </c>
      <c r="E127" s="191"/>
      <c r="F127" s="192"/>
      <c r="G127" s="191"/>
      <c r="H127" s="211"/>
      <c r="I127" s="13" t="s">
        <v>140</v>
      </c>
      <c r="J127" s="30">
        <f>(IF(B119&gt;2,(H119/(B119+2)+J126),0))</f>
        <v>0</v>
      </c>
    </row>
    <row r="128" spans="1:10" ht="15.75" hidden="1" customHeight="1" x14ac:dyDescent="0.25">
      <c r="A128" s="119" t="s">
        <v>128</v>
      </c>
      <c r="B128" s="120" t="s">
        <v>128</v>
      </c>
      <c r="C128" s="42">
        <v>0</v>
      </c>
      <c r="D128" s="19">
        <f ca="1">((100/H119)*C128)/100</f>
        <v>0</v>
      </c>
      <c r="E128" s="191"/>
      <c r="F128" s="192"/>
      <c r="G128" s="191"/>
      <c r="H128" s="211"/>
      <c r="I128" s="13" t="s">
        <v>141</v>
      </c>
      <c r="J128" s="31">
        <f>(IF(B119&gt;3,(H119/(B119+2)+J127),0))</f>
        <v>0</v>
      </c>
    </row>
    <row r="129" spans="1:22" ht="15.75" hidden="1" customHeight="1" x14ac:dyDescent="0.25">
      <c r="A129" s="119" t="s">
        <v>135</v>
      </c>
      <c r="B129" s="120"/>
      <c r="C129" s="42">
        <v>0</v>
      </c>
      <c r="D129" s="19">
        <f ca="1">((100/H119)*C129)/100</f>
        <v>0</v>
      </c>
      <c r="E129" s="191"/>
      <c r="F129" s="192"/>
      <c r="G129" s="191"/>
      <c r="H129" s="211"/>
      <c r="I129" s="13" t="s">
        <v>142</v>
      </c>
      <c r="J129" s="30">
        <f>(IF(B119&gt;4,(H119/(B119+2)+J128),0))</f>
        <v>0</v>
      </c>
    </row>
    <row r="130" spans="1:22" ht="15.75" hidden="1" customHeight="1" x14ac:dyDescent="0.25">
      <c r="A130" s="119" t="s">
        <v>130</v>
      </c>
      <c r="B130" s="120" t="s">
        <v>130</v>
      </c>
      <c r="C130" s="42">
        <v>0</v>
      </c>
      <c r="D130" s="19">
        <f ca="1">((100/(H119))*C130)/100</f>
        <v>0</v>
      </c>
      <c r="E130" s="191"/>
      <c r="F130" s="192"/>
      <c r="G130" s="191"/>
      <c r="H130" s="211"/>
      <c r="I130" s="13" t="s">
        <v>144</v>
      </c>
      <c r="J130" s="30">
        <f ca="1">(IF(B119=1,(H119/(B119+3)+J125),IF(B119=0,(H119/4+J125),IF(B119&gt;1,0))))</f>
        <v>15</v>
      </c>
    </row>
    <row r="131" spans="1:22" ht="16.5" hidden="1" thickBot="1" x14ac:dyDescent="0.3">
      <c r="A131" s="162" t="s">
        <v>131</v>
      </c>
      <c r="B131" s="163"/>
      <c r="C131" s="43">
        <v>0</v>
      </c>
      <c r="D131" s="20">
        <f ca="1">((100/(H119))*C131)/100</f>
        <v>0</v>
      </c>
      <c r="E131" s="193"/>
      <c r="F131" s="194"/>
      <c r="G131" s="193"/>
      <c r="H131" s="212"/>
      <c r="I131" s="15" t="s">
        <v>102</v>
      </c>
      <c r="J131" s="32">
        <f ca="1">(IF(B119&gt;1.5,(H119/(B119+2)+J125+MAX(0,J126-J125)+MAX(0,J127-J126)+MAX(0,J128-J127)+MAX(0,J129-J128)+MAX(0,J130-J129)),IF(B119=1,(H119/(B119+3)+J130),IF(B119=0,H119/4+J130))))</f>
        <v>20</v>
      </c>
    </row>
    <row r="132" spans="1:22" x14ac:dyDescent="0.25">
      <c r="A132" s="222" t="s">
        <v>154</v>
      </c>
      <c r="B132" s="222"/>
      <c r="C132" s="222"/>
      <c r="D132" s="222"/>
      <c r="E132" s="222"/>
      <c r="F132" s="188" t="s">
        <v>158</v>
      </c>
      <c r="G132" s="188"/>
      <c r="H132" s="188"/>
      <c r="R132" t="s">
        <v>251</v>
      </c>
      <c r="S132" t="s">
        <v>171</v>
      </c>
      <c r="T132" t="s">
        <v>177</v>
      </c>
      <c r="U132" t="s">
        <v>192</v>
      </c>
      <c r="V132" t="s">
        <v>187</v>
      </c>
    </row>
    <row r="133" spans="1:22" x14ac:dyDescent="0.25">
      <c r="A133" s="105" t="s">
        <v>156</v>
      </c>
      <c r="B133" s="105"/>
      <c r="C133" s="105"/>
      <c r="D133" s="105"/>
      <c r="E133" s="105"/>
      <c r="F133" s="102">
        <v>7100</v>
      </c>
      <c r="G133" s="102"/>
      <c r="H133" s="102"/>
      <c r="R133"/>
      <c r="S133">
        <v>800000</v>
      </c>
      <c r="T133">
        <v>300000</v>
      </c>
      <c r="U133">
        <v>100000</v>
      </c>
      <c r="V133">
        <v>100000</v>
      </c>
    </row>
    <row r="134" spans="1:22" x14ac:dyDescent="0.25">
      <c r="A134" s="105" t="s">
        <v>155</v>
      </c>
      <c r="B134" s="105"/>
      <c r="C134" s="105"/>
      <c r="D134" s="105"/>
      <c r="E134" s="105"/>
      <c r="F134" s="102">
        <v>12000</v>
      </c>
      <c r="G134" s="102"/>
      <c r="H134" s="102"/>
      <c r="R134"/>
      <c r="S134">
        <v>900000</v>
      </c>
      <c r="T134">
        <v>350000</v>
      </c>
      <c r="U134">
        <v>150000</v>
      </c>
      <c r="V134">
        <v>150000</v>
      </c>
    </row>
    <row r="135" spans="1:22" hidden="1" x14ac:dyDescent="0.25">
      <c r="A135" s="105" t="s">
        <v>157</v>
      </c>
      <c r="B135" s="105"/>
      <c r="C135" s="105"/>
      <c r="D135" s="105"/>
      <c r="E135" s="105"/>
      <c r="F135" s="102"/>
      <c r="G135" s="102"/>
      <c r="H135" s="102"/>
      <c r="R135"/>
      <c r="S135">
        <v>1000000</v>
      </c>
      <c r="T135">
        <v>400000</v>
      </c>
      <c r="U135">
        <v>200000</v>
      </c>
      <c r="V135">
        <v>200000</v>
      </c>
    </row>
    <row r="136" spans="1:22" s="33" customFormat="1" hidden="1" x14ac:dyDescent="0.25">
      <c r="A136" s="105" t="s">
        <v>174</v>
      </c>
      <c r="B136" s="105"/>
      <c r="C136" s="105"/>
      <c r="D136" s="105"/>
      <c r="E136" s="105"/>
      <c r="F136" s="102"/>
      <c r="G136" s="102"/>
      <c r="H136" s="102"/>
      <c r="R136"/>
      <c r="S136">
        <v>1100000</v>
      </c>
      <c r="T136">
        <v>500000</v>
      </c>
      <c r="U136">
        <v>250000</v>
      </c>
      <c r="V136" s="23">
        <v>250000</v>
      </c>
    </row>
    <row r="137" spans="1:22" s="33" customFormat="1" hidden="1" x14ac:dyDescent="0.25">
      <c r="A137" s="105" t="s">
        <v>92</v>
      </c>
      <c r="B137" s="105"/>
      <c r="C137" s="105"/>
      <c r="D137" s="105"/>
      <c r="E137" s="105"/>
      <c r="F137" s="102"/>
      <c r="G137" s="102"/>
      <c r="H137" s="102"/>
      <c r="R137"/>
      <c r="S137">
        <v>1200000</v>
      </c>
      <c r="T137">
        <v>600000</v>
      </c>
      <c r="U137">
        <v>300000</v>
      </c>
      <c r="V137">
        <v>300000</v>
      </c>
    </row>
    <row r="138" spans="1:22" s="33" customFormat="1" hidden="1" x14ac:dyDescent="0.25">
      <c r="A138" s="105" t="s">
        <v>93</v>
      </c>
      <c r="B138" s="105"/>
      <c r="C138" s="105"/>
      <c r="D138" s="105"/>
      <c r="E138" s="105"/>
      <c r="F138" s="102"/>
      <c r="G138" s="102"/>
      <c r="H138" s="102"/>
      <c r="R138"/>
      <c r="S138">
        <v>1300000</v>
      </c>
      <c r="T138">
        <v>700000</v>
      </c>
      <c r="U138">
        <v>350000</v>
      </c>
      <c r="V138" s="23">
        <v>400000</v>
      </c>
    </row>
    <row r="139" spans="1:22" s="33" customFormat="1" hidden="1" x14ac:dyDescent="0.25">
      <c r="A139" s="105" t="s">
        <v>94</v>
      </c>
      <c r="B139" s="105"/>
      <c r="C139" s="105"/>
      <c r="D139" s="105"/>
      <c r="E139" s="105"/>
      <c r="F139" s="102"/>
      <c r="G139" s="102"/>
      <c r="H139" s="102"/>
      <c r="R139"/>
      <c r="S139">
        <v>1400000</v>
      </c>
      <c r="T139">
        <v>800000</v>
      </c>
      <c r="U139">
        <v>400000</v>
      </c>
      <c r="V139"/>
    </row>
    <row r="140" spans="1:22" s="33" customFormat="1" hidden="1" x14ac:dyDescent="0.25">
      <c r="A140" s="105" t="s">
        <v>95</v>
      </c>
      <c r="B140" s="105"/>
      <c r="C140" s="105"/>
      <c r="D140" s="105"/>
      <c r="E140" s="105"/>
      <c r="F140" s="102"/>
      <c r="G140" s="102"/>
      <c r="H140" s="102"/>
      <c r="R140"/>
      <c r="S140">
        <v>1500000</v>
      </c>
      <c r="T140">
        <v>900000</v>
      </c>
      <c r="U140">
        <v>500000</v>
      </c>
      <c r="V140" s="23"/>
    </row>
    <row r="141" spans="1:22" s="33" customFormat="1" hidden="1" x14ac:dyDescent="0.25">
      <c r="A141" s="105" t="s">
        <v>96</v>
      </c>
      <c r="B141" s="105"/>
      <c r="C141" s="105"/>
      <c r="D141" s="105"/>
      <c r="E141" s="105"/>
      <c r="F141" s="102"/>
      <c r="G141" s="102"/>
      <c r="H141" s="102"/>
      <c r="R141"/>
      <c r="S141">
        <v>1600000</v>
      </c>
      <c r="T141">
        <v>1000000</v>
      </c>
      <c r="U141">
        <v>600000</v>
      </c>
      <c r="V141"/>
    </row>
    <row r="142" spans="1:22" s="33" customFormat="1" hidden="1" x14ac:dyDescent="0.25">
      <c r="A142" s="105" t="s">
        <v>97</v>
      </c>
      <c r="B142" s="105"/>
      <c r="C142" s="105"/>
      <c r="D142" s="105"/>
      <c r="E142" s="105"/>
      <c r="F142" s="102"/>
      <c r="G142" s="102"/>
      <c r="H142" s="102"/>
      <c r="R142"/>
      <c r="S142">
        <v>1700000</v>
      </c>
      <c r="T142"/>
      <c r="U142"/>
      <c r="V142" s="23"/>
    </row>
    <row r="143" spans="1:22" x14ac:dyDescent="0.25">
      <c r="A143" s="105" t="s">
        <v>49</v>
      </c>
      <c r="B143" s="105"/>
      <c r="C143" s="105"/>
      <c r="D143" s="105"/>
      <c r="E143" s="105"/>
      <c r="F143" s="102">
        <v>400000</v>
      </c>
      <c r="G143" s="102"/>
      <c r="H143" s="102"/>
      <c r="R143"/>
      <c r="S143">
        <v>1800000</v>
      </c>
      <c r="T143"/>
      <c r="U143"/>
    </row>
    <row r="144" spans="1:22" s="34" customFormat="1" x14ac:dyDescent="0.25">
      <c r="A144" s="187" t="s">
        <v>50</v>
      </c>
      <c r="B144" s="187"/>
      <c r="C144" s="187"/>
      <c r="D144" s="187"/>
      <c r="E144" s="187"/>
      <c r="F144" s="102">
        <f>F133*0.8</f>
        <v>5680</v>
      </c>
      <c r="G144" s="102"/>
      <c r="H144" s="102"/>
      <c r="R144" s="21"/>
      <c r="S144" s="21"/>
      <c r="T144"/>
      <c r="U144"/>
      <c r="V144" s="21"/>
    </row>
    <row r="145" spans="1:22" s="35" customFormat="1" ht="15.75" customHeight="1" x14ac:dyDescent="0.25">
      <c r="A145" s="176" t="s">
        <v>72</v>
      </c>
      <c r="B145" s="176"/>
      <c r="C145" s="176"/>
      <c r="D145" s="176"/>
      <c r="E145" s="176"/>
      <c r="F145" s="176"/>
      <c r="G145" s="176"/>
      <c r="H145" s="176"/>
      <c r="R145"/>
      <c r="S145" s="21"/>
      <c r="T145"/>
      <c r="U145"/>
      <c r="V145" s="21"/>
    </row>
    <row r="146" spans="1:22" s="35" customFormat="1" ht="15.75" customHeight="1" x14ac:dyDescent="0.25">
      <c r="A146" s="104" t="s">
        <v>51</v>
      </c>
      <c r="B146" s="104"/>
      <c r="C146" s="110" t="s">
        <v>75</v>
      </c>
      <c r="D146" s="110"/>
      <c r="E146" s="109" t="s">
        <v>52</v>
      </c>
      <c r="F146" s="109"/>
      <c r="G146" s="104" t="s">
        <v>53</v>
      </c>
      <c r="H146" s="104"/>
      <c r="R146"/>
      <c r="S146" s="21"/>
      <c r="T146"/>
      <c r="U146" s="21"/>
      <c r="V146" s="21"/>
    </row>
    <row r="147" spans="1:22" s="35" customFormat="1" x14ac:dyDescent="0.25">
      <c r="A147" s="179" t="s">
        <v>321</v>
      </c>
      <c r="B147" s="179"/>
      <c r="C147" s="180">
        <f>COUNT(F160:F161)</f>
        <v>2</v>
      </c>
      <c r="D147" s="181"/>
      <c r="E147" s="160">
        <f>SUM(F160:F161)</f>
        <v>314.84699999999998</v>
      </c>
      <c r="F147" s="161"/>
      <c r="G147" s="160">
        <f>SUM(H160:H161)</f>
        <v>488.01284999999996</v>
      </c>
      <c r="H147" s="161"/>
      <c r="R147"/>
      <c r="S147" s="21"/>
      <c r="T147"/>
      <c r="U147" s="21"/>
      <c r="V147" s="21"/>
    </row>
    <row r="148" spans="1:22" s="35" customFormat="1" x14ac:dyDescent="0.25">
      <c r="A148" s="176" t="s">
        <v>67</v>
      </c>
      <c r="B148" s="176"/>
      <c r="C148" s="176"/>
      <c r="D148" s="176"/>
      <c r="E148" s="176"/>
      <c r="F148" s="176"/>
      <c r="G148" s="176"/>
      <c r="H148" s="176"/>
      <c r="T148"/>
    </row>
    <row r="149" spans="1:22" s="35" customFormat="1" ht="15.75" customHeight="1" x14ac:dyDescent="0.25">
      <c r="A149" s="104" t="s">
        <v>51</v>
      </c>
      <c r="B149" s="104"/>
      <c r="C149" s="110" t="s">
        <v>75</v>
      </c>
      <c r="D149" s="110"/>
      <c r="E149" s="109" t="s">
        <v>52</v>
      </c>
      <c r="F149" s="109"/>
      <c r="G149" s="104" t="s">
        <v>53</v>
      </c>
      <c r="H149" s="104"/>
      <c r="T149"/>
    </row>
    <row r="150" spans="1:22" s="35" customFormat="1" x14ac:dyDescent="0.25">
      <c r="A150" s="179" t="s">
        <v>321</v>
      </c>
      <c r="B150" s="179"/>
      <c r="C150" s="181">
        <f>COUNT(F167:F170)*3+COUNT(F172:F175)*3+COUNT(F177,F178:F179)+COUNT(F181,F182:F183)*2+COUNT(F185,F186:F187)+COUNT(F189,F190:F191)*4</f>
        <v>48</v>
      </c>
      <c r="D150" s="181"/>
      <c r="E150" s="160">
        <f>SUM(F167:F170)*3+SUM(F172:F175)*3+SUM(F177,F178:F179)+SUM(F181,F182:F183)*2+SUM(F185,F186:F187)+SUM(F189,F190:F191)*4</f>
        <v>25171.291079999995</v>
      </c>
      <c r="F150" s="160"/>
      <c r="G150" s="160">
        <f>SUM(H167:H170)*3+SUM(H172:H175)*3+SUM(H177,H178:H179)+SUM(H181,H182:H183)*2+SUM(H185,H186:H187)+SUM(H189,H190:H191)*4</f>
        <v>38840.566739400005</v>
      </c>
      <c r="H150" s="160"/>
      <c r="T150"/>
    </row>
    <row r="151" spans="1:22" s="35" customFormat="1" x14ac:dyDescent="0.25">
      <c r="A151" s="179" t="s">
        <v>332</v>
      </c>
      <c r="B151" s="179"/>
      <c r="C151" s="181">
        <f>COUNT(F194:F196)+COUNT(F198:F201)*4+COUNT(F203:F206)*3</f>
        <v>31</v>
      </c>
      <c r="D151" s="181"/>
      <c r="E151" s="160">
        <f>SUM(F194:F196)+SUM(F198:F201)*4+SUM(F203:F206)*3</f>
        <v>12662.473589999998</v>
      </c>
      <c r="F151" s="160"/>
      <c r="G151" s="160">
        <f>SUM(H194:H196)+SUM(H198:H201)*4+SUM(H203:H206)*3</f>
        <v>19720</v>
      </c>
      <c r="H151" s="160"/>
    </row>
    <row r="152" spans="1:22" s="35" customFormat="1" ht="16.5" thickBot="1" x14ac:dyDescent="0.3">
      <c r="A152" s="225" t="s">
        <v>147</v>
      </c>
      <c r="B152" s="225"/>
      <c r="C152" s="164">
        <f>C150+C151</f>
        <v>79</v>
      </c>
      <c r="D152" s="164"/>
      <c r="E152" s="226">
        <f t="shared" ref="E152" si="0">E150+E151</f>
        <v>37833.76466999999</v>
      </c>
      <c r="F152" s="226"/>
      <c r="G152" s="226">
        <f t="shared" ref="G152" si="1">G150+G151</f>
        <v>58560.566739400005</v>
      </c>
      <c r="H152" s="226"/>
    </row>
    <row r="153" spans="1:22" s="35" customFormat="1" ht="16.5" thickBot="1" x14ac:dyDescent="0.3">
      <c r="A153" s="165" t="s">
        <v>164</v>
      </c>
      <c r="B153" s="166"/>
      <c r="C153" s="177">
        <f>C147+C152</f>
        <v>81</v>
      </c>
      <c r="D153" s="178"/>
      <c r="E153" s="177">
        <f>E147+E152</f>
        <v>38148.611669999991</v>
      </c>
      <c r="F153" s="178"/>
      <c r="G153" s="177">
        <f>G147+G152</f>
        <v>59048.579589400004</v>
      </c>
      <c r="H153" s="178"/>
    </row>
    <row r="154" spans="1:22" s="34" customFormat="1" x14ac:dyDescent="0.25">
      <c r="A154" s="188" t="s">
        <v>54</v>
      </c>
      <c r="B154" s="188"/>
      <c r="C154" s="188"/>
      <c r="D154" s="188"/>
      <c r="E154" s="188"/>
      <c r="F154" s="188"/>
      <c r="G154" s="188"/>
      <c r="H154" s="188"/>
      <c r="T154" s="35"/>
    </row>
    <row r="155" spans="1:22" x14ac:dyDescent="0.25">
      <c r="A155" s="103" t="s">
        <v>173</v>
      </c>
      <c r="B155" s="103"/>
      <c r="C155" s="103"/>
      <c r="D155" s="103"/>
      <c r="E155" s="103"/>
      <c r="F155" s="103"/>
      <c r="G155" s="103"/>
      <c r="H155" s="103"/>
      <c r="T155" s="35"/>
    </row>
    <row r="156" spans="1:22" ht="47.25" customHeight="1" x14ac:dyDescent="0.25">
      <c r="A156" s="158" t="s">
        <v>117</v>
      </c>
      <c r="B156" s="158" t="s">
        <v>175</v>
      </c>
      <c r="C156" s="158" t="s">
        <v>55</v>
      </c>
      <c r="D156" s="158" t="s">
        <v>230</v>
      </c>
      <c r="E156" s="182" t="s">
        <v>153</v>
      </c>
      <c r="F156" s="158" t="s">
        <v>56</v>
      </c>
      <c r="G156" s="182" t="s">
        <v>57</v>
      </c>
      <c r="H156" s="58" t="s">
        <v>146</v>
      </c>
      <c r="T156" s="35"/>
    </row>
    <row r="157" spans="1:22" s="37" customFormat="1" x14ac:dyDescent="0.25">
      <c r="A157" s="159"/>
      <c r="B157" s="159"/>
      <c r="C157" s="159"/>
      <c r="D157" s="159"/>
      <c r="E157" s="183"/>
      <c r="F157" s="159"/>
      <c r="G157" s="183"/>
      <c r="H157" s="70">
        <v>0.55000000000000004</v>
      </c>
      <c r="I157" s="65">
        <v>10.763999999999999</v>
      </c>
      <c r="T157" s="34"/>
    </row>
    <row r="158" spans="1:22" s="66" customFormat="1" x14ac:dyDescent="0.25">
      <c r="A158" s="97" t="s">
        <v>321</v>
      </c>
      <c r="B158" s="98"/>
      <c r="C158" s="98"/>
      <c r="D158" s="98"/>
      <c r="E158" s="98"/>
      <c r="F158" s="98"/>
      <c r="G158" s="98"/>
      <c r="H158" s="99"/>
      <c r="J158" s="36"/>
      <c r="T158" s="21"/>
    </row>
    <row r="159" spans="1:22" s="37" customFormat="1" x14ac:dyDescent="0.25">
      <c r="A159" s="83" t="s">
        <v>322</v>
      </c>
      <c r="B159" s="84"/>
      <c r="C159" s="84"/>
      <c r="D159" s="84"/>
      <c r="E159" s="84"/>
      <c r="F159" s="84"/>
      <c r="G159" s="84"/>
      <c r="H159" s="85"/>
      <c r="J159" s="36"/>
      <c r="T159" s="21"/>
    </row>
    <row r="160" spans="1:22" s="37" customFormat="1" ht="15.75" customHeight="1" x14ac:dyDescent="0.25">
      <c r="A160" s="86">
        <v>1</v>
      </c>
      <c r="B160" s="87"/>
      <c r="C160" s="41" t="s">
        <v>323</v>
      </c>
      <c r="D160" s="65">
        <f>(3.9*3.45+1.35*2.55)*10.764</f>
        <v>181.88469000000001</v>
      </c>
      <c r="E160" s="41">
        <v>0</v>
      </c>
      <c r="F160" s="41">
        <f>D160+E160</f>
        <v>181.88469000000001</v>
      </c>
      <c r="G160" s="57">
        <v>0</v>
      </c>
      <c r="H160" s="57">
        <f>(D160+E160)*(($H$157)+1)</f>
        <v>281.92126949999999</v>
      </c>
      <c r="I160" s="36"/>
      <c r="T160" s="21"/>
    </row>
    <row r="161" spans="1:20" s="37" customFormat="1" ht="15.75" customHeight="1" x14ac:dyDescent="0.25">
      <c r="A161" s="86">
        <f>A160+1</f>
        <v>2</v>
      </c>
      <c r="B161" s="87"/>
      <c r="C161" s="41" t="s">
        <v>323</v>
      </c>
      <c r="D161" s="65">
        <f>(4.05*3.05)*10.764</f>
        <v>132.96230999999997</v>
      </c>
      <c r="E161" s="41">
        <v>0</v>
      </c>
      <c r="F161" s="57">
        <f>D161+E161</f>
        <v>132.96230999999997</v>
      </c>
      <c r="G161" s="57">
        <v>0</v>
      </c>
      <c r="H161" s="57">
        <f>(D161+E161)*(($H$157)+1)</f>
        <v>206.09158049999996</v>
      </c>
      <c r="I161" s="36"/>
    </row>
    <row r="162" spans="1:20" s="37" customFormat="1" x14ac:dyDescent="0.25">
      <c r="A162" s="86"/>
      <c r="B162" s="184"/>
      <c r="C162" s="184"/>
      <c r="D162" s="184"/>
      <c r="E162" s="184"/>
      <c r="F162" s="184"/>
      <c r="G162" s="184"/>
      <c r="H162" s="87"/>
      <c r="I162" s="36"/>
    </row>
    <row r="163" spans="1:20" ht="47.25" customHeight="1" x14ac:dyDescent="0.25">
      <c r="A163" s="174" t="s">
        <v>118</v>
      </c>
      <c r="B163" s="158" t="s">
        <v>176</v>
      </c>
      <c r="C163" s="158" t="s">
        <v>55</v>
      </c>
      <c r="D163" s="158" t="s">
        <v>230</v>
      </c>
      <c r="E163" s="158" t="s">
        <v>338</v>
      </c>
      <c r="F163" s="158" t="s">
        <v>56</v>
      </c>
      <c r="G163" s="182" t="s">
        <v>57</v>
      </c>
      <c r="H163" s="58" t="s">
        <v>343</v>
      </c>
      <c r="I163" s="36"/>
      <c r="T163" s="37"/>
    </row>
    <row r="164" spans="1:20" s="37" customFormat="1" hidden="1" x14ac:dyDescent="0.25">
      <c r="A164" s="175"/>
      <c r="B164" s="159"/>
      <c r="C164" s="159"/>
      <c r="D164" s="159"/>
      <c r="E164" s="159"/>
      <c r="F164" s="159"/>
      <c r="G164" s="183"/>
      <c r="H164" s="70">
        <v>0.6</v>
      </c>
      <c r="I164" s="36"/>
      <c r="L164" s="66"/>
      <c r="M164" s="66"/>
    </row>
    <row r="165" spans="1:20" s="66" customFormat="1" x14ac:dyDescent="0.25">
      <c r="A165" s="97" t="s">
        <v>321</v>
      </c>
      <c r="B165" s="98"/>
      <c r="C165" s="98"/>
      <c r="D165" s="98"/>
      <c r="E165" s="98"/>
      <c r="F165" s="98"/>
      <c r="G165" s="98"/>
      <c r="H165" s="99"/>
      <c r="J165" s="36"/>
      <c r="T165" s="21"/>
    </row>
    <row r="166" spans="1:20" s="37" customFormat="1" x14ac:dyDescent="0.25">
      <c r="A166" s="83" t="s">
        <v>324</v>
      </c>
      <c r="B166" s="84"/>
      <c r="C166" s="84"/>
      <c r="D166" s="84"/>
      <c r="E166" s="84"/>
      <c r="F166" s="84"/>
      <c r="G166" s="84"/>
      <c r="H166" s="85"/>
      <c r="J166" s="36"/>
      <c r="L166" s="66"/>
      <c r="M166" s="66"/>
      <c r="N166" s="66"/>
      <c r="O166" s="66"/>
    </row>
    <row r="167" spans="1:20" s="37" customFormat="1" ht="15.75" customHeight="1" x14ac:dyDescent="0.25">
      <c r="A167" s="86">
        <v>1</v>
      </c>
      <c r="B167" s="87"/>
      <c r="C167" s="41" t="s">
        <v>325</v>
      </c>
      <c r="D167" s="65">
        <f>(2.75*4.35+2.2*2.7+2.75*2.75+1.2*1.7+1*1.2+0.9*2.7+1*0.5+2.4*1.5)*10.764</f>
        <v>379.26953999999995</v>
      </c>
      <c r="E167" s="65">
        <f>(0.75*(2.75+2.2+2.75))*10.764</f>
        <v>62.162100000000002</v>
      </c>
      <c r="F167" s="41">
        <f>D167+E167</f>
        <v>441.43163999999996</v>
      </c>
      <c r="G167" s="57">
        <v>0</v>
      </c>
      <c r="H167" s="57">
        <v>690</v>
      </c>
      <c r="I167" s="36"/>
      <c r="L167" s="74">
        <f>7500*H167</f>
        <v>5175000</v>
      </c>
      <c r="M167" s="69"/>
      <c r="N167" s="66"/>
      <c r="O167" s="66"/>
      <c r="P167" s="36"/>
      <c r="T167" s="21"/>
    </row>
    <row r="168" spans="1:20" s="37" customFormat="1" ht="15.75" customHeight="1" x14ac:dyDescent="0.25">
      <c r="A168" s="86">
        <f>A167+1</f>
        <v>2</v>
      </c>
      <c r="B168" s="87"/>
      <c r="C168" s="41" t="s">
        <v>347</v>
      </c>
      <c r="D168" s="65">
        <f>(3*3.35+2.4*2.6+3.05*3.2+1.5*1.05+3.05*3.05+2.75*3.05+1.2*3.05+1.35*2+1.2*1.85+1.35*1.85+3*1+1.3*1)*10.764</f>
        <v>653.29406999999992</v>
      </c>
      <c r="E168" s="65">
        <f>(0.9*(2.4+3.2+3.05)+0.75*2.75)*10.764</f>
        <v>105.99848999999999</v>
      </c>
      <c r="F168" s="57">
        <f>D168+E168</f>
        <v>759.29255999999987</v>
      </c>
      <c r="G168" s="65">
        <f>(1.8*3)*10.764</f>
        <v>58.125599999999999</v>
      </c>
      <c r="H168" s="57">
        <v>1175</v>
      </c>
      <c r="I168" s="36"/>
      <c r="J168" s="66">
        <f>1175</f>
        <v>1175</v>
      </c>
      <c r="K168" s="66">
        <f>81000000/H168</f>
        <v>68936.170212765952</v>
      </c>
      <c r="L168" s="74">
        <f t="shared" ref="L168:L170" si="2">7500*H168</f>
        <v>8812500</v>
      </c>
      <c r="M168" s="66">
        <v>441</v>
      </c>
      <c r="N168" s="66">
        <v>690</v>
      </c>
      <c r="O168" s="73">
        <f>N168/M168</f>
        <v>1.564625850340136</v>
      </c>
      <c r="P168" s="36"/>
    </row>
    <row r="169" spans="1:20" s="37" customFormat="1" ht="15.75" customHeight="1" x14ac:dyDescent="0.25">
      <c r="A169" s="86">
        <f>A168+1</f>
        <v>3</v>
      </c>
      <c r="B169" s="87"/>
      <c r="C169" s="65" t="s">
        <v>326</v>
      </c>
      <c r="D169" s="65">
        <f>(3.95*3.05+2.15*2.55+3.05*3.45+1.35*1.05+3.05*3.05+1.2*2.15+1.2*2.25+1*3.3+1.2*0.4)*10.764</f>
        <v>514.86902999999984</v>
      </c>
      <c r="E169" s="65">
        <f>(1.8*2.1+0.9*(2.15+3.45+3.05))*10.764</f>
        <v>124.48565999999998</v>
      </c>
      <c r="F169" s="57">
        <f>D169+E169</f>
        <v>639.35468999999978</v>
      </c>
      <c r="G169" s="57">
        <v>0</v>
      </c>
      <c r="H169" s="57">
        <v>990</v>
      </c>
      <c r="I169" s="36"/>
      <c r="K169" s="66">
        <f>6882000/H169</f>
        <v>6951.515151515152</v>
      </c>
      <c r="L169" s="74">
        <f t="shared" si="2"/>
        <v>7425000</v>
      </c>
      <c r="M169" s="66">
        <v>759</v>
      </c>
      <c r="N169" s="66">
        <v>1175</v>
      </c>
      <c r="O169" s="73">
        <f t="shared" ref="O169:O173" si="3">N169/M169</f>
        <v>1.5480895915678525</v>
      </c>
      <c r="P169" s="36"/>
    </row>
    <row r="170" spans="1:20" s="37" customFormat="1" ht="15.75" customHeight="1" x14ac:dyDescent="0.25">
      <c r="A170" s="86">
        <f>A169+1</f>
        <v>4</v>
      </c>
      <c r="B170" s="87"/>
      <c r="C170" s="65" t="s">
        <v>325</v>
      </c>
      <c r="D170" s="65">
        <f>(2.75*4.3+0.95*1.5+2.45*2.15+3.6*2.75+1*1.2+1.6*1.5+1*3.2)*10.764</f>
        <v>379.08116999999999</v>
      </c>
      <c r="E170" s="65">
        <f>(0.9*2.75)*10.764</f>
        <v>26.640899999999998</v>
      </c>
      <c r="F170" s="57">
        <f>D170+E170</f>
        <v>405.72206999999997</v>
      </c>
      <c r="G170" s="57">
        <v>0</v>
      </c>
      <c r="H170" s="57">
        <f>F170*1.53</f>
        <v>620.75476709999998</v>
      </c>
      <c r="I170" s="36"/>
      <c r="K170" s="66">
        <f>4450000/H170</f>
        <v>7168.6924303283377</v>
      </c>
      <c r="L170" s="74">
        <f t="shared" si="2"/>
        <v>4655660.7532500001</v>
      </c>
      <c r="M170" s="66">
        <v>637</v>
      </c>
      <c r="N170" s="36">
        <v>990</v>
      </c>
      <c r="O170" s="73">
        <f t="shared" si="3"/>
        <v>1.554160125588697</v>
      </c>
    </row>
    <row r="171" spans="1:20" s="66" customFormat="1" x14ac:dyDescent="0.25">
      <c r="A171" s="83" t="s">
        <v>327</v>
      </c>
      <c r="B171" s="84"/>
      <c r="C171" s="84"/>
      <c r="D171" s="84"/>
      <c r="E171" s="84"/>
      <c r="F171" s="84"/>
      <c r="G171" s="84"/>
      <c r="H171" s="85"/>
      <c r="J171" s="36"/>
      <c r="K171" s="66">
        <f>(K170+K169)/2</f>
        <v>7060.1037909217448</v>
      </c>
      <c r="M171" s="66">
        <v>406</v>
      </c>
      <c r="N171" s="66">
        <v>615</v>
      </c>
      <c r="O171" s="73">
        <f t="shared" si="3"/>
        <v>1.5147783251231528</v>
      </c>
    </row>
    <row r="172" spans="1:20" s="66" customFormat="1" ht="15.75" customHeight="1" x14ac:dyDescent="0.25">
      <c r="A172" s="86">
        <v>1</v>
      </c>
      <c r="B172" s="87"/>
      <c r="C172" s="65" t="s">
        <v>325</v>
      </c>
      <c r="D172" s="65">
        <f>(2.75*4.35+2.2*2.7+2.75*2.75+1.2*1.7+1*1.2+0.9*2.7+1*0.5+2.4*1.5)*10.764</f>
        <v>379.26953999999995</v>
      </c>
      <c r="E172" s="65">
        <f>(0.75*(2.75+2.2)+2.75)*10.764</f>
        <v>69.562349999999995</v>
      </c>
      <c r="F172" s="65">
        <f>D172+E172</f>
        <v>448.83188999999993</v>
      </c>
      <c r="G172" s="65">
        <v>0</v>
      </c>
      <c r="H172" s="65">
        <v>690</v>
      </c>
      <c r="I172" s="36"/>
      <c r="L172" s="69"/>
      <c r="M172" s="66">
        <v>451</v>
      </c>
      <c r="N172" s="66">
        <v>690</v>
      </c>
      <c r="O172" s="73">
        <f t="shared" si="3"/>
        <v>1.5299334811529934</v>
      </c>
      <c r="P172" s="36"/>
      <c r="T172" s="21"/>
    </row>
    <row r="173" spans="1:20" s="66" customFormat="1" ht="15.75" customHeight="1" x14ac:dyDescent="0.25">
      <c r="A173" s="86">
        <f>A172+1</f>
        <v>2</v>
      </c>
      <c r="B173" s="87"/>
      <c r="C173" s="65" t="s">
        <v>347</v>
      </c>
      <c r="D173" s="65">
        <f>(3*3.35+2.4*2.6+3.05*3.2+1.5*1.05+3.05*3.05+2.75*3.05+1.2*3.05+1.35*2+1.2*1.85+1.35*1.85+3*1+1.3*1)*10.764</f>
        <v>653.29406999999992</v>
      </c>
      <c r="E173" s="65">
        <f>(0.9*(2.4+3.2+3.05)+0.75*3)*10.764</f>
        <v>108.01674</v>
      </c>
      <c r="F173" s="65">
        <f>D173+E173</f>
        <v>761.31080999999995</v>
      </c>
      <c r="G173" s="65">
        <f>(1.5*2.75)*10.764</f>
        <v>44.401499999999999</v>
      </c>
      <c r="H173" s="65">
        <v>1175</v>
      </c>
      <c r="I173" s="36"/>
      <c r="J173" s="66">
        <f>1175</f>
        <v>1175</v>
      </c>
      <c r="K173" s="66">
        <f>J173/F173</f>
        <v>1.5433906685234118</v>
      </c>
      <c r="L173" s="69"/>
      <c r="M173" s="66">
        <v>508</v>
      </c>
      <c r="N173" s="66">
        <v>780</v>
      </c>
      <c r="O173" s="73">
        <f t="shared" si="3"/>
        <v>1.5354330708661417</v>
      </c>
      <c r="P173" s="36"/>
    </row>
    <row r="174" spans="1:20" s="66" customFormat="1" ht="15.75" customHeight="1" x14ac:dyDescent="0.25">
      <c r="A174" s="86">
        <f>A173+1</f>
        <v>3</v>
      </c>
      <c r="B174" s="87"/>
      <c r="C174" s="65" t="s">
        <v>326</v>
      </c>
      <c r="D174" s="65">
        <f>(3.95*3.05+2.15*2.55+3.05*3.45+1.35*1.05+3.05*3.05+1.2*2.15+1.2*2.25+1*3.1+1.2*0.4)*10.764</f>
        <v>512.71622999999988</v>
      </c>
      <c r="E174" s="65">
        <f>(1.8*2.1+0.9*(2.15+3.45+3.05))*10.764</f>
        <v>124.48565999999998</v>
      </c>
      <c r="F174" s="65">
        <f>D174+E174</f>
        <v>637.20188999999982</v>
      </c>
      <c r="G174" s="65">
        <v>0</v>
      </c>
      <c r="H174" s="65">
        <v>990</v>
      </c>
      <c r="I174" s="36"/>
      <c r="L174" s="69"/>
      <c r="M174" s="66">
        <v>761</v>
      </c>
      <c r="N174" s="66">
        <v>1175</v>
      </c>
      <c r="O174" s="73">
        <f>N174/M174</f>
        <v>1.5440210249671484</v>
      </c>
      <c r="P174" s="36"/>
    </row>
    <row r="175" spans="1:20" s="66" customFormat="1" ht="15.75" customHeight="1" x14ac:dyDescent="0.25">
      <c r="A175" s="86">
        <f>A174+1</f>
        <v>4</v>
      </c>
      <c r="B175" s="87"/>
      <c r="C175" s="65" t="s">
        <v>325</v>
      </c>
      <c r="D175" s="65">
        <f>(2.75*4.3+0.95*1.5+2.45*2.15+3.6*2.75+1*1.2+1.6*1.5+1*3.2)*10.764</f>
        <v>379.08116999999999</v>
      </c>
      <c r="E175" s="65">
        <f>(0.9*2.75)*10.764</f>
        <v>26.640899999999998</v>
      </c>
      <c r="F175" s="65">
        <f>D175+E175</f>
        <v>405.72206999999997</v>
      </c>
      <c r="G175" s="65">
        <v>0</v>
      </c>
      <c r="H175" s="65">
        <f>F175*1.53</f>
        <v>620.75476709999998</v>
      </c>
      <c r="I175" s="36"/>
      <c r="L175" s="69"/>
      <c r="M175" s="69"/>
      <c r="N175" s="36"/>
    </row>
    <row r="176" spans="1:20" s="66" customFormat="1" x14ac:dyDescent="0.25">
      <c r="A176" s="83" t="s">
        <v>328</v>
      </c>
      <c r="B176" s="84"/>
      <c r="C176" s="84"/>
      <c r="D176" s="84"/>
      <c r="E176" s="84"/>
      <c r="F176" s="84"/>
      <c r="G176" s="84"/>
      <c r="H176" s="85"/>
      <c r="J176" s="36"/>
    </row>
    <row r="177" spans="1:20" s="66" customFormat="1" ht="15.75" customHeight="1" x14ac:dyDescent="0.25">
      <c r="A177" s="86">
        <v>1</v>
      </c>
      <c r="B177" s="87"/>
      <c r="C177" s="65" t="s">
        <v>325</v>
      </c>
      <c r="D177" s="65">
        <f>(2.75*4.35+2.2*2.7+2.75*2.75+1.2*1.7+1*1.2+0.9*2.7+1*0.5+2.4*1.5)*10.764</f>
        <v>379.26953999999995</v>
      </c>
      <c r="E177" s="65">
        <f>(0.75*(2.75+2.2)+2.75)*10.764</f>
        <v>69.562349999999995</v>
      </c>
      <c r="F177" s="65">
        <f>D177+E177</f>
        <v>448.83188999999993</v>
      </c>
      <c r="G177" s="65">
        <v>0</v>
      </c>
      <c r="H177" s="65">
        <v>690</v>
      </c>
      <c r="I177" s="36"/>
      <c r="L177" s="69"/>
      <c r="M177" s="69"/>
      <c r="P177" s="36"/>
      <c r="T177" s="21"/>
    </row>
    <row r="178" spans="1:20" s="66" customFormat="1" ht="15.75" customHeight="1" x14ac:dyDescent="0.25">
      <c r="A178" s="86">
        <v>2</v>
      </c>
      <c r="B178" s="87"/>
      <c r="C178" s="65" t="s">
        <v>326</v>
      </c>
      <c r="D178" s="65">
        <f>(3.95*3.05+2.15*2.55+3.05*3.45+1.35*1.05+3.05*3.05+1.2*2.15+1.2*2.25+1*3.1+1.2*0.4)*10.764</f>
        <v>512.71622999999988</v>
      </c>
      <c r="E178" s="65">
        <f>(1.8*2.1+0.9*(2.15+3.45+3.05))*10.764</f>
        <v>124.48565999999998</v>
      </c>
      <c r="F178" s="65">
        <f>D178+E178</f>
        <v>637.20188999999982</v>
      </c>
      <c r="G178" s="65">
        <v>0</v>
      </c>
      <c r="H178" s="65">
        <v>990</v>
      </c>
      <c r="I178" s="36"/>
      <c r="L178" s="69"/>
      <c r="M178" s="69"/>
      <c r="P178" s="36"/>
    </row>
    <row r="179" spans="1:20" s="66" customFormat="1" ht="15.75" customHeight="1" x14ac:dyDescent="0.25">
      <c r="A179" s="86">
        <f>A178+1</f>
        <v>3</v>
      </c>
      <c r="B179" s="87"/>
      <c r="C179" s="65" t="s">
        <v>325</v>
      </c>
      <c r="D179" s="65">
        <f>(2.75*4.3+0.95*1.5+2.45*2.15+3.6*2.75+1*1.2+1.6*1.5+1*3.2)*10.764</f>
        <v>379.08116999999999</v>
      </c>
      <c r="E179" s="65">
        <f>(0.9*2.75)*10.764</f>
        <v>26.640899999999998</v>
      </c>
      <c r="F179" s="65">
        <f>D179+E179</f>
        <v>405.72206999999997</v>
      </c>
      <c r="G179" s="65">
        <v>0</v>
      </c>
      <c r="H179" s="65">
        <f>F179*1.53</f>
        <v>620.75476709999998</v>
      </c>
      <c r="I179" s="36"/>
      <c r="L179" s="69"/>
      <c r="M179" s="69"/>
      <c r="N179" s="36"/>
    </row>
    <row r="180" spans="1:20" s="66" customFormat="1" x14ac:dyDescent="0.25">
      <c r="A180" s="83" t="s">
        <v>329</v>
      </c>
      <c r="B180" s="84"/>
      <c r="C180" s="84"/>
      <c r="D180" s="84"/>
      <c r="E180" s="84"/>
      <c r="F180" s="84"/>
      <c r="G180" s="84"/>
      <c r="H180" s="85"/>
      <c r="J180" s="36"/>
    </row>
    <row r="181" spans="1:20" s="66" customFormat="1" ht="15.75" customHeight="1" x14ac:dyDescent="0.25">
      <c r="A181" s="86">
        <v>1</v>
      </c>
      <c r="B181" s="87"/>
      <c r="C181" s="65" t="s">
        <v>325</v>
      </c>
      <c r="D181" s="65">
        <f>(2.75*4.35+2.2*2.7+2.75*2.75+1.2*1.7+1*1.2+0.9*2.7+1*0.5+2.4*1.5)*10.764</f>
        <v>379.26953999999995</v>
      </c>
      <c r="E181" s="65">
        <f>(0.75*(2.75+2.2)+2.75)*10.764</f>
        <v>69.562349999999995</v>
      </c>
      <c r="F181" s="65">
        <f>D181+E181</f>
        <v>448.83188999999993</v>
      </c>
      <c r="G181" s="65">
        <v>0</v>
      </c>
      <c r="H181" s="65">
        <v>690</v>
      </c>
      <c r="I181" s="36"/>
      <c r="L181" s="69"/>
      <c r="M181" s="69"/>
      <c r="P181" s="36"/>
      <c r="T181" s="21"/>
    </row>
    <row r="182" spans="1:20" s="66" customFormat="1" ht="15.75" customHeight="1" x14ac:dyDescent="0.25">
      <c r="A182" s="86">
        <v>2</v>
      </c>
      <c r="B182" s="87"/>
      <c r="C182" s="65" t="s">
        <v>325</v>
      </c>
      <c r="D182" s="65">
        <f>(3.95*3.05+2.15*2.55+3.05*3.45+1.35*1.05+1.2*2.15+1.2*2.25+1*3.1+1.2*0.4)*10.764</f>
        <v>412.58411999999998</v>
      </c>
      <c r="E182" s="65">
        <f>(1.8*2.1+0.9*(2.15+3.45))*10.764</f>
        <v>94.938479999999998</v>
      </c>
      <c r="F182" s="65">
        <f>D182+E182</f>
        <v>507.52260000000001</v>
      </c>
      <c r="G182" s="65">
        <v>0</v>
      </c>
      <c r="H182" s="65">
        <v>780</v>
      </c>
      <c r="I182" s="36"/>
      <c r="L182" s="69">
        <f>H182/F182</f>
        <v>1.5368773725544438</v>
      </c>
      <c r="M182" s="69"/>
      <c r="P182" s="36"/>
    </row>
    <row r="183" spans="1:20" s="66" customFormat="1" ht="15.75" customHeight="1" x14ac:dyDescent="0.25">
      <c r="A183" s="86">
        <f>A182+1</f>
        <v>3</v>
      </c>
      <c r="B183" s="87"/>
      <c r="C183" s="65" t="s">
        <v>325</v>
      </c>
      <c r="D183" s="65">
        <f>(2.75*4.3+0.95*1.5+2.45*2.15+3.6*2.75+1*1.2+1.6*1.5+1*3.2)*10.764</f>
        <v>379.08116999999999</v>
      </c>
      <c r="E183" s="65">
        <f>(0.9*2.75)*10.764</f>
        <v>26.640899999999998</v>
      </c>
      <c r="F183" s="65">
        <f>D183+E183</f>
        <v>405.72206999999997</v>
      </c>
      <c r="G183" s="65">
        <v>0</v>
      </c>
      <c r="H183" s="65">
        <f>F183*1.53</f>
        <v>620.75476709999998</v>
      </c>
      <c r="I183" s="36"/>
      <c r="L183" s="69"/>
      <c r="M183" s="69"/>
      <c r="N183" s="36"/>
    </row>
    <row r="184" spans="1:20" s="66" customFormat="1" x14ac:dyDescent="0.25">
      <c r="A184" s="83" t="s">
        <v>330</v>
      </c>
      <c r="B184" s="84"/>
      <c r="C184" s="84"/>
      <c r="D184" s="84"/>
      <c r="E184" s="84"/>
      <c r="F184" s="84"/>
      <c r="G184" s="84"/>
      <c r="H184" s="85"/>
      <c r="J184" s="36"/>
    </row>
    <row r="185" spans="1:20" s="66" customFormat="1" ht="15.75" customHeight="1" x14ac:dyDescent="0.25">
      <c r="A185" s="86">
        <v>1</v>
      </c>
      <c r="B185" s="87"/>
      <c r="C185" s="65" t="s">
        <v>325</v>
      </c>
      <c r="D185" s="65">
        <f>(2.75*4.35+2.2*2.7+2.75*2.75+1.2*1.7+1*1.2+0.9*2.7+1*0.5+2.4*1.5)*10.764</f>
        <v>379.26953999999995</v>
      </c>
      <c r="E185" s="65">
        <f>(0.75*(2.75+2.2)+2.75)*10.764</f>
        <v>69.562349999999995</v>
      </c>
      <c r="F185" s="65">
        <f>D185+E185</f>
        <v>448.83188999999993</v>
      </c>
      <c r="G185" s="65">
        <v>0</v>
      </c>
      <c r="H185" s="65">
        <v>690</v>
      </c>
      <c r="I185" s="36"/>
      <c r="K185" s="66">
        <f>4450000/H185</f>
        <v>6449.275362318841</v>
      </c>
      <c r="L185" s="69"/>
      <c r="M185" s="69"/>
      <c r="P185" s="36"/>
      <c r="T185" s="21"/>
    </row>
    <row r="186" spans="1:20" s="66" customFormat="1" ht="15.75" customHeight="1" x14ac:dyDescent="0.25">
      <c r="A186" s="86">
        <v>2</v>
      </c>
      <c r="B186" s="87"/>
      <c r="C186" s="65" t="s">
        <v>326</v>
      </c>
      <c r="D186" s="65">
        <f>(3.95*3.05+2.15*2.55+3.05*3.45+1.35*1.05+3.05*3.05+1.2*2.15+1.2*2.25+1*3.1+1.2*0.4)*10.764</f>
        <v>512.71622999999988</v>
      </c>
      <c r="E186" s="65">
        <f>(1.8*2.1+0.9*(2.15+3.45+3.05))*10.764</f>
        <v>124.48565999999998</v>
      </c>
      <c r="F186" s="65">
        <f>D186+E186</f>
        <v>637.20188999999982</v>
      </c>
      <c r="G186" s="65">
        <v>0</v>
      </c>
      <c r="H186" s="65">
        <v>990</v>
      </c>
      <c r="I186" s="36"/>
      <c r="L186" s="69"/>
      <c r="M186" s="69"/>
      <c r="P186" s="36"/>
    </row>
    <row r="187" spans="1:20" s="66" customFormat="1" ht="15.75" customHeight="1" x14ac:dyDescent="0.25">
      <c r="A187" s="86">
        <f>A186+1</f>
        <v>3</v>
      </c>
      <c r="B187" s="87"/>
      <c r="C187" s="65" t="s">
        <v>325</v>
      </c>
      <c r="D187" s="65">
        <f>(2.75*4.3+0.95*1.5+2.45*2.15+3.6*2.75+1*1.2+1.6*1.5+1*3.2)*10.764</f>
        <v>379.08116999999999</v>
      </c>
      <c r="E187" s="65">
        <f>(0.9*2.75)*10.764</f>
        <v>26.640899999999998</v>
      </c>
      <c r="F187" s="65">
        <f>D187+E187</f>
        <v>405.72206999999997</v>
      </c>
      <c r="G187" s="65">
        <v>0</v>
      </c>
      <c r="H187" s="65">
        <f>F187*1.53</f>
        <v>620.75476709999998</v>
      </c>
      <c r="I187" s="36"/>
      <c r="L187" s="69"/>
      <c r="M187" s="69"/>
      <c r="N187" s="36"/>
    </row>
    <row r="188" spans="1:20" s="66" customFormat="1" x14ac:dyDescent="0.25">
      <c r="A188" s="83" t="s">
        <v>331</v>
      </c>
      <c r="B188" s="84"/>
      <c r="C188" s="84"/>
      <c r="D188" s="84"/>
      <c r="E188" s="84"/>
      <c r="F188" s="84"/>
      <c r="G188" s="84"/>
      <c r="H188" s="85"/>
      <c r="J188" s="36"/>
    </row>
    <row r="189" spans="1:20" s="66" customFormat="1" ht="15.75" customHeight="1" x14ac:dyDescent="0.25">
      <c r="A189" s="86">
        <v>1</v>
      </c>
      <c r="B189" s="87"/>
      <c r="C189" s="65" t="s">
        <v>325</v>
      </c>
      <c r="D189" s="65">
        <f>(2.75*4.35+2.2*2.7+2.75*2.75+1.2*1.7+1*1.2+0.9*2.7+1*0.5+2.4*1.5)*10.764</f>
        <v>379.26953999999995</v>
      </c>
      <c r="E189" s="65">
        <f>(0.75*(2.75+2.2)+2.75)*10.764</f>
        <v>69.562349999999995</v>
      </c>
      <c r="F189" s="65">
        <f>D189+E189</f>
        <v>448.83188999999993</v>
      </c>
      <c r="G189" s="65">
        <v>0</v>
      </c>
      <c r="H189" s="65">
        <v>690</v>
      </c>
      <c r="I189" s="36"/>
      <c r="L189" s="69"/>
      <c r="M189" s="69"/>
      <c r="P189" s="36"/>
      <c r="T189" s="21"/>
    </row>
    <row r="190" spans="1:20" s="66" customFormat="1" ht="15.75" customHeight="1" x14ac:dyDescent="0.25">
      <c r="A190" s="86">
        <v>2</v>
      </c>
      <c r="B190" s="87"/>
      <c r="C190" s="65" t="s">
        <v>326</v>
      </c>
      <c r="D190" s="65">
        <f>(3.95*3.05+2.15*2.55+3.05*3.45+1.35*1.05+3.05*3.05+1.2*2.15+1.2*2.25+1*3.1+1.2*0.4)*10.764</f>
        <v>512.71622999999988</v>
      </c>
      <c r="E190" s="65">
        <f>(1.8*2.1+0.9*(2.15+3.45+3.05))*10.764</f>
        <v>124.48565999999998</v>
      </c>
      <c r="F190" s="65">
        <f>D190+E190</f>
        <v>637.20188999999982</v>
      </c>
      <c r="G190" s="65">
        <v>0</v>
      </c>
      <c r="H190" s="65">
        <v>990</v>
      </c>
      <c r="I190" s="36"/>
      <c r="L190" s="69"/>
      <c r="M190" s="69"/>
      <c r="P190" s="36"/>
    </row>
    <row r="191" spans="1:20" s="66" customFormat="1" ht="15.75" customHeight="1" x14ac:dyDescent="0.25">
      <c r="A191" s="86">
        <f>A190+1</f>
        <v>3</v>
      </c>
      <c r="B191" s="87"/>
      <c r="C191" s="65" t="s">
        <v>325</v>
      </c>
      <c r="D191" s="65">
        <f>(2.75*4.3+0.95*1.5+2.45*2.15+3.6*2.75+1*1.2+1.6*1.5+1*3.2)*10.764</f>
        <v>379.08116999999999</v>
      </c>
      <c r="E191" s="65">
        <f>(0.9*2.75)*10.764</f>
        <v>26.640899999999998</v>
      </c>
      <c r="F191" s="65">
        <f>D191+E191</f>
        <v>405.72206999999997</v>
      </c>
      <c r="G191" s="65">
        <v>0</v>
      </c>
      <c r="H191" s="65">
        <f>F191*1.53</f>
        <v>620.75476709999998</v>
      </c>
      <c r="I191" s="36"/>
      <c r="L191" s="69"/>
      <c r="M191" s="69"/>
      <c r="N191" s="36"/>
    </row>
    <row r="192" spans="1:20" s="66" customFormat="1" x14ac:dyDescent="0.25">
      <c r="A192" s="97" t="s">
        <v>332</v>
      </c>
      <c r="B192" s="98"/>
      <c r="C192" s="98"/>
      <c r="D192" s="98"/>
      <c r="E192" s="98"/>
      <c r="F192" s="98"/>
      <c r="G192" s="98"/>
      <c r="H192" s="99"/>
      <c r="J192" s="36"/>
      <c r="T192" s="21"/>
    </row>
    <row r="193" spans="1:20" s="66" customFormat="1" x14ac:dyDescent="0.25">
      <c r="A193" s="83" t="s">
        <v>335</v>
      </c>
      <c r="B193" s="84"/>
      <c r="C193" s="84"/>
      <c r="D193" s="84"/>
      <c r="E193" s="84"/>
      <c r="F193" s="84"/>
      <c r="G193" s="84"/>
      <c r="H193" s="85"/>
      <c r="J193" s="36"/>
    </row>
    <row r="194" spans="1:20" s="66" customFormat="1" ht="15.75" customHeight="1" x14ac:dyDescent="0.25">
      <c r="A194" s="86">
        <v>1</v>
      </c>
      <c r="B194" s="87"/>
      <c r="C194" s="65" t="s">
        <v>336</v>
      </c>
      <c r="D194" s="65">
        <f>(4.1*2.75+2.1*1.85+1.85*0.95+1.2*1.05+1.2*1.5+1.4*1.05)*10.764</f>
        <v>230.86088999999996</v>
      </c>
      <c r="E194" s="65">
        <v>0</v>
      </c>
      <c r="F194" s="65">
        <f>D194+E194</f>
        <v>230.86088999999996</v>
      </c>
      <c r="G194" s="65">
        <v>0</v>
      </c>
      <c r="H194" s="65">
        <v>375</v>
      </c>
      <c r="I194" s="36"/>
      <c r="L194" s="36">
        <v>231</v>
      </c>
      <c r="M194" s="66">
        <v>375</v>
      </c>
      <c r="N194" s="72">
        <f>M194/L194</f>
        <v>1.6233766233766234</v>
      </c>
      <c r="P194" s="36"/>
      <c r="T194" s="21"/>
    </row>
    <row r="195" spans="1:20" s="66" customFormat="1" ht="15.75" customHeight="1" x14ac:dyDescent="0.25">
      <c r="A195" s="86">
        <f>A194+1</f>
        <v>2</v>
      </c>
      <c r="B195" s="87"/>
      <c r="C195" s="65" t="s">
        <v>325</v>
      </c>
      <c r="D195" s="65">
        <f>(2.75*3.7+2.1*2.4+3*2.75+1*1.2+1.8*1.2+1.2*2.5+0.4*1.2)*10.764</f>
        <v>326.20301999999998</v>
      </c>
      <c r="E195" s="65">
        <f>(1*2.75)*10.764</f>
        <v>29.600999999999999</v>
      </c>
      <c r="F195" s="65">
        <f>D195+E195</f>
        <v>355.80401999999998</v>
      </c>
      <c r="G195" s="65">
        <v>0</v>
      </c>
      <c r="H195" s="65">
        <v>575</v>
      </c>
      <c r="I195" s="36"/>
      <c r="L195" s="36">
        <v>356</v>
      </c>
      <c r="M195" s="66">
        <v>575</v>
      </c>
      <c r="N195" s="72">
        <f t="shared" ref="N195:N200" si="4">M195/L195</f>
        <v>1.6151685393258426</v>
      </c>
      <c r="O195" s="69"/>
      <c r="P195" s="36"/>
    </row>
    <row r="196" spans="1:20" s="66" customFormat="1" ht="15.75" customHeight="1" x14ac:dyDescent="0.25">
      <c r="A196" s="86">
        <f>A195+1</f>
        <v>3</v>
      </c>
      <c r="B196" s="87"/>
      <c r="C196" s="65" t="s">
        <v>325</v>
      </c>
      <c r="D196" s="65">
        <f>(2.75*5.55+2.3*2.8+3*2.8+1.2*1.5+2.1*1.2+1.5*1.2)*10.764</f>
        <v>389.89898999999991</v>
      </c>
      <c r="E196" s="65">
        <v>0</v>
      </c>
      <c r="F196" s="65">
        <f>D196+E196</f>
        <v>389.89898999999991</v>
      </c>
      <c r="G196" s="65">
        <v>0</v>
      </c>
      <c r="H196" s="65">
        <v>605</v>
      </c>
      <c r="I196" s="36"/>
      <c r="L196" s="36">
        <v>390</v>
      </c>
      <c r="M196" s="66">
        <v>605</v>
      </c>
      <c r="N196" s="72">
        <f t="shared" si="4"/>
        <v>1.5512820512820513</v>
      </c>
      <c r="P196" s="36"/>
    </row>
    <row r="197" spans="1:20" s="66" customFormat="1" x14ac:dyDescent="0.25">
      <c r="A197" s="83" t="s">
        <v>333</v>
      </c>
      <c r="B197" s="84"/>
      <c r="C197" s="84"/>
      <c r="D197" s="84"/>
      <c r="E197" s="84"/>
      <c r="F197" s="84"/>
      <c r="G197" s="84"/>
      <c r="H197" s="85"/>
      <c r="J197" s="36"/>
      <c r="L197" s="36">
        <v>446</v>
      </c>
      <c r="M197" s="66">
        <v>675</v>
      </c>
      <c r="N197" s="72">
        <f t="shared" si="4"/>
        <v>1.5134529147982063</v>
      </c>
    </row>
    <row r="198" spans="1:20" s="66" customFormat="1" ht="15.75" customHeight="1" x14ac:dyDescent="0.25">
      <c r="A198" s="86">
        <v>1</v>
      </c>
      <c r="B198" s="87"/>
      <c r="C198" s="65" t="s">
        <v>325</v>
      </c>
      <c r="D198" s="65">
        <f>(2.75*4.5+2.15*2.1+2.75*2.75+1.5+0.9+1.2*2.1+1.8*1.2+2.1*0.4+2.4*0.9+0.8*1.4)*10.764</f>
        <v>383.76350999999994</v>
      </c>
      <c r="E198" s="65">
        <f>(0.75*(2.75+2.15+2.75))*10.764</f>
        <v>61.758450000000003</v>
      </c>
      <c r="F198" s="65">
        <f>D198+E198</f>
        <v>445.52195999999992</v>
      </c>
      <c r="G198" s="65">
        <v>0</v>
      </c>
      <c r="H198" s="65">
        <v>675</v>
      </c>
      <c r="I198" s="36"/>
      <c r="L198" s="36">
        <v>403</v>
      </c>
      <c r="M198" s="66">
        <v>635</v>
      </c>
      <c r="N198" s="72">
        <f t="shared" si="4"/>
        <v>1.5756823821339951</v>
      </c>
      <c r="P198" s="36"/>
      <c r="T198" s="21"/>
    </row>
    <row r="199" spans="1:20" s="66" customFormat="1" ht="15.75" customHeight="1" x14ac:dyDescent="0.25">
      <c r="A199" s="86">
        <f>A198+1</f>
        <v>2</v>
      </c>
      <c r="B199" s="87"/>
      <c r="C199" s="65" t="s">
        <v>325</v>
      </c>
      <c r="D199" s="65">
        <f>(4.25*2.75+2.1*2.4+2.75*3+1.2*1.5+1.2*1.05+1.4*1.05+1.1*1.4)*10.764</f>
        <v>334.19529</v>
      </c>
      <c r="E199" s="65">
        <f>(1.3*1.8+0.9*2.75+0.75*2.1)*10.764</f>
        <v>68.781959999999998</v>
      </c>
      <c r="F199" s="65">
        <f>D199+E199</f>
        <v>402.97725000000003</v>
      </c>
      <c r="G199" s="65">
        <v>0</v>
      </c>
      <c r="H199" s="65">
        <v>635</v>
      </c>
      <c r="I199" s="36"/>
      <c r="L199" s="36">
        <v>401</v>
      </c>
      <c r="M199" s="66">
        <v>635</v>
      </c>
      <c r="N199" s="72">
        <f t="shared" si="4"/>
        <v>1.5835411471321696</v>
      </c>
      <c r="O199" s="69"/>
      <c r="P199" s="36"/>
    </row>
    <row r="200" spans="1:20" s="66" customFormat="1" ht="15.75" customHeight="1" x14ac:dyDescent="0.25">
      <c r="A200" s="86">
        <f>A199+1</f>
        <v>3</v>
      </c>
      <c r="B200" s="87"/>
      <c r="C200" s="65" t="s">
        <v>325</v>
      </c>
      <c r="D200" s="65">
        <f>(2.75*4.5+2.1*2.4+3*2.75+1*1.2+1.8*1.2+1.2*2.5+0.4*1.2)*10.764</f>
        <v>349.88381999999996</v>
      </c>
      <c r="E200" s="65">
        <f>(0.95*2.1+1*2.75)*10.764</f>
        <v>51.075179999999996</v>
      </c>
      <c r="F200" s="65">
        <f>D200+E200</f>
        <v>400.95899999999995</v>
      </c>
      <c r="G200" s="65">
        <v>0</v>
      </c>
      <c r="H200" s="65">
        <v>635</v>
      </c>
      <c r="I200" s="36"/>
      <c r="L200" s="36">
        <v>420</v>
      </c>
      <c r="M200" s="66">
        <v>650</v>
      </c>
      <c r="N200" s="72">
        <f t="shared" si="4"/>
        <v>1.5476190476190477</v>
      </c>
      <c r="P200" s="36"/>
    </row>
    <row r="201" spans="1:20" s="66" customFormat="1" ht="15.75" customHeight="1" x14ac:dyDescent="0.25">
      <c r="A201" s="86">
        <f>A200+1</f>
        <v>4</v>
      </c>
      <c r="B201" s="87"/>
      <c r="C201" s="65" t="s">
        <v>325</v>
      </c>
      <c r="D201" s="65">
        <f>(2.75*4.5+2.3*2.8+3*2.8+1.2*1.5+2.1*1.2+1.5*1.2)*10.764</f>
        <v>358.81793999999991</v>
      </c>
      <c r="E201" s="65">
        <f>(1.2*2.75+0.85*2.8)*10.764</f>
        <v>61.13951999999999</v>
      </c>
      <c r="F201" s="65">
        <f>D201+E201</f>
        <v>419.95745999999991</v>
      </c>
      <c r="G201" s="65">
        <v>0</v>
      </c>
      <c r="H201" s="65">
        <v>650</v>
      </c>
      <c r="I201" s="36"/>
      <c r="L201" s="71"/>
      <c r="M201" s="69"/>
      <c r="N201" s="36"/>
    </row>
    <row r="202" spans="1:20" s="66" customFormat="1" x14ac:dyDescent="0.25">
      <c r="A202" s="83" t="s">
        <v>334</v>
      </c>
      <c r="B202" s="84"/>
      <c r="C202" s="84"/>
      <c r="D202" s="84"/>
      <c r="E202" s="84"/>
      <c r="F202" s="84"/>
      <c r="G202" s="84"/>
      <c r="H202" s="85"/>
      <c r="J202" s="36"/>
    </row>
    <row r="203" spans="1:20" s="66" customFormat="1" ht="15.75" customHeight="1" x14ac:dyDescent="0.25">
      <c r="A203" s="86">
        <v>1</v>
      </c>
      <c r="B203" s="87"/>
      <c r="C203" s="65" t="s">
        <v>325</v>
      </c>
      <c r="D203" s="65">
        <f>(2.75*4.5+2.15*2.1+2.75*2.75+1.5+0.9+1.2*2.1+1.8*1.2+2.1*0.4+2.4*0.9+0.8*1.4)*10.764</f>
        <v>383.76350999999994</v>
      </c>
      <c r="E203" s="65">
        <f>(0.75*(2.75+2.15+2.75))*10.764</f>
        <v>61.758450000000003</v>
      </c>
      <c r="F203" s="65">
        <f>D203+E203</f>
        <v>445.52195999999992</v>
      </c>
      <c r="G203" s="65">
        <v>0</v>
      </c>
      <c r="H203" s="65">
        <v>675</v>
      </c>
      <c r="I203" s="36"/>
      <c r="L203" s="69"/>
      <c r="M203" s="69"/>
      <c r="P203" s="36"/>
      <c r="T203" s="21"/>
    </row>
    <row r="204" spans="1:20" s="66" customFormat="1" ht="15.75" customHeight="1" x14ac:dyDescent="0.25">
      <c r="A204" s="86">
        <f>A203+1</f>
        <v>2</v>
      </c>
      <c r="B204" s="87"/>
      <c r="C204" s="65" t="s">
        <v>325</v>
      </c>
      <c r="D204" s="65">
        <f>(4.25*2.75+2.1*2.4+2.75*3+1.2*1.5+1.2*1.05+1.4*1.05+1.1*1.4)*10.764</f>
        <v>334.19529</v>
      </c>
      <c r="E204" s="65">
        <f>(1.3*1.8+0.9*2.75+0.75*2.1)*10.764</f>
        <v>68.781959999999998</v>
      </c>
      <c r="F204" s="65">
        <f>D204+E204</f>
        <v>402.97725000000003</v>
      </c>
      <c r="G204" s="65">
        <v>0</v>
      </c>
      <c r="H204" s="65">
        <v>635</v>
      </c>
      <c r="I204" s="36"/>
      <c r="L204" s="69"/>
      <c r="M204" s="69"/>
      <c r="N204" s="69"/>
      <c r="O204" s="69"/>
      <c r="P204" s="36"/>
    </row>
    <row r="205" spans="1:20" s="66" customFormat="1" ht="15.75" customHeight="1" x14ac:dyDescent="0.25">
      <c r="A205" s="86">
        <f>A204+1</f>
        <v>3</v>
      </c>
      <c r="B205" s="87"/>
      <c r="C205" s="65" t="s">
        <v>325</v>
      </c>
      <c r="D205" s="65">
        <f>(2.75*4.5+2.1*2.4+3*2.75+1*1.2+1.8*1.2+1.2*2.5+0.4*1.2)*10.764</f>
        <v>349.88381999999996</v>
      </c>
      <c r="E205" s="65">
        <f>(0.95*2.1+1*2.75)*10.764</f>
        <v>51.075179999999996</v>
      </c>
      <c r="F205" s="65">
        <f>D205+E205</f>
        <v>400.95899999999995</v>
      </c>
      <c r="G205" s="65">
        <v>0</v>
      </c>
      <c r="H205" s="65">
        <v>635</v>
      </c>
      <c r="I205" s="36"/>
      <c r="L205" s="69"/>
      <c r="M205" s="69"/>
      <c r="P205" s="36"/>
    </row>
    <row r="206" spans="1:20" s="66" customFormat="1" ht="15.75" customHeight="1" x14ac:dyDescent="0.25">
      <c r="A206" s="86">
        <f>A205+1</f>
        <v>4</v>
      </c>
      <c r="B206" s="87"/>
      <c r="C206" s="65" t="s">
        <v>325</v>
      </c>
      <c r="D206" s="65">
        <f>(2.75*4.5+2.3*2.8+3*2.8+1.2*1.5+2.1*1.2+1.5*1.2)*10.764</f>
        <v>358.81793999999991</v>
      </c>
      <c r="E206" s="65">
        <f>(1.2*2.75+0.85*2.8)*10.764</f>
        <v>61.13951999999999</v>
      </c>
      <c r="F206" s="65">
        <f>D206+E206</f>
        <v>419.95745999999991</v>
      </c>
      <c r="G206" s="65">
        <v>0</v>
      </c>
      <c r="H206" s="65">
        <v>650</v>
      </c>
      <c r="I206" s="36"/>
      <c r="L206" s="69"/>
      <c r="M206" s="69"/>
      <c r="N206" s="36"/>
    </row>
    <row r="207" spans="1:20" s="35" customFormat="1" x14ac:dyDescent="0.25">
      <c r="A207" s="170" t="s">
        <v>65</v>
      </c>
      <c r="B207" s="170"/>
      <c r="C207" s="170"/>
      <c r="D207" s="170"/>
      <c r="E207" s="170"/>
      <c r="F207" s="170"/>
      <c r="G207" s="170"/>
      <c r="H207" s="170"/>
      <c r="T207" s="37"/>
    </row>
    <row r="208" spans="1:20" s="35" customFormat="1" x14ac:dyDescent="0.25">
      <c r="A208" s="45" t="s">
        <v>150</v>
      </c>
      <c r="B208" s="94" t="s">
        <v>364</v>
      </c>
      <c r="C208" s="95"/>
      <c r="D208" s="95"/>
      <c r="E208" s="95"/>
      <c r="F208" s="95"/>
      <c r="G208" s="95"/>
      <c r="H208" s="96"/>
      <c r="I208" s="35" t="s">
        <v>363</v>
      </c>
      <c r="T208" s="37"/>
    </row>
    <row r="209" spans="1:20" s="35" customFormat="1" x14ac:dyDescent="0.25">
      <c r="A209" s="45" t="s">
        <v>150</v>
      </c>
      <c r="B209" s="94" t="str">
        <f>(IF(H163="Saleable area Loading :","We have considered Saleable area of Flats as per our Calculation.","We considered Saleable area of Flat as per Builder area Sheet."))</f>
        <v>We considered Saleable area of Flat as per Builder area Sheet.</v>
      </c>
      <c r="C209" s="95"/>
      <c r="D209" s="95"/>
      <c r="E209" s="95"/>
      <c r="F209" s="95"/>
      <c r="G209" s="95"/>
      <c r="H209" s="96"/>
      <c r="T209" s="37"/>
    </row>
    <row r="210" spans="1:20" s="35" customFormat="1" x14ac:dyDescent="0.25">
      <c r="A210" s="45" t="s">
        <v>150</v>
      </c>
      <c r="B210" s="94" t="str">
        <f>(IF(H156="Saleable area Loading :","We have considered Saleable area of Commercial as per our Calculation.","We considered Saleable area of Commercial as per Builder area Sheet."))</f>
        <v>We have considered Saleable area of Commercial as per our Calculation.</v>
      </c>
      <c r="C210" s="95"/>
      <c r="D210" s="95"/>
      <c r="E210" s="95"/>
      <c r="F210" s="95"/>
      <c r="G210" s="95"/>
      <c r="H210" s="96"/>
    </row>
    <row r="211" spans="1:20" s="35" customFormat="1" x14ac:dyDescent="0.25">
      <c r="A211" s="45" t="s">
        <v>150</v>
      </c>
      <c r="B211" s="167" t="s">
        <v>120</v>
      </c>
      <c r="C211" s="168"/>
      <c r="D211" s="168"/>
      <c r="E211" s="168"/>
      <c r="F211" s="168"/>
      <c r="G211" s="168"/>
      <c r="H211" s="169"/>
    </row>
    <row r="212" spans="1:20" s="35" customFormat="1" x14ac:dyDescent="0.25">
      <c r="A212" s="45" t="s">
        <v>150</v>
      </c>
      <c r="B212" s="167" t="s">
        <v>337</v>
      </c>
      <c r="C212" s="168"/>
      <c r="D212" s="168"/>
      <c r="E212" s="168"/>
      <c r="F212" s="168"/>
      <c r="G212" s="168"/>
      <c r="H212" s="169"/>
    </row>
    <row r="213" spans="1:20" s="35" customFormat="1" x14ac:dyDescent="0.25">
      <c r="A213" s="45" t="s">
        <v>150</v>
      </c>
      <c r="B213" s="167" t="s">
        <v>149</v>
      </c>
      <c r="C213" s="168"/>
      <c r="D213" s="168"/>
      <c r="E213" s="168"/>
      <c r="F213" s="168"/>
      <c r="G213" s="168"/>
      <c r="H213" s="169"/>
    </row>
    <row r="214" spans="1:20" s="35" customFormat="1" x14ac:dyDescent="0.25">
      <c r="A214" s="45" t="s">
        <v>150</v>
      </c>
      <c r="B214" s="167" t="s">
        <v>121</v>
      </c>
      <c r="C214" s="168"/>
      <c r="D214" s="168"/>
      <c r="E214" s="168"/>
      <c r="F214" s="168"/>
      <c r="G214" s="168"/>
      <c r="H214" s="169"/>
    </row>
    <row r="215" spans="1:20" s="35" customFormat="1" ht="34.5" customHeight="1" x14ac:dyDescent="0.25">
      <c r="A215" s="45" t="s">
        <v>150</v>
      </c>
      <c r="B215" s="167" t="s">
        <v>151</v>
      </c>
      <c r="C215" s="168"/>
      <c r="D215" s="168"/>
      <c r="E215" s="168"/>
      <c r="F215" s="168"/>
      <c r="G215" s="168"/>
      <c r="H215" s="169"/>
    </row>
    <row r="216" spans="1:20" s="35" customFormat="1" x14ac:dyDescent="0.25">
      <c r="A216" s="45" t="s">
        <v>150</v>
      </c>
      <c r="B216" s="167" t="s">
        <v>122</v>
      </c>
      <c r="C216" s="168"/>
      <c r="D216" s="168"/>
      <c r="E216" s="168"/>
      <c r="F216" s="168"/>
      <c r="G216" s="168"/>
      <c r="H216" s="169"/>
    </row>
    <row r="217" spans="1:20" s="35" customFormat="1" ht="47.25" customHeight="1" x14ac:dyDescent="0.25">
      <c r="A217" s="67" t="s">
        <v>150</v>
      </c>
      <c r="B217" s="94" t="s">
        <v>348</v>
      </c>
      <c r="C217" s="95"/>
      <c r="D217" s="95"/>
      <c r="E217" s="95"/>
      <c r="F217" s="95"/>
      <c r="G217" s="95"/>
      <c r="H217" s="96"/>
      <c r="I217" s="79" t="s">
        <v>359</v>
      </c>
    </row>
    <row r="218" spans="1:20" s="35" customFormat="1" ht="30.75" customHeight="1" x14ac:dyDescent="0.25">
      <c r="A218" s="75" t="s">
        <v>150</v>
      </c>
      <c r="B218" s="94" t="s">
        <v>354</v>
      </c>
      <c r="C218" s="95"/>
      <c r="D218" s="95"/>
      <c r="E218" s="95"/>
      <c r="F218" s="95"/>
      <c r="G218" s="95"/>
      <c r="H218" s="96"/>
      <c r="I218" s="80" t="s">
        <v>358</v>
      </c>
      <c r="J218" s="81"/>
      <c r="K218" s="81"/>
      <c r="L218" s="81"/>
      <c r="M218" s="81"/>
      <c r="N218" s="81"/>
      <c r="O218" s="82"/>
    </row>
    <row r="219" spans="1:20" x14ac:dyDescent="0.25">
      <c r="A219" s="127" t="s">
        <v>58</v>
      </c>
      <c r="B219" s="127"/>
      <c r="C219" s="127"/>
      <c r="D219" s="127"/>
      <c r="E219" s="127"/>
      <c r="F219" s="127"/>
      <c r="G219" s="127"/>
      <c r="H219" s="127"/>
      <c r="T219" s="35"/>
    </row>
    <row r="220" spans="1:20" x14ac:dyDescent="0.25">
      <c r="A220" s="105" t="s">
        <v>59</v>
      </c>
      <c r="B220" s="105"/>
      <c r="C220" s="105"/>
      <c r="D220" s="105"/>
      <c r="E220" s="105"/>
      <c r="F220" s="105"/>
      <c r="G220" s="105"/>
      <c r="H220" s="105"/>
      <c r="T220" s="35"/>
    </row>
    <row r="221" spans="1:20" ht="15.75" customHeight="1" x14ac:dyDescent="0.25">
      <c r="A221" s="157" t="s">
        <v>60</v>
      </c>
      <c r="B221" s="157"/>
      <c r="C221" s="157"/>
      <c r="D221" s="157"/>
      <c r="E221" s="157"/>
      <c r="F221" s="157"/>
      <c r="G221" s="157"/>
      <c r="H221" s="157"/>
      <c r="T221" s="35"/>
    </row>
    <row r="222" spans="1:20" x14ac:dyDescent="0.25">
      <c r="A222" s="105" t="s">
        <v>61</v>
      </c>
      <c r="B222" s="105"/>
      <c r="C222" s="105"/>
      <c r="D222" s="105"/>
      <c r="E222" s="105"/>
      <c r="F222" s="105"/>
      <c r="G222" s="105"/>
      <c r="H222" s="105"/>
    </row>
    <row r="223" spans="1:20" x14ac:dyDescent="0.25">
      <c r="A223" s="105" t="s">
        <v>62</v>
      </c>
      <c r="B223" s="105"/>
      <c r="C223" s="105"/>
      <c r="D223" s="105"/>
      <c r="E223" s="105"/>
      <c r="F223" s="105"/>
      <c r="G223" s="105"/>
      <c r="H223" s="105"/>
    </row>
    <row r="224" spans="1:20" x14ac:dyDescent="0.25">
      <c r="A224" s="105" t="s">
        <v>123</v>
      </c>
      <c r="B224" s="105"/>
      <c r="C224" s="105"/>
      <c r="D224" s="105"/>
      <c r="E224" s="105"/>
      <c r="F224" s="105"/>
      <c r="G224" s="105"/>
      <c r="H224" s="105"/>
    </row>
    <row r="225" spans="1:8" ht="33.950000000000003" customHeight="1" x14ac:dyDescent="0.25">
      <c r="A225" s="111" t="s">
        <v>124</v>
      </c>
      <c r="B225" s="111"/>
      <c r="C225" s="111"/>
      <c r="D225" s="111"/>
      <c r="E225" s="111"/>
      <c r="F225" s="111"/>
      <c r="G225" s="111"/>
      <c r="H225" s="111"/>
    </row>
    <row r="226" spans="1:8" x14ac:dyDescent="0.25">
      <c r="A226" s="93" t="s">
        <v>74</v>
      </c>
      <c r="B226" s="93"/>
      <c r="C226" s="93" t="s">
        <v>353</v>
      </c>
      <c r="D226" s="93"/>
      <c r="E226" s="93" t="s">
        <v>104</v>
      </c>
      <c r="F226" s="93"/>
      <c r="G226" s="93" t="s">
        <v>361</v>
      </c>
      <c r="H226" s="93"/>
    </row>
    <row r="227" spans="1:8" x14ac:dyDescent="0.25">
      <c r="A227" s="92" t="s">
        <v>76</v>
      </c>
      <c r="B227" s="92"/>
      <c r="C227" s="92"/>
      <c r="D227" s="92"/>
      <c r="E227" s="92"/>
      <c r="F227" s="92"/>
      <c r="G227" s="92"/>
      <c r="H227" s="92"/>
    </row>
    <row r="228" spans="1:8" x14ac:dyDescent="0.25">
      <c r="A228" s="92"/>
      <c r="B228" s="92"/>
      <c r="C228" s="92"/>
      <c r="D228" s="92"/>
      <c r="E228" s="92"/>
      <c r="F228" s="92"/>
      <c r="G228" s="92"/>
      <c r="H228" s="92"/>
    </row>
    <row r="229" spans="1:8" x14ac:dyDescent="0.25">
      <c r="A229" s="92"/>
      <c r="B229" s="92"/>
      <c r="C229" s="92"/>
      <c r="D229" s="92"/>
      <c r="E229" s="92"/>
      <c r="F229" s="92"/>
      <c r="G229" s="92"/>
      <c r="H229" s="92"/>
    </row>
    <row r="230" spans="1:8" x14ac:dyDescent="0.25">
      <c r="A230" s="92"/>
      <c r="B230" s="92"/>
      <c r="C230" s="92"/>
      <c r="D230" s="92"/>
      <c r="E230" s="92"/>
      <c r="F230" s="92"/>
      <c r="G230" s="92"/>
      <c r="H230" s="92"/>
    </row>
    <row r="231" spans="1:8" x14ac:dyDescent="0.25">
      <c r="A231" s="88" t="s">
        <v>63</v>
      </c>
      <c r="B231" s="88"/>
      <c r="C231" s="88"/>
      <c r="D231" s="90" t="str">
        <f>E9</f>
        <v>Chintamani Heights (Building No 1) &amp; Chintamani Kuber (Building No 2)</v>
      </c>
      <c r="E231" s="90"/>
      <c r="F231" s="90"/>
      <c r="G231" s="90"/>
      <c r="H231" s="90"/>
    </row>
    <row r="232" spans="1:8" x14ac:dyDescent="0.25">
      <c r="A232" s="89"/>
      <c r="B232" s="89"/>
      <c r="C232" s="89"/>
      <c r="D232" s="91"/>
      <c r="E232" s="91"/>
      <c r="F232" s="91"/>
      <c r="G232" s="91"/>
      <c r="H232" s="91"/>
    </row>
    <row r="233" spans="1:8" x14ac:dyDescent="0.25">
      <c r="A233" s="38"/>
      <c r="B233" s="38"/>
      <c r="C233" s="38"/>
      <c r="D233" s="38"/>
      <c r="E233" s="38"/>
      <c r="F233" s="38"/>
      <c r="G233" s="38"/>
      <c r="H233" s="38"/>
    </row>
    <row r="234" spans="1:8" ht="15" customHeight="1" x14ac:dyDescent="0.25"/>
    <row r="252" spans="8:8" x14ac:dyDescent="0.25">
      <c r="H252"/>
    </row>
    <row r="273" spans="1:1" x14ac:dyDescent="0.25">
      <c r="A273" s="40" t="s">
        <v>161</v>
      </c>
    </row>
    <row r="315" spans="1:1" x14ac:dyDescent="0.25">
      <c r="A315" s="40" t="s">
        <v>64</v>
      </c>
    </row>
  </sheetData>
  <mergeCells count="382">
    <mergeCell ref="A103:B103"/>
    <mergeCell ref="C103:D103"/>
    <mergeCell ref="E103:F103"/>
    <mergeCell ref="G103:H103"/>
    <mergeCell ref="A89:B89"/>
    <mergeCell ref="C89:H89"/>
    <mergeCell ref="A91:B91"/>
    <mergeCell ref="C91:H91"/>
    <mergeCell ref="A92:B92"/>
    <mergeCell ref="E92:F92"/>
    <mergeCell ref="G92:H92"/>
    <mergeCell ref="A93:B93"/>
    <mergeCell ref="E93:F102"/>
    <mergeCell ref="G93:H102"/>
    <mergeCell ref="A94:B94"/>
    <mergeCell ref="A95:B95"/>
    <mergeCell ref="A96:B96"/>
    <mergeCell ref="A97:B97"/>
    <mergeCell ref="A98:B98"/>
    <mergeCell ref="A99:B99"/>
    <mergeCell ref="A100:B100"/>
    <mergeCell ref="A101:B101"/>
    <mergeCell ref="A102:B102"/>
    <mergeCell ref="B218:H218"/>
    <mergeCell ref="I1:L1"/>
    <mergeCell ref="A117:B117"/>
    <mergeCell ref="A122:B122"/>
    <mergeCell ref="A152:B152"/>
    <mergeCell ref="E152:F152"/>
    <mergeCell ref="C120:H120"/>
    <mergeCell ref="A121:B121"/>
    <mergeCell ref="A142:E142"/>
    <mergeCell ref="G152:H152"/>
    <mergeCell ref="A151:B151"/>
    <mergeCell ref="C151:D151"/>
    <mergeCell ref="E151:F151"/>
    <mergeCell ref="G151:H151"/>
    <mergeCell ref="A49:B49"/>
    <mergeCell ref="C49:H49"/>
    <mergeCell ref="A81:B81"/>
    <mergeCell ref="A39:B39"/>
    <mergeCell ref="C39:H39"/>
    <mergeCell ref="A46:D46"/>
    <mergeCell ref="A86:B86"/>
    <mergeCell ref="A133:E133"/>
    <mergeCell ref="A118:B118"/>
    <mergeCell ref="C118:H118"/>
    <mergeCell ref="A108:B108"/>
    <mergeCell ref="G108:H117"/>
    <mergeCell ref="A109:B109"/>
    <mergeCell ref="A110:B110"/>
    <mergeCell ref="A111:B111"/>
    <mergeCell ref="F134:H134"/>
    <mergeCell ref="A134:E134"/>
    <mergeCell ref="D156:D157"/>
    <mergeCell ref="A136:E136"/>
    <mergeCell ref="A127:B127"/>
    <mergeCell ref="A129:B129"/>
    <mergeCell ref="A130:B130"/>
    <mergeCell ref="A135:E135"/>
    <mergeCell ref="A132:E132"/>
    <mergeCell ref="F136:H136"/>
    <mergeCell ref="G121:H121"/>
    <mergeCell ref="A120:B120"/>
    <mergeCell ref="G156:G157"/>
    <mergeCell ref="A137:E137"/>
    <mergeCell ref="C150:D150"/>
    <mergeCell ref="E150:F150"/>
    <mergeCell ref="G150:H150"/>
    <mergeCell ref="E149:F149"/>
    <mergeCell ref="A154:H154"/>
    <mergeCell ref="A124:B124"/>
    <mergeCell ref="A64:C64"/>
    <mergeCell ref="A85:B85"/>
    <mergeCell ref="C106:H106"/>
    <mergeCell ref="A45:D45"/>
    <mergeCell ref="A40:B40"/>
    <mergeCell ref="C40:H40"/>
    <mergeCell ref="E47:H47"/>
    <mergeCell ref="C57:H57"/>
    <mergeCell ref="C59:H59"/>
    <mergeCell ref="A106:B106"/>
    <mergeCell ref="A77:B77"/>
    <mergeCell ref="A75:B75"/>
    <mergeCell ref="C75:H75"/>
    <mergeCell ref="A83:B83"/>
    <mergeCell ref="A70:C70"/>
    <mergeCell ref="D70:H70"/>
    <mergeCell ref="C77:H77"/>
    <mergeCell ref="A80:B80"/>
    <mergeCell ref="A82:B82"/>
    <mergeCell ref="E78:F78"/>
    <mergeCell ref="A71:C71"/>
    <mergeCell ref="A78:B78"/>
    <mergeCell ref="D71:H71"/>
    <mergeCell ref="A74:C74"/>
    <mergeCell ref="A38:H38"/>
    <mergeCell ref="A37:B37"/>
    <mergeCell ref="C37:E37"/>
    <mergeCell ref="G122:H131"/>
    <mergeCell ref="A42:D42"/>
    <mergeCell ref="E42:H42"/>
    <mergeCell ref="A41:H41"/>
    <mergeCell ref="A68:C68"/>
    <mergeCell ref="A69:C69"/>
    <mergeCell ref="D68:H68"/>
    <mergeCell ref="E79:F88"/>
    <mergeCell ref="G79:H88"/>
    <mergeCell ref="A87:B87"/>
    <mergeCell ref="A88:B88"/>
    <mergeCell ref="D69:H69"/>
    <mergeCell ref="A44:D44"/>
    <mergeCell ref="E44:H44"/>
    <mergeCell ref="E45:H45"/>
    <mergeCell ref="E46:H46"/>
    <mergeCell ref="A107:B107"/>
    <mergeCell ref="A47:D47"/>
    <mergeCell ref="A48:H48"/>
    <mergeCell ref="D64:H64"/>
    <mergeCell ref="F37:H3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26:B126"/>
    <mergeCell ref="E108:F117"/>
    <mergeCell ref="A115:B115"/>
    <mergeCell ref="A116:B116"/>
    <mergeCell ref="E122:F131"/>
    <mergeCell ref="A123:B123"/>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69:B169"/>
    <mergeCell ref="A167:B167"/>
    <mergeCell ref="B216:H216"/>
    <mergeCell ref="B214:H214"/>
    <mergeCell ref="B213:H213"/>
    <mergeCell ref="A162:H162"/>
    <mergeCell ref="D74:H74"/>
    <mergeCell ref="A72:C72"/>
    <mergeCell ref="D73:H73"/>
    <mergeCell ref="A79:B79"/>
    <mergeCell ref="G78:H78"/>
    <mergeCell ref="F143:H143"/>
    <mergeCell ref="A144:E144"/>
    <mergeCell ref="F144:H144"/>
    <mergeCell ref="F132:H132"/>
    <mergeCell ref="F137:H137"/>
    <mergeCell ref="E107:F107"/>
    <mergeCell ref="G107:H107"/>
    <mergeCell ref="A138:E138"/>
    <mergeCell ref="F138:H138"/>
    <mergeCell ref="A140:E140"/>
    <mergeCell ref="F135:H135"/>
    <mergeCell ref="A139:E139"/>
    <mergeCell ref="A125:B125"/>
    <mergeCell ref="C153:D153"/>
    <mergeCell ref="E153:F153"/>
    <mergeCell ref="A150:B150"/>
    <mergeCell ref="A147:B147"/>
    <mergeCell ref="C147:D147"/>
    <mergeCell ref="E147:F147"/>
    <mergeCell ref="A222:H222"/>
    <mergeCell ref="A148:H148"/>
    <mergeCell ref="A225:H225"/>
    <mergeCell ref="A223:H223"/>
    <mergeCell ref="A219:H219"/>
    <mergeCell ref="G149:H149"/>
    <mergeCell ref="C156:C157"/>
    <mergeCell ref="B163:B164"/>
    <mergeCell ref="A220:H220"/>
    <mergeCell ref="A159:H159"/>
    <mergeCell ref="E156:E157"/>
    <mergeCell ref="F156:F157"/>
    <mergeCell ref="B156:B157"/>
    <mergeCell ref="A156:A157"/>
    <mergeCell ref="C163:C164"/>
    <mergeCell ref="G163:G164"/>
    <mergeCell ref="A168:B168"/>
    <mergeCell ref="G153:H153"/>
    <mergeCell ref="B211:H211"/>
    <mergeCell ref="B212:H212"/>
    <mergeCell ref="A207:H207"/>
    <mergeCell ref="A170:B170"/>
    <mergeCell ref="B215:H215"/>
    <mergeCell ref="D67:H67"/>
    <mergeCell ref="A158:H158"/>
    <mergeCell ref="A165:H165"/>
    <mergeCell ref="A171:H171"/>
    <mergeCell ref="A172:B172"/>
    <mergeCell ref="A173:B173"/>
    <mergeCell ref="A174:B174"/>
    <mergeCell ref="A175:B175"/>
    <mergeCell ref="A176:H176"/>
    <mergeCell ref="A177:B177"/>
    <mergeCell ref="A178:B178"/>
    <mergeCell ref="A179:B179"/>
    <mergeCell ref="A180:H180"/>
    <mergeCell ref="A181:B181"/>
    <mergeCell ref="E121:F121"/>
    <mergeCell ref="A163:A164"/>
    <mergeCell ref="F163:F164"/>
    <mergeCell ref="A145:H145"/>
    <mergeCell ref="A143:E143"/>
    <mergeCell ref="A65:C67"/>
    <mergeCell ref="D65:H65"/>
    <mergeCell ref="D66:H66"/>
    <mergeCell ref="C51:E51"/>
    <mergeCell ref="A224:H224"/>
    <mergeCell ref="A221:H221"/>
    <mergeCell ref="A149:B149"/>
    <mergeCell ref="D163:D164"/>
    <mergeCell ref="E163:E164"/>
    <mergeCell ref="A112:B112"/>
    <mergeCell ref="A113:B113"/>
    <mergeCell ref="A114:B114"/>
    <mergeCell ref="A128:B128"/>
    <mergeCell ref="F133:H133"/>
    <mergeCell ref="G147:H147"/>
    <mergeCell ref="A131:B131"/>
    <mergeCell ref="F139:H139"/>
    <mergeCell ref="C146:D146"/>
    <mergeCell ref="C152:D152"/>
    <mergeCell ref="A166:H166"/>
    <mergeCell ref="A160:B160"/>
    <mergeCell ref="A153:B153"/>
    <mergeCell ref="G52:H52"/>
    <mergeCell ref="B210:H210"/>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C52:E52"/>
    <mergeCell ref="C55:H55"/>
    <mergeCell ref="I15:P15"/>
    <mergeCell ref="F142:H142"/>
    <mergeCell ref="F140:H140"/>
    <mergeCell ref="A155:H155"/>
    <mergeCell ref="G146:H146"/>
    <mergeCell ref="A141:E141"/>
    <mergeCell ref="A161:B161"/>
    <mergeCell ref="A60:B60"/>
    <mergeCell ref="C60:E60"/>
    <mergeCell ref="D62:H62"/>
    <mergeCell ref="F141:H141"/>
    <mergeCell ref="E146:F146"/>
    <mergeCell ref="A146:B146"/>
    <mergeCell ref="C149:D149"/>
    <mergeCell ref="D72:H72"/>
    <mergeCell ref="A73:C73"/>
    <mergeCell ref="E43:H43"/>
    <mergeCell ref="A43:D43"/>
    <mergeCell ref="A104:B104"/>
    <mergeCell ref="C104:H104"/>
    <mergeCell ref="A84:B84"/>
    <mergeCell ref="A50:B50"/>
    <mergeCell ref="C50:E50"/>
    <mergeCell ref="G50:H50"/>
    <mergeCell ref="B209:H209"/>
    <mergeCell ref="A186:B186"/>
    <mergeCell ref="A187:B187"/>
    <mergeCell ref="A188:H188"/>
    <mergeCell ref="A189:B189"/>
    <mergeCell ref="A190:B190"/>
    <mergeCell ref="A191:B191"/>
    <mergeCell ref="A192:H192"/>
    <mergeCell ref="A182:B182"/>
    <mergeCell ref="A183:B183"/>
    <mergeCell ref="A184:H184"/>
    <mergeCell ref="A185:B185"/>
    <mergeCell ref="I218:O218"/>
    <mergeCell ref="A197:H197"/>
    <mergeCell ref="A198:B198"/>
    <mergeCell ref="A231:C232"/>
    <mergeCell ref="D231:H232"/>
    <mergeCell ref="A193:H193"/>
    <mergeCell ref="A194:B194"/>
    <mergeCell ref="A195:B195"/>
    <mergeCell ref="A196:B196"/>
    <mergeCell ref="A199:B199"/>
    <mergeCell ref="A200:B200"/>
    <mergeCell ref="A201:B201"/>
    <mergeCell ref="A202:H202"/>
    <mergeCell ref="A203:B203"/>
    <mergeCell ref="A204:B204"/>
    <mergeCell ref="A205:B205"/>
    <mergeCell ref="A206:B206"/>
    <mergeCell ref="A227:H230"/>
    <mergeCell ref="A226:B226"/>
    <mergeCell ref="E226:F226"/>
    <mergeCell ref="C226:D226"/>
    <mergeCell ref="G226:H226"/>
    <mergeCell ref="B217:H217"/>
    <mergeCell ref="B208:H208"/>
  </mergeCells>
  <dataValidations disablePrompts="1" count="15">
    <dataValidation type="list" allowBlank="1" showInputMessage="1" showErrorMessage="1" sqref="E5:H5">
      <formula1>OFFSET($L$3,1,MATCH($E4,$L$3:$P$3,0)-1,10,1)</formula1>
    </dataValidation>
    <dataValidation type="list" allowBlank="1" showInputMessage="1" showErrorMessage="1" sqref="A17:B17">
      <formula1>"CTS No,Old Survey No,Plot No,Gut No,FP No,"</formula1>
    </dataValidation>
    <dataValidation type="list" allowBlank="1" showInputMessage="1" showErrorMessage="1" sqref="G20:H20">
      <formula1>$S$13:$W$13</formula1>
    </dataValidation>
    <dataValidation type="list" allowBlank="1" showInputMessage="1" showErrorMessage="1" sqref="E156:E157">
      <formula1>"Attached Loft area,Attached Otla area,Attached Mezzanine area"</formula1>
    </dataValidation>
    <dataValidation type="list" allowBlank="1" showInputMessage="1" showErrorMessage="1" sqref="G226:H226">
      <formula1>"Kunal Kadam,Pranita Mhatre,Shruti Fule,Pooja Kawale,Mansee Mohite,Anjali Kamble, Hitakshi Mhatre, Sachin Sawant"</formula1>
    </dataValidation>
    <dataValidation type="list" allowBlank="1" showInputMessage="1" showErrorMessage="1" sqref="F132:H132 F103">
      <formula1>"On Saleable Area,On Builtup Area,On Carpet Area,On Plot Area"</formula1>
    </dataValidation>
    <dataValidation type="list" allowBlank="1" showInputMessage="1" showErrorMessage="1" sqref="F143:H143">
      <formula1>OFFSET($S$132,1,MATCH($G20,$S$132:$W$132,0)-1,15,1)</formula1>
    </dataValidation>
    <dataValidation type="list" allowBlank="1" showInputMessage="1" showErrorMessage="1" sqref="B156:B157">
      <formula1>"Shop No. (Sale Plan),Sale / Rehab,Sale / Mhada"</formula1>
    </dataValidation>
    <dataValidation type="list" allowBlank="1" showInputMessage="1" showErrorMessage="1" sqref="B163:B164">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63:E164">
      <formula1>"Fungible area,Balcony Area,Chajja Area,Cornice Area,AP Area,WS Area"</formula1>
    </dataValidation>
    <dataValidation type="list" allowBlank="1" showInputMessage="1" showErrorMessage="1" sqref="H157 H164">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4" manualBreakCount="4">
    <brk id="74" max="16383" man="1"/>
    <brk id="230" max="16383" man="1"/>
    <brk id="272" max="16383" man="1"/>
    <brk id="314"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B15" sqref="B15"/>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34" t="s">
        <v>105</v>
      </c>
      <c r="C3" s="234"/>
      <c r="D3" s="234"/>
      <c r="E3" s="234"/>
      <c r="F3" s="234"/>
      <c r="G3" s="234"/>
      <c r="H3" s="234"/>
    </row>
    <row r="4" spans="1:9" x14ac:dyDescent="0.25">
      <c r="A4" s="2"/>
      <c r="B4" s="3" t="s">
        <v>106</v>
      </c>
      <c r="C4" s="3" t="s">
        <v>107</v>
      </c>
      <c r="D4" s="3" t="s">
        <v>66</v>
      </c>
      <c r="E4" s="3" t="s">
        <v>108</v>
      </c>
      <c r="F4" s="3" t="s">
        <v>114</v>
      </c>
      <c r="G4" s="3" t="s">
        <v>115</v>
      </c>
      <c r="H4" s="3" t="s">
        <v>109</v>
      </c>
    </row>
    <row r="5" spans="1:9" ht="15" customHeight="1" x14ac:dyDescent="0.25">
      <c r="A5" s="2"/>
      <c r="B5" s="5" t="s">
        <v>110</v>
      </c>
      <c r="C5" s="6"/>
      <c r="D5" s="5"/>
      <c r="E5" s="5"/>
      <c r="F5" s="7">
        <f>E5*1.6</f>
        <v>0</v>
      </c>
      <c r="G5" s="7" t="e">
        <f>H5/F5</f>
        <v>#DIV/0!</v>
      </c>
      <c r="H5" s="8"/>
    </row>
    <row r="6" spans="1:9" x14ac:dyDescent="0.25">
      <c r="A6" s="2"/>
      <c r="B6" s="5" t="s">
        <v>110</v>
      </c>
      <c r="C6" s="9"/>
      <c r="D6" s="5"/>
      <c r="E6" s="5"/>
      <c r="F6" s="7">
        <f t="shared" ref="F6:F11" si="0">E6*1.6</f>
        <v>0</v>
      </c>
      <c r="G6" s="7" t="e">
        <f t="shared" ref="G6:G11" si="1">H6/F6</f>
        <v>#DIV/0!</v>
      </c>
      <c r="H6" s="8"/>
    </row>
    <row r="7" spans="1:9" ht="15" customHeight="1" x14ac:dyDescent="0.25">
      <c r="A7" s="2"/>
      <c r="B7" s="5" t="s">
        <v>110</v>
      </c>
      <c r="C7" s="6"/>
      <c r="D7" s="5"/>
      <c r="E7" s="5"/>
      <c r="F7" s="7">
        <f t="shared" si="0"/>
        <v>0</v>
      </c>
      <c r="G7" s="7" t="e">
        <f t="shared" si="1"/>
        <v>#DIV/0!</v>
      </c>
      <c r="H7" s="8"/>
    </row>
    <row r="8" spans="1:9" x14ac:dyDescent="0.25">
      <c r="A8" s="2"/>
      <c r="B8" s="5" t="s">
        <v>110</v>
      </c>
      <c r="C8" s="9"/>
      <c r="D8" s="5"/>
      <c r="E8" s="5"/>
      <c r="F8" s="7">
        <f t="shared" si="0"/>
        <v>0</v>
      </c>
      <c r="G8" s="7" t="e">
        <f t="shared" si="1"/>
        <v>#DIV/0!</v>
      </c>
      <c r="H8" s="8"/>
    </row>
    <row r="9" spans="1:9" ht="15" customHeight="1" x14ac:dyDescent="0.25">
      <c r="A9" s="2"/>
      <c r="B9" s="5" t="s">
        <v>110</v>
      </c>
      <c r="C9" s="9"/>
      <c r="D9" s="5"/>
      <c r="E9" s="5"/>
      <c r="F9" s="7">
        <f t="shared" si="0"/>
        <v>0</v>
      </c>
      <c r="G9" s="7" t="e">
        <f t="shared" si="1"/>
        <v>#DIV/0!</v>
      </c>
      <c r="H9" s="8"/>
    </row>
    <row r="10" spans="1:9" ht="15" customHeight="1" x14ac:dyDescent="0.25">
      <c r="A10" s="2"/>
      <c r="B10" s="5" t="s">
        <v>111</v>
      </c>
      <c r="C10" s="6"/>
      <c r="D10" s="5"/>
      <c r="E10" s="5"/>
      <c r="F10" s="7">
        <f t="shared" si="0"/>
        <v>0</v>
      </c>
      <c r="G10" s="7" t="e">
        <f t="shared" si="1"/>
        <v>#DIV/0!</v>
      </c>
      <c r="H10" s="8"/>
    </row>
    <row r="11" spans="1:9" ht="15" customHeight="1" x14ac:dyDescent="0.25">
      <c r="A11" s="2"/>
      <c r="B11" s="5" t="s">
        <v>111</v>
      </c>
      <c r="C11" s="6"/>
      <c r="D11" s="5"/>
      <c r="E11" s="5"/>
      <c r="F11" s="7">
        <f t="shared" si="0"/>
        <v>0</v>
      </c>
      <c r="G11" s="7" t="e">
        <f t="shared" si="1"/>
        <v>#DIV/0!</v>
      </c>
      <c r="H11" s="8"/>
    </row>
    <row r="12" spans="1:9" ht="15" customHeight="1" x14ac:dyDescent="0.25">
      <c r="A12" s="2"/>
      <c r="B12" s="10" t="s">
        <v>112</v>
      </c>
      <c r="C12" s="5"/>
      <c r="D12" s="5"/>
      <c r="E12" s="5"/>
      <c r="F12" s="5"/>
      <c r="G12" s="11" t="e">
        <f>AVERAGE(G5:G11)</f>
        <v>#DIV/0!</v>
      </c>
      <c r="H12" s="5"/>
    </row>
    <row r="13" spans="1:9" ht="15" customHeight="1" x14ac:dyDescent="0.25">
      <c r="B13" s="10" t="s">
        <v>113</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5"/>
      <c r="C4" s="55" t="s">
        <v>11</v>
      </c>
      <c r="D4" s="56" t="s">
        <v>177</v>
      </c>
      <c r="E4" s="56" t="s">
        <v>187</v>
      </c>
      <c r="F4" s="56" t="s">
        <v>171</v>
      </c>
      <c r="G4" s="56" t="s">
        <v>192</v>
      </c>
      <c r="H4" s="56" t="s">
        <v>210</v>
      </c>
      <c r="J4" t="s">
        <v>192</v>
      </c>
      <c r="K4" t="s">
        <v>208</v>
      </c>
    </row>
    <row r="5" spans="2:11" x14ac:dyDescent="0.25">
      <c r="B5" s="55"/>
      <c r="C5" s="55"/>
      <c r="D5" s="56" t="s">
        <v>178</v>
      </c>
      <c r="E5" s="56" t="s">
        <v>185</v>
      </c>
      <c r="F5" s="56" t="s">
        <v>207</v>
      </c>
      <c r="G5" s="56" t="s">
        <v>193</v>
      </c>
      <c r="H5" s="56" t="s">
        <v>211</v>
      </c>
    </row>
    <row r="6" spans="2:11" x14ac:dyDescent="0.25">
      <c r="B6" s="55"/>
      <c r="C6" s="55"/>
      <c r="D6" s="56" t="s">
        <v>179</v>
      </c>
      <c r="E6" s="56" t="s">
        <v>186</v>
      </c>
      <c r="F6" s="56" t="s">
        <v>208</v>
      </c>
      <c r="G6" s="56" t="s">
        <v>194</v>
      </c>
      <c r="H6" s="56" t="s">
        <v>224</v>
      </c>
    </row>
    <row r="7" spans="2:11" x14ac:dyDescent="0.25">
      <c r="B7" s="55"/>
      <c r="C7" s="55"/>
      <c r="D7" s="56" t="s">
        <v>180</v>
      </c>
      <c r="E7" s="56" t="s">
        <v>188</v>
      </c>
      <c r="F7" s="56" t="s">
        <v>209</v>
      </c>
      <c r="G7" s="56" t="s">
        <v>195</v>
      </c>
      <c r="H7" s="56" t="s">
        <v>212</v>
      </c>
    </row>
    <row r="8" spans="2:11" x14ac:dyDescent="0.25">
      <c r="B8" s="55"/>
      <c r="C8" s="55"/>
      <c r="D8" s="56" t="s">
        <v>181</v>
      </c>
      <c r="E8" s="56" t="s">
        <v>189</v>
      </c>
      <c r="F8" s="56"/>
      <c r="G8" s="56" t="s">
        <v>196</v>
      </c>
      <c r="H8" s="56" t="s">
        <v>213</v>
      </c>
    </row>
    <row r="9" spans="2:11" x14ac:dyDescent="0.25">
      <c r="B9" s="55"/>
      <c r="C9" s="55"/>
      <c r="D9" s="56" t="s">
        <v>182</v>
      </c>
      <c r="E9" s="56" t="s">
        <v>187</v>
      </c>
      <c r="F9" s="56"/>
      <c r="G9" s="56" t="s">
        <v>197</v>
      </c>
      <c r="H9" s="56" t="s">
        <v>214</v>
      </c>
    </row>
    <row r="10" spans="2:11" x14ac:dyDescent="0.25">
      <c r="B10" s="55"/>
      <c r="C10" s="55"/>
      <c r="D10" s="56" t="s">
        <v>183</v>
      </c>
      <c r="E10" s="56" t="s">
        <v>190</v>
      </c>
      <c r="F10" s="56"/>
      <c r="G10" s="56" t="s">
        <v>198</v>
      </c>
      <c r="H10" s="56" t="s">
        <v>215</v>
      </c>
    </row>
    <row r="11" spans="2:11" x14ac:dyDescent="0.25">
      <c r="B11" s="55"/>
      <c r="C11" s="55"/>
      <c r="D11" s="56" t="s">
        <v>184</v>
      </c>
      <c r="E11" s="56" t="s">
        <v>191</v>
      </c>
      <c r="F11" s="56"/>
      <c r="G11" s="56" t="s">
        <v>199</v>
      </c>
      <c r="H11" s="56" t="s">
        <v>216</v>
      </c>
    </row>
    <row r="12" spans="2:11" x14ac:dyDescent="0.25">
      <c r="B12" s="55"/>
      <c r="C12" s="55"/>
      <c r="D12" s="56"/>
      <c r="E12" s="56"/>
      <c r="F12" s="56"/>
      <c r="G12" s="56" t="s">
        <v>200</v>
      </c>
      <c r="H12" s="56" t="s">
        <v>217</v>
      </c>
    </row>
    <row r="13" spans="2:11" x14ac:dyDescent="0.25">
      <c r="B13" s="55"/>
      <c r="C13" s="55"/>
      <c r="D13" s="56"/>
      <c r="E13" s="56"/>
      <c r="F13" s="56"/>
      <c r="G13" s="56" t="s">
        <v>201</v>
      </c>
      <c r="H13" s="56" t="s">
        <v>218</v>
      </c>
    </row>
    <row r="14" spans="2:11" x14ac:dyDescent="0.25">
      <c r="B14" s="55"/>
      <c r="C14" s="55"/>
      <c r="D14" s="56"/>
      <c r="E14" s="56"/>
      <c r="F14" s="56"/>
      <c r="G14" s="56" t="s">
        <v>202</v>
      </c>
      <c r="H14" s="56" t="s">
        <v>219</v>
      </c>
    </row>
    <row r="15" spans="2:11" x14ac:dyDescent="0.25">
      <c r="B15" s="55"/>
      <c r="C15" s="55"/>
      <c r="D15" s="56"/>
      <c r="E15" s="56"/>
      <c r="F15" s="56"/>
      <c r="G15" s="56" t="s">
        <v>203</v>
      </c>
      <c r="H15" s="56" t="s">
        <v>220</v>
      </c>
    </row>
    <row r="16" spans="2:11" x14ac:dyDescent="0.25">
      <c r="B16" s="55"/>
      <c r="C16" s="55"/>
      <c r="D16" s="56"/>
      <c r="E16" s="56"/>
      <c r="F16" s="56"/>
      <c r="G16" s="56" t="s">
        <v>204</v>
      </c>
      <c r="H16" s="56" t="s">
        <v>221</v>
      </c>
    </row>
    <row r="17" spans="2:8" x14ac:dyDescent="0.25">
      <c r="B17" s="55"/>
      <c r="C17" s="55"/>
      <c r="D17" s="56"/>
      <c r="E17" s="56"/>
      <c r="F17" s="56"/>
      <c r="G17" s="56" t="s">
        <v>205</v>
      </c>
      <c r="H17" s="56" t="s">
        <v>222</v>
      </c>
    </row>
    <row r="18" spans="2:8" x14ac:dyDescent="0.25">
      <c r="B18" s="55"/>
      <c r="C18" s="55"/>
      <c r="D18" s="56"/>
      <c r="E18" s="56"/>
      <c r="F18" s="56"/>
      <c r="G18" s="56" t="s">
        <v>206</v>
      </c>
      <c r="H18" s="56" t="s">
        <v>223</v>
      </c>
    </row>
    <row r="24" spans="2:8" x14ac:dyDescent="0.25">
      <c r="C24" t="s">
        <v>168</v>
      </c>
    </row>
    <row r="25" spans="2:8" x14ac:dyDescent="0.25">
      <c r="C25" t="s">
        <v>225</v>
      </c>
    </row>
    <row r="26" spans="2:8" x14ac:dyDescent="0.25">
      <c r="C26" t="s">
        <v>226</v>
      </c>
    </row>
    <row r="27" spans="2:8" x14ac:dyDescent="0.25">
      <c r="C27" t="s">
        <v>227</v>
      </c>
    </row>
    <row r="28" spans="2:8" x14ac:dyDescent="0.25">
      <c r="C28" t="s">
        <v>228</v>
      </c>
    </row>
    <row r="29" spans="2:8" x14ac:dyDescent="0.25">
      <c r="C29" t="s">
        <v>229</v>
      </c>
    </row>
    <row r="30" spans="2:8" x14ac:dyDescent="0.25">
      <c r="C30" t="s">
        <v>168</v>
      </c>
    </row>
    <row r="33" spans="3:11" x14ac:dyDescent="0.25">
      <c r="J33">
        <v>1</v>
      </c>
      <c r="K33">
        <v>2</v>
      </c>
    </row>
    <row r="34" spans="3:11" x14ac:dyDescent="0.25">
      <c r="C34" s="59" t="s">
        <v>234</v>
      </c>
      <c r="D34" s="56" t="s">
        <v>232</v>
      </c>
      <c r="E34" s="56" t="s">
        <v>237</v>
      </c>
      <c r="F34" s="56" t="s">
        <v>235</v>
      </c>
      <c r="G34" s="56" t="s">
        <v>236</v>
      </c>
      <c r="H34" s="56" t="s">
        <v>238</v>
      </c>
      <c r="J34" t="s">
        <v>192</v>
      </c>
      <c r="K34" t="s">
        <v>208</v>
      </c>
    </row>
    <row r="35" spans="3:11" x14ac:dyDescent="0.25">
      <c r="C35" s="55" t="s">
        <v>233</v>
      </c>
      <c r="D35" s="56" t="s">
        <v>169</v>
      </c>
      <c r="E35" s="56" t="s">
        <v>242</v>
      </c>
      <c r="F35" s="56" t="s">
        <v>244</v>
      </c>
      <c r="G35" s="56" t="s">
        <v>246</v>
      </c>
      <c r="H35" s="56"/>
    </row>
    <row r="36" spans="3:11" x14ac:dyDescent="0.25">
      <c r="C36" s="55"/>
      <c r="D36" s="56" t="s">
        <v>239</v>
      </c>
      <c r="E36" s="56" t="s">
        <v>243</v>
      </c>
      <c r="F36" s="56" t="s">
        <v>245</v>
      </c>
      <c r="G36" s="56" t="s">
        <v>247</v>
      </c>
      <c r="H36" s="56"/>
    </row>
    <row r="37" spans="3:11" x14ac:dyDescent="0.25">
      <c r="C37" s="55"/>
      <c r="D37" s="56" t="s">
        <v>240</v>
      </c>
      <c r="E37" s="56"/>
      <c r="F37" s="56"/>
      <c r="G37" s="56" t="s">
        <v>248</v>
      </c>
      <c r="H37" s="56"/>
    </row>
    <row r="38" spans="3:11" x14ac:dyDescent="0.25">
      <c r="C38" s="55"/>
      <c r="D38" s="56" t="s">
        <v>241</v>
      </c>
      <c r="E38" s="56"/>
      <c r="F38" s="56"/>
      <c r="G38" s="56" t="s">
        <v>248</v>
      </c>
      <c r="H38" s="56"/>
    </row>
    <row r="39" spans="3:11" x14ac:dyDescent="0.25">
      <c r="C39" s="55"/>
      <c r="D39" s="56"/>
      <c r="E39" s="56"/>
      <c r="F39" s="56"/>
      <c r="G39" s="56" t="s">
        <v>249</v>
      </c>
      <c r="H39" s="56"/>
    </row>
    <row r="40" spans="3:11" x14ac:dyDescent="0.25">
      <c r="C40" s="55"/>
      <c r="D40" s="56"/>
      <c r="E40" s="56"/>
      <c r="F40" s="56"/>
      <c r="G40" s="56" t="s">
        <v>250</v>
      </c>
      <c r="H40" s="56"/>
    </row>
    <row r="41" spans="3:11" x14ac:dyDescent="0.25">
      <c r="C41" s="55"/>
      <c r="D41" s="56"/>
      <c r="E41" s="56"/>
      <c r="F41" s="56"/>
      <c r="G41" s="56"/>
      <c r="H41" s="56"/>
    </row>
    <row r="43" spans="3:11" x14ac:dyDescent="0.25">
      <c r="C43" t="s">
        <v>251</v>
      </c>
    </row>
    <row r="44" spans="3:11" x14ac:dyDescent="0.25">
      <c r="C44" t="s">
        <v>171</v>
      </c>
      <c r="D44" t="s">
        <v>252</v>
      </c>
    </row>
    <row r="45" spans="3:11" x14ac:dyDescent="0.25">
      <c r="D45" t="s">
        <v>253</v>
      </c>
    </row>
    <row r="46" spans="3:11" x14ac:dyDescent="0.25">
      <c r="D46" t="s">
        <v>254</v>
      </c>
    </row>
    <row r="47" spans="3:11" x14ac:dyDescent="0.25">
      <c r="D47" t="s">
        <v>255</v>
      </c>
    </row>
    <row r="48" spans="3:11" x14ac:dyDescent="0.25">
      <c r="D48" t="s">
        <v>256</v>
      </c>
    </row>
    <row r="49" spans="3:4" x14ac:dyDescent="0.25">
      <c r="C49" t="s">
        <v>177</v>
      </c>
      <c r="D49" t="s">
        <v>257</v>
      </c>
    </row>
    <row r="50" spans="3:4" x14ac:dyDescent="0.25">
      <c r="D50" t="s">
        <v>258</v>
      </c>
    </row>
    <row r="51" spans="3:4" x14ac:dyDescent="0.25">
      <c r="D51" t="s">
        <v>259</v>
      </c>
    </row>
    <row r="52" spans="3:4" x14ac:dyDescent="0.25">
      <c r="D52" t="s">
        <v>262</v>
      </c>
    </row>
    <row r="53" spans="3:4" x14ac:dyDescent="0.25">
      <c r="D53" t="s">
        <v>260</v>
      </c>
    </row>
    <row r="54" spans="3:4" x14ac:dyDescent="0.25">
      <c r="D54" t="s">
        <v>261</v>
      </c>
    </row>
    <row r="55" spans="3:4" x14ac:dyDescent="0.25">
      <c r="D55" t="s">
        <v>263</v>
      </c>
    </row>
    <row r="56" spans="3:4" x14ac:dyDescent="0.25">
      <c r="D56" t="s">
        <v>264</v>
      </c>
    </row>
    <row r="57" spans="3:4" x14ac:dyDescent="0.25">
      <c r="D57" t="s">
        <v>265</v>
      </c>
    </row>
    <row r="58" spans="3:4" x14ac:dyDescent="0.25">
      <c r="D58" t="s">
        <v>267</v>
      </c>
    </row>
    <row r="59" spans="3:4" x14ac:dyDescent="0.25">
      <c r="D59" t="s">
        <v>276</v>
      </c>
    </row>
    <row r="60" spans="3:4" x14ac:dyDescent="0.25">
      <c r="C60" t="s">
        <v>192</v>
      </c>
      <c r="D60" t="s">
        <v>268</v>
      </c>
    </row>
    <row r="61" spans="3:4" x14ac:dyDescent="0.25">
      <c r="D61" t="s">
        <v>266</v>
      </c>
    </row>
    <row r="62" spans="3:4" x14ac:dyDescent="0.25">
      <c r="D62" t="s">
        <v>256</v>
      </c>
    </row>
    <row r="63" spans="3:4" x14ac:dyDescent="0.25">
      <c r="D63" t="s">
        <v>269</v>
      </c>
    </row>
    <row r="64" spans="3:4" x14ac:dyDescent="0.25">
      <c r="D64" t="s">
        <v>270</v>
      </c>
    </row>
    <row r="65" spans="3:4" x14ac:dyDescent="0.25">
      <c r="D65" t="s">
        <v>271</v>
      </c>
    </row>
    <row r="66" spans="3:4" x14ac:dyDescent="0.25">
      <c r="D66" t="s">
        <v>272</v>
      </c>
    </row>
    <row r="67" spans="3:4" x14ac:dyDescent="0.25">
      <c r="C67" t="s">
        <v>187</v>
      </c>
      <c r="D67" t="s">
        <v>273</v>
      </c>
    </row>
    <row r="68" spans="3:4" x14ac:dyDescent="0.25">
      <c r="D68" t="s">
        <v>274</v>
      </c>
    </row>
    <row r="69" spans="3:4" x14ac:dyDescent="0.25">
      <c r="D69" t="s">
        <v>275</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18"/>
  <sheetViews>
    <sheetView topLeftCell="A4" workbookViewId="0">
      <selection activeCell="C12" sqref="C12"/>
    </sheetView>
  </sheetViews>
  <sheetFormatPr defaultRowHeight="15" x14ac:dyDescent="0.25"/>
  <cols>
    <col min="2" max="2" width="3" bestFit="1" customWidth="1"/>
    <col min="3" max="3" width="130" customWidth="1"/>
  </cols>
  <sheetData>
    <row r="2" spans="2:3" ht="15" customHeight="1" x14ac:dyDescent="0.25">
      <c r="B2" s="60">
        <v>1</v>
      </c>
      <c r="C2" s="63" t="s">
        <v>281</v>
      </c>
    </row>
    <row r="3" spans="2:3" x14ac:dyDescent="0.25">
      <c r="B3" s="60">
        <v>2</v>
      </c>
      <c r="C3" s="61" t="s">
        <v>282</v>
      </c>
    </row>
    <row r="4" spans="2:3" x14ac:dyDescent="0.25">
      <c r="B4" s="60">
        <v>3</v>
      </c>
      <c r="C4" s="62" t="s">
        <v>283</v>
      </c>
    </row>
    <row r="5" spans="2:3" ht="30" x14ac:dyDescent="0.25">
      <c r="B5" s="60">
        <v>4</v>
      </c>
      <c r="C5" s="61" t="s">
        <v>284</v>
      </c>
    </row>
    <row r="6" spans="2:3" x14ac:dyDescent="0.25">
      <c r="B6" s="60">
        <v>5</v>
      </c>
      <c r="C6" s="62" t="s">
        <v>285</v>
      </c>
    </row>
    <row r="7" spans="2:3" ht="30" x14ac:dyDescent="0.25">
      <c r="B7" s="60">
        <v>6</v>
      </c>
      <c r="C7" s="61" t="s">
        <v>286</v>
      </c>
    </row>
    <row r="8" spans="2:3" ht="90" x14ac:dyDescent="0.25">
      <c r="B8" s="60">
        <v>7</v>
      </c>
      <c r="C8" s="61" t="s">
        <v>287</v>
      </c>
    </row>
    <row r="9" spans="2:3" x14ac:dyDescent="0.25">
      <c r="B9" s="60">
        <v>8</v>
      </c>
      <c r="C9" s="62" t="s">
        <v>288</v>
      </c>
    </row>
    <row r="10" spans="2:3" x14ac:dyDescent="0.25">
      <c r="B10" s="60">
        <v>9</v>
      </c>
      <c r="C10" s="62" t="s">
        <v>289</v>
      </c>
    </row>
    <row r="11" spans="2:3" x14ac:dyDescent="0.25">
      <c r="B11" s="60">
        <v>10</v>
      </c>
      <c r="C11" s="62" t="s">
        <v>290</v>
      </c>
    </row>
    <row r="12" spans="2:3" x14ac:dyDescent="0.25">
      <c r="B12" s="60">
        <v>11</v>
      </c>
      <c r="C12" s="62" t="s">
        <v>291</v>
      </c>
    </row>
    <row r="13" spans="2:3" x14ac:dyDescent="0.25">
      <c r="B13" s="60">
        <v>12</v>
      </c>
      <c r="C13" s="62" t="s">
        <v>292</v>
      </c>
    </row>
    <row r="14" spans="2:3" x14ac:dyDescent="0.25">
      <c r="B14" s="60">
        <v>13</v>
      </c>
      <c r="C14" s="62" t="s">
        <v>293</v>
      </c>
    </row>
    <row r="15" spans="2:3" x14ac:dyDescent="0.25">
      <c r="B15" s="60">
        <v>14</v>
      </c>
      <c r="C15" s="62" t="s">
        <v>295</v>
      </c>
    </row>
    <row r="16" spans="2:3" x14ac:dyDescent="0.25">
      <c r="B16" s="60">
        <v>15</v>
      </c>
      <c r="C16" s="62" t="s">
        <v>296</v>
      </c>
    </row>
    <row r="17" spans="2:3" x14ac:dyDescent="0.25">
      <c r="B17" s="60">
        <v>16</v>
      </c>
      <c r="C17" s="64" t="s">
        <v>297</v>
      </c>
    </row>
    <row r="18" spans="2:3" x14ac:dyDescent="0.25">
      <c r="B18" s="60">
        <v>15</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2025-09-10T07:10:13Z</cp:lastPrinted>
  <dcterms:created xsi:type="dcterms:W3CDTF">2019-07-16T09:29:46Z</dcterms:created>
  <dcterms:modified xsi:type="dcterms:W3CDTF">2025-09-10T07:11:41Z</dcterms:modified>
</cp:coreProperties>
</file>