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prani\Downloads\12.09 Dump\"/>
    </mc:Choice>
  </mc:AlternateContent>
  <xr:revisionPtr revIDLastSave="0" documentId="13_ncr:1_{5798EFD8-6096-4889-8F76-BE9716F81C22}"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Report!$A$1:$H$756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3" i="1" l="1"/>
  <c r="J142" i="1"/>
  <c r="J141" i="1"/>
  <c r="J140" i="1"/>
  <c r="J157" i="1"/>
  <c r="J156" i="1"/>
  <c r="J155" i="1"/>
  <c r="J154" i="1"/>
  <c r="E309" i="1"/>
  <c r="D309" i="1"/>
  <c r="E308" i="1"/>
  <c r="D308" i="1"/>
  <c r="E307" i="1"/>
  <c r="D307" i="1"/>
  <c r="E306" i="1"/>
  <c r="D306" i="1"/>
  <c r="E305" i="1"/>
  <c r="D305" i="1"/>
  <c r="A305" i="1"/>
  <c r="A306" i="1" s="1"/>
  <c r="A307" i="1" s="1"/>
  <c r="A308" i="1" s="1"/>
  <c r="A309" i="1" s="1"/>
  <c r="E304" i="1"/>
  <c r="D304" i="1"/>
  <c r="I303" i="1"/>
  <c r="E302" i="1"/>
  <c r="D302" i="1"/>
  <c r="E299" i="1"/>
  <c r="D299" i="1"/>
  <c r="E298" i="1"/>
  <c r="D298" i="1"/>
  <c r="A298" i="1"/>
  <c r="A299" i="1" s="1"/>
  <c r="A300" i="1" s="1"/>
  <c r="A301" i="1" s="1"/>
  <c r="A302" i="1" s="1"/>
  <c r="E297" i="1"/>
  <c r="D297" i="1"/>
  <c r="I296" i="1"/>
  <c r="E295" i="1"/>
  <c r="D295" i="1"/>
  <c r="E292" i="1"/>
  <c r="D292" i="1"/>
  <c r="E291" i="1"/>
  <c r="D291" i="1"/>
  <c r="A291" i="1"/>
  <c r="A292" i="1" s="1"/>
  <c r="A293" i="1" s="1"/>
  <c r="A294" i="1" s="1"/>
  <c r="A295" i="1" s="1"/>
  <c r="E290" i="1"/>
  <c r="D290" i="1"/>
  <c r="I289" i="1"/>
  <c r="E288" i="1"/>
  <c r="E285" i="1"/>
  <c r="D288" i="1"/>
  <c r="D285" i="1"/>
  <c r="E287" i="1"/>
  <c r="D287" i="1"/>
  <c r="E286" i="1"/>
  <c r="D286" i="1"/>
  <c r="E284" i="1"/>
  <c r="D284" i="1"/>
  <c r="E283" i="1"/>
  <c r="D283" i="1"/>
  <c r="I281" i="1"/>
  <c r="A276" i="1"/>
  <c r="A277" i="1" s="1"/>
  <c r="A278" i="1" s="1"/>
  <c r="A279" i="1" s="1"/>
  <c r="A280" i="1" s="1"/>
  <c r="I274" i="1"/>
  <c r="E272" i="1"/>
  <c r="E271" i="1"/>
  <c r="D272" i="1"/>
  <c r="D271" i="1"/>
  <c r="D63" i="1"/>
  <c r="H133" i="1"/>
  <c r="H147" i="1"/>
  <c r="F307" i="1" l="1"/>
  <c r="H307" i="1" s="1"/>
  <c r="J137" i="1"/>
  <c r="C136" i="1" s="1"/>
  <c r="D136" i="1" s="1"/>
  <c r="J135" i="1"/>
  <c r="J136" i="1"/>
  <c r="D138" i="1"/>
  <c r="D145" i="1"/>
  <c r="D141" i="1"/>
  <c r="D140" i="1"/>
  <c r="D142" i="1"/>
  <c r="J132" i="1"/>
  <c r="J134" i="1" s="1"/>
  <c r="D144" i="1"/>
  <c r="D143" i="1"/>
  <c r="D139" i="1"/>
  <c r="J138" i="1"/>
  <c r="J139" i="1" s="1"/>
  <c r="J144" i="1" s="1"/>
  <c r="J145" i="1" s="1"/>
  <c r="C137" i="1" s="1"/>
  <c r="F299" i="1"/>
  <c r="H299" i="1" s="1"/>
  <c r="D159" i="1"/>
  <c r="D158" i="1"/>
  <c r="D153" i="1"/>
  <c r="D154" i="1"/>
  <c r="J150" i="1"/>
  <c r="D157" i="1"/>
  <c r="J152" i="1"/>
  <c r="J153" i="1" s="1"/>
  <c r="J158" i="1" s="1"/>
  <c r="J159" i="1" s="1"/>
  <c r="C151" i="1" s="1"/>
  <c r="D156" i="1"/>
  <c r="D152" i="1"/>
  <c r="J146" i="1"/>
  <c r="J148" i="1" s="1"/>
  <c r="J151" i="1"/>
  <c r="C150" i="1" s="1"/>
  <c r="D150" i="1" s="1"/>
  <c r="J149" i="1"/>
  <c r="D155" i="1"/>
  <c r="F292" i="1"/>
  <c r="H292" i="1" s="1"/>
  <c r="F297" i="1"/>
  <c r="H297" i="1" s="1"/>
  <c r="F305" i="1"/>
  <c r="H305" i="1" s="1"/>
  <c r="F309" i="1"/>
  <c r="H309" i="1" s="1"/>
  <c r="C183" i="1"/>
  <c r="F304" i="1"/>
  <c r="H304" i="1" s="1"/>
  <c r="F298" i="1"/>
  <c r="H298" i="1" s="1"/>
  <c r="F302" i="1"/>
  <c r="H302" i="1" s="1"/>
  <c r="F290" i="1"/>
  <c r="H290" i="1" s="1"/>
  <c r="F295" i="1"/>
  <c r="H295" i="1" s="1"/>
  <c r="F306" i="1"/>
  <c r="H306" i="1" s="1"/>
  <c r="F308" i="1"/>
  <c r="H308" i="1" s="1"/>
  <c r="F291" i="1"/>
  <c r="H291" i="1" s="1"/>
  <c r="E136" i="1" l="1"/>
  <c r="D137" i="1"/>
  <c r="I133" i="1" s="1"/>
  <c r="G136" i="1"/>
  <c r="J133" i="1"/>
  <c r="E150" i="1"/>
  <c r="D151" i="1"/>
  <c r="I147" i="1" s="1"/>
  <c r="G150" i="1"/>
  <c r="J147" i="1"/>
  <c r="C104" i="1"/>
  <c r="I134" i="1" l="1"/>
  <c r="I132" i="1" s="1"/>
  <c r="C134" i="1" s="1"/>
  <c r="I148" i="1"/>
  <c r="I146" i="1" s="1"/>
  <c r="C148" i="1" s="1"/>
  <c r="I343" i="1"/>
  <c r="E564" i="1"/>
  <c r="D564" i="1"/>
  <c r="E563" i="1"/>
  <c r="D563" i="1"/>
  <c r="E562" i="1"/>
  <c r="D562" i="1"/>
  <c r="E561" i="1"/>
  <c r="D561" i="1"/>
  <c r="E560" i="1"/>
  <c r="D560" i="1"/>
  <c r="E559" i="1"/>
  <c r="D559" i="1"/>
  <c r="E558" i="1"/>
  <c r="D558" i="1"/>
  <c r="E557" i="1"/>
  <c r="D557" i="1"/>
  <c r="E552" i="1"/>
  <c r="D552" i="1"/>
  <c r="E551" i="1"/>
  <c r="D551" i="1"/>
  <c r="E550" i="1"/>
  <c r="D550" i="1"/>
  <c r="E549" i="1"/>
  <c r="D549" i="1"/>
  <c r="E548" i="1"/>
  <c r="D548" i="1"/>
  <c r="E555" i="1"/>
  <c r="E554" i="1"/>
  <c r="E546" i="1"/>
  <c r="E545" i="1"/>
  <c r="D544" i="1"/>
  <c r="D543" i="1"/>
  <c r="E517" i="1"/>
  <c r="E516" i="1"/>
  <c r="D448" i="1" l="1"/>
  <c r="D447" i="1"/>
  <c r="E544" i="1" l="1"/>
  <c r="E543" i="1" l="1"/>
  <c r="E542" i="1"/>
  <c r="D542" i="1"/>
  <c r="E541" i="1"/>
  <c r="D541" i="1"/>
  <c r="E540" i="1"/>
  <c r="D540" i="1"/>
  <c r="E539" i="1"/>
  <c r="D539" i="1"/>
  <c r="E537" i="1"/>
  <c r="D537" i="1"/>
  <c r="E536" i="1"/>
  <c r="D536" i="1"/>
  <c r="E532" i="1"/>
  <c r="E533" i="1"/>
  <c r="E531" i="1"/>
  <c r="E530" i="1"/>
  <c r="E528" i="1"/>
  <c r="D528" i="1"/>
  <c r="E527" i="1"/>
  <c r="D527" i="1"/>
  <c r="E524" i="1"/>
  <c r="D524" i="1"/>
  <c r="E523" i="1"/>
  <c r="D523" i="1"/>
  <c r="E522" i="1"/>
  <c r="D522" i="1"/>
  <c r="E521" i="1"/>
  <c r="D521" i="1"/>
  <c r="D517" i="1"/>
  <c r="D516" i="1"/>
  <c r="E513" i="1"/>
  <c r="E512" i="1"/>
  <c r="E519" i="1"/>
  <c r="D519" i="1"/>
  <c r="E518" i="1"/>
  <c r="D518" i="1"/>
  <c r="E515" i="1"/>
  <c r="D515" i="1"/>
  <c r="E514" i="1"/>
  <c r="D514" i="1"/>
  <c r="E508" i="1"/>
  <c r="D508" i="1"/>
  <c r="E505" i="1"/>
  <c r="D505" i="1"/>
  <c r="E498" i="1"/>
  <c r="E497" i="1"/>
  <c r="E499" i="1"/>
  <c r="D499" i="1"/>
  <c r="E496" i="1"/>
  <c r="E487" i="1"/>
  <c r="E475" i="1"/>
  <c r="D475" i="1"/>
  <c r="E474" i="1"/>
  <c r="D474" i="1"/>
  <c r="E473" i="1"/>
  <c r="D473" i="1"/>
  <c r="E472" i="1"/>
  <c r="D472" i="1"/>
  <c r="E477" i="1"/>
  <c r="D477" i="1"/>
  <c r="E479" i="1"/>
  <c r="D479" i="1"/>
  <c r="E478" i="1"/>
  <c r="D478" i="1"/>
  <c r="E469" i="1"/>
  <c r="D469" i="1"/>
  <c r="D470" i="1"/>
  <c r="D468" i="1"/>
  <c r="D467" i="1"/>
  <c r="D464" i="1"/>
  <c r="D463" i="1"/>
  <c r="D459" i="1"/>
  <c r="D458" i="1"/>
  <c r="E470" i="1"/>
  <c r="E468" i="1"/>
  <c r="E467" i="1"/>
  <c r="E466" i="1"/>
  <c r="D466" i="1"/>
  <c r="E465" i="1"/>
  <c r="D465" i="1"/>
  <c r="E464" i="1"/>
  <c r="E463" i="1"/>
  <c r="E448" i="1"/>
  <c r="E447" i="1"/>
  <c r="D457" i="1"/>
  <c r="D456" i="1"/>
  <c r="E446" i="1"/>
  <c r="D446" i="1"/>
  <c r="E445" i="1"/>
  <c r="D445" i="1"/>
  <c r="D455" i="1"/>
  <c r="D454" i="1"/>
  <c r="E451" i="1"/>
  <c r="E452" i="1"/>
  <c r="E461" i="1"/>
  <c r="D461" i="1"/>
  <c r="E460" i="1"/>
  <c r="D460" i="1"/>
  <c r="E459" i="1"/>
  <c r="E458" i="1"/>
  <c r="E457" i="1"/>
  <c r="E456" i="1"/>
  <c r="E455" i="1"/>
  <c r="E454" i="1"/>
  <c r="D452" i="1"/>
  <c r="D451" i="1"/>
  <c r="E443" i="1"/>
  <c r="D443" i="1"/>
  <c r="E442" i="1"/>
  <c r="D442" i="1"/>
  <c r="E439" i="1"/>
  <c r="D439" i="1"/>
  <c r="E438" i="1"/>
  <c r="D438" i="1"/>
  <c r="E437" i="1"/>
  <c r="D437" i="1"/>
  <c r="E436" i="1"/>
  <c r="D436" i="1"/>
  <c r="E434" i="1"/>
  <c r="D434" i="1"/>
  <c r="E433" i="1"/>
  <c r="D433" i="1"/>
  <c r="E432" i="1"/>
  <c r="D432" i="1"/>
  <c r="E431" i="1"/>
  <c r="D431" i="1"/>
  <c r="E430" i="1"/>
  <c r="D430" i="1"/>
  <c r="E429" i="1"/>
  <c r="D429" i="1"/>
  <c r="E428" i="1"/>
  <c r="D428" i="1"/>
  <c r="E427" i="1"/>
  <c r="D427" i="1"/>
  <c r="E424" i="1"/>
  <c r="D424" i="1"/>
  <c r="E423" i="1"/>
  <c r="D423" i="1"/>
  <c r="E420" i="1"/>
  <c r="D420" i="1"/>
  <c r="E415" i="1"/>
  <c r="D415" i="1"/>
  <c r="E414" i="1"/>
  <c r="D414" i="1"/>
  <c r="E413" i="1"/>
  <c r="D413" i="1"/>
  <c r="E412" i="1"/>
  <c r="D412" i="1"/>
  <c r="E411" i="1"/>
  <c r="D411" i="1"/>
  <c r="E406" i="1"/>
  <c r="D406" i="1"/>
  <c r="E405" i="1"/>
  <c r="D405" i="1"/>
  <c r="E394" i="1"/>
  <c r="D394" i="1"/>
  <c r="E393" i="1"/>
  <c r="D393" i="1"/>
  <c r="E392" i="1"/>
  <c r="D392" i="1"/>
  <c r="E391" i="1"/>
  <c r="D391" i="1"/>
  <c r="E390" i="1"/>
  <c r="D390" i="1"/>
  <c r="E389" i="1"/>
  <c r="D389" i="1"/>
  <c r="E388" i="1"/>
  <c r="D388" i="1"/>
  <c r="E387" i="1"/>
  <c r="D387" i="1"/>
  <c r="E385" i="1"/>
  <c r="D385" i="1"/>
  <c r="E384" i="1"/>
  <c r="D384" i="1"/>
  <c r="E382" i="1"/>
  <c r="D382" i="1"/>
  <c r="E381" i="1"/>
  <c r="D381" i="1"/>
  <c r="E380" i="1"/>
  <c r="D380" i="1"/>
  <c r="E379" i="1"/>
  <c r="D379" i="1"/>
  <c r="E378" i="1"/>
  <c r="D378" i="1"/>
  <c r="E376" i="1"/>
  <c r="D376" i="1"/>
  <c r="E375" i="1"/>
  <c r="D375" i="1"/>
  <c r="E372" i="1"/>
  <c r="D372" i="1"/>
  <c r="E371" i="1"/>
  <c r="D371" i="1"/>
  <c r="E370" i="1"/>
  <c r="D370" i="1"/>
  <c r="E369" i="1"/>
  <c r="D369" i="1"/>
  <c r="E367" i="1"/>
  <c r="E366" i="1"/>
  <c r="J366" i="1"/>
  <c r="I366" i="1"/>
  <c r="J365" i="1"/>
  <c r="I365" i="1"/>
  <c r="E363" i="1"/>
  <c r="E362" i="1"/>
  <c r="E361" i="1"/>
  <c r="E360" i="1"/>
  <c r="D367" i="1"/>
  <c r="D366" i="1"/>
  <c r="D363" i="1"/>
  <c r="D362" i="1"/>
  <c r="D374" i="1"/>
  <c r="D373" i="1"/>
  <c r="E374" i="1"/>
  <c r="E373" i="1"/>
  <c r="D361" i="1"/>
  <c r="D360" i="1"/>
  <c r="E358" i="1"/>
  <c r="E357" i="1"/>
  <c r="E354" i="1"/>
  <c r="E353" i="1"/>
  <c r="E352" i="1"/>
  <c r="E351" i="1"/>
  <c r="E349" i="1"/>
  <c r="E348" i="1"/>
  <c r="E347" i="1"/>
  <c r="E346" i="1"/>
  <c r="E345" i="1"/>
  <c r="E344" i="1"/>
  <c r="E343" i="1"/>
  <c r="E342" i="1"/>
  <c r="E338" i="1"/>
  <c r="D338" i="1"/>
  <c r="E335" i="1"/>
  <c r="D335" i="1"/>
  <c r="E334" i="1"/>
  <c r="D334" i="1"/>
  <c r="E329" i="1"/>
  <c r="E328" i="1"/>
  <c r="E327" i="1"/>
  <c r="E326" i="1"/>
  <c r="E325" i="1"/>
  <c r="E317" i="1"/>
  <c r="E316" i="1"/>
  <c r="E262" i="1" l="1"/>
  <c r="D262" i="1"/>
  <c r="E260" i="1"/>
  <c r="D260" i="1"/>
  <c r="E259" i="1"/>
  <c r="D259" i="1"/>
  <c r="E258" i="1"/>
  <c r="D258" i="1"/>
  <c r="E257" i="1"/>
  <c r="D257" i="1"/>
  <c r="E255" i="1"/>
  <c r="D255" i="1"/>
  <c r="E254" i="1"/>
  <c r="D254" i="1"/>
  <c r="E253" i="1"/>
  <c r="D253" i="1"/>
  <c r="E252" i="1"/>
  <c r="D252" i="1"/>
  <c r="E251" i="1"/>
  <c r="D251" i="1"/>
  <c r="E250" i="1"/>
  <c r="D250" i="1"/>
  <c r="D247" i="1"/>
  <c r="D246" i="1"/>
  <c r="E248" i="1"/>
  <c r="D248" i="1"/>
  <c r="E245" i="1"/>
  <c r="D245" i="1"/>
  <c r="E244" i="1"/>
  <c r="D244" i="1"/>
  <c r="E243" i="1"/>
  <c r="D243" i="1"/>
  <c r="E241" i="1"/>
  <c r="D241" i="1"/>
  <c r="D238" i="1"/>
  <c r="E238" i="1"/>
  <c r="D237" i="1"/>
  <c r="D236" i="1"/>
  <c r="I239" i="1"/>
  <c r="I238" i="1"/>
  <c r="E247" i="1"/>
  <c r="E246" i="1"/>
  <c r="E237" i="1"/>
  <c r="E236" i="1"/>
  <c r="E234" i="1"/>
  <c r="D234" i="1"/>
  <c r="E231" i="1"/>
  <c r="D231" i="1"/>
  <c r="E230" i="1"/>
  <c r="D230" i="1"/>
  <c r="E229" i="1"/>
  <c r="D229" i="1"/>
  <c r="E226" i="1"/>
  <c r="E225" i="1"/>
  <c r="E223" i="1"/>
  <c r="E222" i="1"/>
  <c r="E211" i="1"/>
  <c r="E210" i="1"/>
  <c r="E209" i="1"/>
  <c r="E227" i="1"/>
  <c r="D227" i="1"/>
  <c r="E224" i="1"/>
  <c r="D224" i="1"/>
  <c r="D222" i="1"/>
  <c r="E216" i="1" l="1"/>
  <c r="D216" i="1"/>
  <c r="D209" i="1"/>
  <c r="I583" i="1" l="1"/>
  <c r="I460" i="1"/>
  <c r="I451" i="1"/>
  <c r="I442" i="1"/>
  <c r="I433" i="1"/>
  <c r="I424" i="1"/>
  <c r="I415" i="1"/>
  <c r="I385" i="1"/>
  <c r="I376" i="1"/>
  <c r="I367" i="1"/>
  <c r="I358" i="1"/>
  <c r="I349" i="1"/>
  <c r="I340" i="1"/>
  <c r="I282" i="1"/>
  <c r="I256" i="1"/>
  <c r="I249" i="1"/>
  <c r="I242" i="1"/>
  <c r="I221" i="1"/>
  <c r="I206" i="1"/>
  <c r="E582" i="1"/>
  <c r="E581" i="1"/>
  <c r="E584" i="1"/>
  <c r="E583" i="1"/>
  <c r="E572" i="1"/>
  <c r="E593" i="1"/>
  <c r="E590" i="1"/>
  <c r="E603" i="1"/>
  <c r="D603" i="1"/>
  <c r="E602" i="1"/>
  <c r="D602" i="1"/>
  <c r="E601" i="1"/>
  <c r="D601" i="1"/>
  <c r="E600" i="1"/>
  <c r="D600" i="1"/>
  <c r="E599" i="1"/>
  <c r="D599" i="1"/>
  <c r="E598" i="1"/>
  <c r="D598" i="1"/>
  <c r="E597" i="1"/>
  <c r="D597" i="1"/>
  <c r="A597" i="1"/>
  <c r="A598" i="1" s="1"/>
  <c r="A599" i="1" s="1"/>
  <c r="A600" i="1" s="1"/>
  <c r="A601" i="1" s="1"/>
  <c r="A602" i="1" s="1"/>
  <c r="A603" i="1" s="1"/>
  <c r="E596" i="1"/>
  <c r="D596" i="1"/>
  <c r="D593" i="1"/>
  <c r="D590" i="1"/>
  <c r="A588" i="1"/>
  <c r="A589" i="1" s="1"/>
  <c r="A590" i="1" s="1"/>
  <c r="A591" i="1" s="1"/>
  <c r="A592" i="1" s="1"/>
  <c r="A593" i="1" s="1"/>
  <c r="A594" i="1" s="1"/>
  <c r="D584" i="1"/>
  <c r="D583" i="1"/>
  <c r="D582" i="1"/>
  <c r="D581" i="1"/>
  <c r="A579" i="1"/>
  <c r="A580" i="1" s="1"/>
  <c r="A581" i="1" s="1"/>
  <c r="A582" i="1" s="1"/>
  <c r="A583" i="1" s="1"/>
  <c r="A584" i="1" s="1"/>
  <c r="A585" i="1" s="1"/>
  <c r="I565" i="1"/>
  <c r="D572" i="1"/>
  <c r="A570" i="1"/>
  <c r="A571" i="1" s="1"/>
  <c r="A572" i="1" s="1"/>
  <c r="A573" i="1" s="1"/>
  <c r="A574" i="1" s="1"/>
  <c r="A575" i="1" s="1"/>
  <c r="A576" i="1" s="1"/>
  <c r="F393" i="1"/>
  <c r="H393" i="1" s="1"/>
  <c r="F391" i="1"/>
  <c r="H391" i="1" s="1"/>
  <c r="F389" i="1"/>
  <c r="H389" i="1" s="1"/>
  <c r="A388" i="1"/>
  <c r="A389" i="1" s="1"/>
  <c r="A390" i="1" s="1"/>
  <c r="A391" i="1" s="1"/>
  <c r="A392" i="1" s="1"/>
  <c r="A393" i="1" s="1"/>
  <c r="A394" i="1" s="1"/>
  <c r="A379" i="1"/>
  <c r="A380" i="1" s="1"/>
  <c r="A381" i="1" s="1"/>
  <c r="A382" i="1" s="1"/>
  <c r="A383" i="1" s="1"/>
  <c r="A384" i="1" s="1"/>
  <c r="A385" i="1" s="1"/>
  <c r="F378" i="1"/>
  <c r="H378" i="1" s="1"/>
  <c r="A370" i="1"/>
  <c r="A371" i="1" s="1"/>
  <c r="A372" i="1" s="1"/>
  <c r="A373" i="1" s="1"/>
  <c r="A374" i="1" s="1"/>
  <c r="A375" i="1" s="1"/>
  <c r="A376" i="1" s="1"/>
  <c r="A361" i="1"/>
  <c r="A362" i="1" s="1"/>
  <c r="A363" i="1" s="1"/>
  <c r="A364" i="1" s="1"/>
  <c r="A365" i="1" s="1"/>
  <c r="A366" i="1" s="1"/>
  <c r="A367" i="1" s="1"/>
  <c r="A284" i="1"/>
  <c r="A285" i="1" s="1"/>
  <c r="A286" i="1" s="1"/>
  <c r="A287" i="1" s="1"/>
  <c r="A288" i="1" s="1"/>
  <c r="F572" i="1" l="1"/>
  <c r="H572" i="1" s="1"/>
  <c r="F599" i="1"/>
  <c r="H599" i="1" s="1"/>
  <c r="F603" i="1"/>
  <c r="H603" i="1" s="1"/>
  <c r="F590" i="1"/>
  <c r="H590" i="1" s="1"/>
  <c r="F360" i="1"/>
  <c r="H360" i="1" s="1"/>
  <c r="F390" i="1"/>
  <c r="H390" i="1" s="1"/>
  <c r="F392" i="1"/>
  <c r="H392" i="1" s="1"/>
  <c r="F394" i="1"/>
  <c r="H394" i="1" s="1"/>
  <c r="F369" i="1"/>
  <c r="H369" i="1" s="1"/>
  <c r="F387" i="1"/>
  <c r="H387" i="1" s="1"/>
  <c r="F598" i="1"/>
  <c r="H598" i="1" s="1"/>
  <c r="F600" i="1"/>
  <c r="H600" i="1" s="1"/>
  <c r="F602" i="1"/>
  <c r="H602" i="1" s="1"/>
  <c r="F593" i="1"/>
  <c r="H593" i="1" s="1"/>
  <c r="F283" i="1"/>
  <c r="H283" i="1" s="1"/>
  <c r="F284" i="1"/>
  <c r="H284" i="1" s="1"/>
  <c r="F285" i="1"/>
  <c r="H285" i="1" s="1"/>
  <c r="F286" i="1"/>
  <c r="H286" i="1" s="1"/>
  <c r="F287" i="1"/>
  <c r="H287" i="1" s="1"/>
  <c r="F288" i="1"/>
  <c r="H288" i="1" s="1"/>
  <c r="F361" i="1"/>
  <c r="H361" i="1" s="1"/>
  <c r="F362" i="1"/>
  <c r="H362" i="1" s="1"/>
  <c r="F363" i="1"/>
  <c r="H363" i="1" s="1"/>
  <c r="F366" i="1"/>
  <c r="H366" i="1" s="1"/>
  <c r="F367" i="1"/>
  <c r="H367" i="1" s="1"/>
  <c r="F370" i="1"/>
  <c r="H370" i="1" s="1"/>
  <c r="F371" i="1"/>
  <c r="H371" i="1" s="1"/>
  <c r="F372" i="1"/>
  <c r="H372" i="1" s="1"/>
  <c r="F373" i="1"/>
  <c r="H373" i="1" s="1"/>
  <c r="F374" i="1"/>
  <c r="H374" i="1" s="1"/>
  <c r="F375" i="1"/>
  <c r="H375" i="1" s="1"/>
  <c r="F376" i="1"/>
  <c r="H376" i="1" s="1"/>
  <c r="F379" i="1"/>
  <c r="H379" i="1" s="1"/>
  <c r="F380" i="1"/>
  <c r="H380" i="1" s="1"/>
  <c r="F381" i="1"/>
  <c r="H381" i="1" s="1"/>
  <c r="F382" i="1"/>
  <c r="H382" i="1" s="1"/>
  <c r="F384" i="1"/>
  <c r="H384" i="1" s="1"/>
  <c r="F385" i="1"/>
  <c r="H385" i="1" s="1"/>
  <c r="F388" i="1"/>
  <c r="H388" i="1" s="1"/>
  <c r="F581" i="1"/>
  <c r="H581" i="1" s="1"/>
  <c r="F582" i="1"/>
  <c r="H582" i="1" s="1"/>
  <c r="F583" i="1"/>
  <c r="H583" i="1" s="1"/>
  <c r="F596" i="1"/>
  <c r="H596" i="1" s="1"/>
  <c r="F584" i="1"/>
  <c r="H584" i="1" s="1"/>
  <c r="F597" i="1"/>
  <c r="H597" i="1" s="1"/>
  <c r="F601" i="1"/>
  <c r="H601" i="1" s="1"/>
  <c r="F272" i="1"/>
  <c r="H272" i="1" s="1"/>
  <c r="F271" i="1"/>
  <c r="A269" i="1"/>
  <c r="A270" i="1" s="1"/>
  <c r="A271" i="1" s="1"/>
  <c r="A272" i="1" s="1"/>
  <c r="A273" i="1" s="1"/>
  <c r="I267" i="1"/>
  <c r="D210" i="1"/>
  <c r="H271" i="1" l="1"/>
  <c r="G183" i="1" s="1"/>
  <c r="E183" i="1"/>
  <c r="I526" i="1"/>
  <c r="I499" i="1"/>
  <c r="D555" i="1"/>
  <c r="D554" i="1"/>
  <c r="D533" i="1"/>
  <c r="D532" i="1"/>
  <c r="D531" i="1"/>
  <c r="D530" i="1"/>
  <c r="D546" i="1"/>
  <c r="D545" i="1"/>
  <c r="D498" i="1"/>
  <c r="D497" i="1"/>
  <c r="D496" i="1"/>
  <c r="D487" i="1"/>
  <c r="D513" i="1"/>
  <c r="D512" i="1"/>
  <c r="F475" i="1"/>
  <c r="H475" i="1" s="1"/>
  <c r="F474" i="1"/>
  <c r="H474" i="1" s="1"/>
  <c r="F473" i="1"/>
  <c r="H473" i="1" s="1"/>
  <c r="A473" i="1"/>
  <c r="A474" i="1" s="1"/>
  <c r="A475" i="1" s="1"/>
  <c r="A476" i="1" s="1"/>
  <c r="A477" i="1" s="1"/>
  <c r="A478" i="1" s="1"/>
  <c r="A479" i="1" s="1"/>
  <c r="F463" i="1"/>
  <c r="H463" i="1" s="1"/>
  <c r="A464" i="1"/>
  <c r="A465" i="1" s="1"/>
  <c r="A466" i="1" s="1"/>
  <c r="A467" i="1" s="1"/>
  <c r="A468" i="1" s="1"/>
  <c r="A469" i="1" s="1"/>
  <c r="A470" i="1" s="1"/>
  <c r="D211" i="1"/>
  <c r="D226" i="1"/>
  <c r="D225" i="1"/>
  <c r="D223" i="1"/>
  <c r="C186" i="1" l="1"/>
  <c r="F465" i="1"/>
  <c r="H465" i="1" s="1"/>
  <c r="F466" i="1"/>
  <c r="H466" i="1" s="1"/>
  <c r="F467" i="1"/>
  <c r="H467" i="1" s="1"/>
  <c r="F469" i="1"/>
  <c r="H469" i="1" s="1"/>
  <c r="F468" i="1"/>
  <c r="H468" i="1" s="1"/>
  <c r="F478" i="1"/>
  <c r="H478" i="1" s="1"/>
  <c r="F464" i="1"/>
  <c r="H464" i="1" s="1"/>
  <c r="F470" i="1"/>
  <c r="H470" i="1" s="1"/>
  <c r="F472" i="1"/>
  <c r="H472" i="1" s="1"/>
  <c r="F479" i="1"/>
  <c r="H479" i="1" s="1"/>
  <c r="F477" i="1"/>
  <c r="H477" i="1" s="1"/>
  <c r="D317" i="1"/>
  <c r="D316" i="1"/>
  <c r="A315" i="1"/>
  <c r="A316" i="1" s="1"/>
  <c r="A317" i="1" s="1"/>
  <c r="A318" i="1" s="1"/>
  <c r="A319" i="1" s="1"/>
  <c r="A320" i="1" s="1"/>
  <c r="A321" i="1" s="1"/>
  <c r="D358" i="1"/>
  <c r="D357" i="1"/>
  <c r="D354" i="1"/>
  <c r="F354" i="1" s="1"/>
  <c r="H354" i="1" s="1"/>
  <c r="D353" i="1"/>
  <c r="D352" i="1"/>
  <c r="D351" i="1"/>
  <c r="D349" i="1"/>
  <c r="D348" i="1"/>
  <c r="D347" i="1"/>
  <c r="D346" i="1"/>
  <c r="D345" i="1"/>
  <c r="D344" i="1"/>
  <c r="D343" i="1"/>
  <c r="D342" i="1"/>
  <c r="D329" i="1"/>
  <c r="D328" i="1"/>
  <c r="D327" i="1"/>
  <c r="D326" i="1"/>
  <c r="D325" i="1"/>
  <c r="A324" i="1"/>
  <c r="A325" i="1" s="1"/>
  <c r="A326" i="1" s="1"/>
  <c r="A327" i="1" s="1"/>
  <c r="A328" i="1" s="1"/>
  <c r="A329" i="1" s="1"/>
  <c r="A330" i="1" s="1"/>
  <c r="A352" i="1"/>
  <c r="A353" i="1" s="1"/>
  <c r="A354" i="1" s="1"/>
  <c r="A355" i="1" s="1"/>
  <c r="A356" i="1" s="1"/>
  <c r="A357" i="1" s="1"/>
  <c r="A358" i="1" s="1"/>
  <c r="A343" i="1"/>
  <c r="A344" i="1" s="1"/>
  <c r="A345" i="1" s="1"/>
  <c r="A346" i="1" s="1"/>
  <c r="A347" i="1" s="1"/>
  <c r="A348" i="1" s="1"/>
  <c r="A349" i="1" s="1"/>
  <c r="A333" i="1"/>
  <c r="A334" i="1" s="1"/>
  <c r="A335" i="1" s="1"/>
  <c r="A336" i="1" s="1"/>
  <c r="A337" i="1" s="1"/>
  <c r="A338" i="1" s="1"/>
  <c r="A339" i="1" s="1"/>
  <c r="I322" i="1"/>
  <c r="F334" i="1" l="1"/>
  <c r="H334" i="1" s="1"/>
  <c r="F343" i="1"/>
  <c r="H343" i="1" s="1"/>
  <c r="F347" i="1"/>
  <c r="H347" i="1" s="1"/>
  <c r="F352" i="1"/>
  <c r="H352" i="1" s="1"/>
  <c r="F328" i="1"/>
  <c r="H328" i="1" s="1"/>
  <c r="F338" i="1"/>
  <c r="H338" i="1" s="1"/>
  <c r="F327" i="1"/>
  <c r="H327" i="1" s="1"/>
  <c r="F335" i="1"/>
  <c r="H335" i="1" s="1"/>
  <c r="F325" i="1"/>
  <c r="H325" i="1" s="1"/>
  <c r="F329" i="1"/>
  <c r="H329" i="1" s="1"/>
  <c r="F351" i="1"/>
  <c r="H351" i="1" s="1"/>
  <c r="F349" i="1"/>
  <c r="H349" i="1" s="1"/>
  <c r="F317" i="1"/>
  <c r="H317" i="1" s="1"/>
  <c r="F326" i="1"/>
  <c r="H326" i="1" s="1"/>
  <c r="F316" i="1"/>
  <c r="F348" i="1"/>
  <c r="H348" i="1" s="1"/>
  <c r="F358" i="1"/>
  <c r="H358" i="1" s="1"/>
  <c r="F357" i="1"/>
  <c r="H357" i="1" s="1"/>
  <c r="F353" i="1"/>
  <c r="H353" i="1" s="1"/>
  <c r="F346" i="1"/>
  <c r="H346" i="1" s="1"/>
  <c r="F342" i="1"/>
  <c r="H342" i="1" s="1"/>
  <c r="F345" i="1"/>
  <c r="H345" i="1" s="1"/>
  <c r="F344" i="1"/>
  <c r="H344" i="1" s="1"/>
  <c r="C16" i="1"/>
  <c r="C184" i="1" l="1"/>
  <c r="E184" i="1"/>
  <c r="H316" i="1"/>
  <c r="G184" i="1" s="1"/>
  <c r="J87" i="1"/>
  <c r="J86" i="1"/>
  <c r="J85" i="1"/>
  <c r="J84" i="1"/>
  <c r="H77" i="1"/>
  <c r="J76" i="1" l="1"/>
  <c r="J78" i="1" s="1"/>
  <c r="J82" i="1"/>
  <c r="J83" i="1" s="1"/>
  <c r="J88" i="1" s="1"/>
  <c r="J80" i="1"/>
  <c r="J79" i="1"/>
  <c r="D88" i="1"/>
  <c r="D86" i="1"/>
  <c r="D84" i="1"/>
  <c r="D82" i="1"/>
  <c r="J81" i="1"/>
  <c r="C80" i="1" s="1"/>
  <c r="D89" i="1"/>
  <c r="D87" i="1"/>
  <c r="D85" i="1"/>
  <c r="D83" i="1"/>
  <c r="F563" i="1"/>
  <c r="H563" i="1" s="1"/>
  <c r="F562" i="1"/>
  <c r="H562" i="1" s="1"/>
  <c r="F559" i="1"/>
  <c r="H559" i="1" s="1"/>
  <c r="F558" i="1"/>
  <c r="H558" i="1" s="1"/>
  <c r="F551" i="1"/>
  <c r="H551" i="1" s="1"/>
  <c r="F544" i="1"/>
  <c r="H544" i="1" s="1"/>
  <c r="A558" i="1"/>
  <c r="A559" i="1" s="1"/>
  <c r="A560" i="1" s="1"/>
  <c r="A561" i="1" s="1"/>
  <c r="A562" i="1" s="1"/>
  <c r="A563" i="1" s="1"/>
  <c r="A564" i="1" s="1"/>
  <c r="I517" i="1"/>
  <c r="I481" i="1"/>
  <c r="I397" i="1"/>
  <c r="F539" i="1"/>
  <c r="H539" i="1" s="1"/>
  <c r="F552" i="1"/>
  <c r="H552" i="1" s="1"/>
  <c r="A549" i="1"/>
  <c r="A550" i="1" s="1"/>
  <c r="A551" i="1" s="1"/>
  <c r="A552" i="1" s="1"/>
  <c r="A553" i="1" s="1"/>
  <c r="A554" i="1" s="1"/>
  <c r="A555" i="1" s="1"/>
  <c r="F548" i="1"/>
  <c r="H548" i="1" s="1"/>
  <c r="A540" i="1"/>
  <c r="A541" i="1" s="1"/>
  <c r="A542" i="1" s="1"/>
  <c r="A543" i="1" s="1"/>
  <c r="A544" i="1" s="1"/>
  <c r="A545" i="1" s="1"/>
  <c r="A546" i="1" s="1"/>
  <c r="F532" i="1"/>
  <c r="H532" i="1" s="1"/>
  <c r="A531" i="1"/>
  <c r="A532" i="1" s="1"/>
  <c r="A533" i="1" s="1"/>
  <c r="A534" i="1" s="1"/>
  <c r="A535" i="1" s="1"/>
  <c r="A536" i="1" s="1"/>
  <c r="A537" i="1" s="1"/>
  <c r="A522" i="1"/>
  <c r="A523" i="1" s="1"/>
  <c r="A524" i="1" s="1"/>
  <c r="A525" i="1" s="1"/>
  <c r="A526" i="1" s="1"/>
  <c r="A527" i="1" s="1"/>
  <c r="A528" i="1" s="1"/>
  <c r="A513" i="1"/>
  <c r="A514" i="1" s="1"/>
  <c r="A515" i="1" s="1"/>
  <c r="A516" i="1" s="1"/>
  <c r="A517" i="1" s="1"/>
  <c r="A518" i="1" s="1"/>
  <c r="A519" i="1" s="1"/>
  <c r="A503" i="1"/>
  <c r="A504" i="1" s="1"/>
  <c r="A505" i="1" s="1"/>
  <c r="A506" i="1" s="1"/>
  <c r="A507" i="1" s="1"/>
  <c r="A508" i="1" s="1"/>
  <c r="A509" i="1" s="1"/>
  <c r="A494" i="1"/>
  <c r="A495" i="1" s="1"/>
  <c r="A496" i="1" s="1"/>
  <c r="A497" i="1" s="1"/>
  <c r="A498" i="1" s="1"/>
  <c r="A499" i="1" s="1"/>
  <c r="A500" i="1" s="1"/>
  <c r="A485" i="1"/>
  <c r="A486" i="1" s="1"/>
  <c r="A487" i="1" s="1"/>
  <c r="A488" i="1" s="1"/>
  <c r="A489" i="1" s="1"/>
  <c r="A490" i="1" s="1"/>
  <c r="A491" i="1" s="1"/>
  <c r="A455" i="1"/>
  <c r="A456" i="1" s="1"/>
  <c r="A457" i="1" s="1"/>
  <c r="A458" i="1" s="1"/>
  <c r="A459" i="1" s="1"/>
  <c r="A460" i="1" s="1"/>
  <c r="A461" i="1" s="1"/>
  <c r="A446" i="1"/>
  <c r="A447" i="1" s="1"/>
  <c r="A448" i="1" s="1"/>
  <c r="A449" i="1" s="1"/>
  <c r="A450" i="1" s="1"/>
  <c r="A451" i="1" s="1"/>
  <c r="A452" i="1" s="1"/>
  <c r="A437" i="1"/>
  <c r="A438" i="1" s="1"/>
  <c r="A439" i="1" s="1"/>
  <c r="A440" i="1" s="1"/>
  <c r="A441" i="1" s="1"/>
  <c r="A442" i="1" s="1"/>
  <c r="A443" i="1" s="1"/>
  <c r="A418" i="1"/>
  <c r="A419" i="1" s="1"/>
  <c r="A420" i="1" s="1"/>
  <c r="A421" i="1" s="1"/>
  <c r="A422" i="1" s="1"/>
  <c r="A423" i="1" s="1"/>
  <c r="A424" i="1" s="1"/>
  <c r="A400" i="1"/>
  <c r="A401" i="1" s="1"/>
  <c r="A402" i="1" s="1"/>
  <c r="A403" i="1" s="1"/>
  <c r="A404" i="1" s="1"/>
  <c r="A405" i="1" s="1"/>
  <c r="A406" i="1" s="1"/>
  <c r="A428" i="1"/>
  <c r="A429" i="1" s="1"/>
  <c r="A430" i="1" s="1"/>
  <c r="A431" i="1" s="1"/>
  <c r="A432" i="1" s="1"/>
  <c r="A433" i="1" s="1"/>
  <c r="A434" i="1" s="1"/>
  <c r="A409" i="1"/>
  <c r="A410" i="1" s="1"/>
  <c r="A411" i="1" s="1"/>
  <c r="A412" i="1" s="1"/>
  <c r="A413" i="1" s="1"/>
  <c r="A414" i="1" s="1"/>
  <c r="A415" i="1" s="1"/>
  <c r="A258" i="1"/>
  <c r="A259" i="1" s="1"/>
  <c r="A260" i="1" s="1"/>
  <c r="A261" i="1" s="1"/>
  <c r="A262" i="1" s="1"/>
  <c r="A251" i="1"/>
  <c r="A252" i="1" s="1"/>
  <c r="A253" i="1" s="1"/>
  <c r="A254" i="1" s="1"/>
  <c r="A255" i="1" s="1"/>
  <c r="A244" i="1"/>
  <c r="A245" i="1" s="1"/>
  <c r="A246" i="1" s="1"/>
  <c r="A247" i="1" s="1"/>
  <c r="A248" i="1" s="1"/>
  <c r="A230" i="1"/>
  <c r="A231" i="1" s="1"/>
  <c r="A232" i="1" s="1"/>
  <c r="A233" i="1" s="1"/>
  <c r="A234" i="1" s="1"/>
  <c r="A237" i="1"/>
  <c r="A238" i="1" s="1"/>
  <c r="A239" i="1" s="1"/>
  <c r="A240" i="1" s="1"/>
  <c r="A241" i="1" s="1"/>
  <c r="A215" i="1"/>
  <c r="A216" i="1" s="1"/>
  <c r="A217" i="1" s="1"/>
  <c r="A218" i="1" s="1"/>
  <c r="A219" i="1" s="1"/>
  <c r="J89" i="1" l="1"/>
  <c r="C81" i="1" s="1"/>
  <c r="G80" i="1" s="1"/>
  <c r="D80" i="1"/>
  <c r="F545" i="1"/>
  <c r="H545" i="1" s="1"/>
  <c r="F560" i="1"/>
  <c r="H560" i="1" s="1"/>
  <c r="F521" i="1"/>
  <c r="H521" i="1" s="1"/>
  <c r="F546" i="1"/>
  <c r="H546" i="1" s="1"/>
  <c r="F557" i="1"/>
  <c r="H557" i="1" s="1"/>
  <c r="F561" i="1"/>
  <c r="H561" i="1" s="1"/>
  <c r="F554" i="1"/>
  <c r="H554" i="1" s="1"/>
  <c r="F541" i="1"/>
  <c r="H541" i="1" s="1"/>
  <c r="F564" i="1"/>
  <c r="H564" i="1" s="1"/>
  <c r="F512" i="1"/>
  <c r="H512" i="1" s="1"/>
  <c r="F496" i="1"/>
  <c r="H496" i="1" s="1"/>
  <c r="F505" i="1"/>
  <c r="H505" i="1" s="1"/>
  <c r="F487" i="1"/>
  <c r="F429" i="1"/>
  <c r="H429" i="1" s="1"/>
  <c r="F549" i="1"/>
  <c r="H549" i="1" s="1"/>
  <c r="F515" i="1"/>
  <c r="H515" i="1" s="1"/>
  <c r="F550" i="1"/>
  <c r="H550" i="1" s="1"/>
  <c r="F555" i="1"/>
  <c r="H555" i="1" s="1"/>
  <c r="F519" i="1"/>
  <c r="H519" i="1" s="1"/>
  <c r="F531" i="1"/>
  <c r="H531" i="1" s="1"/>
  <c r="F537" i="1"/>
  <c r="H537" i="1" s="1"/>
  <c r="F516" i="1"/>
  <c r="H516" i="1" s="1"/>
  <c r="F499" i="1"/>
  <c r="H499" i="1" s="1"/>
  <c r="F523" i="1"/>
  <c r="H523" i="1" s="1"/>
  <c r="F530" i="1"/>
  <c r="H530" i="1" s="1"/>
  <c r="F543" i="1"/>
  <c r="H543" i="1" s="1"/>
  <c r="F405" i="1"/>
  <c r="F497" i="1"/>
  <c r="H497" i="1" s="1"/>
  <c r="F498" i="1"/>
  <c r="H498" i="1" s="1"/>
  <c r="F517" i="1"/>
  <c r="H517" i="1" s="1"/>
  <c r="F527" i="1"/>
  <c r="H527" i="1" s="1"/>
  <c r="F415" i="1"/>
  <c r="H415" i="1" s="1"/>
  <c r="F460" i="1"/>
  <c r="H460" i="1" s="1"/>
  <c r="F514" i="1"/>
  <c r="H514" i="1" s="1"/>
  <c r="F518" i="1"/>
  <c r="H518" i="1" s="1"/>
  <c r="F528" i="1"/>
  <c r="H528" i="1" s="1"/>
  <c r="F536" i="1"/>
  <c r="H536" i="1" s="1"/>
  <c r="F225" i="1"/>
  <c r="H225" i="1" s="1"/>
  <c r="F522" i="1"/>
  <c r="H522" i="1" s="1"/>
  <c r="F542" i="1"/>
  <c r="H542" i="1" s="1"/>
  <c r="F533" i="1"/>
  <c r="H533" i="1" s="1"/>
  <c r="F259" i="1"/>
  <c r="H259" i="1" s="1"/>
  <c r="F457" i="1"/>
  <c r="H457" i="1" s="1"/>
  <c r="F461" i="1"/>
  <c r="H461" i="1" s="1"/>
  <c r="F508" i="1"/>
  <c r="H508" i="1" s="1"/>
  <c r="F513" i="1"/>
  <c r="H513" i="1" s="1"/>
  <c r="F524" i="1"/>
  <c r="H524" i="1" s="1"/>
  <c r="F540" i="1"/>
  <c r="H540" i="1" s="1"/>
  <c r="F458" i="1"/>
  <c r="H458" i="1" s="1"/>
  <c r="F216" i="1"/>
  <c r="H216" i="1" s="1"/>
  <c r="F251" i="1"/>
  <c r="H251" i="1" s="1"/>
  <c r="F454" i="1"/>
  <c r="H454" i="1" s="1"/>
  <c r="F255" i="1"/>
  <c r="H255" i="1" s="1"/>
  <c r="F247" i="1"/>
  <c r="H247" i="1" s="1"/>
  <c r="F428" i="1"/>
  <c r="H428" i="1" s="1"/>
  <c r="F446" i="1"/>
  <c r="H446" i="1" s="1"/>
  <c r="F439" i="1"/>
  <c r="H439" i="1" s="1"/>
  <c r="F443" i="1"/>
  <c r="H443" i="1" s="1"/>
  <c r="F451" i="1"/>
  <c r="H451" i="1" s="1"/>
  <c r="F445" i="1"/>
  <c r="H445" i="1" s="1"/>
  <c r="F456" i="1"/>
  <c r="H456" i="1" s="1"/>
  <c r="F459" i="1"/>
  <c r="H459" i="1" s="1"/>
  <c r="F224" i="1"/>
  <c r="H224" i="1" s="1"/>
  <c r="F227" i="1"/>
  <c r="H227" i="1" s="1"/>
  <c r="F424" i="1"/>
  <c r="H424" i="1" s="1"/>
  <c r="F455" i="1"/>
  <c r="H455" i="1" s="1"/>
  <c r="F414" i="1"/>
  <c r="H414" i="1" s="1"/>
  <c r="F433" i="1"/>
  <c r="H433" i="1" s="1"/>
  <c r="F412" i="1"/>
  <c r="H412" i="1" s="1"/>
  <c r="F447" i="1"/>
  <c r="F244" i="1"/>
  <c r="H244" i="1" s="1"/>
  <c r="F437" i="1"/>
  <c r="H437" i="1" s="1"/>
  <c r="F448" i="1"/>
  <c r="H448" i="1" s="1"/>
  <c r="F452" i="1"/>
  <c r="H452" i="1" s="1"/>
  <c r="F438" i="1"/>
  <c r="H438" i="1" s="1"/>
  <c r="F434" i="1"/>
  <c r="H434" i="1" s="1"/>
  <c r="F436" i="1"/>
  <c r="H436" i="1" s="1"/>
  <c r="F442" i="1"/>
  <c r="H442" i="1" s="1"/>
  <c r="F230" i="1"/>
  <c r="H230" i="1" s="1"/>
  <c r="F252" i="1"/>
  <c r="H252" i="1" s="1"/>
  <c r="F257" i="1"/>
  <c r="H257" i="1" s="1"/>
  <c r="F260" i="1"/>
  <c r="H260" i="1" s="1"/>
  <c r="F413" i="1"/>
  <c r="H413" i="1" s="1"/>
  <c r="F236" i="1"/>
  <c r="H236" i="1" s="1"/>
  <c r="F234" i="1"/>
  <c r="H234" i="1" s="1"/>
  <c r="F406" i="1"/>
  <c r="H406" i="1" s="1"/>
  <c r="F423" i="1"/>
  <c r="H423" i="1" s="1"/>
  <c r="F420" i="1"/>
  <c r="H420" i="1" s="1"/>
  <c r="F229" i="1"/>
  <c r="H229" i="1" s="1"/>
  <c r="F246" i="1"/>
  <c r="H246" i="1" s="1"/>
  <c r="F254" i="1"/>
  <c r="H254" i="1" s="1"/>
  <c r="F237" i="1"/>
  <c r="H237" i="1" s="1"/>
  <c r="F430" i="1"/>
  <c r="H430" i="1" s="1"/>
  <c r="F211" i="1"/>
  <c r="H211" i="1" s="1"/>
  <c r="F238" i="1"/>
  <c r="H238" i="1" s="1"/>
  <c r="F231" i="1"/>
  <c r="H231" i="1" s="1"/>
  <c r="F431" i="1"/>
  <c r="H431" i="1" s="1"/>
  <c r="F226" i="1"/>
  <c r="H226" i="1" s="1"/>
  <c r="F241" i="1"/>
  <c r="H241" i="1" s="1"/>
  <c r="F245" i="1"/>
  <c r="H245" i="1" s="1"/>
  <c r="F250" i="1"/>
  <c r="H250" i="1" s="1"/>
  <c r="F258" i="1"/>
  <c r="H258" i="1" s="1"/>
  <c r="F262" i="1"/>
  <c r="H262" i="1" s="1"/>
  <c r="F432" i="1"/>
  <c r="H432" i="1" s="1"/>
  <c r="F248" i="1"/>
  <c r="H248" i="1" s="1"/>
  <c r="F427" i="1"/>
  <c r="F243" i="1"/>
  <c r="H243" i="1" s="1"/>
  <c r="F253" i="1"/>
  <c r="H253" i="1" s="1"/>
  <c r="F411" i="1"/>
  <c r="H411" i="1" s="1"/>
  <c r="B606" i="1"/>
  <c r="J77" i="1" l="1"/>
  <c r="D81" i="1"/>
  <c r="I77" i="1" s="1"/>
  <c r="I78" i="1" s="1"/>
  <c r="E80" i="1"/>
  <c r="H447" i="1"/>
  <c r="E185" i="1"/>
  <c r="C185" i="1"/>
  <c r="E186" i="1"/>
  <c r="H427" i="1"/>
  <c r="H487" i="1"/>
  <c r="G186" i="1" s="1"/>
  <c r="H405" i="1"/>
  <c r="G185" i="1" l="1"/>
  <c r="I76" i="1"/>
  <c r="C78" i="1" s="1"/>
  <c r="S33" i="1"/>
  <c r="F11" i="5" l="1"/>
  <c r="G11" i="5" s="1"/>
  <c r="F10" i="5"/>
  <c r="G10" i="5" s="1"/>
  <c r="F9" i="5"/>
  <c r="G9" i="5" s="1"/>
  <c r="F8" i="5"/>
  <c r="G8" i="5" s="1"/>
  <c r="F7" i="5"/>
  <c r="G7" i="5" s="1"/>
  <c r="F6" i="5"/>
  <c r="G6" i="5" s="1"/>
  <c r="F5" i="5"/>
  <c r="G5" i="5" s="1"/>
  <c r="G12" i="5" s="1"/>
  <c r="D631" i="1"/>
  <c r="B607" i="1"/>
  <c r="F223" i="1"/>
  <c r="H223" i="1" s="1"/>
  <c r="F222" i="1"/>
  <c r="A223" i="1"/>
  <c r="A224" i="1" s="1"/>
  <c r="A225" i="1" s="1"/>
  <c r="A226" i="1" s="1"/>
  <c r="A227" i="1" s="1"/>
  <c r="F210" i="1"/>
  <c r="H210" i="1" s="1"/>
  <c r="F209" i="1"/>
  <c r="A208" i="1"/>
  <c r="A209" i="1" s="1"/>
  <c r="A210" i="1" s="1"/>
  <c r="A211" i="1" s="1"/>
  <c r="A212" i="1" s="1"/>
  <c r="H197" i="1"/>
  <c r="F197" i="1"/>
  <c r="H196" i="1"/>
  <c r="F196" i="1"/>
  <c r="H195" i="1"/>
  <c r="F195" i="1"/>
  <c r="A195" i="1"/>
  <c r="A196" i="1" s="1"/>
  <c r="A197" i="1" s="1"/>
  <c r="H194" i="1"/>
  <c r="F194" i="1"/>
  <c r="F174" i="1"/>
  <c r="C118" i="1"/>
  <c r="D70" i="1"/>
  <c r="G52" i="1"/>
  <c r="E44" i="1"/>
  <c r="E45" i="1" s="1"/>
  <c r="E31" i="1"/>
  <c r="E28" i="1"/>
  <c r="E26" i="1"/>
  <c r="Z13" i="1"/>
  <c r="E8" i="1"/>
  <c r="E3" i="1"/>
  <c r="H105" i="1"/>
  <c r="H91" i="1"/>
  <c r="H119" i="1"/>
  <c r="C182" i="1" l="1"/>
  <c r="C187" i="1" s="1"/>
  <c r="E182" i="1"/>
  <c r="E187" i="1" s="1"/>
  <c r="H222" i="1"/>
  <c r="H209" i="1"/>
  <c r="J90" i="1"/>
  <c r="J92" i="1" s="1"/>
  <c r="J93" i="1"/>
  <c r="J94" i="1"/>
  <c r="J95" i="1"/>
  <c r="C94" i="1" s="1"/>
  <c r="J109" i="1"/>
  <c r="D113" i="1"/>
  <c r="D115" i="1"/>
  <c r="J108" i="1"/>
  <c r="D114" i="1"/>
  <c r="J104" i="1"/>
  <c r="J106" i="1" s="1"/>
  <c r="D112" i="1"/>
  <c r="J107" i="1"/>
  <c r="D111" i="1"/>
  <c r="D117" i="1"/>
  <c r="D116" i="1"/>
  <c r="D110" i="1"/>
  <c r="D98" i="1"/>
  <c r="D100" i="1"/>
  <c r="D99" i="1"/>
  <c r="D103" i="1"/>
  <c r="D97" i="1"/>
  <c r="D102" i="1"/>
  <c r="D96" i="1"/>
  <c r="D101" i="1"/>
  <c r="C124" i="1"/>
  <c r="J118" i="1" s="1"/>
  <c r="J120" i="1" s="1"/>
  <c r="D127" i="1"/>
  <c r="D129" i="1"/>
  <c r="J123" i="1"/>
  <c r="C122" i="1" s="1"/>
  <c r="D122" i="1" s="1"/>
  <c r="D128" i="1"/>
  <c r="J122" i="1"/>
  <c r="D126" i="1"/>
  <c r="J121" i="1"/>
  <c r="D125" i="1"/>
  <c r="D131" i="1"/>
  <c r="D130" i="1"/>
  <c r="B119" i="1"/>
  <c r="B105" i="1"/>
  <c r="J96" i="1"/>
  <c r="C108" i="1" l="1"/>
  <c r="D108" i="1" s="1"/>
  <c r="G182" i="1"/>
  <c r="G187" i="1" s="1"/>
  <c r="C188" i="1"/>
  <c r="E188" i="1"/>
  <c r="D94" i="1"/>
  <c r="D124" i="1"/>
  <c r="J129" i="1"/>
  <c r="J126" i="1"/>
  <c r="J128" i="1"/>
  <c r="J127" i="1"/>
  <c r="J124" i="1"/>
  <c r="J125" i="1" s="1"/>
  <c r="J130" i="1" s="1"/>
  <c r="J131" i="1" s="1"/>
  <c r="C123" i="1" s="1"/>
  <c r="J115" i="1"/>
  <c r="J112" i="1"/>
  <c r="J114" i="1"/>
  <c r="J113" i="1"/>
  <c r="J110" i="1"/>
  <c r="J111" i="1" s="1"/>
  <c r="J100" i="1"/>
  <c r="J98" i="1"/>
  <c r="J99" i="1"/>
  <c r="J97" i="1"/>
  <c r="J102" i="1" s="1"/>
  <c r="J101" i="1"/>
  <c r="J103" i="1" l="1"/>
  <c r="C95" i="1" s="1"/>
  <c r="D95" i="1" s="1"/>
  <c r="I91" i="1" s="1"/>
  <c r="G188" i="1"/>
  <c r="J116" i="1"/>
  <c r="E122" i="1"/>
  <c r="D123" i="1"/>
  <c r="I119" i="1" s="1"/>
  <c r="J119" i="1"/>
  <c r="G122" i="1"/>
  <c r="E94" i="1" l="1"/>
  <c r="J91" i="1"/>
  <c r="G94" i="1"/>
  <c r="D74" i="1" s="1"/>
  <c r="F75" i="1" s="1"/>
  <c r="J117" i="1"/>
  <c r="C109" i="1"/>
  <c r="I120" i="1"/>
  <c r="I118" i="1" s="1"/>
  <c r="C120" i="1" s="1"/>
  <c r="I92" i="1"/>
  <c r="D75" i="1" l="1"/>
  <c r="I90" i="1"/>
  <c r="C92" i="1" s="1"/>
  <c r="D109" i="1"/>
  <c r="I105" i="1" s="1"/>
  <c r="I106" i="1" s="1"/>
  <c r="E108" i="1"/>
  <c r="G108" i="1"/>
  <c r="J105" i="1"/>
  <c r="I104" i="1" l="1"/>
  <c r="C10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VSJ</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3000000}">
      <text>
        <r>
          <rPr>
            <b/>
            <sz val="9"/>
            <color indexed="81"/>
            <rFont val="Tahoma"/>
            <family val="2"/>
          </rPr>
          <t>SACHIN:</t>
        </r>
        <r>
          <rPr>
            <sz val="9"/>
            <color indexed="81"/>
            <rFont val="Tahoma"/>
            <family val="2"/>
          </rPr>
          <t xml:space="preserve">
Floor with height</t>
        </r>
      </text>
    </comment>
    <comment ref="C58" authorId="1" shapeId="0" xr:uid="{00000000-0006-0000-0000-000004000000}">
      <text>
        <r>
          <rPr>
            <b/>
            <sz val="9"/>
            <color indexed="81"/>
            <rFont val="Tahoma"/>
            <family val="2"/>
          </rPr>
          <t>SACHIN:</t>
        </r>
        <r>
          <rPr>
            <sz val="9"/>
            <color indexed="81"/>
            <rFont val="Tahoma"/>
            <family val="2"/>
          </rPr>
          <t xml:space="preserve">
Survey Nos.</t>
        </r>
      </text>
    </comment>
    <comment ref="C60" authorId="1" shapeId="0" xr:uid="{00000000-0006-0000-0000-000005000000}">
      <text>
        <r>
          <rPr>
            <b/>
            <sz val="9"/>
            <color indexed="81"/>
            <rFont val="Tahoma"/>
            <family val="2"/>
          </rPr>
          <t>SACHIN:</t>
        </r>
        <r>
          <rPr>
            <sz val="9"/>
            <color indexed="81"/>
            <rFont val="Tahoma"/>
            <family val="2"/>
          </rPr>
          <t xml:space="preserve">
Height from AMSL</t>
        </r>
      </text>
    </comment>
    <comment ref="D63"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D65" authorId="2" shapeId="0" xr:uid="{00000000-0006-0000-0000-000007000000}">
      <text>
        <r>
          <rPr>
            <b/>
            <sz val="9"/>
            <color indexed="81"/>
            <rFont val="Tahoma"/>
            <family val="2"/>
          </rPr>
          <t>VSJ:</t>
        </r>
        <r>
          <rPr>
            <sz val="9"/>
            <color indexed="81"/>
            <rFont val="Tahoma"/>
            <family val="2"/>
          </rPr>
          <t xml:space="preserve">
as per Elevatioon</t>
        </r>
      </text>
    </comment>
    <comment ref="F165" authorId="1" shapeId="0" xr:uid="{00000000-0006-0000-0000-000008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00" authorId="1" shapeId="0" xr:uid="{00000000-0006-0000-0000-000009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<sst xmlns="http://schemas.openxmlformats.org/spreadsheetml/2006/main" count="1093" uniqueCount="413">
  <si>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</si>
  <si>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</si>
  <si>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</si>
  <si>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</si>
  <si>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</si>
  <si>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</si>
  <si>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</si>
  <si>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</si>
  <si>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</si>
  <si>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</si>
  <si>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</si>
  <si>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</si>
  <si>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</si>
  <si>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</si>
  <si>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</si>
  <si>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</si>
  <si>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</si>
  <si>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</si>
  <si>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</si>
  <si>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</si>
  <si>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</si>
  <si>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</si>
  <si>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</si>
  <si>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</si>
  <si>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</si>
  <si>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</si>
  <si>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</si>
  <si>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</si>
  <si>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</si>
  <si>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</si>
  <si>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</si>
  <si>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</si>
  <si>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</si>
  <si>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</si>
  <si>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</si>
  <si>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</si>
  <si>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</si>
  <si>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</si>
  <si>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</si>
  <si>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</si>
  <si>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</si>
  <si>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</si>
  <si>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</si>
  <si>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</si>
  <si>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</si>
  <si>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</si>
  <si>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</si>
  <si>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</si>
  <si>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</si>
  <si>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</si>
  <si>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</si>
  <si>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</si>
  <si>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</si>
  <si>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</si>
  <si>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</si>
  <si>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</si>
  <si>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</si>
  <si>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</si>
  <si>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</si>
  <si>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</si>
  <si>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</si>
  <si>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</si>
  <si>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</si>
  <si>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</si>
  <si>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</si>
  <si>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</si>
  <si>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</si>
  <si>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</si>
  <si>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</si>
  <si>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</si>
  <si>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</si>
  <si>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</si>
  <si>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</si>
  <si>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</si>
  <si>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</si>
  <si>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</si>
  <si>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</si>
  <si>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</si>
  <si>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</si>
  <si>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</si>
  <si>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</si>
  <si>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</si>
  <si>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</si>
  <si>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</si>
  <si>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</si>
  <si>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</si>
  <si>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</si>
  <si>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</si>
  <si>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</si>
  <si>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</si>
  <si>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</si>
  <si>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</si>
  <si>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</si>
  <si>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</si>
  <si>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</si>
  <si>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</si>
  <si>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</si>
  <si>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</si>
  <si>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</si>
  <si>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</si>
  <si>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</si>
  <si>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</si>
  <si>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</si>
  <si>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</si>
  <si>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</si>
  <si>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</si>
  <si>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</si>
  <si>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</si>
  <si>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</si>
  <si>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</si>
  <si>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</si>
  <si>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</si>
  <si>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</si>
  <si>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</si>
  <si>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</si>
  <si>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</si>
  <si>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</si>
  <si>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</si>
  <si>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</si>
  <si>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</si>
  <si>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</si>
  <si>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</si>
  <si>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</si>
  <si>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</si>
  <si>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</si>
  <si>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</si>
  <si>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</si>
  <si>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</si>
  <si>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</si>
  <si>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</si>
  <si>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</si>
  <si>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</si>
  <si>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</si>
  <si>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</si>
  <si>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</si>
  <si>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</si>
  <si>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</si>
  <si>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</si>
  <si>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</si>
  <si>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</si>
  <si>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</si>
  <si>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</si>
  <si>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</si>
  <si>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</si>
  <si>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</si>
  <si>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</si>
  <si>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</si>
  <si>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</si>
  <si>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</si>
  <si>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</si>
  <si>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</si>
  <si>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</si>
  <si>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</si>
  <si>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</si>
  <si>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</si>
  <si>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</si>
  <si>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</si>
  <si>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</si>
  <si>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</si>
  <si>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</si>
  <si>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</si>
  <si>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</si>
  <si>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</si>
  <si>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</si>
  <si>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</si>
  <si>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</si>
  <si>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</si>
  <si>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</si>
  <si>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</si>
  <si>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</si>
  <si>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</si>
  <si>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</si>
  <si>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</si>
  <si>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</si>
  <si>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</si>
  <si>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</si>
  <si>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</si>
  <si>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</si>
  <si>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</si>
  <si>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</si>
  <si>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</si>
  <si>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</si>
  <si>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</si>
  <si>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</si>
  <si>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</si>
  <si>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</si>
  <si>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</si>
  <si>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</si>
  <si>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</si>
  <si>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</si>
  <si>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</si>
  <si>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</si>
  <si>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</si>
  <si>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</si>
  <si>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</si>
  <si>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</si>
  <si>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</si>
  <si>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</si>
  <si>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</si>
  <si>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</si>
  <si>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</si>
  <si>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</si>
  <si>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</si>
  <si>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</si>
  <si>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</si>
  <si>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</si>
  <si>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</si>
  <si>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</si>
  <si>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</si>
  <si>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</si>
  <si>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</si>
  <si>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</si>
  <si>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</si>
  <si>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</si>
  <si>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</si>
  <si>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</si>
  <si>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</si>
  <si>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</si>
  <si>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</si>
  <si>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</si>
  <si>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</si>
  <si>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</si>
  <si>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</si>
  <si>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</si>
  <si>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</si>
  <si>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</si>
  <si>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</si>
  <si>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</si>
  <si>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</si>
  <si>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</si>
  <si>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</si>
  <si>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</si>
  <si>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</si>
  <si>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</si>
  <si>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</si>
  <si>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</si>
  <si>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</si>
  <si>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</si>
  <si>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</si>
  <si>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</si>
  <si>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</si>
  <si>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</si>
  <si>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</si>
  <si>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</si>
  <si>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</si>
  <si>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</si>
  <si>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</si>
  <si>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</si>
  <si>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</si>
  <si>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</si>
  <si>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</si>
  <si>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</si>
  <si>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</si>
  <si>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</si>
  <si>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</si>
  <si>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</si>
  <si>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</si>
  <si>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</si>
  <si>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</si>
  <si>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</si>
  <si>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</si>
  <si>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</si>
  <si>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</si>
  <si>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</si>
  <si>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</si>
  <si>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</si>
  <si>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</si>
  <si>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</si>
  <si>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</si>
  <si>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</si>
  <si>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</si>
  <si>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</si>
  <si>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</si>
  <si>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</si>
  <si>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</si>
  <si>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</si>
  <si>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</si>
  <si>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</si>
  <si>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</si>
  <si>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</si>
  <si>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</si>
  <si>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</si>
  <si>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</si>
  <si>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</si>
  <si>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</si>
  <si>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</si>
  <si>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</si>
  <si>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</si>
  <si>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</si>
  <si>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</si>
  <si>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</si>
  <si>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</si>
  <si>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</si>
  <si>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</si>
  <si>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</si>
  <si>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</si>
  <si>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Godrej Properties Limited</t>
  </si>
  <si>
    <t>Akurli</t>
  </si>
  <si>
    <t>19.200726,72.859308</t>
  </si>
  <si>
    <t>https://maps.app.goo.gl/vPaBTHPxXKJ55ULV9</t>
  </si>
  <si>
    <t>Ashok Nagar</t>
  </si>
  <si>
    <t>Akurli Road</t>
  </si>
  <si>
    <t>Kandivali East</t>
  </si>
  <si>
    <t>E.S.I.S. Hospital</t>
  </si>
  <si>
    <t>27.45 M. Wide Akurli Road</t>
  </si>
  <si>
    <t>Other Plot</t>
  </si>
  <si>
    <t>Sub Plot B &amp; C/Other Plot</t>
  </si>
  <si>
    <t>Akurli road</t>
  </si>
  <si>
    <t>Arkade Group/
Children's Academy, Ashok Nagar</t>
  </si>
  <si>
    <t>Nagwekar Apartments No. 2/Ashok Chakravarti Road</t>
  </si>
  <si>
    <t>JUHU/WEST/B/071323/769164</t>
  </si>
  <si>
    <t xml:space="preserve">Fire Noc No
Valid Up to: </t>
  </si>
  <si>
    <t>As per RERA - 30/06/2030</t>
  </si>
  <si>
    <r>
      <t xml:space="preserve">Proposed Amenities :                                                                                                                                                                                                                         </t>
    </r>
    <r>
      <rPr>
        <b/>
        <sz val="12"/>
        <rFont val="Times New Roman"/>
        <family val="1"/>
      </rPr>
      <t xml:space="preserve">                                               </t>
    </r>
  </si>
  <si>
    <t>Swimming Pool, Gym, Badminton Court, Indoor Games, Kids Play Area, Guest Room, Senior Citizen Area, etc.</t>
  </si>
  <si>
    <t>Not provided</t>
  </si>
  <si>
    <t>Lower Ground Floor For Parking</t>
  </si>
  <si>
    <t>Wing 1</t>
  </si>
  <si>
    <t>1st Podium Floor For Parking</t>
  </si>
  <si>
    <t>Parking</t>
  </si>
  <si>
    <t>4BHK</t>
  </si>
  <si>
    <t>3BHK</t>
  </si>
  <si>
    <t>2nd To 7th Podium Floor For Residential &amp; Parking</t>
  </si>
  <si>
    <t>8th Podium Floor For Residential (Part Refuge Area), Parking &amp; Amenity Area</t>
  </si>
  <si>
    <t>Refuge Area</t>
  </si>
  <si>
    <t>Parking &amp; Amenity Area</t>
  </si>
  <si>
    <t>9th to 14th, 16th to 21st, 23rd to 28th Floor For Residential</t>
  </si>
  <si>
    <t>29th, 36th &amp; 43rd Floor (Part Refuge Area)</t>
  </si>
  <si>
    <t>15th &amp; 22nd Floor (Part Refuge Area)</t>
  </si>
  <si>
    <t>30th to 35th, 37th to 42nd, 44th to 47th Floor</t>
  </si>
  <si>
    <t>48th, 49th &amp; 51st Floor</t>
  </si>
  <si>
    <t>50th Floor (Part Refuge Area)</t>
  </si>
  <si>
    <t xml:space="preserve">Details of Residential in Building   </t>
  </si>
  <si>
    <t>Upper Ground Floor  Entrance Lobby, Meter Room, Panel Room, 
Fire Control Room &amp; Parking</t>
  </si>
  <si>
    <t>1st Podium Floor Floor For Residential &amp; Parking</t>
  </si>
  <si>
    <t>Wing 4</t>
  </si>
  <si>
    <t>2BHK</t>
  </si>
  <si>
    <t>Entrance Lobby Below</t>
  </si>
  <si>
    <t>Wing 5</t>
  </si>
  <si>
    <r>
      <rPr>
        <sz val="12"/>
        <rFont val="Times New Roman"/>
        <family val="1"/>
      </rPr>
      <t>Approved Plans, CC,</t>
    </r>
    <r>
      <rPr>
        <sz val="12"/>
        <color rgb="FFFF0000"/>
        <rFont val="Times New Roman"/>
        <family val="1"/>
      </rPr>
      <t xml:space="preserve"> </t>
    </r>
    <r>
      <rPr>
        <sz val="12"/>
        <rFont val="Times New Roman"/>
        <family val="1"/>
      </rPr>
      <t>Airport Noc &amp; Fire Noc.</t>
    </r>
  </si>
  <si>
    <t>800M from Kandivali Railway Station</t>
  </si>
  <si>
    <t xml:space="preserve"> </t>
  </si>
  <si>
    <t>Sub Plot E, G/Western Express Highway</t>
  </si>
  <si>
    <t>Open Plot/Western Express Highway</t>
  </si>
  <si>
    <t>124, 125, 126, 127, 127/1, 128, 146, 146/1 to 7</t>
  </si>
  <si>
    <t>SIA/MH/INFRA2/453110/2023</t>
  </si>
  <si>
    <t xml:space="preserve">Plot Area = 75328.10 Sqm, Built Up Area = 562667.93 Sqm
Tower 1, 4 &amp; 5 = LG +UG + 1st to 8th Podium + 9th to 52nd Floor (Height = 166.40 Mtrs)
</t>
  </si>
  <si>
    <t>We have updated EC (On 01/06/2024).</t>
  </si>
  <si>
    <t>Mr. Aakash 8655887352</t>
  </si>
  <si>
    <t>Wing 3</t>
  </si>
  <si>
    <t>Lobby Entrance For Amenity Area</t>
  </si>
  <si>
    <t>1st Podium Floor For Residential &amp; Parking</t>
  </si>
  <si>
    <t>48th, 49th, 51st &amp; 52nd Floor</t>
  </si>
  <si>
    <t>Deck + Utility</t>
  </si>
  <si>
    <t>29th, 36th, 43rd Floor (Part Refuge Area)</t>
  </si>
  <si>
    <t>We considered Gross carpet area = Net carpet + Deck + Utility.</t>
  </si>
  <si>
    <t>Floor Rise Rate from 2nd Floor</t>
  </si>
  <si>
    <t>19000 to 20400 &amp; FR by Akash on 08/07/2024 on Wing 4 2507 &amp; 2508 case 65% LTV</t>
  </si>
  <si>
    <t>Permissible Top Elevation in mtrs Above Mean Sea Level (ASML) = 211.02 M (Required)</t>
  </si>
  <si>
    <t>Construction work is in process at the time of Visit.</t>
  </si>
  <si>
    <t>Water &amp; Electricity Connection</t>
  </si>
  <si>
    <t>LUC Charges</t>
  </si>
  <si>
    <t>Corpus Fund</t>
  </si>
  <si>
    <t>Share Money</t>
  </si>
  <si>
    <t>other charges added as per trupti on 06/12/2024. cost sheet provided on mail</t>
  </si>
  <si>
    <t>P-17708/2023/(124 AND OTHER)/R/S WARD/AKURLI-R/S</t>
  </si>
  <si>
    <t xml:space="preserve">P-17708/2023/(124 And Other)/R/S
Ward/AKURLI-R/S/CC/2/Amend
</t>
  </si>
  <si>
    <t xml:space="preserve">Wing ‘1’ to ‘5’ are having 1st to 52nd upper residential floors with a total height of 166.40 mtrs. measured from general ground level up to terrace level. Wing ‘6’ having 1st to 51st upper residential floors with a total height of 163.35 mtrs. measured from general ground level up to terrace level as shown on the plan.
</t>
  </si>
  <si>
    <t>P-17708/2023/(124 And Other)/R/S Ward/
AKURLI-R/S-CFO/1/New</t>
  </si>
  <si>
    <t>Wing 2</t>
  </si>
  <si>
    <t>9th to 14th, 16th to 21st &amp; 23rd to 28th Floor</t>
  </si>
  <si>
    <t>30th to 35th, 37th to 42nd &amp; 44th to 47th Floor</t>
  </si>
  <si>
    <t>Wing 6</t>
  </si>
  <si>
    <t>9th to 10th Floor For Residential</t>
  </si>
  <si>
    <t>https://www.godrejproperties.com/mumbai/residential/godrej-reserve</t>
  </si>
  <si>
    <t>This C.C. is re-endorse upto plinth level for Wing 1, 3, 4 &amp; 5 and grant C.C. upto plinth level only for Wing 2 as 
per approved amended plans dtd. 22.10.2024.</t>
  </si>
  <si>
    <t>We have updated Revised approved plans &amp; CC for Wing 1, 3, 4, &amp; 5 from MCGM Site on 06/02/2025</t>
  </si>
  <si>
    <t>Sub Plot A (Building No. 1)</t>
  </si>
  <si>
    <t>Building Details Floor Wise</t>
  </si>
  <si>
    <t>Upper Ground Floor  Entrance Lobby, Meter Room, Panel Room, Fire Control Room &amp; Parking</t>
  </si>
  <si>
    <t>Service Floor Between 8th &amp; 9th Floor</t>
  </si>
  <si>
    <t>On site we met Mr. Sachin Shewale CRM 9324555766.</t>
  </si>
  <si>
    <t>Wing 2 = LG + UG + P1 + 2nd to 7th Podium/Pt Resi. + 8th Podium Top/Pt Resi. + 1 Service Floor + 9th to 52nd Floor</t>
  </si>
  <si>
    <t>Wing 1 to 5</t>
  </si>
  <si>
    <t>05 Wings</t>
  </si>
  <si>
    <t>P-17708/2023/(124 AND OTHER)/R/ SWARD/AKURLIR/S/337/4/AMEND</t>
  </si>
  <si>
    <r>
      <t xml:space="preserve">Approved Floor plan No. 
For </t>
    </r>
    <r>
      <rPr>
        <b/>
        <sz val="12"/>
        <color indexed="8"/>
        <rFont val="Times New Roman"/>
        <family val="1"/>
      </rPr>
      <t>Wing 1, 3, 4 &amp; 5</t>
    </r>
  </si>
  <si>
    <t>P-17708/2023/(124 AND OTHER)/R/S
WARD/AKURLI-R/S</t>
  </si>
  <si>
    <r>
      <t xml:space="preserve">Approved Floor plan No. 
For </t>
    </r>
    <r>
      <rPr>
        <b/>
        <sz val="12"/>
        <rFont val="Times New Roman"/>
        <family val="1"/>
      </rPr>
      <t>Wing 2</t>
    </r>
  </si>
  <si>
    <r>
      <rPr>
        <b/>
        <sz val="12"/>
        <rFont val="Times New Roman"/>
        <family val="1"/>
      </rPr>
      <t>Wing 1, 3, 4 &amp; 5</t>
    </r>
    <r>
      <rPr>
        <sz val="12"/>
        <rFont val="Times New Roman"/>
        <family val="1"/>
      </rPr>
      <t xml:space="preserve">  = LG + UG + P1 + P2 to P7/Pt Resi. + P8 Top/Pt Resi. + 1 Service Floor + 9th to 52nd Floor</t>
    </r>
  </si>
  <si>
    <r>
      <rPr>
        <b/>
        <sz val="12"/>
        <rFont val="Times New Roman"/>
        <family val="1"/>
      </rPr>
      <t>Wing 2</t>
    </r>
    <r>
      <rPr>
        <sz val="12"/>
        <rFont val="Times New Roman"/>
        <family val="1"/>
      </rPr>
      <t xml:space="preserve"> = LG + UG + P1 + P2 to P6/Pt Resi. + P7 Top/Pt Resi. + 8th Service Floor + 9th to 52nd Floor</t>
    </r>
  </si>
  <si>
    <r>
      <rPr>
        <b/>
        <sz val="12"/>
        <rFont val="Times New Roman"/>
        <family val="1"/>
      </rPr>
      <t>Wing 1</t>
    </r>
    <r>
      <rPr>
        <sz val="12"/>
        <rFont val="Times New Roman"/>
        <family val="1"/>
      </rPr>
      <t xml:space="preserve"> = LG + UG + P1 + P2 to P7/Pt Resi. + P8 Top/Pt Resi. + 1 Service Floor + 9th to 52nd Floor
</t>
    </r>
    <r>
      <rPr>
        <b/>
        <sz val="12"/>
        <rFont val="Times New Roman"/>
        <family val="1"/>
      </rPr>
      <t xml:space="preserve">Wing 2 =  </t>
    </r>
    <r>
      <rPr>
        <sz val="12"/>
        <rFont val="Times New Roman"/>
        <family val="1"/>
      </rPr>
      <t xml:space="preserve">LG + UG + P1 + P2 to P6/Pt Resi. + P7 Top/Pt Resi. + 8th Service Floor + 9th to 44th Floor
</t>
    </r>
    <r>
      <rPr>
        <b/>
        <sz val="12"/>
        <rFont val="Times New Roman"/>
        <family val="1"/>
      </rPr>
      <t>Wing 3, 4, 5</t>
    </r>
    <r>
      <rPr>
        <sz val="12"/>
        <rFont val="Times New Roman"/>
        <family val="1"/>
      </rPr>
      <t xml:space="preserve"> = LG + UG + P1 + P2 to P7/Pt Resi. + P8 Top/Pt Resi. + 1 Service Floor + 9th to 51st Floor
</t>
    </r>
    <r>
      <rPr>
        <b/>
        <sz val="12"/>
        <rFont val="Times New Roman"/>
        <family val="1"/>
      </rPr>
      <t>Wing 4</t>
    </r>
    <r>
      <rPr>
        <sz val="12"/>
        <rFont val="Times New Roman"/>
        <family val="1"/>
      </rPr>
      <t xml:space="preserve"> = LG + UG + P1 + 2nd to 7th Podium/Pt Resi. + 8th Podium Top/Pt Resi. + 1 Service Floor + 9th to 51st Floor
</t>
    </r>
    <r>
      <rPr>
        <b/>
        <sz val="12"/>
        <rFont val="Times New Roman"/>
        <family val="1"/>
      </rPr>
      <t>Wing 5</t>
    </r>
    <r>
      <rPr>
        <sz val="12"/>
        <rFont val="Times New Roman"/>
        <family val="1"/>
      </rPr>
      <t xml:space="preserve"> = LG + UG + P1 + 2nd to 7th Podium/Pt Resi. + 8th Podium Top/Pt Resi. + 1 Service Floor + 9th to 51st Floor</t>
    </r>
  </si>
  <si>
    <t>2nd To 6th Podium Floor For Residential &amp; Parking</t>
  </si>
  <si>
    <t>7th Podium Floor For Residential (Part Refuge Area), Parking &amp; Amenity Area</t>
  </si>
  <si>
    <t>8th Floor (Service Floor)</t>
  </si>
  <si>
    <t>9th to 14th, 16th to 21st Floor For Residential</t>
  </si>
  <si>
    <t>15th Floor (Part Refuge Area)</t>
  </si>
  <si>
    <t>22nd, 29th, 36th &amp; 43rd Floor (Part Refuge Area)</t>
  </si>
  <si>
    <t>23rd to 28th, 30th to 35th, 37th to 42nd, 44th Floor</t>
  </si>
  <si>
    <t>Flats - 1584</t>
  </si>
  <si>
    <t>We have updated Revised approved plans &amp; CC for Wing 2 from MCGM Site on 17/03/2025.</t>
  </si>
  <si>
    <t>20400 to 20750 n 100rs FR by trupti on 06/03/2025</t>
  </si>
  <si>
    <t xml:space="preserve">Recommended Rates / Other charges of the Property have been revised on 08/07/2024 &amp; 06/12/2024 &amp; 06/03/2025.
</t>
  </si>
  <si>
    <t>Pranita Mhatre</t>
  </si>
  <si>
    <t>Mr. Ashish 9619023310</t>
  </si>
  <si>
    <t>Construction work is in process at the time of visit. (Internal photo was not allowed).
Construction details are taken from Mr. Ashish</t>
  </si>
  <si>
    <t>Godrej Reserve Wing 1 to 5</t>
  </si>
  <si>
    <t>Suraj Mali</t>
  </si>
  <si>
    <t>Wing 1 = P51800054703
Wing 2 = P51800079457
Wing 3 = P51800055694
Wing 4 = P51800054691
Wing 5 = P51800054690</t>
  </si>
  <si>
    <t>Construction work is in process at the time of visit.</t>
  </si>
  <si>
    <t>Wing 4= LG + UG + P1 + 2nd to 7th Podium/Pt Resi. + 8th Podium Top/Pt Resi. + 1 Service Floor + 9th to 52nd Floor</t>
  </si>
  <si>
    <t>Wing 3 = LG + UG + P1 + 2nd to 7th Podium/Pt Resi. + 8th Podium Top/Pt Resi. + 1 Service Floor + 9th to 52nd Floor</t>
  </si>
  <si>
    <t>Wing 1 &amp; 5 = LG + UG + P1 + 2nd to 7th Podium/Pt Resi. + 8th Podium Top/Pt Resi. + 1 Service Floor + 9th to 52nd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</si>
</sst>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_);_(* \(#,##0.00\);_(* &quot;-&quot;??_);_(@_)"/>
    <numFmt numFmtId="167" formatCode="_(* #,##0_);_(* \(#,##0\);_(* &quot;-&quot;??_);_(@_)"/>
    <numFmt numFmtId="168"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6"/>
      <color indexed="8"/>
      <name val="Times New Roman"/>
      <family val="1"/>
    </font>
  </fonts>
  <fills count="7">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EF2E8"/>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6">
    <xf numFmtId="0" fontId="0" fillId="0" borderId="0"/>
    <xf numFmtId="0" fontId="4" fillId="0" borderId="0"/>
    <xf numFmtId="0" fontId="6" fillId="0" borderId="0"/>
    <xf numFmtId="0" fontId="3" fillId="0" borderId="0"/>
    <xf numFmtId="0" fontId="6" fillId="0" borderId="0"/>
    <xf numFmtId="0" fontId="2" fillId="0" borderId="0"/>
    <xf numFmtId="166" fontId="6" fillId="0" borderId="0" applyFont="0" applyFill="0" applyBorder="0" applyAlignment="0" applyProtection="0"/>
    <xf numFmtId="0" fontId="22" fillId="0" borderId="0"/>
    <xf numFmtId="9" fontId="23" fillId="0" borderId="0" applyFont="0" applyFill="0" applyBorder="0" applyAlignment="0" applyProtection="0"/>
    <xf numFmtId="164" fontId="23" fillId="0" borderId="0" applyFont="0" applyFill="0" applyBorder="0" applyAlignment="0" applyProtection="0"/>
    <xf numFmtId="0" fontId="28" fillId="0" borderId="0" applyNumberFormat="0" applyFill="0" applyBorder="0" applyAlignment="0" applyProtection="0"/>
    <xf numFmtId="0" fontId="1" fillId="0" borderId="0"/>
    <xf numFmtId="0" fontId="1" fillId="0" borderId="0"/>
    <xf numFmtId="0" fontId="1" fillId="0" borderId="0"/>
    <xf numFmtId="164" fontId="6" fillId="0" borderId="0" applyFont="0" applyFill="0" applyBorder="0" applyAlignment="0" applyProtection="0"/>
    <xf numFmtId="164" fontId="23" fillId="0" borderId="0" applyFont="0" applyFill="0" applyBorder="0" applyAlignment="0" applyProtection="0"/>
  </cellStyleXfs>
  <cellXfs count="262">
    <xf numFmtId="0" fontId="0" fillId="0" borderId="0" xfId="0"/>
    <xf numFmtId="0" fontId="6" fillId="0" borderId="0" xfId="4"/>
    <xf numFmtId="0" fontId="2" fillId="0" borderId="0" xfId="5"/>
    <xf numFmtId="0" fontId="10" fillId="0" borderId="1" xfId="5" applyFont="1" applyBorder="1" applyAlignment="1">
      <alignment horizontal="center" vertical="top" wrapText="1"/>
    </xf>
    <xf numFmtId="0" fontId="21"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7"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20" fillId="0" borderId="1" xfId="5" applyNumberFormat="1" applyFont="1" applyBorder="1" applyAlignment="1">
      <alignment horizontal="center" vertical="center"/>
    </xf>
    <xf numFmtId="0" fontId="6" fillId="0" borderId="1" xfId="4" applyBorder="1" applyAlignment="1">
      <alignment horizontal="center" vertical="center"/>
    </xf>
    <xf numFmtId="0" fontId="19" fillId="0" borderId="0" xfId="0" applyFont="1" applyProtection="1">
      <protection hidden="1"/>
    </xf>
    <xf numFmtId="0" fontId="16" fillId="0" borderId="1" xfId="1" applyFont="1" applyBorder="1" applyAlignment="1" applyProtection="1">
      <alignment horizontal="center" vertical="top"/>
      <protection locked="0"/>
    </xf>
    <xf numFmtId="0" fontId="19" fillId="0" borderId="11" xfId="0" applyFont="1" applyBorder="1" applyProtection="1">
      <protection hidden="1"/>
    </xf>
    <xf numFmtId="0" fontId="13" fillId="0" borderId="4" xfId="1" applyFont="1" applyBorder="1" applyAlignment="1" applyProtection="1">
      <alignment horizontal="center" vertical="top"/>
      <protection locked="0"/>
    </xf>
    <xf numFmtId="0" fontId="13" fillId="0" borderId="5" xfId="1" applyFont="1" applyBorder="1" applyAlignment="1" applyProtection="1">
      <alignment horizontal="center" vertical="top"/>
      <protection locked="0"/>
    </xf>
    <xf numFmtId="0" fontId="7" fillId="0" borderId="1" xfId="1" applyFont="1" applyBorder="1" applyAlignment="1" applyProtection="1">
      <alignment vertical="top" wrapText="1"/>
      <protection locked="0"/>
    </xf>
    <xf numFmtId="9" fontId="8" fillId="0" borderId="1" xfId="8" applyFont="1" applyFill="1" applyBorder="1" applyAlignment="1" applyProtection="1">
      <alignment horizontal="center" vertical="top" wrapText="1"/>
      <protection locked="0"/>
    </xf>
    <xf numFmtId="9" fontId="8" fillId="0" borderId="7" xfId="8" applyFont="1" applyFill="1" applyBorder="1" applyAlignment="1" applyProtection="1">
      <alignment horizontal="center" vertical="top" wrapText="1"/>
      <protection locked="0"/>
    </xf>
    <xf numFmtId="0" fontId="8" fillId="0" borderId="0" xfId="1" applyFont="1"/>
    <xf numFmtId="0" fontId="16" fillId="0" borderId="0" xfId="1" applyFont="1"/>
    <xf numFmtId="0" fontId="13" fillId="0" borderId="0" xfId="1" applyFont="1"/>
    <xf numFmtId="1" fontId="8" fillId="0" borderId="0" xfId="1" applyNumberFormat="1" applyFont="1"/>
    <xf numFmtId="14" fontId="8" fillId="0" borderId="0" xfId="1" applyNumberFormat="1" applyFont="1"/>
    <xf numFmtId="0" fontId="8" fillId="0" borderId="0" xfId="1" applyFont="1" applyProtection="1">
      <protection hidden="1"/>
    </xf>
    <xf numFmtId="0" fontId="25" fillId="0" borderId="0" xfId="1" applyFont="1"/>
    <xf numFmtId="0" fontId="8" fillId="0" borderId="10" xfId="1" applyFont="1" applyBorder="1"/>
    <xf numFmtId="0" fontId="19"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7" fillId="0" borderId="0" xfId="1" applyFont="1"/>
    <xf numFmtId="0" fontId="7" fillId="0" borderId="0" xfId="2" applyFont="1"/>
    <xf numFmtId="0" fontId="8" fillId="0" borderId="0" xfId="0" applyFont="1" applyAlignment="1">
      <alignment horizontal="center" vertical="center"/>
    </xf>
    <xf numFmtId="1" fontId="8" fillId="0" borderId="0" xfId="1" applyNumberFormat="1" applyFont="1" applyAlignment="1">
      <alignment horizontal="center" vertical="center"/>
    </xf>
    <xf numFmtId="0" fontId="8" fillId="0" borderId="0" xfId="1" applyFont="1" applyAlignment="1">
      <alignment horizontal="center" vertical="center"/>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1" fontId="7"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wrapText="1"/>
      <protection locked="0"/>
    </xf>
    <xf numFmtId="0" fontId="8" fillId="0" borderId="7" xfId="1" applyFont="1" applyBorder="1" applyAlignment="1" applyProtection="1">
      <alignment horizontal="center" vertical="top" wrapText="1"/>
      <protection locked="0"/>
    </xf>
    <xf numFmtId="0" fontId="9"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26" fillId="2" borderId="30" xfId="0" applyFont="1" applyFill="1" applyBorder="1"/>
    <xf numFmtId="0" fontId="27" fillId="0" borderId="31" xfId="0" applyFont="1" applyBorder="1"/>
    <xf numFmtId="0" fontId="27" fillId="0" borderId="1" xfId="0" applyFont="1" applyBorder="1"/>
    <xf numFmtId="0" fontId="27" fillId="0" borderId="5" xfId="0" applyFont="1" applyBorder="1"/>
    <xf numFmtId="1" fontId="8" fillId="0" borderId="1" xfId="1" applyNumberFormat="1" applyFont="1" applyBorder="1" applyAlignment="1" applyProtection="1">
      <alignment horizontal="center" vertical="top" wrapText="1"/>
      <protection locked="0"/>
    </xf>
    <xf numFmtId="0" fontId="0" fillId="0" borderId="0" xfId="0" applyAlignment="1">
      <alignment horizontal="center" vertical="center"/>
    </xf>
    <xf numFmtId="0" fontId="0" fillId="0" borderId="1" xfId="0" applyBorder="1" applyAlignment="1">
      <alignment horizontal="center" vertical="center"/>
    </xf>
    <xf numFmtId="1" fontId="9" fillId="0" borderId="3" xfId="1" applyNumberFormat="1" applyFont="1" applyBorder="1" applyAlignment="1" applyProtection="1">
      <alignment horizontal="center" vertical="top" wrapText="1"/>
      <protection locked="0"/>
    </xf>
    <xf numFmtId="9" fontId="18"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28" fillId="0" borderId="0" xfId="10"/>
    <xf numFmtId="9" fontId="14" fillId="0" borderId="16" xfId="8" applyFont="1" applyFill="1" applyBorder="1" applyAlignment="1" applyProtection="1">
      <alignment horizontal="center" vertical="top" wrapText="1"/>
      <protection locked="0"/>
    </xf>
    <xf numFmtId="0" fontId="11" fillId="0" borderId="0" xfId="1" applyFont="1" applyAlignment="1">
      <alignment horizontal="center" vertical="center"/>
    </xf>
    <xf numFmtId="1" fontId="11" fillId="0" borderId="0" xfId="1" applyNumberFormat="1" applyFont="1" applyAlignment="1">
      <alignment horizontal="center" vertical="center"/>
    </xf>
    <xf numFmtId="1" fontId="13" fillId="0" borderId="1" xfId="1" applyNumberFormat="1" applyFont="1" applyBorder="1" applyAlignment="1" applyProtection="1">
      <alignment horizontal="center" vertical="center" wrapText="1"/>
      <protection locked="0"/>
    </xf>
    <xf numFmtId="0" fontId="8" fillId="2" borderId="0" xfId="1" applyFont="1" applyFill="1"/>
    <xf numFmtId="0" fontId="8" fillId="0" borderId="0" xfId="0" applyFont="1" applyAlignment="1">
      <alignment horizontal="left" vertical="center"/>
    </xf>
    <xf numFmtId="1" fontId="13" fillId="0" borderId="1" xfId="1" applyNumberFormat="1" applyFont="1" applyBorder="1" applyAlignment="1">
      <alignment horizontal="center" vertical="center" wrapText="1"/>
    </xf>
    <xf numFmtId="1" fontId="13" fillId="0" borderId="8" xfId="1" applyNumberFormat="1" applyFont="1" applyBorder="1" applyAlignment="1">
      <alignment horizontal="center" vertical="center" wrapText="1"/>
    </xf>
    <xf numFmtId="1" fontId="13" fillId="5" borderId="1" xfId="1" applyNumberFormat="1" applyFont="1" applyFill="1" applyBorder="1" applyAlignment="1">
      <alignment horizontal="center" vertical="center" wrapText="1"/>
    </xf>
    <xf numFmtId="1" fontId="7" fillId="0" borderId="1" xfId="11" applyNumberFormat="1" applyFont="1" applyBorder="1" applyAlignment="1">
      <alignment horizontal="center" vertical="center" wrapText="1"/>
    </xf>
    <xf numFmtId="1" fontId="7" fillId="0" borderId="1" xfId="11" applyNumberFormat="1" applyFont="1" applyBorder="1" applyAlignment="1" applyProtection="1">
      <alignment horizontal="center" vertical="center" wrapText="1"/>
      <protection locked="0"/>
    </xf>
    <xf numFmtId="1" fontId="13" fillId="0" borderId="1" xfId="11" applyNumberFormat="1" applyFont="1" applyBorder="1" applyAlignment="1" applyProtection="1">
      <alignment horizontal="center" vertical="center" wrapText="1"/>
      <protection locked="0"/>
    </xf>
    <xf numFmtId="1" fontId="7" fillId="6" borderId="1" xfId="0" applyNumberFormat="1" applyFont="1" applyFill="1" applyBorder="1" applyAlignment="1" applyProtection="1">
      <alignment horizontal="center" vertical="center" wrapText="1"/>
      <protection locked="0"/>
    </xf>
    <xf numFmtId="1" fontId="14" fillId="0" borderId="8" xfId="0" applyNumberFormat="1" applyFont="1" applyBorder="1" applyAlignment="1" applyProtection="1">
      <alignment vertical="top" wrapText="1"/>
      <protection locked="0"/>
    </xf>
    <xf numFmtId="1" fontId="14" fillId="0" borderId="21" xfId="0" applyNumberFormat="1" applyFont="1" applyBorder="1" applyAlignment="1" applyProtection="1">
      <alignment vertical="top" wrapText="1"/>
      <protection locked="0"/>
    </xf>
    <xf numFmtId="1" fontId="14" fillId="0" borderId="9" xfId="0" applyNumberFormat="1" applyFont="1" applyBorder="1" applyAlignment="1" applyProtection="1">
      <alignment vertical="top" wrapText="1"/>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8"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1" fontId="7" fillId="0" borderId="17" xfId="1" applyNumberFormat="1" applyFont="1" applyBorder="1" applyAlignment="1" applyProtection="1">
      <alignment horizontal="center" vertical="center" wrapText="1"/>
      <protection locked="0"/>
    </xf>
    <xf numFmtId="1" fontId="7" fillId="0" borderId="24"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2"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14" fillId="6" borderId="8" xfId="0" applyNumberFormat="1" applyFont="1" applyFill="1" applyBorder="1" applyAlignment="1" applyProtection="1">
      <alignment vertical="top" wrapText="1"/>
      <protection locked="0"/>
    </xf>
    <xf numFmtId="1" fontId="14" fillId="6" borderId="21" xfId="0" applyNumberFormat="1" applyFont="1" applyFill="1" applyBorder="1" applyAlignment="1" applyProtection="1">
      <alignment vertical="top" wrapText="1"/>
      <protection locked="0"/>
    </xf>
    <xf numFmtId="1" fontId="14" fillId="6" borderId="9" xfId="0" applyNumberFormat="1" applyFont="1" applyFill="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18" fillId="0" borderId="8" xfId="0" applyNumberFormat="1" applyFont="1" applyBorder="1" applyAlignment="1" applyProtection="1">
      <alignment vertical="top" wrapText="1"/>
      <protection locked="0"/>
    </xf>
    <xf numFmtId="1" fontId="18" fillId="0" borderId="21" xfId="0" applyNumberFormat="1" applyFont="1" applyBorder="1" applyAlignment="1" applyProtection="1">
      <alignment vertical="top" wrapText="1"/>
      <protection locked="0"/>
    </xf>
    <xf numFmtId="1" fontId="18" fillId="0" borderId="9" xfId="0" applyNumberFormat="1" applyFont="1" applyBorder="1" applyAlignment="1" applyProtection="1">
      <alignment vertical="top" wrapText="1"/>
      <protection locked="0"/>
    </xf>
    <xf numFmtId="1" fontId="14" fillId="0" borderId="1"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center" wrapText="1"/>
      <protection locked="0"/>
    </xf>
    <xf numFmtId="1" fontId="7" fillId="0" borderId="25" xfId="1" applyNumberFormat="1" applyFont="1" applyBorder="1" applyAlignment="1" applyProtection="1">
      <alignment horizontal="center" vertical="center" wrapText="1"/>
      <protection locked="0"/>
    </xf>
    <xf numFmtId="1" fontId="7" fillId="0" borderId="0" xfId="1" applyNumberFormat="1" applyFont="1" applyAlignment="1" applyProtection="1">
      <alignment horizontal="center" vertical="center" wrapText="1"/>
      <protection locked="0"/>
    </xf>
    <xf numFmtId="1" fontId="7" fillId="0" borderId="26" xfId="1" applyNumberFormat="1" applyFont="1" applyBorder="1" applyAlignment="1" applyProtection="1">
      <alignment horizontal="center" vertical="center" wrapText="1"/>
      <protection locked="0"/>
    </xf>
    <xf numFmtId="1" fontId="9" fillId="3" borderId="8" xfId="1" applyNumberFormat="1" applyFont="1" applyFill="1" applyBorder="1" applyAlignment="1" applyProtection="1">
      <alignment horizontal="center" vertical="center" wrapText="1"/>
      <protection locked="0"/>
    </xf>
    <xf numFmtId="1" fontId="9" fillId="3" borderId="21" xfId="1" applyNumberFormat="1" applyFont="1" applyFill="1" applyBorder="1" applyAlignment="1" applyProtection="1">
      <alignment horizontal="center" vertical="center" wrapText="1"/>
      <protection locked="0"/>
    </xf>
    <xf numFmtId="1" fontId="9" fillId="3" borderId="9" xfId="1" applyNumberFormat="1" applyFont="1" applyFill="1" applyBorder="1" applyAlignment="1" applyProtection="1">
      <alignment horizontal="center" vertical="center" wrapText="1"/>
      <protection locked="0"/>
    </xf>
    <xf numFmtId="1" fontId="13" fillId="0" borderId="1" xfId="0" applyNumberFormat="1" applyFont="1" applyBorder="1" applyAlignment="1" applyProtection="1">
      <alignment horizontal="center" vertical="center"/>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5" fillId="0" borderId="3" xfId="1" applyNumberFormat="1" applyFont="1" applyBorder="1" applyAlignment="1" applyProtection="1">
      <alignment horizontal="center" vertical="top" wrapText="1"/>
      <protection locked="0"/>
    </xf>
    <xf numFmtId="1" fontId="5" fillId="0" borderId="16" xfId="1"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9" fillId="0" borderId="16" xfId="1" applyFont="1" applyBorder="1" applyAlignment="1" applyProtection="1">
      <alignment horizontal="left" vertical="top"/>
      <protection locked="0"/>
    </xf>
    <xf numFmtId="168" fontId="13" fillId="0" borderId="1" xfId="9" applyNumberFormat="1" applyFont="1" applyFill="1" applyBorder="1" applyAlignment="1" applyProtection="1">
      <alignment horizontal="left" vertical="top"/>
      <protection locked="0"/>
    </xf>
    <xf numFmtId="0" fontId="14" fillId="0" borderId="4"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1" fontId="14" fillId="0" borderId="1"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13"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1" fontId="9" fillId="4" borderId="8" xfId="1" applyNumberFormat="1" applyFont="1" applyFill="1" applyBorder="1" applyAlignment="1" applyProtection="1">
      <alignment horizontal="center" vertical="center" wrapText="1"/>
      <protection locked="0"/>
    </xf>
    <xf numFmtId="1" fontId="9" fillId="4" borderId="21" xfId="1" applyNumberFormat="1" applyFont="1" applyFill="1" applyBorder="1" applyAlignment="1" applyProtection="1">
      <alignment horizontal="center" vertical="center" wrapText="1"/>
      <protection locked="0"/>
    </xf>
    <xf numFmtId="1" fontId="9" fillId="4" borderId="9" xfId="1" applyNumberFormat="1" applyFont="1" applyFill="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28" fillId="0" borderId="1" xfId="10" applyFill="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8" fillId="0" borderId="4"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0" fontId="9" fillId="0" borderId="1" xfId="1" applyFont="1" applyBorder="1" applyAlignment="1" applyProtection="1">
      <alignment horizontal="left" vertical="top"/>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0" fontId="8" fillId="0" borderId="5" xfId="1" applyFont="1" applyBorder="1" applyAlignment="1" applyProtection="1">
      <alignment horizontal="center" vertical="top" wrapText="1"/>
      <protection locked="0"/>
    </xf>
    <xf numFmtId="0" fontId="9" fillId="0" borderId="16" xfId="1" applyFont="1" applyBorder="1" applyAlignment="1" applyProtection="1">
      <alignment horizontal="center" vertical="top"/>
      <protection locked="0"/>
    </xf>
    <xf numFmtId="0" fontId="14" fillId="0" borderId="8" xfId="1" applyFont="1" applyBorder="1" applyAlignment="1" applyProtection="1">
      <alignment horizontal="left" vertical="top"/>
      <protection locked="0"/>
    </xf>
    <xf numFmtId="0" fontId="14" fillId="0" borderId="21" xfId="1" applyFont="1" applyBorder="1" applyAlignment="1" applyProtection="1">
      <alignment horizontal="left" vertical="top"/>
      <protection locked="0"/>
    </xf>
    <xf numFmtId="0" fontId="14" fillId="0" borderId="9" xfId="1" applyFont="1" applyBorder="1" applyAlignment="1" applyProtection="1">
      <alignment horizontal="left" vertical="top"/>
      <protection locked="0"/>
    </xf>
    <xf numFmtId="0" fontId="14" fillId="0" borderId="13"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23"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5"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13" fillId="0" borderId="3" xfId="1" applyFont="1" applyBorder="1" applyAlignment="1" applyProtection="1">
      <alignment horizontal="left" vertical="top" wrapText="1"/>
      <protection locked="0"/>
    </xf>
    <xf numFmtId="0" fontId="16" fillId="0" borderId="19" xfId="1" applyFont="1" applyBorder="1" applyAlignment="1" applyProtection="1">
      <alignment horizontal="left" vertical="top"/>
      <protection locked="0"/>
    </xf>
    <xf numFmtId="0" fontId="16" fillId="0" borderId="2" xfId="1" applyFont="1" applyBorder="1" applyAlignment="1" applyProtection="1">
      <alignment horizontal="left" vertical="top"/>
      <protection locked="0"/>
    </xf>
    <xf numFmtId="0" fontId="16" fillId="0" borderId="20" xfId="1" applyFont="1" applyBorder="1" applyAlignment="1" applyProtection="1">
      <alignment horizontal="left" vertical="top"/>
      <protection locked="0"/>
    </xf>
    <xf numFmtId="0" fontId="7" fillId="0" borderId="21"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24"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0" xfId="1" applyFont="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18" xfId="1" applyFont="1" applyBorder="1" applyAlignment="1" applyProtection="1">
      <alignment horizontal="left" vertical="top" wrapText="1"/>
      <protection locked="0"/>
    </xf>
    <xf numFmtId="0" fontId="13" fillId="0" borderId="1" xfId="1" applyFont="1" applyBorder="1" applyAlignment="1" applyProtection="1">
      <alignment horizontal="center" vertical="center"/>
      <protection locked="0"/>
    </xf>
    <xf numFmtId="0" fontId="13" fillId="0" borderId="8" xfId="1" applyFont="1" applyBorder="1" applyAlignment="1" applyProtection="1">
      <alignment horizontal="center" vertical="center"/>
      <protection locked="0"/>
    </xf>
    <xf numFmtId="0" fontId="13" fillId="0" borderId="21" xfId="1" applyFont="1" applyBorder="1" applyAlignment="1" applyProtection="1">
      <alignment horizontal="center" vertical="center"/>
      <protection locked="0"/>
    </xf>
    <xf numFmtId="0" fontId="13" fillId="0" borderId="9" xfId="1" applyFont="1" applyBorder="1" applyAlignment="1" applyProtection="1">
      <alignment horizontal="center" vertical="center"/>
      <protection locked="0"/>
    </xf>
    <xf numFmtId="9" fontId="8" fillId="0" borderId="17" xfId="8" applyFont="1" applyFill="1" applyBorder="1" applyAlignment="1" applyProtection="1">
      <alignment horizontal="center" vertical="center" wrapText="1"/>
      <protection locked="0"/>
    </xf>
    <xf numFmtId="9" fontId="8" fillId="0" borderId="27" xfId="8" applyFont="1" applyFill="1" applyBorder="1" applyAlignment="1" applyProtection="1">
      <alignment horizontal="center" vertical="center" wrapText="1"/>
      <protection locked="0"/>
    </xf>
    <xf numFmtId="9" fontId="8" fillId="0" borderId="25" xfId="8" applyFont="1" applyFill="1" applyBorder="1" applyAlignment="1" applyProtection="1">
      <alignment horizontal="center" vertical="center" wrapText="1"/>
      <protection locked="0"/>
    </xf>
    <xf numFmtId="9" fontId="8" fillId="0" borderId="10" xfId="8" applyFont="1" applyFill="1" applyBorder="1" applyAlignment="1" applyProtection="1">
      <alignment horizontal="center" vertical="center" wrapText="1"/>
      <protection locked="0"/>
    </xf>
    <xf numFmtId="9" fontId="8" fillId="0" borderId="28" xfId="8" applyFont="1" applyFill="1" applyBorder="1" applyAlignment="1" applyProtection="1">
      <alignment horizontal="center" vertical="center" wrapText="1"/>
      <protection locked="0"/>
    </xf>
    <xf numFmtId="9" fontId="8" fillId="0" borderId="12" xfId="8" applyFont="1" applyFill="1" applyBorder="1" applyAlignment="1" applyProtection="1">
      <alignment horizontal="center" vertical="center" wrapText="1"/>
      <protection locked="0"/>
    </xf>
    <xf numFmtId="2" fontId="7" fillId="0" borderId="1" xfId="1" applyNumberFormat="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9" fontId="8" fillId="0" borderId="18" xfId="8" applyFont="1" applyFill="1" applyBorder="1" applyAlignment="1" applyProtection="1">
      <alignment horizontal="center" vertical="center" wrapText="1"/>
      <protection locked="0"/>
    </xf>
    <xf numFmtId="9" fontId="8" fillId="0" borderId="26" xfId="8" applyFont="1" applyFill="1" applyBorder="1" applyAlignment="1" applyProtection="1">
      <alignment horizontal="center" vertical="center" wrapText="1"/>
      <protection locked="0"/>
    </xf>
    <xf numFmtId="9" fontId="8" fillId="0" borderId="29" xfId="8" applyFont="1" applyFill="1" applyBorder="1" applyAlignment="1" applyProtection="1">
      <alignment horizontal="center" vertical="center" wrapText="1"/>
      <protection locked="0"/>
    </xf>
    <xf numFmtId="0" fontId="8" fillId="0" borderId="6" xfId="1" applyFont="1" applyBorder="1" applyAlignment="1" applyProtection="1">
      <alignment horizontal="center" vertical="top" wrapText="1"/>
      <protection locked="0"/>
    </xf>
    <xf numFmtId="0" fontId="8" fillId="0" borderId="7" xfId="1" applyFont="1" applyBorder="1" applyAlignment="1" applyProtection="1">
      <alignment horizontal="center" vertical="top" wrapText="1"/>
      <protection locked="0"/>
    </xf>
    <xf numFmtId="1" fontId="7" fillId="0" borderId="1" xfId="1" applyNumberFormat="1" applyFont="1" applyBorder="1" applyAlignment="1" applyProtection="1">
      <alignment horizontal="left" vertical="top" wrapText="1"/>
      <protection locked="0"/>
    </xf>
    <xf numFmtId="165" fontId="7" fillId="0" borderId="1" xfId="1" applyNumberFormat="1" applyFont="1" applyBorder="1" applyAlignment="1" applyProtection="1">
      <alignment horizontal="left" vertical="top"/>
      <protection locked="0"/>
    </xf>
    <xf numFmtId="2" fontId="13" fillId="0" borderId="1" xfId="1" applyNumberFormat="1" applyFont="1" applyBorder="1" applyAlignment="1" applyProtection="1">
      <alignment horizontal="left" vertical="top"/>
      <protection locked="0"/>
    </xf>
    <xf numFmtId="0" fontId="13" fillId="0" borderId="8" xfId="1" applyFont="1" applyBorder="1" applyAlignment="1" applyProtection="1">
      <alignment horizontal="center" vertical="center" wrapText="1"/>
      <protection locked="0"/>
    </xf>
    <xf numFmtId="0" fontId="14" fillId="0" borderId="8" xfId="1" applyFont="1" applyBorder="1" applyAlignment="1" applyProtection="1">
      <alignment horizontal="center" vertical="top"/>
      <protection locked="0"/>
    </xf>
    <xf numFmtId="0" fontId="14" fillId="0" borderId="21" xfId="1" applyFont="1" applyBorder="1" applyAlignment="1" applyProtection="1">
      <alignment horizontal="center" vertical="top"/>
      <protection locked="0"/>
    </xf>
    <xf numFmtId="0" fontId="14" fillId="0" borderId="9" xfId="1" applyFont="1" applyBorder="1" applyAlignment="1" applyProtection="1">
      <alignment horizontal="center" vertical="top"/>
      <protection locked="0"/>
    </xf>
    <xf numFmtId="0" fontId="14" fillId="0" borderId="1" xfId="1" applyFont="1" applyBorder="1" applyAlignment="1" applyProtection="1">
      <alignment horizontal="center"/>
      <protection locked="0"/>
    </xf>
    <xf numFmtId="0" fontId="13" fillId="0" borderId="1" xfId="1" applyFont="1" applyBorder="1" applyAlignment="1" applyProtection="1">
      <alignment horizontal="left"/>
      <protection locked="0"/>
    </xf>
    <xf numFmtId="0" fontId="16"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14" fontId="13" fillId="0" borderId="1" xfId="1" applyNumberFormat="1" applyFont="1" applyBorder="1" applyAlignment="1" applyProtection="1">
      <alignment horizontal="left" vertical="top"/>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9" fillId="0" borderId="1" xfId="1" applyFont="1" applyBorder="1" applyAlignment="1" applyProtection="1">
      <alignment vertical="top"/>
      <protection locked="0"/>
    </xf>
    <xf numFmtId="1" fontId="9" fillId="0" borderId="1" xfId="0"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3" fillId="0" borderId="8"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3" fillId="0" borderId="9"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wrapText="1"/>
      <protection locked="0"/>
    </xf>
    <xf numFmtId="14" fontId="7" fillId="0" borderId="1" xfId="1" applyNumberFormat="1" applyFont="1" applyBorder="1" applyAlignment="1" applyProtection="1">
      <alignment horizontal="left" vertical="top" wrapText="1"/>
      <protection locked="0"/>
    </xf>
    <xf numFmtId="0" fontId="9" fillId="0" borderId="8"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0" fontId="13" fillId="0" borderId="20" xfId="1" applyFont="1" applyBorder="1" applyAlignment="1" applyProtection="1">
      <alignment horizontal="left" vertical="top" wrapText="1"/>
      <protection locked="0"/>
    </xf>
    <xf numFmtId="0" fontId="14" fillId="0" borderId="1" xfId="1" applyFont="1" applyBorder="1" applyAlignment="1" applyProtection="1">
      <alignment horizontal="center" vertical="top"/>
      <protection locked="0"/>
    </xf>
    <xf numFmtId="0" fontId="9" fillId="0" borderId="8" xfId="1" applyFont="1" applyBorder="1" applyAlignment="1" applyProtection="1">
      <alignment horizontal="left" vertical="top" wrapText="1"/>
      <protection locked="0"/>
    </xf>
    <xf numFmtId="0" fontId="9" fillId="0" borderId="9" xfId="1" applyFont="1" applyBorder="1" applyAlignment="1" applyProtection="1">
      <alignment horizontal="left" vertical="top" wrapText="1"/>
      <protection locked="0"/>
    </xf>
    <xf numFmtId="0" fontId="9" fillId="0" borderId="21" xfId="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left" vertical="top"/>
      <protection locked="0"/>
    </xf>
    <xf numFmtId="1" fontId="13" fillId="0" borderId="17" xfId="1" applyNumberFormat="1" applyFont="1" applyBorder="1" applyAlignment="1" applyProtection="1">
      <alignment horizontal="center" vertical="center" wrapText="1"/>
      <protection locked="0"/>
    </xf>
    <xf numFmtId="1" fontId="13" fillId="0" borderId="24" xfId="1" applyNumberFormat="1" applyFont="1" applyBorder="1" applyAlignment="1" applyProtection="1">
      <alignment horizontal="center" vertical="center" wrapText="1"/>
      <protection locked="0"/>
    </xf>
    <xf numFmtId="1" fontId="13" fillId="0" borderId="18" xfId="1" applyNumberFormat="1" applyFont="1" applyBorder="1" applyAlignment="1" applyProtection="1">
      <alignment horizontal="center" vertical="center" wrapText="1"/>
      <protection locked="0"/>
    </xf>
    <xf numFmtId="1" fontId="13" fillId="0" borderId="19" xfId="1" applyNumberFormat="1" applyFont="1" applyBorder="1" applyAlignment="1" applyProtection="1">
      <alignment horizontal="center" vertical="center" wrapText="1"/>
      <protection locked="0"/>
    </xf>
    <xf numFmtId="1" fontId="13" fillId="0" borderId="2" xfId="1" applyNumberFormat="1" applyFont="1" applyBorder="1" applyAlignment="1" applyProtection="1">
      <alignment horizontal="center" vertical="center" wrapText="1"/>
      <protection locked="0"/>
    </xf>
    <xf numFmtId="1" fontId="13" fillId="0" borderId="20" xfId="1" applyNumberFormat="1" applyFont="1" applyBorder="1" applyAlignment="1" applyProtection="1">
      <alignment horizontal="center" vertical="center" wrapText="1"/>
      <protection locked="0"/>
    </xf>
    <xf numFmtId="1" fontId="14" fillId="3" borderId="8" xfId="1" applyNumberFormat="1" applyFont="1" applyFill="1" applyBorder="1" applyAlignment="1" applyProtection="1">
      <alignment horizontal="center" vertical="center" wrapText="1"/>
      <protection locked="0"/>
    </xf>
    <xf numFmtId="1" fontId="14" fillId="3" borderId="21" xfId="1" applyNumberFormat="1" applyFont="1" applyFill="1" applyBorder="1" applyAlignment="1" applyProtection="1">
      <alignment horizontal="center" vertical="center" wrapText="1"/>
      <protection locked="0"/>
    </xf>
    <xf numFmtId="1" fontId="14" fillId="3" borderId="9" xfId="1" applyNumberFormat="1" applyFont="1" applyFill="1" applyBorder="1" applyAlignment="1" applyProtection="1">
      <alignment horizontal="center" vertical="center" wrapText="1"/>
      <protection locked="0"/>
    </xf>
    <xf numFmtId="1" fontId="13" fillId="0" borderId="25" xfId="1" applyNumberFormat="1" applyFont="1" applyBorder="1" applyAlignment="1" applyProtection="1">
      <alignment horizontal="center" vertical="center" wrapText="1"/>
      <protection locked="0"/>
    </xf>
    <xf numFmtId="1" fontId="13" fillId="0" borderId="0" xfId="1" applyNumberFormat="1" applyFont="1" applyAlignment="1" applyProtection="1">
      <alignment horizontal="center" vertical="center" wrapText="1"/>
      <protection locked="0"/>
    </xf>
    <xf numFmtId="1" fontId="13" fillId="0" borderId="26"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protection locked="0"/>
    </xf>
    <xf numFmtId="1" fontId="7" fillId="0" borderId="21" xfId="1" applyNumberFormat="1" applyFont="1" applyBorder="1" applyAlignment="1" applyProtection="1">
      <alignment horizontal="center" vertical="center"/>
      <protection locked="0"/>
    </xf>
    <xf numFmtId="1" fontId="7" fillId="0" borderId="9" xfId="1" applyNumberFormat="1" applyFont="1" applyBorder="1" applyAlignment="1" applyProtection="1">
      <alignment horizontal="center" vertical="center"/>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14" fontId="13" fillId="0" borderId="8" xfId="1" applyNumberFormat="1" applyFont="1" applyBorder="1" applyAlignment="1" applyProtection="1">
      <alignment horizontal="left" vertical="top" wrapText="1"/>
      <protection locked="0"/>
    </xf>
    <xf numFmtId="0" fontId="7" fillId="0" borderId="8" xfId="1" applyFont="1" applyBorder="1" applyAlignment="1" applyProtection="1">
      <alignment vertical="top" wrapText="1"/>
      <protection locked="0"/>
    </xf>
    <xf numFmtId="0" fontId="7" fillId="0" borderId="21" xfId="1" applyFont="1" applyBorder="1" applyAlignment="1" applyProtection="1">
      <alignment vertical="top" wrapText="1"/>
      <protection locked="0"/>
    </xf>
    <xf numFmtId="0" fontId="7" fillId="0" borderId="9" xfId="1" applyFont="1" applyBorder="1" applyAlignment="1" applyProtection="1">
      <alignment vertical="top" wrapText="1"/>
      <protection locked="0"/>
    </xf>
    <xf numFmtId="0" fontId="17" fillId="0" borderId="25" xfId="1" applyFont="1" applyBorder="1" applyAlignment="1">
      <alignment horizontal="center"/>
    </xf>
    <xf numFmtId="0" fontId="17" fillId="0" borderId="0" xfId="1" applyFont="1" applyAlignment="1">
      <alignment horizontal="center"/>
    </xf>
    <xf numFmtId="1" fontId="32" fillId="5" borderId="8" xfId="11" applyNumberFormat="1" applyFont="1" applyFill="1" applyBorder="1" applyAlignment="1">
      <alignment horizontal="center" vertical="center" wrapText="1"/>
    </xf>
    <xf numFmtId="1" fontId="32" fillId="5" borderId="9" xfId="11" applyNumberFormat="1" applyFont="1" applyFill="1" applyBorder="1" applyAlignment="1">
      <alignment horizontal="center" vertical="center" wrapText="1"/>
    </xf>
    <xf numFmtId="0" fontId="10" fillId="0" borderId="1" xfId="5" applyFont="1" applyBorder="1" applyAlignment="1">
      <alignment horizontal="left"/>
    </xf>
    <xf numFmtId="1" fontId="18" fillId="0" borderId="17" xfId="0" applyNumberFormat="1" applyFont="1" applyBorder="1" applyAlignment="1" applyProtection="1">
      <alignment horizontal="center" vertical="top" wrapText="1"/>
      <protection locked="0"/>
    </xf>
    <xf numFmtId="1" fontId="18" fillId="0" borderId="24" xfId="0" applyNumberFormat="1" applyFont="1" applyBorder="1" applyAlignment="1" applyProtection="1">
      <alignment horizontal="center" vertical="top" wrapText="1"/>
      <protection locked="0"/>
    </xf>
    <xf numFmtId="1" fontId="18" fillId="0" borderId="19" xfId="0" applyNumberFormat="1" applyFont="1" applyBorder="1" applyAlignment="1" applyProtection="1">
      <alignment horizontal="center" vertical="top" wrapText="1"/>
      <protection locked="0"/>
    </xf>
    <xf numFmtId="1" fontId="18" fillId="0" borderId="2" xfId="0" applyNumberFormat="1" applyFont="1" applyBorder="1" applyAlignment="1" applyProtection="1">
      <alignment horizontal="center" vertical="top"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cellXfs>
  <cellStyles count="16">
    <cellStyle name="Comma" xfId="9" builtinId="3"/>
    <cellStyle name="Comma 2" xfId="6" xr:uid="{00000000-0005-0000-0000-000001000000}"/>
    <cellStyle name="Comma 2 2" xfId="14" xr:uid="{00000000-0005-0000-0000-000002000000}"/>
    <cellStyle name="Comma 3" xfId="15" xr:uid="{00000000-0005-0000-0000-000003000000}"/>
    <cellStyle name="Excel Built-in Normal" xfId="2" xr:uid="{00000000-0005-0000-0000-000004000000}"/>
    <cellStyle name="Excel Built-in Normal 2" xfId="4" xr:uid="{00000000-0005-0000-0000-000005000000}"/>
    <cellStyle name="Hyperlink" xfId="10" builtinId="8"/>
    <cellStyle name="Normal" xfId="0" builtinId="0"/>
    <cellStyle name="Normal 2" xfId="3" xr:uid="{00000000-0005-0000-0000-000008000000}"/>
    <cellStyle name="Normal 2 2" xfId="12" xr:uid="{00000000-0005-0000-0000-000009000000}"/>
    <cellStyle name="Normal 3" xfId="1" xr:uid="{00000000-0005-0000-0000-00000A000000}"/>
    <cellStyle name="Normal 3 2" xfId="11" xr:uid="{00000000-0005-0000-0000-00000B000000}"/>
    <cellStyle name="Normal 3 3" xfId="7" xr:uid="{00000000-0005-0000-0000-00000C000000}"/>
    <cellStyle name="Normal 4" xfId="5" xr:uid="{00000000-0005-0000-0000-00000D000000}"/>
    <cellStyle name="Normal 4 2" xfId="13" xr:uid="{00000000-0005-0000-0000-00000E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8</xdr:col>
      <xdr:colOff>257175</xdr:colOff>
      <xdr:row>14</xdr:row>
      <xdr:rowOff>523875</xdr:rowOff>
    </xdr:from>
    <xdr:to>
      <xdr:col>13</xdr:col>
      <xdr:colOff>294727</xdr:colOff>
      <xdr:row>16</xdr:row>
      <xdr:rowOff>31227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572250" y="3705225"/>
          <a:ext cx="4380952" cy="1183752"/>
        </a:xfrm>
        <a:prstGeom prst="rect">
          <a:avLst/>
        </a:prstGeom>
      </xdr:spPr>
    </xdr:pic>
    <xdr:clientData/>
  </xdr:twoCellAnchor>
  <xdr:twoCellAnchor editAs="oneCell">
    <xdr:from>
      <xdr:col>8</xdr:col>
      <xdr:colOff>257175</xdr:colOff>
      <xdr:row>59</xdr:row>
      <xdr:rowOff>47625</xdr:rowOff>
    </xdr:from>
    <xdr:to>
      <xdr:col>13</xdr:col>
      <xdr:colOff>186433</xdr:colOff>
      <xdr:row>64</xdr:row>
      <xdr:rowOff>743577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572250" y="15916275"/>
          <a:ext cx="4272658" cy="2153277"/>
        </a:xfrm>
        <a:prstGeom prst="rect">
          <a:avLst/>
        </a:prstGeom>
        <a:ln>
          <a:solidFill>
            <a:sysClr val="windowText" lastClr="000000"/>
          </a:solidFill>
        </a:ln>
      </xdr:spPr>
    </xdr:pic>
    <xdr:clientData/>
  </xdr:twoCellAnchor>
  <xdr:twoCellAnchor>
    <xdr:from>
      <xdr:col>0</xdr:col>
      <xdr:colOff>257175</xdr:colOff>
      <xdr:row>716</xdr:row>
      <xdr:rowOff>38100</xdr:rowOff>
    </xdr:from>
    <xdr:to>
      <xdr:col>7</xdr:col>
      <xdr:colOff>198783</xdr:colOff>
      <xdr:row>754</xdr:row>
      <xdr:rowOff>119270</xdr:rowOff>
    </xdr:to>
    <xdr:grpSp>
      <xdr:nvGrpSpPr>
        <xdr:cNvPr id="22" name="Group 21">
          <a:extLst>
            <a:ext uri="{FF2B5EF4-FFF2-40B4-BE49-F238E27FC236}">
              <a16:creationId xmlns:a16="http://schemas.microsoft.com/office/drawing/2014/main" id="{00000000-0008-0000-0000-000016000000}"/>
            </a:ext>
          </a:extLst>
        </xdr:cNvPr>
        <xdr:cNvGrpSpPr/>
      </xdr:nvGrpSpPr>
      <xdr:grpSpPr>
        <a:xfrm>
          <a:off x="257175" y="133988735"/>
          <a:ext cx="5679020" cy="7575664"/>
          <a:chOff x="257175" y="96221550"/>
          <a:chExt cx="5760000" cy="8207604"/>
        </a:xfrm>
      </xdr:grpSpPr>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257175" y="96221550"/>
            <a:ext cx="5760000" cy="4130421"/>
          </a:xfrm>
          <a:prstGeom prst="rect">
            <a:avLst/>
          </a:prstGeom>
          <a:ln>
            <a:solidFill>
              <a:schemeClr val="tx1"/>
            </a:solidFill>
          </a:ln>
        </xdr:spPr>
      </xdr:pic>
      <xdr:grpSp>
        <xdr:nvGrpSpPr>
          <xdr:cNvPr id="19" name="Group 18">
            <a:extLst>
              <a:ext uri="{FF2B5EF4-FFF2-40B4-BE49-F238E27FC236}">
                <a16:creationId xmlns:a16="http://schemas.microsoft.com/office/drawing/2014/main" id="{00000000-0008-0000-0000-000013000000}"/>
              </a:ext>
            </a:extLst>
          </xdr:cNvPr>
          <xdr:cNvGrpSpPr/>
        </xdr:nvGrpSpPr>
        <xdr:grpSpPr>
          <a:xfrm>
            <a:off x="437175" y="100483000"/>
            <a:ext cx="5400000" cy="3946154"/>
            <a:chOff x="576814" y="4416724"/>
            <a:chExt cx="5400000" cy="3946154"/>
          </a:xfrm>
        </xdr:grpSpPr>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576814" y="4416724"/>
              <a:ext cx="5400000" cy="3946154"/>
            </a:xfrm>
            <a:prstGeom prst="rect">
              <a:avLst/>
            </a:prstGeom>
            <a:ln>
              <a:solidFill>
                <a:schemeClr val="tx1"/>
              </a:solidFill>
            </a:ln>
          </xdr:spPr>
        </xdr:pic>
        <xdr:sp macro="" textlink="">
          <xdr:nvSpPr>
            <xdr:cNvPr id="21" name="Freeform 20">
              <a:extLst>
                <a:ext uri="{FF2B5EF4-FFF2-40B4-BE49-F238E27FC236}">
                  <a16:creationId xmlns:a16="http://schemas.microsoft.com/office/drawing/2014/main" id="{00000000-0008-0000-0000-000015000000}"/>
                </a:ext>
              </a:extLst>
            </xdr:cNvPr>
            <xdr:cNvSpPr/>
          </xdr:nvSpPr>
          <xdr:spPr>
            <a:xfrm>
              <a:off x="1437885" y="5198869"/>
              <a:ext cx="3705628" cy="2070318"/>
            </a:xfrm>
            <a:custGeom>
              <a:avLst/>
              <a:gdLst>
                <a:gd name="connsiteX0" fmla="*/ 187715 w 3705628"/>
                <a:gd name="connsiteY0" fmla="*/ 20831 h 2070318"/>
                <a:gd name="connsiteX1" fmla="*/ 9915 w 3705628"/>
                <a:gd name="connsiteY1" fmla="*/ 693931 h 2070318"/>
                <a:gd name="connsiteX2" fmla="*/ 73415 w 3705628"/>
                <a:gd name="connsiteY2" fmla="*/ 966981 h 2070318"/>
                <a:gd name="connsiteX3" fmla="*/ 492515 w 3705628"/>
                <a:gd name="connsiteY3" fmla="*/ 1163831 h 2070318"/>
                <a:gd name="connsiteX4" fmla="*/ 1400565 w 3705628"/>
                <a:gd name="connsiteY4" fmla="*/ 1817881 h 2070318"/>
                <a:gd name="connsiteX5" fmla="*/ 2492765 w 3705628"/>
                <a:gd name="connsiteY5" fmla="*/ 2052831 h 2070318"/>
                <a:gd name="connsiteX6" fmla="*/ 3470665 w 3705628"/>
                <a:gd name="connsiteY6" fmla="*/ 1957581 h 2070318"/>
                <a:gd name="connsiteX7" fmla="*/ 3559565 w 3705628"/>
                <a:gd name="connsiteY7" fmla="*/ 1201931 h 2070318"/>
                <a:gd name="connsiteX8" fmla="*/ 3705615 w 3705628"/>
                <a:gd name="connsiteY8" fmla="*/ 668531 h 2070318"/>
                <a:gd name="connsiteX9" fmla="*/ 3565915 w 3705628"/>
                <a:gd name="connsiteY9" fmla="*/ 389131 h 2070318"/>
                <a:gd name="connsiteX10" fmla="*/ 3229365 w 3705628"/>
                <a:gd name="connsiteY10" fmla="*/ 217681 h 2070318"/>
                <a:gd name="connsiteX11" fmla="*/ 1946665 w 3705628"/>
                <a:gd name="connsiteY11" fmla="*/ 211331 h 2070318"/>
                <a:gd name="connsiteX12" fmla="*/ 1057665 w 3705628"/>
                <a:gd name="connsiteY12" fmla="*/ 173231 h 2070318"/>
                <a:gd name="connsiteX13" fmla="*/ 187715 w 3705628"/>
                <a:gd name="connsiteY13" fmla="*/ 20831 h 20703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3705628" h="2070318">
                  <a:moveTo>
                    <a:pt x="187715" y="20831"/>
                  </a:moveTo>
                  <a:cubicBezTo>
                    <a:pt x="13090" y="107614"/>
                    <a:pt x="28965" y="536239"/>
                    <a:pt x="9915" y="693931"/>
                  </a:cubicBezTo>
                  <a:cubicBezTo>
                    <a:pt x="-9135" y="851623"/>
                    <a:pt x="-7018" y="888664"/>
                    <a:pt x="73415" y="966981"/>
                  </a:cubicBezTo>
                  <a:cubicBezTo>
                    <a:pt x="153848" y="1045298"/>
                    <a:pt x="271323" y="1022014"/>
                    <a:pt x="492515" y="1163831"/>
                  </a:cubicBezTo>
                  <a:cubicBezTo>
                    <a:pt x="713707" y="1305648"/>
                    <a:pt x="1067190" y="1669714"/>
                    <a:pt x="1400565" y="1817881"/>
                  </a:cubicBezTo>
                  <a:cubicBezTo>
                    <a:pt x="1733940" y="1966048"/>
                    <a:pt x="2147748" y="2029548"/>
                    <a:pt x="2492765" y="2052831"/>
                  </a:cubicBezTo>
                  <a:cubicBezTo>
                    <a:pt x="2837782" y="2076114"/>
                    <a:pt x="3292865" y="2099398"/>
                    <a:pt x="3470665" y="1957581"/>
                  </a:cubicBezTo>
                  <a:cubicBezTo>
                    <a:pt x="3648465" y="1815764"/>
                    <a:pt x="3520407" y="1416773"/>
                    <a:pt x="3559565" y="1201931"/>
                  </a:cubicBezTo>
                  <a:cubicBezTo>
                    <a:pt x="3598723" y="987089"/>
                    <a:pt x="3704557" y="803998"/>
                    <a:pt x="3705615" y="668531"/>
                  </a:cubicBezTo>
                  <a:cubicBezTo>
                    <a:pt x="3706673" y="533064"/>
                    <a:pt x="3645290" y="464273"/>
                    <a:pt x="3565915" y="389131"/>
                  </a:cubicBezTo>
                  <a:cubicBezTo>
                    <a:pt x="3486540" y="313989"/>
                    <a:pt x="3499240" y="247314"/>
                    <a:pt x="3229365" y="217681"/>
                  </a:cubicBezTo>
                  <a:cubicBezTo>
                    <a:pt x="2959490" y="188048"/>
                    <a:pt x="2308615" y="218739"/>
                    <a:pt x="1946665" y="211331"/>
                  </a:cubicBezTo>
                  <a:cubicBezTo>
                    <a:pt x="1584715" y="203923"/>
                    <a:pt x="1351882" y="201806"/>
                    <a:pt x="1057665" y="173231"/>
                  </a:cubicBezTo>
                  <a:cubicBezTo>
                    <a:pt x="763448" y="144656"/>
                    <a:pt x="362340" y="-65952"/>
                    <a:pt x="187715" y="20831"/>
                  </a:cubicBez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8</xdr:col>
      <xdr:colOff>304800</xdr:colOff>
      <xdr:row>53</xdr:row>
      <xdr:rowOff>695325</xdr:rowOff>
    </xdr:from>
    <xdr:to>
      <xdr:col>13</xdr:col>
      <xdr:colOff>165828</xdr:colOff>
      <xdr:row>56</xdr:row>
      <xdr:rowOff>190275</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6619875" y="14392275"/>
          <a:ext cx="4204428" cy="1800000"/>
        </a:xfrm>
        <a:prstGeom prst="rect">
          <a:avLst/>
        </a:prstGeom>
        <a:ln>
          <a:solidFill>
            <a:sysClr val="windowText" lastClr="000000"/>
          </a:solidFill>
        </a:ln>
      </xdr:spPr>
    </xdr:pic>
    <xdr:clientData/>
  </xdr:twoCellAnchor>
  <xdr:twoCellAnchor editAs="oneCell">
    <xdr:from>
      <xdr:col>11</xdr:col>
      <xdr:colOff>571501</xdr:colOff>
      <xdr:row>166</xdr:row>
      <xdr:rowOff>66675</xdr:rowOff>
    </xdr:from>
    <xdr:to>
      <xdr:col>14</xdr:col>
      <xdr:colOff>397812</xdr:colOff>
      <xdr:row>198</xdr:row>
      <xdr:rowOff>426226</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9677401" y="29975175"/>
          <a:ext cx="2379011" cy="3960001"/>
        </a:xfrm>
        <a:prstGeom prst="rect">
          <a:avLst/>
        </a:prstGeom>
      </xdr:spPr>
    </xdr:pic>
    <xdr:clientData/>
  </xdr:twoCellAnchor>
  <xdr:twoCellAnchor editAs="oneCell">
    <xdr:from>
      <xdr:col>8</xdr:col>
      <xdr:colOff>257175</xdr:colOff>
      <xdr:row>49</xdr:row>
      <xdr:rowOff>266700</xdr:rowOff>
    </xdr:from>
    <xdr:to>
      <xdr:col>15</xdr:col>
      <xdr:colOff>380236</xdr:colOff>
      <xdr:row>59</xdr:row>
      <xdr:rowOff>56540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7"/>
        <a:stretch>
          <a:fillRect/>
        </a:stretch>
      </xdr:blipFill>
      <xdr:spPr>
        <a:xfrm>
          <a:off x="6734175" y="12468225"/>
          <a:ext cx="6114286" cy="4876190"/>
        </a:xfrm>
        <a:prstGeom prst="rect">
          <a:avLst/>
        </a:prstGeom>
      </xdr:spPr>
    </xdr:pic>
    <xdr:clientData/>
  </xdr:twoCellAnchor>
  <xdr:twoCellAnchor>
    <xdr:from>
      <xdr:col>0</xdr:col>
      <xdr:colOff>118630</xdr:colOff>
      <xdr:row>673</xdr:row>
      <xdr:rowOff>34637</xdr:rowOff>
    </xdr:from>
    <xdr:to>
      <xdr:col>7</xdr:col>
      <xdr:colOff>762000</xdr:colOff>
      <xdr:row>711</xdr:row>
      <xdr:rowOff>195443</xdr:rowOff>
    </xdr:to>
    <xdr:grpSp>
      <xdr:nvGrpSpPr>
        <xdr:cNvPr id="57" name="Group 56">
          <a:extLst>
            <a:ext uri="{FF2B5EF4-FFF2-40B4-BE49-F238E27FC236}">
              <a16:creationId xmlns:a16="http://schemas.microsoft.com/office/drawing/2014/main" id="{00000000-0008-0000-0000-000039000000}"/>
            </a:ext>
          </a:extLst>
        </xdr:cNvPr>
        <xdr:cNvGrpSpPr/>
      </xdr:nvGrpSpPr>
      <xdr:grpSpPr>
        <a:xfrm>
          <a:off x="118630" y="125504661"/>
          <a:ext cx="6380782" cy="7655300"/>
          <a:chOff x="0" y="0"/>
          <a:chExt cx="6480000" cy="7700821"/>
        </a:xfrm>
      </xdr:grpSpPr>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8"/>
          <a:stretch>
            <a:fillRect/>
          </a:stretch>
        </xdr:blipFill>
        <xdr:spPr>
          <a:xfrm>
            <a:off x="17726" y="4460821"/>
            <a:ext cx="4856329" cy="3240000"/>
          </a:xfrm>
          <a:prstGeom prst="rect">
            <a:avLst/>
          </a:prstGeom>
          <a:ln>
            <a:solidFill>
              <a:schemeClr val="tx1"/>
            </a:solidFill>
          </a:ln>
        </xdr:spPr>
      </xdr:pic>
      <xdr:grpSp>
        <xdr:nvGrpSpPr>
          <xdr:cNvPr id="59" name="Group 58">
            <a:extLst>
              <a:ext uri="{FF2B5EF4-FFF2-40B4-BE49-F238E27FC236}">
                <a16:creationId xmlns:a16="http://schemas.microsoft.com/office/drawing/2014/main" id="{00000000-0008-0000-0000-00003B000000}"/>
              </a:ext>
            </a:extLst>
          </xdr:cNvPr>
          <xdr:cNvGrpSpPr/>
        </xdr:nvGrpSpPr>
        <xdr:grpSpPr>
          <a:xfrm>
            <a:off x="0" y="0"/>
            <a:ext cx="6480000" cy="4320000"/>
            <a:chOff x="0" y="0"/>
            <a:chExt cx="6858000" cy="4754148"/>
          </a:xfrm>
        </xdr:grpSpPr>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0" y="0"/>
              <a:ext cx="6858000" cy="4754148"/>
            </a:xfrm>
            <a:prstGeom prst="rect">
              <a:avLst/>
            </a:prstGeom>
            <a:ln>
              <a:solidFill>
                <a:schemeClr val="tx1"/>
              </a:solidFill>
            </a:ln>
          </xdr:spPr>
        </xdr:pic>
        <xdr:sp macro="" textlink="">
          <xdr:nvSpPr>
            <xdr:cNvPr id="61" name="Rectangle 60">
              <a:extLst>
                <a:ext uri="{FF2B5EF4-FFF2-40B4-BE49-F238E27FC236}">
                  <a16:creationId xmlns:a16="http://schemas.microsoft.com/office/drawing/2014/main" id="{00000000-0008-0000-0000-00003D000000}"/>
                </a:ext>
              </a:extLst>
            </xdr:cNvPr>
            <xdr:cNvSpPr/>
          </xdr:nvSpPr>
          <xdr:spPr>
            <a:xfrm rot="831403">
              <a:off x="4735678" y="501650"/>
              <a:ext cx="734846" cy="9810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2" name="Rectangle 61">
              <a:extLst>
                <a:ext uri="{FF2B5EF4-FFF2-40B4-BE49-F238E27FC236}">
                  <a16:creationId xmlns:a16="http://schemas.microsoft.com/office/drawing/2014/main" id="{00000000-0008-0000-0000-00003E000000}"/>
                </a:ext>
              </a:extLst>
            </xdr:cNvPr>
            <xdr:cNvSpPr/>
          </xdr:nvSpPr>
          <xdr:spPr>
            <a:xfrm rot="831403">
              <a:off x="4488906" y="1466851"/>
              <a:ext cx="734846" cy="9810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3" name="Rectangle 62">
              <a:extLst>
                <a:ext uri="{FF2B5EF4-FFF2-40B4-BE49-F238E27FC236}">
                  <a16:creationId xmlns:a16="http://schemas.microsoft.com/office/drawing/2014/main" id="{00000000-0008-0000-0000-00003F000000}"/>
                </a:ext>
              </a:extLst>
            </xdr:cNvPr>
            <xdr:cNvSpPr/>
          </xdr:nvSpPr>
          <xdr:spPr>
            <a:xfrm rot="21232899">
              <a:off x="4006363" y="2378522"/>
              <a:ext cx="734846" cy="82476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4" name="Rectangle 63">
              <a:extLst>
                <a:ext uri="{FF2B5EF4-FFF2-40B4-BE49-F238E27FC236}">
                  <a16:creationId xmlns:a16="http://schemas.microsoft.com/office/drawing/2014/main" id="{00000000-0008-0000-0000-000040000000}"/>
                </a:ext>
              </a:extLst>
            </xdr:cNvPr>
            <xdr:cNvSpPr/>
          </xdr:nvSpPr>
          <xdr:spPr>
            <a:xfrm rot="21232899">
              <a:off x="3263413" y="2461072"/>
              <a:ext cx="734846" cy="82476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5" name="Rectangle 64">
              <a:extLst>
                <a:ext uri="{FF2B5EF4-FFF2-40B4-BE49-F238E27FC236}">
                  <a16:creationId xmlns:a16="http://schemas.microsoft.com/office/drawing/2014/main" id="{00000000-0008-0000-0000-000041000000}"/>
                </a:ext>
              </a:extLst>
            </xdr:cNvPr>
            <xdr:cNvSpPr/>
          </xdr:nvSpPr>
          <xdr:spPr>
            <a:xfrm rot="18267990">
              <a:off x="2487235" y="2002350"/>
              <a:ext cx="734846" cy="82476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6" name="Rectangle 65">
              <a:extLst>
                <a:ext uri="{FF2B5EF4-FFF2-40B4-BE49-F238E27FC236}">
                  <a16:creationId xmlns:a16="http://schemas.microsoft.com/office/drawing/2014/main" id="{00000000-0008-0000-0000-000042000000}"/>
                </a:ext>
              </a:extLst>
            </xdr:cNvPr>
            <xdr:cNvSpPr/>
          </xdr:nvSpPr>
          <xdr:spPr>
            <a:xfrm rot="18267990">
              <a:off x="1828399" y="1509906"/>
              <a:ext cx="734846" cy="82476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7" name="TextBox 26">
              <a:extLst>
                <a:ext uri="{FF2B5EF4-FFF2-40B4-BE49-F238E27FC236}">
                  <a16:creationId xmlns:a16="http://schemas.microsoft.com/office/drawing/2014/main" id="{00000000-0008-0000-0000-000043000000}"/>
                </a:ext>
              </a:extLst>
            </xdr:cNvPr>
            <xdr:cNvSpPr txBox="1"/>
          </xdr:nvSpPr>
          <xdr:spPr>
            <a:xfrm>
              <a:off x="5577313" y="807520"/>
              <a:ext cx="948746" cy="41213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0000"/>
                  </a:solidFill>
                </a:rPr>
                <a:t>Wing 1</a:t>
              </a:r>
              <a:endParaRPr lang="en-IN">
                <a:solidFill>
                  <a:srgbClr val="FF0000"/>
                </a:solidFill>
              </a:endParaRPr>
            </a:p>
          </xdr:txBody>
        </xdr:sp>
        <xdr:sp macro="" textlink="">
          <xdr:nvSpPr>
            <xdr:cNvPr id="68" name="TextBox 27">
              <a:extLst>
                <a:ext uri="{FF2B5EF4-FFF2-40B4-BE49-F238E27FC236}">
                  <a16:creationId xmlns:a16="http://schemas.microsoft.com/office/drawing/2014/main" id="{00000000-0008-0000-0000-000044000000}"/>
                </a:ext>
              </a:extLst>
            </xdr:cNvPr>
            <xdr:cNvSpPr txBox="1"/>
          </xdr:nvSpPr>
          <xdr:spPr>
            <a:xfrm>
              <a:off x="5158213" y="1922289"/>
              <a:ext cx="945147" cy="41213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0000"/>
                  </a:solidFill>
                </a:rPr>
                <a:t>Wing 2</a:t>
              </a:r>
              <a:endParaRPr lang="en-IN">
                <a:solidFill>
                  <a:srgbClr val="FF0000"/>
                </a:solidFill>
              </a:endParaRPr>
            </a:p>
          </xdr:txBody>
        </xdr:sp>
        <xdr:sp macro="" textlink="">
          <xdr:nvSpPr>
            <xdr:cNvPr id="69" name="TextBox 28">
              <a:extLst>
                <a:ext uri="{FF2B5EF4-FFF2-40B4-BE49-F238E27FC236}">
                  <a16:creationId xmlns:a16="http://schemas.microsoft.com/office/drawing/2014/main" id="{00000000-0008-0000-0000-000045000000}"/>
                </a:ext>
              </a:extLst>
            </xdr:cNvPr>
            <xdr:cNvSpPr txBox="1"/>
          </xdr:nvSpPr>
          <xdr:spPr>
            <a:xfrm>
              <a:off x="4116741" y="3249626"/>
              <a:ext cx="1377100" cy="4064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0000"/>
                  </a:solidFill>
                </a:rPr>
                <a:t>Wing 3</a:t>
              </a:r>
              <a:endParaRPr lang="en-IN">
                <a:solidFill>
                  <a:srgbClr val="FF0000"/>
                </a:solidFill>
              </a:endParaRPr>
            </a:p>
          </xdr:txBody>
        </xdr:sp>
        <xdr:sp macro="" textlink="">
          <xdr:nvSpPr>
            <xdr:cNvPr id="70" name="TextBox 29">
              <a:extLst>
                <a:ext uri="{FF2B5EF4-FFF2-40B4-BE49-F238E27FC236}">
                  <a16:creationId xmlns:a16="http://schemas.microsoft.com/office/drawing/2014/main" id="{00000000-0008-0000-0000-000046000000}"/>
                </a:ext>
              </a:extLst>
            </xdr:cNvPr>
            <xdr:cNvSpPr txBox="1"/>
          </xdr:nvSpPr>
          <xdr:spPr>
            <a:xfrm>
              <a:off x="3278540" y="3322651"/>
              <a:ext cx="1029531" cy="40850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0000"/>
                  </a:solidFill>
                </a:rPr>
                <a:t>Wing 4</a:t>
              </a:r>
              <a:endParaRPr lang="en-IN">
                <a:solidFill>
                  <a:srgbClr val="FF0000"/>
                </a:solidFill>
              </a:endParaRPr>
            </a:p>
          </xdr:txBody>
        </xdr:sp>
        <xdr:sp macro="" textlink="">
          <xdr:nvSpPr>
            <xdr:cNvPr id="71" name="TextBox 30">
              <a:extLst>
                <a:ext uri="{FF2B5EF4-FFF2-40B4-BE49-F238E27FC236}">
                  <a16:creationId xmlns:a16="http://schemas.microsoft.com/office/drawing/2014/main" id="{00000000-0008-0000-0000-000047000000}"/>
                </a:ext>
              </a:extLst>
            </xdr:cNvPr>
            <xdr:cNvSpPr txBox="1"/>
          </xdr:nvSpPr>
          <xdr:spPr>
            <a:xfrm>
              <a:off x="1821433" y="2688789"/>
              <a:ext cx="1426791" cy="4064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0000"/>
                  </a:solidFill>
                </a:rPr>
                <a:t>Wing 5</a:t>
              </a:r>
              <a:endParaRPr lang="en-IN">
                <a:solidFill>
                  <a:srgbClr val="FF0000"/>
                </a:solidFill>
              </a:endParaRPr>
            </a:p>
          </xdr:txBody>
        </xdr:sp>
        <xdr:sp macro="" textlink="">
          <xdr:nvSpPr>
            <xdr:cNvPr id="72" name="TextBox 31">
              <a:extLst>
                <a:ext uri="{FF2B5EF4-FFF2-40B4-BE49-F238E27FC236}">
                  <a16:creationId xmlns:a16="http://schemas.microsoft.com/office/drawing/2014/main" id="{00000000-0008-0000-0000-000048000000}"/>
                </a:ext>
              </a:extLst>
            </xdr:cNvPr>
            <xdr:cNvSpPr txBox="1"/>
          </xdr:nvSpPr>
          <xdr:spPr>
            <a:xfrm>
              <a:off x="1187571" y="2192408"/>
              <a:ext cx="949521" cy="4064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0000"/>
                  </a:solidFill>
                </a:rPr>
                <a:t>Wing 6</a:t>
              </a:r>
              <a:endParaRPr lang="en-IN">
                <a:solidFill>
                  <a:srgbClr val="FF0000"/>
                </a:solidFill>
              </a:endParaRPr>
            </a:p>
          </xdr:txBody>
        </xdr:sp>
      </xdr:grpSp>
    </xdr:grpSp>
    <xdr:clientData/>
  </xdr:twoCellAnchor>
  <xdr:twoCellAnchor editAs="oneCell">
    <xdr:from>
      <xdr:col>13</xdr:col>
      <xdr:colOff>635000</xdr:colOff>
      <xdr:row>64</xdr:row>
      <xdr:rowOff>0</xdr:rowOff>
    </xdr:from>
    <xdr:to>
      <xdr:col>27</xdr:col>
      <xdr:colOff>31750</xdr:colOff>
      <xdr:row>95</xdr:row>
      <xdr:rowOff>8965</xdr:rowOff>
    </xdr:to>
    <xdr:pic>
      <xdr:nvPicPr>
        <xdr:cNvPr id="41" name="Picture 40" descr="https://www.godrejproperties.com/_next/image?url=https%3A%2F%2Fdelf2iyv2crlj.cloudfront.net%2FImages%2Fc5ca8343-ced7-4450-bb6e-a3b3328a1301.webp&amp;w=1920&amp;q=75">
          <a:extLst>
            <a:ext uri="{FF2B5EF4-FFF2-40B4-BE49-F238E27FC236}">
              <a16:creationId xmlns:a16="http://schemas.microsoft.com/office/drawing/2014/main" id="{00000000-0008-0000-0000-000029000000}"/>
            </a:ext>
          </a:extLst>
        </xdr:cNvPr>
        <xdr:cNvPicPr>
          <a:picLocks noChangeAspect="1" noChangeArrowheads="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bwMode="auto">
        <a:xfrm>
          <a:off x="11461750" y="18097500"/>
          <a:ext cx="8731250" cy="8404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588817</xdr:colOff>
      <xdr:row>198</xdr:row>
      <xdr:rowOff>251623</xdr:rowOff>
    </xdr:from>
    <xdr:to>
      <xdr:col>16</xdr:col>
      <xdr:colOff>5446</xdr:colOff>
      <xdr:row>207</xdr:row>
      <xdr:rowOff>143423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1"/>
        <a:stretch>
          <a:fillRect/>
        </a:stretch>
      </xdr:blipFill>
      <xdr:spPr>
        <a:xfrm>
          <a:off x="7065817" y="37364487"/>
          <a:ext cx="6188038" cy="2153554"/>
        </a:xfrm>
        <a:prstGeom prst="rect">
          <a:avLst/>
        </a:prstGeom>
      </xdr:spPr>
    </xdr:pic>
    <xdr:clientData/>
  </xdr:twoCellAnchor>
  <xdr:twoCellAnchor editAs="oneCell">
    <xdr:from>
      <xdr:col>8</xdr:col>
      <xdr:colOff>554182</xdr:colOff>
      <xdr:row>173</xdr:row>
      <xdr:rowOff>138546</xdr:rowOff>
    </xdr:from>
    <xdr:to>
      <xdr:col>14</xdr:col>
      <xdr:colOff>691738</xdr:colOff>
      <xdr:row>189</xdr:row>
      <xdr:rowOff>156158</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2"/>
        <a:stretch>
          <a:fillRect/>
        </a:stretch>
      </xdr:blipFill>
      <xdr:spPr>
        <a:xfrm>
          <a:off x="7031182" y="35173228"/>
          <a:ext cx="5315692" cy="2095792"/>
        </a:xfrm>
        <a:prstGeom prst="rect">
          <a:avLst/>
        </a:prstGeom>
      </xdr:spPr>
    </xdr:pic>
    <xdr:clientData/>
  </xdr:twoCellAnchor>
  <xdr:twoCellAnchor>
    <xdr:from>
      <xdr:col>8</xdr:col>
      <xdr:colOff>813741</xdr:colOff>
      <xdr:row>631</xdr:row>
      <xdr:rowOff>121707</xdr:rowOff>
    </xdr:from>
    <xdr:to>
      <xdr:col>15</xdr:col>
      <xdr:colOff>522097</xdr:colOff>
      <xdr:row>663</xdr:row>
      <xdr:rowOff>132912</xdr:rowOff>
    </xdr:to>
    <xdr:grpSp>
      <xdr:nvGrpSpPr>
        <xdr:cNvPr id="36" name="Group 35">
          <a:extLst>
            <a:ext uri="{FF2B5EF4-FFF2-40B4-BE49-F238E27FC236}">
              <a16:creationId xmlns:a16="http://schemas.microsoft.com/office/drawing/2014/main" id="{00000000-0008-0000-0000-000024000000}"/>
            </a:ext>
          </a:extLst>
        </xdr:cNvPr>
        <xdr:cNvGrpSpPr/>
      </xdr:nvGrpSpPr>
      <xdr:grpSpPr>
        <a:xfrm>
          <a:off x="7474517" y="117308342"/>
          <a:ext cx="5876074" cy="6322358"/>
          <a:chOff x="345210" y="1273174"/>
          <a:chExt cx="6313689" cy="6986001"/>
        </a:xfrm>
      </xdr:grpSpPr>
      <xdr:pic>
        <xdr:nvPicPr>
          <xdr:cNvPr id="37" name="Picture 36" descr="https://vsjcllp.vsjadon.com/upload/insp-236818-1525.jpg">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040586" y="60991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36818-843.jpg">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322408" y="60991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36818-851.jpg">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5210" y="6099175"/>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36818-849.jp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69762" y="1273174"/>
            <a:ext cx="6289137" cy="47212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8</xdr:col>
      <xdr:colOff>0</xdr:colOff>
      <xdr:row>674</xdr:row>
      <xdr:rowOff>0</xdr:rowOff>
    </xdr:from>
    <xdr:to>
      <xdr:col>8</xdr:col>
      <xdr:colOff>304800</xdr:colOff>
      <xdr:row>675</xdr:row>
      <xdr:rowOff>106678</xdr:rowOff>
    </xdr:to>
    <xdr:sp macro="" textlink="">
      <xdr:nvSpPr>
        <xdr:cNvPr id="1068" name="AutoShape 44">
          <a:extLst>
            <a:ext uri="{FF2B5EF4-FFF2-40B4-BE49-F238E27FC236}">
              <a16:creationId xmlns:a16="http://schemas.microsoft.com/office/drawing/2014/main" id="{1D93BF83-5A52-6922-D5C1-2E6D10565E0D}"/>
            </a:ext>
          </a:extLst>
        </xdr:cNvPr>
        <xdr:cNvSpPr>
          <a:spLocks noChangeAspect="1" noChangeArrowheads="1"/>
        </xdr:cNvSpPr>
      </xdr:nvSpPr>
      <xdr:spPr bwMode="auto">
        <a:xfrm>
          <a:off x="6652260" y="120388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674</xdr:row>
      <xdr:rowOff>0</xdr:rowOff>
    </xdr:from>
    <xdr:to>
      <xdr:col>8</xdr:col>
      <xdr:colOff>304800</xdr:colOff>
      <xdr:row>675</xdr:row>
      <xdr:rowOff>106678</xdr:rowOff>
    </xdr:to>
    <xdr:sp macro="" textlink="">
      <xdr:nvSpPr>
        <xdr:cNvPr id="1069" name="AutoShape 45">
          <a:extLst>
            <a:ext uri="{FF2B5EF4-FFF2-40B4-BE49-F238E27FC236}">
              <a16:creationId xmlns:a16="http://schemas.microsoft.com/office/drawing/2014/main" id="{2023B046-0980-E1B5-E0A1-6FCBDCF3E2D3}"/>
            </a:ext>
          </a:extLst>
        </xdr:cNvPr>
        <xdr:cNvSpPr>
          <a:spLocks noChangeAspect="1" noChangeArrowheads="1"/>
        </xdr:cNvSpPr>
      </xdr:nvSpPr>
      <xdr:spPr bwMode="auto">
        <a:xfrm>
          <a:off x="6652260" y="120388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238114</xdr:colOff>
      <xdr:row>631</xdr:row>
      <xdr:rowOff>132604</xdr:rowOff>
    </xdr:from>
    <xdr:to>
      <xdr:col>7</xdr:col>
      <xdr:colOff>556048</xdr:colOff>
      <xdr:row>663</xdr:row>
      <xdr:rowOff>22541</xdr:rowOff>
    </xdr:to>
    <xdr:grpSp>
      <xdr:nvGrpSpPr>
        <xdr:cNvPr id="91" name="Group 90">
          <a:extLst>
            <a:ext uri="{FF2B5EF4-FFF2-40B4-BE49-F238E27FC236}">
              <a16:creationId xmlns:a16="http://schemas.microsoft.com/office/drawing/2014/main" id="{3F3A51C3-D817-1C6F-AB97-9CAA0C0638E7}"/>
            </a:ext>
          </a:extLst>
        </xdr:cNvPr>
        <xdr:cNvGrpSpPr/>
      </xdr:nvGrpSpPr>
      <xdr:grpSpPr>
        <a:xfrm>
          <a:off x="238114" y="117319239"/>
          <a:ext cx="6055346" cy="6201090"/>
          <a:chOff x="238114" y="112345387"/>
          <a:chExt cx="6042873" cy="6250980"/>
        </a:xfrm>
      </xdr:grpSpPr>
      <xdr:grpSp>
        <xdr:nvGrpSpPr>
          <xdr:cNvPr id="14" name="Group 13">
            <a:extLst>
              <a:ext uri="{FF2B5EF4-FFF2-40B4-BE49-F238E27FC236}">
                <a16:creationId xmlns:a16="http://schemas.microsoft.com/office/drawing/2014/main" id="{E61F94D0-4A03-9B6F-B8C6-566ECBF69991}"/>
              </a:ext>
            </a:extLst>
          </xdr:cNvPr>
          <xdr:cNvGrpSpPr/>
        </xdr:nvGrpSpPr>
        <xdr:grpSpPr>
          <a:xfrm>
            <a:off x="238114" y="112345387"/>
            <a:ext cx="6042873" cy="6250980"/>
            <a:chOff x="257992" y="111047432"/>
            <a:chExt cx="6054705" cy="6159819"/>
          </a:xfrm>
        </xdr:grpSpPr>
        <xdr:grpSp>
          <xdr:nvGrpSpPr>
            <xdr:cNvPr id="3" name="Group 2">
              <a:extLst>
                <a:ext uri="{FF2B5EF4-FFF2-40B4-BE49-F238E27FC236}">
                  <a16:creationId xmlns:a16="http://schemas.microsoft.com/office/drawing/2014/main" id="{3BD4DE40-3798-65B3-A48B-E7D60F93AD86}"/>
                </a:ext>
              </a:extLst>
            </xdr:cNvPr>
            <xdr:cNvGrpSpPr/>
          </xdr:nvGrpSpPr>
          <xdr:grpSpPr>
            <a:xfrm>
              <a:off x="720436" y="111066943"/>
              <a:ext cx="5592261" cy="6140308"/>
              <a:chOff x="1027660" y="743012"/>
              <a:chExt cx="5581391" cy="6231181"/>
            </a:xfrm>
          </xdr:grpSpPr>
          <xdr:pic>
            <xdr:nvPicPr>
              <xdr:cNvPr id="6" name="Picture 5">
                <a:extLst>
                  <a:ext uri="{FF2B5EF4-FFF2-40B4-BE49-F238E27FC236}">
                    <a16:creationId xmlns:a16="http://schemas.microsoft.com/office/drawing/2014/main" id="{23FB21A0-1340-B467-133A-1180FC373773}"/>
                  </a:ext>
                </a:extLst>
              </xdr:cNvPr>
              <xdr:cNvPicPr>
                <a:picLocks noChangeAspect="1"/>
              </xdr:cNvPicPr>
            </xdr:nvPicPr>
            <xdr:blipFill>
              <a:blip xmlns:r="http://schemas.openxmlformats.org/officeDocument/2006/relationships" r:embed="rId17"/>
              <a:stretch>
                <a:fillRect/>
              </a:stretch>
            </xdr:blipFill>
            <xdr:spPr>
              <a:xfrm>
                <a:off x="4513832" y="4804033"/>
                <a:ext cx="1620000" cy="2160000"/>
              </a:xfrm>
              <a:prstGeom prst="rect">
                <a:avLst/>
              </a:prstGeom>
              <a:ln>
                <a:solidFill>
                  <a:schemeClr val="tx1"/>
                </a:solidFill>
              </a:ln>
            </xdr:spPr>
          </xdr:pic>
          <xdr:pic>
            <xdr:nvPicPr>
              <xdr:cNvPr id="9" name="Picture 8">
                <a:extLst>
                  <a:ext uri="{FF2B5EF4-FFF2-40B4-BE49-F238E27FC236}">
                    <a16:creationId xmlns:a16="http://schemas.microsoft.com/office/drawing/2014/main" id="{B340F221-9881-4C70-D520-68F9692F4BB7}"/>
                  </a:ext>
                </a:extLst>
              </xdr:cNvPr>
              <xdr:cNvPicPr>
                <a:picLocks noChangeAspect="1"/>
              </xdr:cNvPicPr>
            </xdr:nvPicPr>
            <xdr:blipFill>
              <a:blip xmlns:r="http://schemas.openxmlformats.org/officeDocument/2006/relationships" r:embed="rId18"/>
              <a:stretch>
                <a:fillRect/>
              </a:stretch>
            </xdr:blipFill>
            <xdr:spPr>
              <a:xfrm>
                <a:off x="2773676" y="4804033"/>
                <a:ext cx="1620000" cy="2160000"/>
              </a:xfrm>
              <a:prstGeom prst="rect">
                <a:avLst/>
              </a:prstGeom>
              <a:ln>
                <a:solidFill>
                  <a:schemeClr val="tx1"/>
                </a:solidFill>
              </a:ln>
            </xdr:spPr>
          </xdr:pic>
          <xdr:pic>
            <xdr:nvPicPr>
              <xdr:cNvPr id="10" name="Picture 9">
                <a:extLst>
                  <a:ext uri="{FF2B5EF4-FFF2-40B4-BE49-F238E27FC236}">
                    <a16:creationId xmlns:a16="http://schemas.microsoft.com/office/drawing/2014/main" id="{EFD57D07-1D1A-8155-3E87-7C71D710048C}"/>
                  </a:ext>
                </a:extLst>
              </xdr:cNvPr>
              <xdr:cNvPicPr>
                <a:picLocks noChangeAspect="1"/>
              </xdr:cNvPicPr>
            </xdr:nvPicPr>
            <xdr:blipFill>
              <a:blip xmlns:r="http://schemas.openxmlformats.org/officeDocument/2006/relationships" r:embed="rId19"/>
              <a:stretch>
                <a:fillRect/>
              </a:stretch>
            </xdr:blipFill>
            <xdr:spPr>
              <a:xfrm>
                <a:off x="3644636" y="743012"/>
                <a:ext cx="2964415" cy="3952553"/>
              </a:xfrm>
              <a:prstGeom prst="rect">
                <a:avLst/>
              </a:prstGeom>
              <a:ln>
                <a:solidFill>
                  <a:schemeClr val="tx1"/>
                </a:solidFill>
              </a:ln>
            </xdr:spPr>
          </xdr:pic>
          <xdr:pic>
            <xdr:nvPicPr>
              <xdr:cNvPr id="12" name="Picture 11">
                <a:extLst>
                  <a:ext uri="{FF2B5EF4-FFF2-40B4-BE49-F238E27FC236}">
                    <a16:creationId xmlns:a16="http://schemas.microsoft.com/office/drawing/2014/main" id="{55A72E25-AB93-C111-EE2E-850A1561B181}"/>
                  </a:ext>
                </a:extLst>
              </xdr:cNvPr>
              <xdr:cNvPicPr>
                <a:picLocks noChangeAspect="1"/>
              </xdr:cNvPicPr>
            </xdr:nvPicPr>
            <xdr:blipFill>
              <a:blip xmlns:r="http://schemas.openxmlformats.org/officeDocument/2006/relationships" r:embed="rId20"/>
              <a:stretch>
                <a:fillRect/>
              </a:stretch>
            </xdr:blipFill>
            <xdr:spPr>
              <a:xfrm>
                <a:off x="1027660" y="4814193"/>
                <a:ext cx="1620000" cy="2160000"/>
              </a:xfrm>
              <a:prstGeom prst="rect">
                <a:avLst/>
              </a:prstGeom>
              <a:ln>
                <a:solidFill>
                  <a:schemeClr val="tx1"/>
                </a:solidFill>
              </a:ln>
            </xdr:spPr>
          </xdr:pic>
        </xdr:grpSp>
        <xdr:pic>
          <xdr:nvPicPr>
            <xdr:cNvPr id="13" name="Picture 12">
              <a:extLst>
                <a:ext uri="{FF2B5EF4-FFF2-40B4-BE49-F238E27FC236}">
                  <a16:creationId xmlns:a16="http://schemas.microsoft.com/office/drawing/2014/main" id="{C4EE7333-50DA-65FE-26AD-3CA5669B2E84}"/>
                </a:ext>
              </a:extLst>
            </xdr:cNvPr>
            <xdr:cNvPicPr>
              <a:picLocks noChangeAspect="1"/>
            </xdr:cNvPicPr>
          </xdr:nvPicPr>
          <xdr:blipFill>
            <a:blip xmlns:r="http://schemas.openxmlformats.org/officeDocument/2006/relationships" r:embed="rId21"/>
            <a:stretch>
              <a:fillRect/>
            </a:stretch>
          </xdr:blipFill>
          <xdr:spPr>
            <a:xfrm>
              <a:off x="257992" y="111047432"/>
              <a:ext cx="2975065" cy="3913047"/>
            </a:xfrm>
            <a:prstGeom prst="rect">
              <a:avLst/>
            </a:prstGeom>
            <a:ln>
              <a:solidFill>
                <a:sysClr val="windowText" lastClr="000000"/>
              </a:solidFill>
            </a:ln>
          </xdr:spPr>
        </xdr:pic>
      </xdr:grpSp>
      <xdr:sp macro="" textlink="">
        <xdr:nvSpPr>
          <xdr:cNvPr id="16" name="Rectangle 15">
            <a:extLst>
              <a:ext uri="{FF2B5EF4-FFF2-40B4-BE49-F238E27FC236}">
                <a16:creationId xmlns:a16="http://schemas.microsoft.com/office/drawing/2014/main" id="{DA59F8FE-6DFF-CFD9-42D0-07FF1198D80B}"/>
              </a:ext>
            </a:extLst>
          </xdr:cNvPr>
          <xdr:cNvSpPr/>
        </xdr:nvSpPr>
        <xdr:spPr>
          <a:xfrm>
            <a:off x="258417" y="113842801"/>
            <a:ext cx="1013188"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1</a:t>
            </a:r>
          </a:p>
        </xdr:txBody>
      </xdr:sp>
      <xdr:sp macro="" textlink="">
        <xdr:nvSpPr>
          <xdr:cNvPr id="17" name="Rectangle 16">
            <a:extLst>
              <a:ext uri="{FF2B5EF4-FFF2-40B4-BE49-F238E27FC236}">
                <a16:creationId xmlns:a16="http://schemas.microsoft.com/office/drawing/2014/main" id="{408CBEA7-6156-EC8A-42C1-1BFE8468FB19}"/>
              </a:ext>
            </a:extLst>
          </xdr:cNvPr>
          <xdr:cNvSpPr/>
        </xdr:nvSpPr>
        <xdr:spPr>
          <a:xfrm>
            <a:off x="1345096" y="113915688"/>
            <a:ext cx="1013188"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2</a:t>
            </a:r>
          </a:p>
        </xdr:txBody>
      </xdr:sp>
      <xdr:sp macro="" textlink="">
        <xdr:nvSpPr>
          <xdr:cNvPr id="24" name="Rectangle 23">
            <a:extLst>
              <a:ext uri="{FF2B5EF4-FFF2-40B4-BE49-F238E27FC236}">
                <a16:creationId xmlns:a16="http://schemas.microsoft.com/office/drawing/2014/main" id="{FB154E7C-28F9-19B6-EB07-73593C55F201}"/>
              </a:ext>
            </a:extLst>
          </xdr:cNvPr>
          <xdr:cNvSpPr/>
        </xdr:nvSpPr>
        <xdr:spPr>
          <a:xfrm>
            <a:off x="2206486" y="113935567"/>
            <a:ext cx="404192"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3</a:t>
            </a:r>
          </a:p>
        </xdr:txBody>
      </xdr:sp>
      <xdr:sp macro="" textlink="">
        <xdr:nvSpPr>
          <xdr:cNvPr id="77" name="Rectangle 76">
            <a:extLst>
              <a:ext uri="{FF2B5EF4-FFF2-40B4-BE49-F238E27FC236}">
                <a16:creationId xmlns:a16="http://schemas.microsoft.com/office/drawing/2014/main" id="{8D3FB6DB-E755-D70B-6031-C901C0AC3718}"/>
              </a:ext>
            </a:extLst>
          </xdr:cNvPr>
          <xdr:cNvSpPr/>
        </xdr:nvSpPr>
        <xdr:spPr>
          <a:xfrm>
            <a:off x="3962398" y="114021704"/>
            <a:ext cx="404192" cy="314508"/>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4</a:t>
            </a:r>
          </a:p>
        </xdr:txBody>
      </xdr:sp>
      <xdr:sp macro="" textlink="">
        <xdr:nvSpPr>
          <xdr:cNvPr id="78" name="Rectangle 77">
            <a:extLst>
              <a:ext uri="{FF2B5EF4-FFF2-40B4-BE49-F238E27FC236}">
                <a16:creationId xmlns:a16="http://schemas.microsoft.com/office/drawing/2014/main" id="{0560D1C6-A332-6BAB-7F43-687B995C09EA}"/>
              </a:ext>
            </a:extLst>
          </xdr:cNvPr>
          <xdr:cNvSpPr/>
        </xdr:nvSpPr>
        <xdr:spPr>
          <a:xfrm>
            <a:off x="1305338" y="116877547"/>
            <a:ext cx="404192" cy="314508"/>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5</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vPaBTHPxXKJ55ULV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715"/>
  <sheetViews>
    <sheetView tabSelected="1" view="pageBreakPreview" topLeftCell="A180" zoomScale="85" zoomScaleNormal="100" zoomScaleSheetLayoutView="85" zoomScalePageLayoutView="85" workbookViewId="0">
      <selection activeCell="J211" sqref="J211"/>
    </sheetView>
  </sheetViews>
  <sheetFormatPr defaultColWidth="9.109375" defaultRowHeight="15.6" x14ac:dyDescent="0.3"/>
  <cols>
    <col min="1" max="1" width="11.44140625" style="40" customWidth="1"/>
    <col min="2" max="2" width="12" style="40" customWidth="1"/>
    <col min="3" max="3" width="12.6640625" style="40" customWidth="1"/>
    <col min="4" max="4" width="13.6640625" style="40" customWidth="1"/>
    <col min="5" max="5" width="11.6640625" style="40" customWidth="1"/>
    <col min="6" max="6" width="11.109375" style="40" customWidth="1"/>
    <col min="7" max="7" width="11" style="40" customWidth="1"/>
    <col min="8" max="8" width="13.44140625" style="40" customWidth="1"/>
    <col min="9" max="9" width="17.44140625" style="21" customWidth="1"/>
    <col min="10" max="10" width="11.44140625" style="21" customWidth="1"/>
    <col min="11" max="11" width="10.5546875" style="21" bestFit="1" customWidth="1"/>
    <col min="12" max="12" width="13.88671875" style="21" bestFit="1" customWidth="1"/>
    <col min="13" max="13" width="11.88671875" style="21" customWidth="1"/>
    <col min="14" max="14" width="12.5546875" style="21" customWidth="1"/>
    <col min="15" max="15" width="12.109375" style="21" customWidth="1"/>
    <col min="16" max="16" width="11.6640625" style="21" customWidth="1"/>
    <col min="17" max="18" width="9.109375" style="21"/>
    <col min="19" max="19" width="10.88671875" style="21" bestFit="1" customWidth="1"/>
    <col min="20" max="20" width="10.6640625" style="21" customWidth="1"/>
    <col min="21" max="247" width="9.109375" style="21"/>
    <col min="248" max="248" width="8.6640625" style="21" customWidth="1"/>
    <col min="249" max="249" width="9.88671875" style="21" customWidth="1"/>
    <col min="250" max="250" width="14.44140625" style="21" customWidth="1"/>
    <col min="251" max="251" width="7.33203125" style="21" customWidth="1"/>
    <col min="252" max="252" width="5.5546875" style="21" customWidth="1"/>
    <col min="253" max="253" width="9" style="21" customWidth="1"/>
    <col min="254" max="255" width="9.88671875" style="21" customWidth="1"/>
    <col min="256" max="256" width="11.109375" style="21" customWidth="1"/>
    <col min="257" max="257" width="2.88671875" style="21" customWidth="1"/>
    <col min="258" max="258" width="3.5546875" style="21" customWidth="1"/>
    <col min="259" max="503" width="9.109375" style="21"/>
    <col min="504" max="504" width="8.6640625" style="21" customWidth="1"/>
    <col min="505" max="505" width="9.88671875" style="21" customWidth="1"/>
    <col min="506" max="506" width="14.44140625" style="21" customWidth="1"/>
    <col min="507" max="507" width="7.33203125" style="21" customWidth="1"/>
    <col min="508" max="508" width="5.5546875" style="21" customWidth="1"/>
    <col min="509" max="509" width="9" style="21" customWidth="1"/>
    <col min="510" max="511" width="9.88671875" style="21" customWidth="1"/>
    <col min="512" max="512" width="11.109375" style="21" customWidth="1"/>
    <col min="513" max="513" width="2.88671875" style="21" customWidth="1"/>
    <col min="514" max="514" width="3.5546875" style="21" customWidth="1"/>
    <col min="515" max="759" width="9.109375" style="21"/>
    <col min="760" max="760" width="8.6640625" style="21" customWidth="1"/>
    <col min="761" max="761" width="9.88671875" style="21" customWidth="1"/>
    <col min="762" max="762" width="14.44140625" style="21" customWidth="1"/>
    <col min="763" max="763" width="7.33203125" style="21" customWidth="1"/>
    <col min="764" max="764" width="5.5546875" style="21" customWidth="1"/>
    <col min="765" max="765" width="9" style="21" customWidth="1"/>
    <col min="766" max="767" width="9.88671875" style="21" customWidth="1"/>
    <col min="768" max="768" width="11.109375" style="21" customWidth="1"/>
    <col min="769" max="769" width="2.88671875" style="21" customWidth="1"/>
    <col min="770" max="770" width="3.5546875" style="21" customWidth="1"/>
    <col min="771" max="1015" width="9.109375" style="21"/>
    <col min="1016" max="1016" width="8.6640625" style="21" customWidth="1"/>
    <col min="1017" max="1017" width="9.88671875" style="21" customWidth="1"/>
    <col min="1018" max="1018" width="14.44140625" style="21" customWidth="1"/>
    <col min="1019" max="1019" width="7.33203125" style="21" customWidth="1"/>
    <col min="1020" max="1020" width="5.5546875" style="21" customWidth="1"/>
    <col min="1021" max="1021" width="9" style="21" customWidth="1"/>
    <col min="1022" max="1023" width="9.88671875" style="21" customWidth="1"/>
    <col min="1024" max="1024" width="11.109375" style="21" customWidth="1"/>
    <col min="1025" max="1025" width="2.88671875" style="21" customWidth="1"/>
    <col min="1026" max="1026" width="3.5546875" style="21" customWidth="1"/>
    <col min="1027" max="1271" width="9.109375" style="21"/>
    <col min="1272" max="1272" width="8.6640625" style="21" customWidth="1"/>
    <col min="1273" max="1273" width="9.88671875" style="21" customWidth="1"/>
    <col min="1274" max="1274" width="14.44140625" style="21" customWidth="1"/>
    <col min="1275" max="1275" width="7.33203125" style="21" customWidth="1"/>
    <col min="1276" max="1276" width="5.5546875" style="21" customWidth="1"/>
    <col min="1277" max="1277" width="9" style="21" customWidth="1"/>
    <col min="1278" max="1279" width="9.88671875" style="21" customWidth="1"/>
    <col min="1280" max="1280" width="11.109375" style="21" customWidth="1"/>
    <col min="1281" max="1281" width="2.88671875" style="21" customWidth="1"/>
    <col min="1282" max="1282" width="3.5546875" style="21" customWidth="1"/>
    <col min="1283" max="1527" width="9.109375" style="21"/>
    <col min="1528" max="1528" width="8.6640625" style="21" customWidth="1"/>
    <col min="1529" max="1529" width="9.88671875" style="21" customWidth="1"/>
    <col min="1530" max="1530" width="14.44140625" style="21" customWidth="1"/>
    <col min="1531" max="1531" width="7.33203125" style="21" customWidth="1"/>
    <col min="1532" max="1532" width="5.5546875" style="21" customWidth="1"/>
    <col min="1533" max="1533" width="9" style="21" customWidth="1"/>
    <col min="1534" max="1535" width="9.88671875" style="21" customWidth="1"/>
    <col min="1536" max="1536" width="11.109375" style="21" customWidth="1"/>
    <col min="1537" max="1537" width="2.88671875" style="21" customWidth="1"/>
    <col min="1538" max="1538" width="3.5546875" style="21" customWidth="1"/>
    <col min="1539" max="1783" width="9.109375" style="21"/>
    <col min="1784" max="1784" width="8.6640625" style="21" customWidth="1"/>
    <col min="1785" max="1785" width="9.88671875" style="21" customWidth="1"/>
    <col min="1786" max="1786" width="14.44140625" style="21" customWidth="1"/>
    <col min="1787" max="1787" width="7.33203125" style="21" customWidth="1"/>
    <col min="1788" max="1788" width="5.5546875" style="21" customWidth="1"/>
    <col min="1789" max="1789" width="9" style="21" customWidth="1"/>
    <col min="1790" max="1791" width="9.88671875" style="21" customWidth="1"/>
    <col min="1792" max="1792" width="11.109375" style="21" customWidth="1"/>
    <col min="1793" max="1793" width="2.88671875" style="21" customWidth="1"/>
    <col min="1794" max="1794" width="3.5546875" style="21" customWidth="1"/>
    <col min="1795" max="2039" width="9.109375" style="21"/>
    <col min="2040" max="2040" width="8.6640625" style="21" customWidth="1"/>
    <col min="2041" max="2041" width="9.88671875" style="21" customWidth="1"/>
    <col min="2042" max="2042" width="14.44140625" style="21" customWidth="1"/>
    <col min="2043" max="2043" width="7.33203125" style="21" customWidth="1"/>
    <col min="2044" max="2044" width="5.5546875" style="21" customWidth="1"/>
    <col min="2045" max="2045" width="9" style="21" customWidth="1"/>
    <col min="2046" max="2047" width="9.88671875" style="21" customWidth="1"/>
    <col min="2048" max="2048" width="11.109375" style="21" customWidth="1"/>
    <col min="2049" max="2049" width="2.88671875" style="21" customWidth="1"/>
    <col min="2050" max="2050" width="3.5546875" style="21" customWidth="1"/>
    <col min="2051" max="2295" width="9.109375" style="21"/>
    <col min="2296" max="2296" width="8.6640625" style="21" customWidth="1"/>
    <col min="2297" max="2297" width="9.88671875" style="21" customWidth="1"/>
    <col min="2298" max="2298" width="14.44140625" style="21" customWidth="1"/>
    <col min="2299" max="2299" width="7.33203125" style="21" customWidth="1"/>
    <col min="2300" max="2300" width="5.5546875" style="21" customWidth="1"/>
    <col min="2301" max="2301" width="9" style="21" customWidth="1"/>
    <col min="2302" max="2303" width="9.88671875" style="21" customWidth="1"/>
    <col min="2304" max="2304" width="11.109375" style="21" customWidth="1"/>
    <col min="2305" max="2305" width="2.88671875" style="21" customWidth="1"/>
    <col min="2306" max="2306" width="3.5546875" style="21" customWidth="1"/>
    <col min="2307" max="2551" width="9.109375" style="21"/>
    <col min="2552" max="2552" width="8.6640625" style="21" customWidth="1"/>
    <col min="2553" max="2553" width="9.88671875" style="21" customWidth="1"/>
    <col min="2554" max="2554" width="14.44140625" style="21" customWidth="1"/>
    <col min="2555" max="2555" width="7.33203125" style="21" customWidth="1"/>
    <col min="2556" max="2556" width="5.5546875" style="21" customWidth="1"/>
    <col min="2557" max="2557" width="9" style="21" customWidth="1"/>
    <col min="2558" max="2559" width="9.88671875" style="21" customWidth="1"/>
    <col min="2560" max="2560" width="11.109375" style="21" customWidth="1"/>
    <col min="2561" max="2561" width="2.88671875" style="21" customWidth="1"/>
    <col min="2562" max="2562" width="3.5546875" style="21" customWidth="1"/>
    <col min="2563" max="2807" width="9.109375" style="21"/>
    <col min="2808" max="2808" width="8.6640625" style="21" customWidth="1"/>
    <col min="2809" max="2809" width="9.88671875" style="21" customWidth="1"/>
    <col min="2810" max="2810" width="14.44140625" style="21" customWidth="1"/>
    <col min="2811" max="2811" width="7.33203125" style="21" customWidth="1"/>
    <col min="2812" max="2812" width="5.5546875" style="21" customWidth="1"/>
    <col min="2813" max="2813" width="9" style="21" customWidth="1"/>
    <col min="2814" max="2815" width="9.88671875" style="21" customWidth="1"/>
    <col min="2816" max="2816" width="11.109375" style="21" customWidth="1"/>
    <col min="2817" max="2817" width="2.88671875" style="21" customWidth="1"/>
    <col min="2818" max="2818" width="3.5546875" style="21" customWidth="1"/>
    <col min="2819" max="3063" width="9.109375" style="21"/>
    <col min="3064" max="3064" width="8.6640625" style="21" customWidth="1"/>
    <col min="3065" max="3065" width="9.88671875" style="21" customWidth="1"/>
    <col min="3066" max="3066" width="14.44140625" style="21" customWidth="1"/>
    <col min="3067" max="3067" width="7.33203125" style="21" customWidth="1"/>
    <col min="3068" max="3068" width="5.5546875" style="21" customWidth="1"/>
    <col min="3069" max="3069" width="9" style="21" customWidth="1"/>
    <col min="3070" max="3071" width="9.88671875" style="21" customWidth="1"/>
    <col min="3072" max="3072" width="11.109375" style="21" customWidth="1"/>
    <col min="3073" max="3073" width="2.88671875" style="21" customWidth="1"/>
    <col min="3074" max="3074" width="3.5546875" style="21" customWidth="1"/>
    <col min="3075" max="3319" width="9.109375" style="21"/>
    <col min="3320" max="3320" width="8.6640625" style="21" customWidth="1"/>
    <col min="3321" max="3321" width="9.88671875" style="21" customWidth="1"/>
    <col min="3322" max="3322" width="14.44140625" style="21" customWidth="1"/>
    <col min="3323" max="3323" width="7.33203125" style="21" customWidth="1"/>
    <col min="3324" max="3324" width="5.5546875" style="21" customWidth="1"/>
    <col min="3325" max="3325" width="9" style="21" customWidth="1"/>
    <col min="3326" max="3327" width="9.88671875" style="21" customWidth="1"/>
    <col min="3328" max="3328" width="11.109375" style="21" customWidth="1"/>
    <col min="3329" max="3329" width="2.88671875" style="21" customWidth="1"/>
    <col min="3330" max="3330" width="3.5546875" style="21" customWidth="1"/>
    <col min="3331" max="3575" width="9.109375" style="21"/>
    <col min="3576" max="3576" width="8.6640625" style="21" customWidth="1"/>
    <col min="3577" max="3577" width="9.88671875" style="21" customWidth="1"/>
    <col min="3578" max="3578" width="14.44140625" style="21" customWidth="1"/>
    <col min="3579" max="3579" width="7.33203125" style="21" customWidth="1"/>
    <col min="3580" max="3580" width="5.5546875" style="21" customWidth="1"/>
    <col min="3581" max="3581" width="9" style="21" customWidth="1"/>
    <col min="3582" max="3583" width="9.88671875" style="21" customWidth="1"/>
    <col min="3584" max="3584" width="11.109375" style="21" customWidth="1"/>
    <col min="3585" max="3585" width="2.88671875" style="21" customWidth="1"/>
    <col min="3586" max="3586" width="3.5546875" style="21" customWidth="1"/>
    <col min="3587" max="3831" width="9.109375" style="21"/>
    <col min="3832" max="3832" width="8.6640625" style="21" customWidth="1"/>
    <col min="3833" max="3833" width="9.88671875" style="21" customWidth="1"/>
    <col min="3834" max="3834" width="14.44140625" style="21" customWidth="1"/>
    <col min="3835" max="3835" width="7.33203125" style="21" customWidth="1"/>
    <col min="3836" max="3836" width="5.5546875" style="21" customWidth="1"/>
    <col min="3837" max="3837" width="9" style="21" customWidth="1"/>
    <col min="3838" max="3839" width="9.88671875" style="21" customWidth="1"/>
    <col min="3840" max="3840" width="11.109375" style="21" customWidth="1"/>
    <col min="3841" max="3841" width="2.88671875" style="21" customWidth="1"/>
    <col min="3842" max="3842" width="3.5546875" style="21" customWidth="1"/>
    <col min="3843" max="4087" width="9.109375" style="21"/>
    <col min="4088" max="4088" width="8.6640625" style="21" customWidth="1"/>
    <col min="4089" max="4089" width="9.88671875" style="21" customWidth="1"/>
    <col min="4090" max="4090" width="14.44140625" style="21" customWidth="1"/>
    <col min="4091" max="4091" width="7.33203125" style="21" customWidth="1"/>
    <col min="4092" max="4092" width="5.5546875" style="21" customWidth="1"/>
    <col min="4093" max="4093" width="9" style="21" customWidth="1"/>
    <col min="4094" max="4095" width="9.88671875" style="21" customWidth="1"/>
    <col min="4096" max="4096" width="11.109375" style="21" customWidth="1"/>
    <col min="4097" max="4097" width="2.88671875" style="21" customWidth="1"/>
    <col min="4098" max="4098" width="3.5546875" style="21" customWidth="1"/>
    <col min="4099" max="4343" width="9.109375" style="21"/>
    <col min="4344" max="4344" width="8.6640625" style="21" customWidth="1"/>
    <col min="4345" max="4345" width="9.88671875" style="21" customWidth="1"/>
    <col min="4346" max="4346" width="14.44140625" style="21" customWidth="1"/>
    <col min="4347" max="4347" width="7.33203125" style="21" customWidth="1"/>
    <col min="4348" max="4348" width="5.5546875" style="21" customWidth="1"/>
    <col min="4349" max="4349" width="9" style="21" customWidth="1"/>
    <col min="4350" max="4351" width="9.88671875" style="21" customWidth="1"/>
    <col min="4352" max="4352" width="11.109375" style="21" customWidth="1"/>
    <col min="4353" max="4353" width="2.88671875" style="21" customWidth="1"/>
    <col min="4354" max="4354" width="3.5546875" style="21" customWidth="1"/>
    <col min="4355" max="4599" width="9.109375" style="21"/>
    <col min="4600" max="4600" width="8.6640625" style="21" customWidth="1"/>
    <col min="4601" max="4601" width="9.88671875" style="21" customWidth="1"/>
    <col min="4602" max="4602" width="14.44140625" style="21" customWidth="1"/>
    <col min="4603" max="4603" width="7.33203125" style="21" customWidth="1"/>
    <col min="4604" max="4604" width="5.5546875" style="21" customWidth="1"/>
    <col min="4605" max="4605" width="9" style="21" customWidth="1"/>
    <col min="4606" max="4607" width="9.88671875" style="21" customWidth="1"/>
    <col min="4608" max="4608" width="11.109375" style="21" customWidth="1"/>
    <col min="4609" max="4609" width="2.88671875" style="21" customWidth="1"/>
    <col min="4610" max="4610" width="3.5546875" style="21" customWidth="1"/>
    <col min="4611" max="4855" width="9.109375" style="21"/>
    <col min="4856" max="4856" width="8.6640625" style="21" customWidth="1"/>
    <col min="4857" max="4857" width="9.88671875" style="21" customWidth="1"/>
    <col min="4858" max="4858" width="14.44140625" style="21" customWidth="1"/>
    <col min="4859" max="4859" width="7.33203125" style="21" customWidth="1"/>
    <col min="4860" max="4860" width="5.5546875" style="21" customWidth="1"/>
    <col min="4861" max="4861" width="9" style="21" customWidth="1"/>
    <col min="4862" max="4863" width="9.88671875" style="21" customWidth="1"/>
    <col min="4864" max="4864" width="11.109375" style="21" customWidth="1"/>
    <col min="4865" max="4865" width="2.88671875" style="21" customWidth="1"/>
    <col min="4866" max="4866" width="3.5546875" style="21" customWidth="1"/>
    <col min="4867" max="5111" width="9.109375" style="21"/>
    <col min="5112" max="5112" width="8.6640625" style="21" customWidth="1"/>
    <col min="5113" max="5113" width="9.88671875" style="21" customWidth="1"/>
    <col min="5114" max="5114" width="14.44140625" style="21" customWidth="1"/>
    <col min="5115" max="5115" width="7.33203125" style="21" customWidth="1"/>
    <col min="5116" max="5116" width="5.5546875" style="21" customWidth="1"/>
    <col min="5117" max="5117" width="9" style="21" customWidth="1"/>
    <col min="5118" max="5119" width="9.88671875" style="21" customWidth="1"/>
    <col min="5120" max="5120" width="11.109375" style="21" customWidth="1"/>
    <col min="5121" max="5121" width="2.88671875" style="21" customWidth="1"/>
    <col min="5122" max="5122" width="3.5546875" style="21" customWidth="1"/>
    <col min="5123" max="5367" width="9.109375" style="21"/>
    <col min="5368" max="5368" width="8.6640625" style="21" customWidth="1"/>
    <col min="5369" max="5369" width="9.88671875" style="21" customWidth="1"/>
    <col min="5370" max="5370" width="14.44140625" style="21" customWidth="1"/>
    <col min="5371" max="5371" width="7.33203125" style="21" customWidth="1"/>
    <col min="5372" max="5372" width="5.5546875" style="21" customWidth="1"/>
    <col min="5373" max="5373" width="9" style="21" customWidth="1"/>
    <col min="5374" max="5375" width="9.88671875" style="21" customWidth="1"/>
    <col min="5376" max="5376" width="11.109375" style="21" customWidth="1"/>
    <col min="5377" max="5377" width="2.88671875" style="21" customWidth="1"/>
    <col min="5378" max="5378" width="3.5546875" style="21" customWidth="1"/>
    <col min="5379" max="5623" width="9.109375" style="21"/>
    <col min="5624" max="5624" width="8.6640625" style="21" customWidth="1"/>
    <col min="5625" max="5625" width="9.88671875" style="21" customWidth="1"/>
    <col min="5626" max="5626" width="14.44140625" style="21" customWidth="1"/>
    <col min="5627" max="5627" width="7.33203125" style="21" customWidth="1"/>
    <col min="5628" max="5628" width="5.5546875" style="21" customWidth="1"/>
    <col min="5629" max="5629" width="9" style="21" customWidth="1"/>
    <col min="5630" max="5631" width="9.88671875" style="21" customWidth="1"/>
    <col min="5632" max="5632" width="11.109375" style="21" customWidth="1"/>
    <col min="5633" max="5633" width="2.88671875" style="21" customWidth="1"/>
    <col min="5634" max="5634" width="3.5546875" style="21" customWidth="1"/>
    <col min="5635" max="5879" width="9.109375" style="21"/>
    <col min="5880" max="5880" width="8.6640625" style="21" customWidth="1"/>
    <col min="5881" max="5881" width="9.88671875" style="21" customWidth="1"/>
    <col min="5882" max="5882" width="14.44140625" style="21" customWidth="1"/>
    <col min="5883" max="5883" width="7.33203125" style="21" customWidth="1"/>
    <col min="5884" max="5884" width="5.5546875" style="21" customWidth="1"/>
    <col min="5885" max="5885" width="9" style="21" customWidth="1"/>
    <col min="5886" max="5887" width="9.88671875" style="21" customWidth="1"/>
    <col min="5888" max="5888" width="11.109375" style="21" customWidth="1"/>
    <col min="5889" max="5889" width="2.88671875" style="21" customWidth="1"/>
    <col min="5890" max="5890" width="3.5546875" style="21" customWidth="1"/>
    <col min="5891" max="6135" width="9.109375" style="21"/>
    <col min="6136" max="6136" width="8.6640625" style="21" customWidth="1"/>
    <col min="6137" max="6137" width="9.88671875" style="21" customWidth="1"/>
    <col min="6138" max="6138" width="14.44140625" style="21" customWidth="1"/>
    <col min="6139" max="6139" width="7.33203125" style="21" customWidth="1"/>
    <col min="6140" max="6140" width="5.5546875" style="21" customWidth="1"/>
    <col min="6141" max="6141" width="9" style="21" customWidth="1"/>
    <col min="6142" max="6143" width="9.88671875" style="21" customWidth="1"/>
    <col min="6144" max="6144" width="11.109375" style="21" customWidth="1"/>
    <col min="6145" max="6145" width="2.88671875" style="21" customWidth="1"/>
    <col min="6146" max="6146" width="3.5546875" style="21" customWidth="1"/>
    <col min="6147" max="6391" width="9.109375" style="21"/>
    <col min="6392" max="6392" width="8.6640625" style="21" customWidth="1"/>
    <col min="6393" max="6393" width="9.88671875" style="21" customWidth="1"/>
    <col min="6394" max="6394" width="14.44140625" style="21" customWidth="1"/>
    <col min="6395" max="6395" width="7.33203125" style="21" customWidth="1"/>
    <col min="6396" max="6396" width="5.5546875" style="21" customWidth="1"/>
    <col min="6397" max="6397" width="9" style="21" customWidth="1"/>
    <col min="6398" max="6399" width="9.88671875" style="21" customWidth="1"/>
    <col min="6400" max="6400" width="11.109375" style="21" customWidth="1"/>
    <col min="6401" max="6401" width="2.88671875" style="21" customWidth="1"/>
    <col min="6402" max="6402" width="3.5546875" style="21" customWidth="1"/>
    <col min="6403" max="6647" width="9.109375" style="21"/>
    <col min="6648" max="6648" width="8.6640625" style="21" customWidth="1"/>
    <col min="6649" max="6649" width="9.88671875" style="21" customWidth="1"/>
    <col min="6650" max="6650" width="14.44140625" style="21" customWidth="1"/>
    <col min="6651" max="6651" width="7.33203125" style="21" customWidth="1"/>
    <col min="6652" max="6652" width="5.5546875" style="21" customWidth="1"/>
    <col min="6653" max="6653" width="9" style="21" customWidth="1"/>
    <col min="6654" max="6655" width="9.88671875" style="21" customWidth="1"/>
    <col min="6656" max="6656" width="11.109375" style="21" customWidth="1"/>
    <col min="6657" max="6657" width="2.88671875" style="21" customWidth="1"/>
    <col min="6658" max="6658" width="3.5546875" style="21" customWidth="1"/>
    <col min="6659" max="6903" width="9.109375" style="21"/>
    <col min="6904" max="6904" width="8.6640625" style="21" customWidth="1"/>
    <col min="6905" max="6905" width="9.88671875" style="21" customWidth="1"/>
    <col min="6906" max="6906" width="14.44140625" style="21" customWidth="1"/>
    <col min="6907" max="6907" width="7.33203125" style="21" customWidth="1"/>
    <col min="6908" max="6908" width="5.5546875" style="21" customWidth="1"/>
    <col min="6909" max="6909" width="9" style="21" customWidth="1"/>
    <col min="6910" max="6911" width="9.88671875" style="21" customWidth="1"/>
    <col min="6912" max="6912" width="11.109375" style="21" customWidth="1"/>
    <col min="6913" max="6913" width="2.88671875" style="21" customWidth="1"/>
    <col min="6914" max="6914" width="3.5546875" style="21" customWidth="1"/>
    <col min="6915" max="7159" width="9.109375" style="21"/>
    <col min="7160" max="7160" width="8.6640625" style="21" customWidth="1"/>
    <col min="7161" max="7161" width="9.88671875" style="21" customWidth="1"/>
    <col min="7162" max="7162" width="14.44140625" style="21" customWidth="1"/>
    <col min="7163" max="7163" width="7.33203125" style="21" customWidth="1"/>
    <col min="7164" max="7164" width="5.5546875" style="21" customWidth="1"/>
    <col min="7165" max="7165" width="9" style="21" customWidth="1"/>
    <col min="7166" max="7167" width="9.88671875" style="21" customWidth="1"/>
    <col min="7168" max="7168" width="11.109375" style="21" customWidth="1"/>
    <col min="7169" max="7169" width="2.88671875" style="21" customWidth="1"/>
    <col min="7170" max="7170" width="3.5546875" style="21" customWidth="1"/>
    <col min="7171" max="7415" width="9.109375" style="21"/>
    <col min="7416" max="7416" width="8.6640625" style="21" customWidth="1"/>
    <col min="7417" max="7417" width="9.88671875" style="21" customWidth="1"/>
    <col min="7418" max="7418" width="14.44140625" style="21" customWidth="1"/>
    <col min="7419" max="7419" width="7.33203125" style="21" customWidth="1"/>
    <col min="7420" max="7420" width="5.5546875" style="21" customWidth="1"/>
    <col min="7421" max="7421" width="9" style="21" customWidth="1"/>
    <col min="7422" max="7423" width="9.88671875" style="21" customWidth="1"/>
    <col min="7424" max="7424" width="11.109375" style="21" customWidth="1"/>
    <col min="7425" max="7425" width="2.88671875" style="21" customWidth="1"/>
    <col min="7426" max="7426" width="3.5546875" style="21" customWidth="1"/>
    <col min="7427" max="7671" width="9.109375" style="21"/>
    <col min="7672" max="7672" width="8.6640625" style="21" customWidth="1"/>
    <col min="7673" max="7673" width="9.88671875" style="21" customWidth="1"/>
    <col min="7674" max="7674" width="14.44140625" style="21" customWidth="1"/>
    <col min="7675" max="7675" width="7.33203125" style="21" customWidth="1"/>
    <col min="7676" max="7676" width="5.5546875" style="21" customWidth="1"/>
    <col min="7677" max="7677" width="9" style="21" customWidth="1"/>
    <col min="7678" max="7679" width="9.88671875" style="21" customWidth="1"/>
    <col min="7680" max="7680" width="11.109375" style="21" customWidth="1"/>
    <col min="7681" max="7681" width="2.88671875" style="21" customWidth="1"/>
    <col min="7682" max="7682" width="3.5546875" style="21" customWidth="1"/>
    <col min="7683" max="7927" width="9.109375" style="21"/>
    <col min="7928" max="7928" width="8.6640625" style="21" customWidth="1"/>
    <col min="7929" max="7929" width="9.88671875" style="21" customWidth="1"/>
    <col min="7930" max="7930" width="14.44140625" style="21" customWidth="1"/>
    <col min="7931" max="7931" width="7.33203125" style="21" customWidth="1"/>
    <col min="7932" max="7932" width="5.5546875" style="21" customWidth="1"/>
    <col min="7933" max="7933" width="9" style="21" customWidth="1"/>
    <col min="7934" max="7935" width="9.88671875" style="21" customWidth="1"/>
    <col min="7936" max="7936" width="11.109375" style="21" customWidth="1"/>
    <col min="7937" max="7937" width="2.88671875" style="21" customWidth="1"/>
    <col min="7938" max="7938" width="3.5546875" style="21" customWidth="1"/>
    <col min="7939" max="8183" width="9.109375" style="21"/>
    <col min="8184" max="8184" width="8.6640625" style="21" customWidth="1"/>
    <col min="8185" max="8185" width="9.88671875" style="21" customWidth="1"/>
    <col min="8186" max="8186" width="14.44140625" style="21" customWidth="1"/>
    <col min="8187" max="8187" width="7.33203125" style="21" customWidth="1"/>
    <col min="8188" max="8188" width="5.5546875" style="21" customWidth="1"/>
    <col min="8189" max="8189" width="9" style="21" customWidth="1"/>
    <col min="8190" max="8191" width="9.88671875" style="21" customWidth="1"/>
    <col min="8192" max="8192" width="11.109375" style="21" customWidth="1"/>
    <col min="8193" max="8193" width="2.88671875" style="21" customWidth="1"/>
    <col min="8194" max="8194" width="3.5546875" style="21" customWidth="1"/>
    <col min="8195" max="8439" width="9.109375" style="21"/>
    <col min="8440" max="8440" width="8.6640625" style="21" customWidth="1"/>
    <col min="8441" max="8441" width="9.88671875" style="21" customWidth="1"/>
    <col min="8442" max="8442" width="14.44140625" style="21" customWidth="1"/>
    <col min="8443" max="8443" width="7.33203125" style="21" customWidth="1"/>
    <col min="8444" max="8444" width="5.5546875" style="21" customWidth="1"/>
    <col min="8445" max="8445" width="9" style="21" customWidth="1"/>
    <col min="8446" max="8447" width="9.88671875" style="21" customWidth="1"/>
    <col min="8448" max="8448" width="11.109375" style="21" customWidth="1"/>
    <col min="8449" max="8449" width="2.88671875" style="21" customWidth="1"/>
    <col min="8450" max="8450" width="3.5546875" style="21" customWidth="1"/>
    <col min="8451" max="8695" width="9.109375" style="21"/>
    <col min="8696" max="8696" width="8.6640625" style="21" customWidth="1"/>
    <col min="8697" max="8697" width="9.88671875" style="21" customWidth="1"/>
    <col min="8698" max="8698" width="14.44140625" style="21" customWidth="1"/>
    <col min="8699" max="8699" width="7.33203125" style="21" customWidth="1"/>
    <col min="8700" max="8700" width="5.5546875" style="21" customWidth="1"/>
    <col min="8701" max="8701" width="9" style="21" customWidth="1"/>
    <col min="8702" max="8703" width="9.88671875" style="21" customWidth="1"/>
    <col min="8704" max="8704" width="11.109375" style="21" customWidth="1"/>
    <col min="8705" max="8705" width="2.88671875" style="21" customWidth="1"/>
    <col min="8706" max="8706" width="3.5546875" style="21" customWidth="1"/>
    <col min="8707" max="8951" width="9.109375" style="21"/>
    <col min="8952" max="8952" width="8.6640625" style="21" customWidth="1"/>
    <col min="8953" max="8953" width="9.88671875" style="21" customWidth="1"/>
    <col min="8954" max="8954" width="14.44140625" style="21" customWidth="1"/>
    <col min="8955" max="8955" width="7.33203125" style="21" customWidth="1"/>
    <col min="8956" max="8956" width="5.5546875" style="21" customWidth="1"/>
    <col min="8957" max="8957" width="9" style="21" customWidth="1"/>
    <col min="8958" max="8959" width="9.88671875" style="21" customWidth="1"/>
    <col min="8960" max="8960" width="11.109375" style="21" customWidth="1"/>
    <col min="8961" max="8961" width="2.88671875" style="21" customWidth="1"/>
    <col min="8962" max="8962" width="3.5546875" style="21" customWidth="1"/>
    <col min="8963" max="9207" width="9.109375" style="21"/>
    <col min="9208" max="9208" width="8.6640625" style="21" customWidth="1"/>
    <col min="9209" max="9209" width="9.88671875" style="21" customWidth="1"/>
    <col min="9210" max="9210" width="14.44140625" style="21" customWidth="1"/>
    <col min="9211" max="9211" width="7.33203125" style="21" customWidth="1"/>
    <col min="9212" max="9212" width="5.5546875" style="21" customWidth="1"/>
    <col min="9213" max="9213" width="9" style="21" customWidth="1"/>
    <col min="9214" max="9215" width="9.88671875" style="21" customWidth="1"/>
    <col min="9216" max="9216" width="11.109375" style="21" customWidth="1"/>
    <col min="9217" max="9217" width="2.88671875" style="21" customWidth="1"/>
    <col min="9218" max="9218" width="3.5546875" style="21" customWidth="1"/>
    <col min="9219" max="9463" width="9.109375" style="21"/>
    <col min="9464" max="9464" width="8.6640625" style="21" customWidth="1"/>
    <col min="9465" max="9465" width="9.88671875" style="21" customWidth="1"/>
    <col min="9466" max="9466" width="14.44140625" style="21" customWidth="1"/>
    <col min="9467" max="9467" width="7.33203125" style="21" customWidth="1"/>
    <col min="9468" max="9468" width="5.5546875" style="21" customWidth="1"/>
    <col min="9469" max="9469" width="9" style="21" customWidth="1"/>
    <col min="9470" max="9471" width="9.88671875" style="21" customWidth="1"/>
    <col min="9472" max="9472" width="11.109375" style="21" customWidth="1"/>
    <col min="9473" max="9473" width="2.88671875" style="21" customWidth="1"/>
    <col min="9474" max="9474" width="3.5546875" style="21" customWidth="1"/>
    <col min="9475" max="9719" width="9.109375" style="21"/>
    <col min="9720" max="9720" width="8.6640625" style="21" customWidth="1"/>
    <col min="9721" max="9721" width="9.88671875" style="21" customWidth="1"/>
    <col min="9722" max="9722" width="14.44140625" style="21" customWidth="1"/>
    <col min="9723" max="9723" width="7.33203125" style="21" customWidth="1"/>
    <col min="9724" max="9724" width="5.5546875" style="21" customWidth="1"/>
    <col min="9725" max="9725" width="9" style="21" customWidth="1"/>
    <col min="9726" max="9727" width="9.88671875" style="21" customWidth="1"/>
    <col min="9728" max="9728" width="11.109375" style="21" customWidth="1"/>
    <col min="9729" max="9729" width="2.88671875" style="21" customWidth="1"/>
    <col min="9730" max="9730" width="3.5546875" style="21" customWidth="1"/>
    <col min="9731" max="9975" width="9.109375" style="21"/>
    <col min="9976" max="9976" width="8.6640625" style="21" customWidth="1"/>
    <col min="9977" max="9977" width="9.88671875" style="21" customWidth="1"/>
    <col min="9978" max="9978" width="14.44140625" style="21" customWidth="1"/>
    <col min="9979" max="9979" width="7.33203125" style="21" customWidth="1"/>
    <col min="9980" max="9980" width="5.5546875" style="21" customWidth="1"/>
    <col min="9981" max="9981" width="9" style="21" customWidth="1"/>
    <col min="9982" max="9983" width="9.88671875" style="21" customWidth="1"/>
    <col min="9984" max="9984" width="11.109375" style="21" customWidth="1"/>
    <col min="9985" max="9985" width="2.88671875" style="21" customWidth="1"/>
    <col min="9986" max="9986" width="3.5546875" style="21" customWidth="1"/>
    <col min="9987" max="10231" width="9.109375" style="21"/>
    <col min="10232" max="10232" width="8.6640625" style="21" customWidth="1"/>
    <col min="10233" max="10233" width="9.88671875" style="21" customWidth="1"/>
    <col min="10234" max="10234" width="14.44140625" style="21" customWidth="1"/>
    <col min="10235" max="10235" width="7.33203125" style="21" customWidth="1"/>
    <col min="10236" max="10236" width="5.5546875" style="21" customWidth="1"/>
    <col min="10237" max="10237" width="9" style="21" customWidth="1"/>
    <col min="10238" max="10239" width="9.88671875" style="21" customWidth="1"/>
    <col min="10240" max="10240" width="11.109375" style="21" customWidth="1"/>
    <col min="10241" max="10241" width="2.88671875" style="21" customWidth="1"/>
    <col min="10242" max="10242" width="3.5546875" style="21" customWidth="1"/>
    <col min="10243" max="10487" width="9.109375" style="21"/>
    <col min="10488" max="10488" width="8.6640625" style="21" customWidth="1"/>
    <col min="10489" max="10489" width="9.88671875" style="21" customWidth="1"/>
    <col min="10490" max="10490" width="14.44140625" style="21" customWidth="1"/>
    <col min="10491" max="10491" width="7.33203125" style="21" customWidth="1"/>
    <col min="10492" max="10492" width="5.5546875" style="21" customWidth="1"/>
    <col min="10493" max="10493" width="9" style="21" customWidth="1"/>
    <col min="10494" max="10495" width="9.88671875" style="21" customWidth="1"/>
    <col min="10496" max="10496" width="11.109375" style="21" customWidth="1"/>
    <col min="10497" max="10497" width="2.88671875" style="21" customWidth="1"/>
    <col min="10498" max="10498" width="3.5546875" style="21" customWidth="1"/>
    <col min="10499" max="10743" width="9.109375" style="21"/>
    <col min="10744" max="10744" width="8.6640625" style="21" customWidth="1"/>
    <col min="10745" max="10745" width="9.88671875" style="21" customWidth="1"/>
    <col min="10746" max="10746" width="14.44140625" style="21" customWidth="1"/>
    <col min="10747" max="10747" width="7.33203125" style="21" customWidth="1"/>
    <col min="10748" max="10748" width="5.5546875" style="21" customWidth="1"/>
    <col min="10749" max="10749" width="9" style="21" customWidth="1"/>
    <col min="10750" max="10751" width="9.88671875" style="21" customWidth="1"/>
    <col min="10752" max="10752" width="11.109375" style="21" customWidth="1"/>
    <col min="10753" max="10753" width="2.88671875" style="21" customWidth="1"/>
    <col min="10754" max="10754" width="3.5546875" style="21" customWidth="1"/>
    <col min="10755" max="10999" width="9.109375" style="21"/>
    <col min="11000" max="11000" width="8.6640625" style="21" customWidth="1"/>
    <col min="11001" max="11001" width="9.88671875" style="21" customWidth="1"/>
    <col min="11002" max="11002" width="14.44140625" style="21" customWidth="1"/>
    <col min="11003" max="11003" width="7.33203125" style="21" customWidth="1"/>
    <col min="11004" max="11004" width="5.5546875" style="21" customWidth="1"/>
    <col min="11005" max="11005" width="9" style="21" customWidth="1"/>
    <col min="11006" max="11007" width="9.88671875" style="21" customWidth="1"/>
    <col min="11008" max="11008" width="11.109375" style="21" customWidth="1"/>
    <col min="11009" max="11009" width="2.88671875" style="21" customWidth="1"/>
    <col min="11010" max="11010" width="3.5546875" style="21" customWidth="1"/>
    <col min="11011" max="11255" width="9.109375" style="21"/>
    <col min="11256" max="11256" width="8.6640625" style="21" customWidth="1"/>
    <col min="11257" max="11257" width="9.88671875" style="21" customWidth="1"/>
    <col min="11258" max="11258" width="14.44140625" style="21" customWidth="1"/>
    <col min="11259" max="11259" width="7.33203125" style="21" customWidth="1"/>
    <col min="11260" max="11260" width="5.5546875" style="21" customWidth="1"/>
    <col min="11261" max="11261" width="9" style="21" customWidth="1"/>
    <col min="11262" max="11263" width="9.88671875" style="21" customWidth="1"/>
    <col min="11264" max="11264" width="11.109375" style="21" customWidth="1"/>
    <col min="11265" max="11265" width="2.88671875" style="21" customWidth="1"/>
    <col min="11266" max="11266" width="3.5546875" style="21" customWidth="1"/>
    <col min="11267" max="11511" width="9.109375" style="21"/>
    <col min="11512" max="11512" width="8.6640625" style="21" customWidth="1"/>
    <col min="11513" max="11513" width="9.88671875" style="21" customWidth="1"/>
    <col min="11514" max="11514" width="14.44140625" style="21" customWidth="1"/>
    <col min="11515" max="11515" width="7.33203125" style="21" customWidth="1"/>
    <col min="11516" max="11516" width="5.5546875" style="21" customWidth="1"/>
    <col min="11517" max="11517" width="9" style="21" customWidth="1"/>
    <col min="11518" max="11519" width="9.88671875" style="21" customWidth="1"/>
    <col min="11520" max="11520" width="11.109375" style="21" customWidth="1"/>
    <col min="11521" max="11521" width="2.88671875" style="21" customWidth="1"/>
    <col min="11522" max="11522" width="3.5546875" style="21" customWidth="1"/>
    <col min="11523" max="11767" width="9.109375" style="21"/>
    <col min="11768" max="11768" width="8.6640625" style="21" customWidth="1"/>
    <col min="11769" max="11769" width="9.88671875" style="21" customWidth="1"/>
    <col min="11770" max="11770" width="14.44140625" style="21" customWidth="1"/>
    <col min="11771" max="11771" width="7.33203125" style="21" customWidth="1"/>
    <col min="11772" max="11772" width="5.5546875" style="21" customWidth="1"/>
    <col min="11773" max="11773" width="9" style="21" customWidth="1"/>
    <col min="11774" max="11775" width="9.88671875" style="21" customWidth="1"/>
    <col min="11776" max="11776" width="11.109375" style="21" customWidth="1"/>
    <col min="11777" max="11777" width="2.88671875" style="21" customWidth="1"/>
    <col min="11778" max="11778" width="3.5546875" style="21" customWidth="1"/>
    <col min="11779" max="12023" width="9.109375" style="21"/>
    <col min="12024" max="12024" width="8.6640625" style="21" customWidth="1"/>
    <col min="12025" max="12025" width="9.88671875" style="21" customWidth="1"/>
    <col min="12026" max="12026" width="14.44140625" style="21" customWidth="1"/>
    <col min="12027" max="12027" width="7.33203125" style="21" customWidth="1"/>
    <col min="12028" max="12028" width="5.5546875" style="21" customWidth="1"/>
    <col min="12029" max="12029" width="9" style="21" customWidth="1"/>
    <col min="12030" max="12031" width="9.88671875" style="21" customWidth="1"/>
    <col min="12032" max="12032" width="11.109375" style="21" customWidth="1"/>
    <col min="12033" max="12033" width="2.88671875" style="21" customWidth="1"/>
    <col min="12034" max="12034" width="3.5546875" style="21" customWidth="1"/>
    <col min="12035" max="12279" width="9.109375" style="21"/>
    <col min="12280" max="12280" width="8.6640625" style="21" customWidth="1"/>
    <col min="12281" max="12281" width="9.88671875" style="21" customWidth="1"/>
    <col min="12282" max="12282" width="14.44140625" style="21" customWidth="1"/>
    <col min="12283" max="12283" width="7.33203125" style="21" customWidth="1"/>
    <col min="12284" max="12284" width="5.5546875" style="21" customWidth="1"/>
    <col min="12285" max="12285" width="9" style="21" customWidth="1"/>
    <col min="12286" max="12287" width="9.88671875" style="21" customWidth="1"/>
    <col min="12288" max="12288" width="11.109375" style="21" customWidth="1"/>
    <col min="12289" max="12289" width="2.88671875" style="21" customWidth="1"/>
    <col min="12290" max="12290" width="3.5546875" style="21" customWidth="1"/>
    <col min="12291" max="12535" width="9.109375" style="21"/>
    <col min="12536" max="12536" width="8.6640625" style="21" customWidth="1"/>
    <col min="12537" max="12537" width="9.88671875" style="21" customWidth="1"/>
    <col min="12538" max="12538" width="14.44140625" style="21" customWidth="1"/>
    <col min="12539" max="12539" width="7.33203125" style="21" customWidth="1"/>
    <col min="12540" max="12540" width="5.5546875" style="21" customWidth="1"/>
    <col min="12541" max="12541" width="9" style="21" customWidth="1"/>
    <col min="12542" max="12543" width="9.88671875" style="21" customWidth="1"/>
    <col min="12544" max="12544" width="11.109375" style="21" customWidth="1"/>
    <col min="12545" max="12545" width="2.88671875" style="21" customWidth="1"/>
    <col min="12546" max="12546" width="3.5546875" style="21" customWidth="1"/>
    <col min="12547" max="12791" width="9.109375" style="21"/>
    <col min="12792" max="12792" width="8.6640625" style="21" customWidth="1"/>
    <col min="12793" max="12793" width="9.88671875" style="21" customWidth="1"/>
    <col min="12794" max="12794" width="14.44140625" style="21" customWidth="1"/>
    <col min="12795" max="12795" width="7.33203125" style="21" customWidth="1"/>
    <col min="12796" max="12796" width="5.5546875" style="21" customWidth="1"/>
    <col min="12797" max="12797" width="9" style="21" customWidth="1"/>
    <col min="12798" max="12799" width="9.88671875" style="21" customWidth="1"/>
    <col min="12800" max="12800" width="11.109375" style="21" customWidth="1"/>
    <col min="12801" max="12801" width="2.88671875" style="21" customWidth="1"/>
    <col min="12802" max="12802" width="3.5546875" style="21" customWidth="1"/>
    <col min="12803" max="13047" width="9.109375" style="21"/>
    <col min="13048" max="13048" width="8.6640625" style="21" customWidth="1"/>
    <col min="13049" max="13049" width="9.88671875" style="21" customWidth="1"/>
    <col min="13050" max="13050" width="14.44140625" style="21" customWidth="1"/>
    <col min="13051" max="13051" width="7.33203125" style="21" customWidth="1"/>
    <col min="13052" max="13052" width="5.5546875" style="21" customWidth="1"/>
    <col min="13053" max="13053" width="9" style="21" customWidth="1"/>
    <col min="13054" max="13055" width="9.88671875" style="21" customWidth="1"/>
    <col min="13056" max="13056" width="11.109375" style="21" customWidth="1"/>
    <col min="13057" max="13057" width="2.88671875" style="21" customWidth="1"/>
    <col min="13058" max="13058" width="3.5546875" style="21" customWidth="1"/>
    <col min="13059" max="13303" width="9.109375" style="21"/>
    <col min="13304" max="13304" width="8.6640625" style="21" customWidth="1"/>
    <col min="13305" max="13305" width="9.88671875" style="21" customWidth="1"/>
    <col min="13306" max="13306" width="14.44140625" style="21" customWidth="1"/>
    <col min="13307" max="13307" width="7.33203125" style="21" customWidth="1"/>
    <col min="13308" max="13308" width="5.5546875" style="21" customWidth="1"/>
    <col min="13309" max="13309" width="9" style="21" customWidth="1"/>
    <col min="13310" max="13311" width="9.88671875" style="21" customWidth="1"/>
    <col min="13312" max="13312" width="11.109375" style="21" customWidth="1"/>
    <col min="13313" max="13313" width="2.88671875" style="21" customWidth="1"/>
    <col min="13314" max="13314" width="3.5546875" style="21" customWidth="1"/>
    <col min="13315" max="13559" width="9.109375" style="21"/>
    <col min="13560" max="13560" width="8.6640625" style="21" customWidth="1"/>
    <col min="13561" max="13561" width="9.88671875" style="21" customWidth="1"/>
    <col min="13562" max="13562" width="14.44140625" style="21" customWidth="1"/>
    <col min="13563" max="13563" width="7.33203125" style="21" customWidth="1"/>
    <col min="13564" max="13564" width="5.5546875" style="21" customWidth="1"/>
    <col min="13565" max="13565" width="9" style="21" customWidth="1"/>
    <col min="13566" max="13567" width="9.88671875" style="21" customWidth="1"/>
    <col min="13568" max="13568" width="11.109375" style="21" customWidth="1"/>
    <col min="13569" max="13569" width="2.88671875" style="21" customWidth="1"/>
    <col min="13570" max="13570" width="3.5546875" style="21" customWidth="1"/>
    <col min="13571" max="13815" width="9.109375" style="21"/>
    <col min="13816" max="13816" width="8.6640625" style="21" customWidth="1"/>
    <col min="13817" max="13817" width="9.88671875" style="21" customWidth="1"/>
    <col min="13818" max="13818" width="14.44140625" style="21" customWidth="1"/>
    <col min="13819" max="13819" width="7.33203125" style="21" customWidth="1"/>
    <col min="13820" max="13820" width="5.5546875" style="21" customWidth="1"/>
    <col min="13821" max="13821" width="9" style="21" customWidth="1"/>
    <col min="13822" max="13823" width="9.88671875" style="21" customWidth="1"/>
    <col min="13824" max="13824" width="11.109375" style="21" customWidth="1"/>
    <col min="13825" max="13825" width="2.88671875" style="21" customWidth="1"/>
    <col min="13826" max="13826" width="3.5546875" style="21" customWidth="1"/>
    <col min="13827" max="14071" width="9.109375" style="21"/>
    <col min="14072" max="14072" width="8.6640625" style="21" customWidth="1"/>
    <col min="14073" max="14073" width="9.88671875" style="21" customWidth="1"/>
    <col min="14074" max="14074" width="14.44140625" style="21" customWidth="1"/>
    <col min="14075" max="14075" width="7.33203125" style="21" customWidth="1"/>
    <col min="14076" max="14076" width="5.5546875" style="21" customWidth="1"/>
    <col min="14077" max="14077" width="9" style="21" customWidth="1"/>
    <col min="14078" max="14079" width="9.88671875" style="21" customWidth="1"/>
    <col min="14080" max="14080" width="11.109375" style="21" customWidth="1"/>
    <col min="14081" max="14081" width="2.88671875" style="21" customWidth="1"/>
    <col min="14082" max="14082" width="3.5546875" style="21" customWidth="1"/>
    <col min="14083" max="14327" width="9.109375" style="21"/>
    <col min="14328" max="14328" width="8.6640625" style="21" customWidth="1"/>
    <col min="14329" max="14329" width="9.88671875" style="21" customWidth="1"/>
    <col min="14330" max="14330" width="14.44140625" style="21" customWidth="1"/>
    <col min="14331" max="14331" width="7.33203125" style="21" customWidth="1"/>
    <col min="14332" max="14332" width="5.5546875" style="21" customWidth="1"/>
    <col min="14333" max="14333" width="9" style="21" customWidth="1"/>
    <col min="14334" max="14335" width="9.88671875" style="21" customWidth="1"/>
    <col min="14336" max="14336" width="11.109375" style="21" customWidth="1"/>
    <col min="14337" max="14337" width="2.88671875" style="21" customWidth="1"/>
    <col min="14338" max="14338" width="3.5546875" style="21" customWidth="1"/>
    <col min="14339" max="14583" width="9.109375" style="21"/>
    <col min="14584" max="14584" width="8.6640625" style="21" customWidth="1"/>
    <col min="14585" max="14585" width="9.88671875" style="21" customWidth="1"/>
    <col min="14586" max="14586" width="14.44140625" style="21" customWidth="1"/>
    <col min="14587" max="14587" width="7.33203125" style="21" customWidth="1"/>
    <col min="14588" max="14588" width="5.5546875" style="21" customWidth="1"/>
    <col min="14589" max="14589" width="9" style="21" customWidth="1"/>
    <col min="14590" max="14591" width="9.88671875" style="21" customWidth="1"/>
    <col min="14592" max="14592" width="11.109375" style="21" customWidth="1"/>
    <col min="14593" max="14593" width="2.88671875" style="21" customWidth="1"/>
    <col min="14594" max="14594" width="3.5546875" style="21" customWidth="1"/>
    <col min="14595" max="14839" width="9.109375" style="21"/>
    <col min="14840" max="14840" width="8.6640625" style="21" customWidth="1"/>
    <col min="14841" max="14841" width="9.88671875" style="21" customWidth="1"/>
    <col min="14842" max="14842" width="14.44140625" style="21" customWidth="1"/>
    <col min="14843" max="14843" width="7.33203125" style="21" customWidth="1"/>
    <col min="14844" max="14844" width="5.5546875" style="21" customWidth="1"/>
    <col min="14845" max="14845" width="9" style="21" customWidth="1"/>
    <col min="14846" max="14847" width="9.88671875" style="21" customWidth="1"/>
    <col min="14848" max="14848" width="11.109375" style="21" customWidth="1"/>
    <col min="14849" max="14849" width="2.88671875" style="21" customWidth="1"/>
    <col min="14850" max="14850" width="3.5546875" style="21" customWidth="1"/>
    <col min="14851" max="15095" width="9.109375" style="21"/>
    <col min="15096" max="15096" width="8.6640625" style="21" customWidth="1"/>
    <col min="15097" max="15097" width="9.88671875" style="21" customWidth="1"/>
    <col min="15098" max="15098" width="14.44140625" style="21" customWidth="1"/>
    <col min="15099" max="15099" width="7.33203125" style="21" customWidth="1"/>
    <col min="15100" max="15100" width="5.5546875" style="21" customWidth="1"/>
    <col min="15101" max="15101" width="9" style="21" customWidth="1"/>
    <col min="15102" max="15103" width="9.88671875" style="21" customWidth="1"/>
    <col min="15104" max="15104" width="11.109375" style="21" customWidth="1"/>
    <col min="15105" max="15105" width="2.88671875" style="21" customWidth="1"/>
    <col min="15106" max="15106" width="3.5546875" style="21" customWidth="1"/>
    <col min="15107" max="15351" width="9.109375" style="21"/>
    <col min="15352" max="15352" width="8.6640625" style="21" customWidth="1"/>
    <col min="15353" max="15353" width="9.88671875" style="21" customWidth="1"/>
    <col min="15354" max="15354" width="14.44140625" style="21" customWidth="1"/>
    <col min="15355" max="15355" width="7.33203125" style="21" customWidth="1"/>
    <col min="15356" max="15356" width="5.5546875" style="21" customWidth="1"/>
    <col min="15357" max="15357" width="9" style="21" customWidth="1"/>
    <col min="15358" max="15359" width="9.88671875" style="21" customWidth="1"/>
    <col min="15360" max="15360" width="11.109375" style="21" customWidth="1"/>
    <col min="15361" max="15361" width="2.88671875" style="21" customWidth="1"/>
    <col min="15362" max="15362" width="3.5546875" style="21" customWidth="1"/>
    <col min="15363" max="15607" width="9.109375" style="21"/>
    <col min="15608" max="15608" width="8.6640625" style="21" customWidth="1"/>
    <col min="15609" max="15609" width="9.88671875" style="21" customWidth="1"/>
    <col min="15610" max="15610" width="14.44140625" style="21" customWidth="1"/>
    <col min="15611" max="15611" width="7.33203125" style="21" customWidth="1"/>
    <col min="15612" max="15612" width="5.5546875" style="21" customWidth="1"/>
    <col min="15613" max="15613" width="9" style="21" customWidth="1"/>
    <col min="15614" max="15615" width="9.88671875" style="21" customWidth="1"/>
    <col min="15616" max="15616" width="11.109375" style="21" customWidth="1"/>
    <col min="15617" max="15617" width="2.88671875" style="21" customWidth="1"/>
    <col min="15618" max="15618" width="3.5546875" style="21" customWidth="1"/>
    <col min="15619" max="15863" width="9.109375" style="21"/>
    <col min="15864" max="15864" width="8.6640625" style="21" customWidth="1"/>
    <col min="15865" max="15865" width="9.88671875" style="21" customWidth="1"/>
    <col min="15866" max="15866" width="14.44140625" style="21" customWidth="1"/>
    <col min="15867" max="15867" width="7.33203125" style="21" customWidth="1"/>
    <col min="15868" max="15868" width="5.5546875" style="21" customWidth="1"/>
    <col min="15869" max="15869" width="9" style="21" customWidth="1"/>
    <col min="15870" max="15871" width="9.88671875" style="21" customWidth="1"/>
    <col min="15872" max="15872" width="11.109375" style="21" customWidth="1"/>
    <col min="15873" max="15873" width="2.88671875" style="21" customWidth="1"/>
    <col min="15874" max="15874" width="3.5546875" style="21" customWidth="1"/>
    <col min="15875" max="16119" width="9.109375" style="21"/>
    <col min="16120" max="16120" width="8.6640625" style="21" customWidth="1"/>
    <col min="16121" max="16121" width="9.88671875" style="21" customWidth="1"/>
    <col min="16122" max="16122" width="14.44140625" style="21" customWidth="1"/>
    <col min="16123" max="16123" width="7.33203125" style="21" customWidth="1"/>
    <col min="16124" max="16124" width="5.5546875" style="21" customWidth="1"/>
    <col min="16125" max="16125" width="9" style="21" customWidth="1"/>
    <col min="16126" max="16127" width="9.88671875" style="21" customWidth="1"/>
    <col min="16128" max="16128" width="11.109375" style="21" customWidth="1"/>
    <col min="16129" max="16129" width="2.88671875" style="21" customWidth="1"/>
    <col min="16130" max="16130" width="3.5546875" style="21" customWidth="1"/>
    <col min="16131" max="16384" width="9.109375" style="21"/>
  </cols>
  <sheetData>
    <row r="1" spans="1:26" ht="46.5" customHeight="1" x14ac:dyDescent="0.3">
      <c r="A1" s="206" t="s">
        <v>160</v>
      </c>
      <c r="B1" s="206"/>
      <c r="C1" s="206"/>
      <c r="D1" s="206"/>
      <c r="E1" s="206"/>
      <c r="F1" s="206"/>
      <c r="G1" s="206"/>
      <c r="H1" s="206"/>
    </row>
    <row r="2" spans="1:26" ht="16.5" customHeight="1" x14ac:dyDescent="0.3">
      <c r="A2" s="123" t="s">
        <v>0</v>
      </c>
      <c r="B2" s="123"/>
      <c r="C2" s="123"/>
      <c r="D2" s="123"/>
      <c r="E2" s="123"/>
      <c r="F2" s="123"/>
      <c r="G2" s="123"/>
      <c r="H2" s="123"/>
    </row>
    <row r="3" spans="1:26" x14ac:dyDescent="0.3">
      <c r="A3" s="164" t="s">
        <v>1</v>
      </c>
      <c r="B3" s="164"/>
      <c r="C3" s="164"/>
      <c r="D3" s="164"/>
      <c r="E3" s="164" t="str">
        <f ca="1">TEXT(TODAY(),"DD/MM/YYYY")</f>
        <v>12/09/2025</v>
      </c>
      <c r="F3" s="164"/>
      <c r="G3" s="164"/>
      <c r="H3" s="164"/>
      <c r="K3" s="58" t="s">
        <v>232</v>
      </c>
      <c r="L3" s="55" t="s">
        <v>230</v>
      </c>
      <c r="M3" s="55" t="s">
        <v>235</v>
      </c>
      <c r="N3" s="55" t="s">
        <v>233</v>
      </c>
      <c r="O3" s="55" t="s">
        <v>234</v>
      </c>
      <c r="P3" s="55" t="s">
        <v>236</v>
      </c>
    </row>
    <row r="4" spans="1:26" ht="15" customHeight="1" x14ac:dyDescent="0.3">
      <c r="A4" s="164" t="s">
        <v>229</v>
      </c>
      <c r="B4" s="164"/>
      <c r="C4" s="164"/>
      <c r="D4" s="164"/>
      <c r="E4" s="164" t="s">
        <v>230</v>
      </c>
      <c r="F4" s="164"/>
      <c r="G4" s="164"/>
      <c r="H4" s="164"/>
      <c r="K4" s="54" t="s">
        <v>231</v>
      </c>
      <c r="L4" s="55" t="s">
        <v>167</v>
      </c>
      <c r="M4" s="55" t="s">
        <v>240</v>
      </c>
      <c r="N4" s="55" t="s">
        <v>242</v>
      </c>
      <c r="O4" s="55" t="s">
        <v>244</v>
      </c>
      <c r="P4" s="55"/>
    </row>
    <row r="5" spans="1:26" ht="15" customHeight="1" x14ac:dyDescent="0.3">
      <c r="A5" s="164" t="s">
        <v>2</v>
      </c>
      <c r="B5" s="164"/>
      <c r="C5" s="164"/>
      <c r="D5" s="164"/>
      <c r="E5" s="164" t="s">
        <v>167</v>
      </c>
      <c r="F5" s="164"/>
      <c r="G5" s="164"/>
      <c r="H5" s="164"/>
      <c r="K5" s="54"/>
      <c r="L5" s="55" t="s">
        <v>237</v>
      </c>
      <c r="M5" s="55" t="s">
        <v>241</v>
      </c>
      <c r="N5" s="55" t="s">
        <v>243</v>
      </c>
      <c r="O5" s="55" t="s">
        <v>245</v>
      </c>
      <c r="P5" s="55"/>
    </row>
    <row r="6" spans="1:26" x14ac:dyDescent="0.3">
      <c r="A6" s="164" t="s">
        <v>3</v>
      </c>
      <c r="B6" s="164"/>
      <c r="C6" s="164"/>
      <c r="D6" s="164"/>
      <c r="E6" s="207">
        <v>45909</v>
      </c>
      <c r="F6" s="164"/>
      <c r="G6" s="164"/>
      <c r="H6" s="164"/>
      <c r="K6" s="54"/>
      <c r="L6" s="55" t="s">
        <v>238</v>
      </c>
      <c r="M6" s="55"/>
      <c r="N6" s="55"/>
      <c r="O6" s="55" t="s">
        <v>246</v>
      </c>
      <c r="P6" s="55"/>
    </row>
    <row r="7" spans="1:26" ht="16.5" customHeight="1" x14ac:dyDescent="0.3">
      <c r="A7" s="164" t="s">
        <v>4</v>
      </c>
      <c r="B7" s="164"/>
      <c r="C7" s="164"/>
      <c r="D7" s="164"/>
      <c r="E7" s="164" t="s">
        <v>296</v>
      </c>
      <c r="F7" s="164"/>
      <c r="G7" s="164"/>
      <c r="H7" s="164"/>
      <c r="K7" s="54"/>
      <c r="L7" s="55" t="s">
        <v>239</v>
      </c>
      <c r="M7" s="55"/>
      <c r="N7" s="55"/>
      <c r="O7" s="55" t="s">
        <v>246</v>
      </c>
      <c r="P7" s="55"/>
    </row>
    <row r="8" spans="1:26" ht="15" customHeight="1" x14ac:dyDescent="0.3">
      <c r="A8" s="164" t="s">
        <v>5</v>
      </c>
      <c r="B8" s="164"/>
      <c r="C8" s="164"/>
      <c r="D8" s="164"/>
      <c r="E8" s="164" t="str">
        <f>E7</f>
        <v>Godrej Properties Limited</v>
      </c>
      <c r="F8" s="164"/>
      <c r="G8" s="164"/>
      <c r="H8" s="164"/>
      <c r="K8" s="54"/>
      <c r="L8" s="55"/>
      <c r="M8" s="55"/>
      <c r="N8" s="55"/>
      <c r="O8" s="55" t="s">
        <v>247</v>
      </c>
      <c r="P8" s="55"/>
    </row>
    <row r="9" spans="1:26" x14ac:dyDescent="0.3">
      <c r="A9" s="164" t="s">
        <v>6</v>
      </c>
      <c r="B9" s="164"/>
      <c r="C9" s="164"/>
      <c r="D9" s="164"/>
      <c r="E9" s="130" t="s">
        <v>406</v>
      </c>
      <c r="F9" s="130"/>
      <c r="G9" s="130"/>
      <c r="H9" s="130"/>
      <c r="K9" s="54"/>
      <c r="L9" s="55"/>
      <c r="M9" s="55"/>
      <c r="N9" s="55"/>
      <c r="O9" s="55" t="s">
        <v>248</v>
      </c>
      <c r="P9" s="55"/>
    </row>
    <row r="10" spans="1:26" x14ac:dyDescent="0.3">
      <c r="A10" s="164" t="s">
        <v>163</v>
      </c>
      <c r="B10" s="164"/>
      <c r="C10" s="164"/>
      <c r="D10" s="164"/>
      <c r="E10" s="164" t="s">
        <v>315</v>
      </c>
      <c r="F10" s="164"/>
      <c r="G10" s="164"/>
      <c r="H10" s="164"/>
      <c r="K10" s="54"/>
      <c r="L10" s="55"/>
      <c r="M10" s="55"/>
      <c r="N10" s="55"/>
      <c r="O10" s="55"/>
      <c r="P10" s="55"/>
    </row>
    <row r="11" spans="1:26" x14ac:dyDescent="0.3">
      <c r="A11" s="164" t="s">
        <v>164</v>
      </c>
      <c r="B11" s="164"/>
      <c r="C11" s="164"/>
      <c r="D11" s="164"/>
      <c r="E11" s="164" t="s">
        <v>404</v>
      </c>
      <c r="F11" s="164"/>
      <c r="G11" s="164"/>
      <c r="H11" s="164"/>
      <c r="I11" s="164" t="s">
        <v>348</v>
      </c>
      <c r="J11" s="164"/>
      <c r="K11" s="164"/>
      <c r="L11" s="164"/>
    </row>
    <row r="12" spans="1:26" x14ac:dyDescent="0.3">
      <c r="A12" s="164" t="s">
        <v>7</v>
      </c>
      <c r="B12" s="164"/>
      <c r="C12" s="164"/>
      <c r="D12" s="164"/>
      <c r="E12" s="164" t="s">
        <v>383</v>
      </c>
      <c r="F12" s="164"/>
      <c r="G12" s="164"/>
      <c r="H12" s="164"/>
    </row>
    <row r="13" spans="1:26" x14ac:dyDescent="0.3">
      <c r="A13" s="164" t="s">
        <v>168</v>
      </c>
      <c r="B13" s="164"/>
      <c r="C13" s="164"/>
      <c r="D13" s="164"/>
      <c r="E13" s="164" t="s">
        <v>28</v>
      </c>
      <c r="F13" s="164"/>
      <c r="G13" s="164"/>
      <c r="H13" s="164"/>
      <c r="S13" s="55" t="s">
        <v>175</v>
      </c>
      <c r="T13" s="55" t="s">
        <v>185</v>
      </c>
      <c r="U13" s="55" t="s">
        <v>169</v>
      </c>
      <c r="V13" s="55" t="s">
        <v>190</v>
      </c>
      <c r="W13" s="55" t="s">
        <v>208</v>
      </c>
      <c r="X13"/>
      <c r="Y13" t="s">
        <v>190</v>
      </c>
      <c r="Z13" t="e">
        <f ca="1">OFFSET($S$13,1,MATCH($G20,$S$13:$W$13,0)-1,15,1)</f>
        <v>#VALUE!</v>
      </c>
    </row>
    <row r="14" spans="1:26" x14ac:dyDescent="0.3">
      <c r="A14" s="126" t="s">
        <v>275</v>
      </c>
      <c r="B14" s="126"/>
      <c r="C14" s="126"/>
      <c r="D14" s="126"/>
      <c r="E14" s="205" t="s">
        <v>339</v>
      </c>
      <c r="F14" s="205"/>
      <c r="G14" s="205"/>
      <c r="H14" s="205"/>
      <c r="S14" s="55" t="s">
        <v>176</v>
      </c>
      <c r="T14" s="55" t="s">
        <v>183</v>
      </c>
      <c r="U14" s="55" t="s">
        <v>205</v>
      </c>
      <c r="V14" s="55" t="s">
        <v>191</v>
      </c>
      <c r="W14" s="55" t="s">
        <v>209</v>
      </c>
      <c r="X14"/>
      <c r="Y14"/>
      <c r="Z14"/>
    </row>
    <row r="15" spans="1:26" ht="80.25" customHeight="1" x14ac:dyDescent="0.3">
      <c r="A15" s="126" t="s">
        <v>8</v>
      </c>
      <c r="B15" s="126"/>
      <c r="C15" s="126"/>
      <c r="D15" s="126"/>
      <c r="E15" s="144" t="s">
        <v>408</v>
      </c>
      <c r="F15" s="164"/>
      <c r="G15" s="164"/>
      <c r="H15" s="164"/>
      <c r="S15" s="55" t="s">
        <v>177</v>
      </c>
      <c r="T15" s="55" t="s">
        <v>184</v>
      </c>
      <c r="U15" s="55" t="s">
        <v>206</v>
      </c>
      <c r="V15" s="55" t="s">
        <v>192</v>
      </c>
      <c r="W15" s="55" t="s">
        <v>222</v>
      </c>
      <c r="X15"/>
      <c r="Y15"/>
      <c r="Z15"/>
    </row>
    <row r="16" spans="1:26" ht="51.75" customHeight="1" x14ac:dyDescent="0.3">
      <c r="A16" s="161" t="s">
        <v>9</v>
      </c>
      <c r="B16" s="161"/>
      <c r="C16" s="161" t="str">
        <f>CONCATENATE((IF(OR(E9="",E9="NA"),"",E9)),", ",(IF(OR(A17="",A17="NA"),"",A17)),".",(IF(OR(C17="",C17="NA"),"",C17)),", near ",(IF(OR(C22="",C22="NA"),"",C22)),", ",(IF(OR(C19="",C19="NA"),"",C19)),", ",(IF(OR(C18="",C18="NA"),"",C18)),", ",(IF(OR(G19="",G19="NA"),"",G19)),", ",(IF(OR(C20="",C20="NA"),"",C20)),", ",(IF(OR(C21="",C21="NA"),"",C21)),", ",(IF(OR(G20="",G20="NA"),"",G20))," - ",(IF(OR(G21="",G21="NA"),"",G21)),".")</f>
        <v>Godrej Reserve Wing 1 to 5, CTS No.124, 125, 126, 127, 127/1, 128, 146, 146/1 to 7, near E.S.I.S. Hospital, Akurli Road, Ashok Nagar, Akurli, Kandivali East, Borivali, Mumbai - 400101.</v>
      </c>
      <c r="D16" s="161"/>
      <c r="E16" s="161"/>
      <c r="F16" s="161"/>
      <c r="G16" s="161"/>
      <c r="H16" s="161"/>
      <c r="S16" s="55" t="s">
        <v>178</v>
      </c>
      <c r="T16" s="55" t="s">
        <v>186</v>
      </c>
      <c r="U16" s="55" t="s">
        <v>207</v>
      </c>
      <c r="V16" s="55" t="s">
        <v>193</v>
      </c>
      <c r="W16" s="55" t="s">
        <v>210</v>
      </c>
      <c r="X16"/>
      <c r="Y16"/>
      <c r="Z16"/>
    </row>
    <row r="17" spans="1:26" x14ac:dyDescent="0.3">
      <c r="A17" s="144" t="s">
        <v>171</v>
      </c>
      <c r="B17" s="144"/>
      <c r="C17" s="144" t="s">
        <v>344</v>
      </c>
      <c r="D17" s="144"/>
      <c r="E17" s="144"/>
      <c r="F17" s="144"/>
      <c r="G17" s="144"/>
      <c r="H17" s="144"/>
      <c r="S17" s="55" t="s">
        <v>179</v>
      </c>
      <c r="T17" s="55" t="s">
        <v>187</v>
      </c>
      <c r="U17" s="55" t="s">
        <v>169</v>
      </c>
      <c r="V17" s="55" t="s">
        <v>194</v>
      </c>
      <c r="W17" s="55" t="s">
        <v>211</v>
      </c>
      <c r="X17"/>
      <c r="Y17"/>
      <c r="Z17"/>
    </row>
    <row r="18" spans="1:26" ht="15.75" customHeight="1" x14ac:dyDescent="0.3">
      <c r="A18" s="144" t="s">
        <v>158</v>
      </c>
      <c r="B18" s="144"/>
      <c r="C18" s="144" t="s">
        <v>300</v>
      </c>
      <c r="D18" s="144"/>
      <c r="E18" s="144"/>
      <c r="F18" s="144"/>
      <c r="G18" s="144"/>
      <c r="H18" s="144"/>
      <c r="S18" s="55" t="s">
        <v>180</v>
      </c>
      <c r="T18" s="55" t="s">
        <v>185</v>
      </c>
      <c r="U18" s="55"/>
      <c r="V18" s="55" t="s">
        <v>195</v>
      </c>
      <c r="W18" s="55" t="s">
        <v>212</v>
      </c>
      <c r="X18"/>
      <c r="Y18"/>
      <c r="Z18"/>
    </row>
    <row r="19" spans="1:26" ht="15.75" customHeight="1" x14ac:dyDescent="0.3">
      <c r="A19" s="161" t="s">
        <v>10</v>
      </c>
      <c r="B19" s="161"/>
      <c r="C19" s="164" t="s">
        <v>301</v>
      </c>
      <c r="D19" s="164"/>
      <c r="E19" s="161" t="s">
        <v>68</v>
      </c>
      <c r="F19" s="161"/>
      <c r="G19" s="144" t="s">
        <v>297</v>
      </c>
      <c r="H19" s="144"/>
      <c r="S19" s="55" t="s">
        <v>181</v>
      </c>
      <c r="T19" s="55" t="s">
        <v>188</v>
      </c>
      <c r="U19" s="55"/>
      <c r="V19" s="55" t="s">
        <v>196</v>
      </c>
      <c r="W19" s="55" t="s">
        <v>213</v>
      </c>
      <c r="X19"/>
      <c r="Y19"/>
      <c r="Z19"/>
    </row>
    <row r="20" spans="1:26" x14ac:dyDescent="0.3">
      <c r="A20" s="126" t="s">
        <v>12</v>
      </c>
      <c r="B20" s="126"/>
      <c r="C20" s="144" t="s">
        <v>302</v>
      </c>
      <c r="D20" s="144"/>
      <c r="E20" s="161" t="s">
        <v>11</v>
      </c>
      <c r="F20" s="161"/>
      <c r="G20" s="204" t="s">
        <v>169</v>
      </c>
      <c r="H20" s="204"/>
      <c r="S20" s="55" t="s">
        <v>182</v>
      </c>
      <c r="T20" s="55" t="s">
        <v>189</v>
      </c>
      <c r="U20" s="55"/>
      <c r="V20" s="55" t="s">
        <v>197</v>
      </c>
      <c r="W20" s="55" t="s">
        <v>214</v>
      </c>
      <c r="X20"/>
      <c r="Y20"/>
      <c r="Z20"/>
    </row>
    <row r="21" spans="1:26" x14ac:dyDescent="0.3">
      <c r="A21" s="126" t="s">
        <v>69</v>
      </c>
      <c r="B21" s="126"/>
      <c r="C21" s="144" t="s">
        <v>206</v>
      </c>
      <c r="D21" s="144"/>
      <c r="E21" s="161" t="s">
        <v>13</v>
      </c>
      <c r="F21" s="161"/>
      <c r="G21" s="144">
        <v>400101</v>
      </c>
      <c r="H21" s="144"/>
      <c r="S21" s="55"/>
      <c r="T21" s="55"/>
      <c r="U21" s="55"/>
      <c r="V21" s="55" t="s">
        <v>198</v>
      </c>
      <c r="W21" s="55" t="s">
        <v>215</v>
      </c>
      <c r="X21"/>
      <c r="Y21"/>
      <c r="Z21"/>
    </row>
    <row r="22" spans="1:26" ht="32.25" customHeight="1" x14ac:dyDescent="0.3">
      <c r="A22" s="126" t="s">
        <v>117</v>
      </c>
      <c r="B22" s="126"/>
      <c r="C22" s="144" t="s">
        <v>303</v>
      </c>
      <c r="D22" s="144"/>
      <c r="E22" s="161" t="s">
        <v>14</v>
      </c>
      <c r="F22" s="161"/>
      <c r="G22" s="144" t="s">
        <v>340</v>
      </c>
      <c r="H22" s="144"/>
      <c r="S22" s="55"/>
      <c r="T22" s="55"/>
      <c r="U22" s="55"/>
      <c r="V22" s="55" t="s">
        <v>199</v>
      </c>
      <c r="W22" s="55" t="s">
        <v>216</v>
      </c>
      <c r="X22"/>
      <c r="Y22"/>
      <c r="Z22"/>
    </row>
    <row r="23" spans="1:26" ht="15" customHeight="1" x14ac:dyDescent="0.3">
      <c r="A23" s="161" t="s">
        <v>71</v>
      </c>
      <c r="B23" s="161"/>
      <c r="C23" s="161"/>
      <c r="D23" s="161"/>
      <c r="E23" s="164" t="s">
        <v>15</v>
      </c>
      <c r="F23" s="164"/>
      <c r="G23" s="164"/>
      <c r="H23" s="164"/>
      <c r="S23" s="55"/>
      <c r="T23" s="55"/>
      <c r="U23" s="55"/>
      <c r="V23" s="55" t="s">
        <v>200</v>
      </c>
      <c r="W23" s="55" t="s">
        <v>217</v>
      </c>
      <c r="X23"/>
      <c r="Y23"/>
      <c r="Z23"/>
    </row>
    <row r="24" spans="1:26" ht="18.75" customHeight="1" x14ac:dyDescent="0.3">
      <c r="A24" s="161"/>
      <c r="B24" s="161"/>
      <c r="C24" s="161"/>
      <c r="D24" s="161"/>
      <c r="E24" s="164"/>
      <c r="F24" s="164"/>
      <c r="G24" s="164"/>
      <c r="H24" s="164"/>
      <c r="I24" s="21" t="s">
        <v>341</v>
      </c>
      <c r="S24" s="55"/>
      <c r="T24" s="55"/>
      <c r="U24" s="55"/>
      <c r="V24" s="55" t="s">
        <v>201</v>
      </c>
      <c r="W24" s="55" t="s">
        <v>218</v>
      </c>
      <c r="X24"/>
      <c r="Y24"/>
      <c r="Z24"/>
    </row>
    <row r="25" spans="1:26" ht="15" customHeight="1" x14ac:dyDescent="0.3">
      <c r="A25" s="161" t="s">
        <v>16</v>
      </c>
      <c r="B25" s="161"/>
      <c r="C25" s="161"/>
      <c r="D25" s="161"/>
      <c r="E25" s="144" t="s">
        <v>17</v>
      </c>
      <c r="F25" s="144"/>
      <c r="G25" s="144"/>
      <c r="H25" s="144"/>
      <c r="S25" s="55"/>
      <c r="T25" s="55"/>
      <c r="U25" s="55"/>
      <c r="V25" s="55" t="s">
        <v>202</v>
      </c>
      <c r="W25" s="55" t="s">
        <v>219</v>
      </c>
      <c r="X25"/>
      <c r="Y25"/>
      <c r="Z25"/>
    </row>
    <row r="26" spans="1:26" ht="15" customHeight="1" x14ac:dyDescent="0.3">
      <c r="A26" s="126" t="s">
        <v>18</v>
      </c>
      <c r="B26" s="126"/>
      <c r="C26" s="126"/>
      <c r="D26" s="126"/>
      <c r="E26" s="144" t="str">
        <f>IF(AND(G20="Mumbai"),"Upper Class","Middle Class")</f>
        <v>Upper Class</v>
      </c>
      <c r="F26" s="144"/>
      <c r="G26" s="144"/>
      <c r="H26" s="144"/>
      <c r="S26" s="55"/>
      <c r="T26" s="55"/>
      <c r="U26" s="55"/>
      <c r="V26" s="55" t="s">
        <v>203</v>
      </c>
      <c r="W26" s="55" t="s">
        <v>220</v>
      </c>
      <c r="X26"/>
      <c r="Y26"/>
      <c r="Z26"/>
    </row>
    <row r="27" spans="1:26" x14ac:dyDescent="0.3">
      <c r="A27" s="126" t="s">
        <v>19</v>
      </c>
      <c r="B27" s="126"/>
      <c r="C27" s="126"/>
      <c r="D27" s="126"/>
      <c r="E27" s="144" t="s">
        <v>20</v>
      </c>
      <c r="F27" s="144"/>
      <c r="G27" s="144"/>
      <c r="H27" s="144"/>
      <c r="S27" s="55"/>
      <c r="T27" s="55"/>
      <c r="U27" s="55"/>
      <c r="V27" s="55" t="s">
        <v>204</v>
      </c>
      <c r="W27" s="55" t="s">
        <v>221</v>
      </c>
      <c r="X27"/>
      <c r="Y27"/>
      <c r="Z27"/>
    </row>
    <row r="28" spans="1:26" ht="15.75" customHeight="1" x14ac:dyDescent="0.3">
      <c r="A28" s="126" t="s">
        <v>21</v>
      </c>
      <c r="B28" s="126"/>
      <c r="C28" s="126"/>
      <c r="D28" s="126"/>
      <c r="E28" s="144" t="str">
        <f>IF(AND(G20="Mumbai"),"Developed","Developing")</f>
        <v>Developed</v>
      </c>
      <c r="F28" s="144"/>
      <c r="G28" s="144"/>
      <c r="H28" s="144"/>
    </row>
    <row r="29" spans="1:26" x14ac:dyDescent="0.3">
      <c r="A29" s="126" t="s">
        <v>22</v>
      </c>
      <c r="B29" s="126"/>
      <c r="C29" s="126"/>
      <c r="D29" s="126"/>
      <c r="E29" s="144" t="s">
        <v>23</v>
      </c>
      <c r="F29" s="144"/>
      <c r="G29" s="144"/>
      <c r="H29" s="144"/>
    </row>
    <row r="30" spans="1:26" ht="15.75" customHeight="1" x14ac:dyDescent="0.3">
      <c r="A30" s="126" t="s">
        <v>76</v>
      </c>
      <c r="B30" s="126"/>
      <c r="C30" s="126"/>
      <c r="D30" s="126"/>
      <c r="E30" s="144" t="s">
        <v>77</v>
      </c>
      <c r="F30" s="144"/>
      <c r="G30" s="144"/>
      <c r="H30" s="144"/>
    </row>
    <row r="31" spans="1:26" ht="15" customHeight="1" x14ac:dyDescent="0.3">
      <c r="A31" s="126" t="s">
        <v>30</v>
      </c>
      <c r="B31" s="126"/>
      <c r="C31" s="126"/>
      <c r="D31" s="126"/>
      <c r="E31" s="144"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1" s="144"/>
      <c r="G31" s="144"/>
      <c r="H31" s="144"/>
    </row>
    <row r="32" spans="1:26" ht="15.75" customHeight="1" x14ac:dyDescent="0.3">
      <c r="A32" s="126" t="s">
        <v>88</v>
      </c>
      <c r="B32" s="126"/>
      <c r="C32" s="126"/>
      <c r="D32" s="126"/>
      <c r="E32" s="144" t="s">
        <v>31</v>
      </c>
      <c r="F32" s="144"/>
      <c r="G32" s="144"/>
      <c r="H32" s="144"/>
    </row>
    <row r="33" spans="1:19" s="22" customFormat="1" x14ac:dyDescent="0.3">
      <c r="A33" s="203" t="s">
        <v>89</v>
      </c>
      <c r="B33" s="203"/>
      <c r="C33" s="200" t="s">
        <v>170</v>
      </c>
      <c r="D33" s="201"/>
      <c r="E33" s="202"/>
      <c r="F33" s="200" t="s">
        <v>29</v>
      </c>
      <c r="G33" s="201"/>
      <c r="H33" s="202"/>
      <c r="S33" s="22" t="e">
        <f ca="1">OFFSET($S$13,1,MATCH($G20,$S$13:$W$13,0)-1,15,1)</f>
        <v>#VALUE!</v>
      </c>
    </row>
    <row r="34" spans="1:19" s="22" customFormat="1" x14ac:dyDescent="0.3">
      <c r="A34" s="179" t="s">
        <v>24</v>
      </c>
      <c r="B34" s="179" t="s">
        <v>28</v>
      </c>
      <c r="C34" s="199" t="s">
        <v>342</v>
      </c>
      <c r="D34" s="181"/>
      <c r="E34" s="182"/>
      <c r="F34" s="199" t="s">
        <v>343</v>
      </c>
      <c r="G34" s="181"/>
      <c r="H34" s="182"/>
    </row>
    <row r="35" spans="1:19" ht="33.75" customHeight="1" x14ac:dyDescent="0.3">
      <c r="A35" s="179" t="s">
        <v>25</v>
      </c>
      <c r="B35" s="179" t="s">
        <v>28</v>
      </c>
      <c r="C35" s="180" t="s">
        <v>306</v>
      </c>
      <c r="D35" s="181"/>
      <c r="E35" s="182"/>
      <c r="F35" s="199" t="s">
        <v>309</v>
      </c>
      <c r="G35" s="181"/>
      <c r="H35" s="182"/>
    </row>
    <row r="36" spans="1:19" s="22" customFormat="1" x14ac:dyDescent="0.3">
      <c r="A36" s="179" t="s">
        <v>27</v>
      </c>
      <c r="B36" s="179" t="s">
        <v>28</v>
      </c>
      <c r="C36" s="180" t="s">
        <v>304</v>
      </c>
      <c r="D36" s="181"/>
      <c r="E36" s="182"/>
      <c r="F36" s="180" t="s">
        <v>307</v>
      </c>
      <c r="G36" s="181"/>
      <c r="H36" s="182"/>
    </row>
    <row r="37" spans="1:19" ht="37.5" customHeight="1" x14ac:dyDescent="0.3">
      <c r="A37" s="179" t="s">
        <v>26</v>
      </c>
      <c r="B37" s="179" t="s">
        <v>28</v>
      </c>
      <c r="C37" s="180" t="s">
        <v>305</v>
      </c>
      <c r="D37" s="181"/>
      <c r="E37" s="182"/>
      <c r="F37" s="199" t="s">
        <v>308</v>
      </c>
      <c r="G37" s="181"/>
      <c r="H37" s="182"/>
    </row>
    <row r="38" spans="1:19" x14ac:dyDescent="0.3">
      <c r="A38" s="126" t="s">
        <v>276</v>
      </c>
      <c r="B38" s="126"/>
      <c r="C38" s="126"/>
      <c r="D38" s="126"/>
      <c r="E38" s="126"/>
      <c r="F38" s="126"/>
      <c r="G38" s="126"/>
      <c r="H38" s="126"/>
    </row>
    <row r="39" spans="1:19" ht="15.75" customHeight="1" x14ac:dyDescent="0.3">
      <c r="A39" s="126" t="s">
        <v>161</v>
      </c>
      <c r="B39" s="126"/>
      <c r="C39" s="147" t="s">
        <v>298</v>
      </c>
      <c r="D39" s="147"/>
      <c r="E39" s="147"/>
      <c r="F39" s="147"/>
      <c r="G39" s="147"/>
      <c r="H39" s="147"/>
    </row>
    <row r="40" spans="1:19" x14ac:dyDescent="0.3">
      <c r="A40" s="126" t="s">
        <v>157</v>
      </c>
      <c r="B40" s="126"/>
      <c r="C40" s="143" t="s">
        <v>299</v>
      </c>
      <c r="D40" s="144"/>
      <c r="E40" s="144"/>
      <c r="F40" s="144"/>
      <c r="G40" s="144"/>
      <c r="H40" s="144"/>
    </row>
    <row r="41" spans="1:19" x14ac:dyDescent="0.3">
      <c r="A41" s="147" t="s">
        <v>32</v>
      </c>
      <c r="B41" s="147"/>
      <c r="C41" s="147"/>
      <c r="D41" s="147"/>
      <c r="E41" s="147"/>
      <c r="F41" s="147"/>
      <c r="G41" s="147"/>
      <c r="H41" s="147"/>
    </row>
    <row r="42" spans="1:19" x14ac:dyDescent="0.3">
      <c r="A42" s="126" t="s">
        <v>33</v>
      </c>
      <c r="B42" s="126"/>
      <c r="C42" s="126"/>
      <c r="D42" s="126"/>
      <c r="E42" s="189">
        <v>46149.87</v>
      </c>
      <c r="F42" s="189"/>
      <c r="G42" s="189"/>
      <c r="H42" s="189"/>
    </row>
    <row r="43" spans="1:19" x14ac:dyDescent="0.3">
      <c r="A43" s="126" t="s">
        <v>34</v>
      </c>
      <c r="B43" s="126"/>
      <c r="C43" s="126"/>
      <c r="D43" s="126"/>
      <c r="E43" s="197">
        <v>1</v>
      </c>
      <c r="F43" s="197"/>
      <c r="G43" s="197"/>
      <c r="H43" s="197"/>
    </row>
    <row r="44" spans="1:19" x14ac:dyDescent="0.3">
      <c r="A44" s="126" t="s">
        <v>35</v>
      </c>
      <c r="B44" s="126"/>
      <c r="C44" s="126"/>
      <c r="D44" s="126"/>
      <c r="E44" s="197">
        <f>E46/E42-E43</f>
        <v>3.6425448219030736</v>
      </c>
      <c r="F44" s="197"/>
      <c r="G44" s="197"/>
      <c r="H44" s="197"/>
    </row>
    <row r="45" spans="1:19" x14ac:dyDescent="0.3">
      <c r="A45" s="126" t="s">
        <v>36</v>
      </c>
      <c r="B45" s="126"/>
      <c r="C45" s="126"/>
      <c r="D45" s="126"/>
      <c r="E45" s="197">
        <f>E43+E44</f>
        <v>4.6425448219030736</v>
      </c>
      <c r="F45" s="197"/>
      <c r="G45" s="197"/>
      <c r="H45" s="197"/>
    </row>
    <row r="46" spans="1:19" x14ac:dyDescent="0.3">
      <c r="A46" s="126" t="s">
        <v>87</v>
      </c>
      <c r="B46" s="126"/>
      <c r="C46" s="126"/>
      <c r="D46" s="126"/>
      <c r="E46" s="198">
        <v>214252.84</v>
      </c>
      <c r="F46" s="198"/>
      <c r="G46" s="198"/>
      <c r="H46" s="198"/>
    </row>
    <row r="47" spans="1:19" x14ac:dyDescent="0.3">
      <c r="A47" s="164" t="s">
        <v>37</v>
      </c>
      <c r="B47" s="164"/>
      <c r="C47" s="164"/>
      <c r="D47" s="164"/>
      <c r="E47" s="164" t="s">
        <v>384</v>
      </c>
      <c r="F47" s="164"/>
      <c r="G47" s="164"/>
      <c r="H47" s="164"/>
    </row>
    <row r="48" spans="1:19" x14ac:dyDescent="0.3">
      <c r="A48" s="147" t="s">
        <v>38</v>
      </c>
      <c r="B48" s="147"/>
      <c r="C48" s="147"/>
      <c r="D48" s="147"/>
      <c r="E48" s="147"/>
      <c r="F48" s="147"/>
      <c r="G48" s="147"/>
      <c r="H48" s="147"/>
    </row>
    <row r="49" spans="1:24" ht="33.75" customHeight="1" x14ac:dyDescent="0.3">
      <c r="A49" s="141" t="s">
        <v>146</v>
      </c>
      <c r="B49" s="142"/>
      <c r="C49" s="155" t="s">
        <v>251</v>
      </c>
      <c r="D49" s="156"/>
      <c r="E49" s="156"/>
      <c r="F49" s="156"/>
      <c r="G49" s="156"/>
      <c r="H49" s="157"/>
      <c r="R49" t="s">
        <v>249</v>
      </c>
      <c r="S49" t="s">
        <v>169</v>
      </c>
      <c r="T49" t="s">
        <v>175</v>
      </c>
      <c r="U49" t="s">
        <v>190</v>
      </c>
      <c r="V49" t="s">
        <v>185</v>
      </c>
    </row>
    <row r="50" spans="1:24" ht="33.75" customHeight="1" x14ac:dyDescent="0.3">
      <c r="A50" s="141" t="s">
        <v>39</v>
      </c>
      <c r="B50" s="142"/>
      <c r="C50" s="141" t="s">
        <v>385</v>
      </c>
      <c r="D50" s="170"/>
      <c r="E50" s="142"/>
      <c r="F50" s="18" t="s">
        <v>40</v>
      </c>
      <c r="G50" s="246">
        <v>45712</v>
      </c>
      <c r="H50" s="215"/>
      <c r="R50"/>
      <c r="S50" t="s">
        <v>250</v>
      </c>
      <c r="T50" t="s">
        <v>255</v>
      </c>
      <c r="U50" t="s">
        <v>266</v>
      </c>
      <c r="V50" t="s">
        <v>271</v>
      </c>
    </row>
    <row r="51" spans="1:24" ht="35.25" customHeight="1" x14ac:dyDescent="0.3">
      <c r="A51" s="141" t="s">
        <v>386</v>
      </c>
      <c r="B51" s="142"/>
      <c r="C51" s="141" t="s">
        <v>387</v>
      </c>
      <c r="D51" s="170"/>
      <c r="E51" s="142"/>
      <c r="F51" s="18" t="s">
        <v>40</v>
      </c>
      <c r="G51" s="216">
        <v>45587</v>
      </c>
      <c r="H51" s="142"/>
      <c r="R51"/>
      <c r="S51" t="s">
        <v>251</v>
      </c>
      <c r="T51" t="s">
        <v>256</v>
      </c>
      <c r="U51" t="s">
        <v>264</v>
      </c>
      <c r="V51" t="s">
        <v>272</v>
      </c>
    </row>
    <row r="52" spans="1:24" ht="35.25" customHeight="1" x14ac:dyDescent="0.3">
      <c r="A52" s="213" t="s">
        <v>388</v>
      </c>
      <c r="B52" s="215"/>
      <c r="C52" s="141" t="s">
        <v>365</v>
      </c>
      <c r="D52" s="170"/>
      <c r="E52" s="142"/>
      <c r="F52" s="18" t="s">
        <v>40</v>
      </c>
      <c r="G52" s="216">
        <f>G50</f>
        <v>45712</v>
      </c>
      <c r="H52" s="142"/>
      <c r="R52"/>
      <c r="S52" t="s">
        <v>251</v>
      </c>
      <c r="T52" t="s">
        <v>256</v>
      </c>
      <c r="U52" t="s">
        <v>264</v>
      </c>
      <c r="V52" t="s">
        <v>272</v>
      </c>
    </row>
    <row r="53" spans="1:24" s="23" customFormat="1" ht="35.25" customHeight="1" x14ac:dyDescent="0.3">
      <c r="A53" s="242" t="s">
        <v>150</v>
      </c>
      <c r="B53" s="243"/>
      <c r="C53" s="141" t="s">
        <v>366</v>
      </c>
      <c r="D53" s="170"/>
      <c r="E53" s="142"/>
      <c r="F53" s="18" t="s">
        <v>40</v>
      </c>
      <c r="G53" s="216">
        <v>45588</v>
      </c>
      <c r="H53" s="142"/>
      <c r="R53"/>
      <c r="S53" t="s">
        <v>252</v>
      </c>
      <c r="T53" t="s">
        <v>257</v>
      </c>
      <c r="U53" t="s">
        <v>254</v>
      </c>
      <c r="V53" t="s">
        <v>273</v>
      </c>
    </row>
    <row r="54" spans="1:24" s="23" customFormat="1" ht="81.75" customHeight="1" x14ac:dyDescent="0.3">
      <c r="A54" s="244"/>
      <c r="B54" s="245"/>
      <c r="C54" s="141" t="s">
        <v>375</v>
      </c>
      <c r="D54" s="170"/>
      <c r="E54" s="142"/>
      <c r="F54" s="18" t="s">
        <v>116</v>
      </c>
      <c r="G54" s="216">
        <v>45952</v>
      </c>
      <c r="H54" s="142"/>
      <c r="R54"/>
      <c r="S54" t="s">
        <v>253</v>
      </c>
      <c r="T54" t="s">
        <v>260</v>
      </c>
      <c r="U54" t="s">
        <v>267</v>
      </c>
    </row>
    <row r="55" spans="1:24" s="23" customFormat="1" ht="36" customHeight="1" x14ac:dyDescent="0.3">
      <c r="A55" s="171" t="s">
        <v>311</v>
      </c>
      <c r="B55" s="178"/>
      <c r="C55" s="141" t="s">
        <v>368</v>
      </c>
      <c r="D55" s="170"/>
      <c r="E55" s="142"/>
      <c r="F55" s="18" t="s">
        <v>40</v>
      </c>
      <c r="G55" s="216">
        <v>45233</v>
      </c>
      <c r="H55" s="142"/>
      <c r="R55"/>
      <c r="S55" t="s">
        <v>252</v>
      </c>
      <c r="T55" t="s">
        <v>257</v>
      </c>
      <c r="U55" t="s">
        <v>254</v>
      </c>
      <c r="V55" t="s">
        <v>273</v>
      </c>
    </row>
    <row r="56" spans="1:24" s="23" customFormat="1" ht="63.75" customHeight="1" x14ac:dyDescent="0.3">
      <c r="A56" s="175"/>
      <c r="B56" s="220"/>
      <c r="C56" s="247" t="s">
        <v>367</v>
      </c>
      <c r="D56" s="248"/>
      <c r="E56" s="248"/>
      <c r="F56" s="248"/>
      <c r="G56" s="248"/>
      <c r="H56" s="249"/>
      <c r="R56"/>
      <c r="S56" t="s">
        <v>254</v>
      </c>
      <c r="T56" t="s">
        <v>258</v>
      </c>
      <c r="U56" t="s">
        <v>268</v>
      </c>
      <c r="V56" s="21"/>
      <c r="W56" s="21"/>
      <c r="X56" s="21"/>
    </row>
    <row r="57" spans="1:24" s="23" customFormat="1" x14ac:dyDescent="0.3">
      <c r="A57" s="171" t="s">
        <v>277</v>
      </c>
      <c r="B57" s="178"/>
      <c r="C57" s="141" t="s">
        <v>345</v>
      </c>
      <c r="D57" s="170"/>
      <c r="E57" s="142"/>
      <c r="F57" s="18" t="s">
        <v>40</v>
      </c>
      <c r="G57" s="216">
        <v>45330</v>
      </c>
      <c r="H57" s="142"/>
      <c r="R57"/>
      <c r="S57" s="21"/>
      <c r="T57" t="s">
        <v>259</v>
      </c>
      <c r="U57" t="s">
        <v>269</v>
      </c>
      <c r="V57" s="21"/>
      <c r="W57" s="21"/>
      <c r="X57" s="21"/>
    </row>
    <row r="58" spans="1:24" s="23" customFormat="1" ht="48" customHeight="1" x14ac:dyDescent="0.3">
      <c r="A58" s="175"/>
      <c r="B58" s="220"/>
      <c r="C58" s="141" t="s">
        <v>346</v>
      </c>
      <c r="D58" s="170"/>
      <c r="E58" s="170"/>
      <c r="F58" s="170"/>
      <c r="G58" s="170"/>
      <c r="H58" s="142"/>
      <c r="R58"/>
      <c r="S58" s="21"/>
      <c r="T58" t="s">
        <v>261</v>
      </c>
      <c r="U58" t="s">
        <v>270</v>
      </c>
      <c r="V58" s="21"/>
      <c r="W58" s="21"/>
      <c r="X58" s="21"/>
    </row>
    <row r="59" spans="1:24" s="23" customFormat="1" ht="15.75" customHeight="1" x14ac:dyDescent="0.3">
      <c r="A59" s="171" t="s">
        <v>278</v>
      </c>
      <c r="B59" s="178"/>
      <c r="C59" s="141" t="s">
        <v>310</v>
      </c>
      <c r="D59" s="170"/>
      <c r="E59" s="142"/>
      <c r="F59" s="18" t="s">
        <v>40</v>
      </c>
      <c r="G59" s="216">
        <v>45145</v>
      </c>
      <c r="H59" s="142"/>
      <c r="R59"/>
      <c r="S59" s="21"/>
      <c r="T59" t="s">
        <v>262</v>
      </c>
      <c r="U59" s="21" t="s">
        <v>292</v>
      </c>
      <c r="V59" s="21"/>
      <c r="W59" s="21"/>
      <c r="X59" s="21"/>
    </row>
    <row r="60" spans="1:24" s="23" customFormat="1" ht="51.75" customHeight="1" x14ac:dyDescent="0.3">
      <c r="A60" s="175"/>
      <c r="B60" s="220"/>
      <c r="C60" s="161" t="s">
        <v>358</v>
      </c>
      <c r="D60" s="161"/>
      <c r="E60" s="161"/>
      <c r="F60" s="18" t="s">
        <v>116</v>
      </c>
      <c r="G60" s="217">
        <v>48066</v>
      </c>
      <c r="H60" s="161"/>
      <c r="R60"/>
      <c r="S60" s="21"/>
      <c r="T60" t="s">
        <v>263</v>
      </c>
      <c r="U60" s="21"/>
      <c r="V60" s="21"/>
      <c r="W60" s="21"/>
      <c r="X60" s="21"/>
    </row>
    <row r="61" spans="1:24" x14ac:dyDescent="0.3">
      <c r="A61" s="222" t="s">
        <v>41</v>
      </c>
      <c r="B61" s="223"/>
      <c r="C61" s="222" t="s">
        <v>99</v>
      </c>
      <c r="D61" s="224"/>
      <c r="E61" s="223"/>
      <c r="F61" s="45" t="s">
        <v>40</v>
      </c>
      <c r="G61" s="218" t="s">
        <v>28</v>
      </c>
      <c r="H61" s="219"/>
      <c r="R61"/>
      <c r="T61" t="s">
        <v>265</v>
      </c>
    </row>
    <row r="62" spans="1:24" x14ac:dyDescent="0.3">
      <c r="A62" s="210" t="s">
        <v>43</v>
      </c>
      <c r="B62" s="210"/>
      <c r="C62" s="210"/>
      <c r="D62" s="210"/>
      <c r="E62" s="210"/>
      <c r="F62" s="210"/>
      <c r="G62" s="210"/>
      <c r="H62" s="210"/>
      <c r="T62" t="s">
        <v>274</v>
      </c>
    </row>
    <row r="63" spans="1:24" x14ac:dyDescent="0.3">
      <c r="A63" s="161" t="s">
        <v>86</v>
      </c>
      <c r="B63" s="161"/>
      <c r="C63" s="161"/>
      <c r="D63" s="225">
        <f>E46</f>
        <v>214252.84</v>
      </c>
      <c r="E63" s="126"/>
      <c r="F63" s="126"/>
      <c r="G63" s="126"/>
      <c r="H63" s="126"/>
      <c r="R63"/>
    </row>
    <row r="64" spans="1:24" x14ac:dyDescent="0.3">
      <c r="A64" s="144" t="s">
        <v>44</v>
      </c>
      <c r="B64" s="164"/>
      <c r="C64" s="164"/>
      <c r="D64" s="164" t="s">
        <v>399</v>
      </c>
      <c r="E64" s="164"/>
      <c r="F64" s="164"/>
      <c r="G64" s="164"/>
      <c r="H64" s="164"/>
      <c r="I64" s="24"/>
      <c r="R64"/>
    </row>
    <row r="65" spans="1:19" ht="102" customHeight="1" x14ac:dyDescent="0.3">
      <c r="A65" s="171" t="s">
        <v>45</v>
      </c>
      <c r="B65" s="172"/>
      <c r="C65" s="178"/>
      <c r="D65" s="166" t="s">
        <v>391</v>
      </c>
      <c r="E65" s="177"/>
      <c r="F65" s="177"/>
      <c r="G65" s="177"/>
      <c r="H65" s="177"/>
      <c r="I65"/>
      <c r="R65"/>
    </row>
    <row r="66" spans="1:19" ht="33" customHeight="1" x14ac:dyDescent="0.3">
      <c r="A66" s="171" t="s">
        <v>84</v>
      </c>
      <c r="B66" s="172"/>
      <c r="C66" s="172"/>
      <c r="D66" s="144" t="s">
        <v>389</v>
      </c>
      <c r="E66" s="144"/>
      <c r="F66" s="144"/>
      <c r="G66" s="144"/>
      <c r="H66" s="144"/>
      <c r="R66"/>
    </row>
    <row r="67" spans="1:19" ht="34.5" customHeight="1" x14ac:dyDescent="0.3">
      <c r="A67" s="173"/>
      <c r="B67" s="174"/>
      <c r="C67" s="174"/>
      <c r="D67" s="213" t="s">
        <v>390</v>
      </c>
      <c r="E67" s="214"/>
      <c r="F67" s="214"/>
      <c r="G67" s="214"/>
      <c r="H67" s="215"/>
      <c r="R67"/>
    </row>
    <row r="68" spans="1:19" ht="14.25" hidden="1" customHeight="1" x14ac:dyDescent="0.3">
      <c r="A68" s="175"/>
      <c r="B68" s="176"/>
      <c r="C68" s="176"/>
      <c r="D68" s="167" t="s">
        <v>165</v>
      </c>
      <c r="E68" s="168"/>
      <c r="F68" s="168"/>
      <c r="G68" s="168"/>
      <c r="H68" s="169"/>
      <c r="S68"/>
    </row>
    <row r="69" spans="1:19" ht="15.75" customHeight="1" x14ac:dyDescent="0.3">
      <c r="A69" s="126" t="s">
        <v>42</v>
      </c>
      <c r="B69" s="126"/>
      <c r="C69" s="126"/>
      <c r="D69" s="190" t="s">
        <v>312</v>
      </c>
      <c r="E69" s="190"/>
      <c r="F69" s="190"/>
      <c r="G69" s="190"/>
      <c r="H69" s="190"/>
      <c r="J69" s="25"/>
      <c r="K69" s="24"/>
      <c r="N69" s="24"/>
      <c r="S69"/>
    </row>
    <row r="70" spans="1:19" ht="15.75" customHeight="1" x14ac:dyDescent="0.3">
      <c r="A70" s="126" t="s">
        <v>82</v>
      </c>
      <c r="B70" s="126"/>
      <c r="C70" s="126"/>
      <c r="D70" s="196" t="str">
        <f>(IF(G61="NA","60 Years After Completion",IF(G61&lt;&gt;"NA",""&amp;60-ROUNDDOWN((E3-G61)/360,0)&amp;" Years"," ")))</f>
        <v>60 Years After Completion</v>
      </c>
      <c r="E70" s="196"/>
      <c r="F70" s="196"/>
      <c r="G70" s="196"/>
      <c r="H70" s="196"/>
      <c r="N70" s="24"/>
      <c r="S70"/>
    </row>
    <row r="71" spans="1:19" ht="15.75" customHeight="1" x14ac:dyDescent="0.3">
      <c r="A71" s="126" t="s">
        <v>83</v>
      </c>
      <c r="B71" s="126"/>
      <c r="C71" s="126"/>
      <c r="D71" s="161" t="s">
        <v>23</v>
      </c>
      <c r="E71" s="161"/>
      <c r="F71" s="161"/>
      <c r="G71" s="161"/>
      <c r="H71" s="161"/>
      <c r="J71" s="26"/>
      <c r="K71" s="26"/>
      <c r="S71"/>
    </row>
    <row r="72" spans="1:19" ht="38.4" customHeight="1" x14ac:dyDescent="0.3">
      <c r="A72" s="164" t="s">
        <v>313</v>
      </c>
      <c r="B72" s="164"/>
      <c r="C72" s="164"/>
      <c r="D72" s="144" t="s">
        <v>314</v>
      </c>
      <c r="E72" s="161"/>
      <c r="F72" s="161"/>
      <c r="G72" s="161"/>
      <c r="H72" s="161"/>
      <c r="I72" s="62" t="s">
        <v>374</v>
      </c>
      <c r="S72"/>
    </row>
    <row r="73" spans="1:19" x14ac:dyDescent="0.3">
      <c r="A73" s="161" t="s">
        <v>143</v>
      </c>
      <c r="B73" s="161"/>
      <c r="C73" s="161"/>
      <c r="D73" s="161" t="s">
        <v>28</v>
      </c>
      <c r="E73" s="161"/>
      <c r="F73" s="161"/>
      <c r="G73" s="161"/>
      <c r="H73" s="161"/>
      <c r="I73" s="27"/>
      <c r="J73" s="27"/>
      <c r="K73" s="27"/>
      <c r="L73" s="27"/>
      <c r="M73" s="27"/>
      <c r="N73" s="27"/>
    </row>
    <row r="74" spans="1:19" ht="15.75" customHeight="1" x14ac:dyDescent="0.3">
      <c r="A74" s="226" t="s">
        <v>81</v>
      </c>
      <c r="B74" s="226"/>
      <c r="C74" s="226"/>
      <c r="D74" s="166" t="str">
        <f ca="1">(IF(G94&gt;95%,"Nothing",IF(G94&gt;0%,"Cement, Aggregate, Steel, etc",IF(G94=0%,"Work not yet Started"))))</f>
        <v>Cement, Aggregate, Steel, etc</v>
      </c>
      <c r="E74" s="166"/>
      <c r="F74" s="166"/>
      <c r="G74" s="166"/>
      <c r="H74" s="166"/>
      <c r="J74" s="26"/>
      <c r="S74"/>
    </row>
    <row r="75" spans="1:19" ht="33.75" customHeight="1" thickBot="1" x14ac:dyDescent="0.35">
      <c r="A75" s="165" t="s">
        <v>112</v>
      </c>
      <c r="B75" s="165"/>
      <c r="C75" s="165"/>
      <c r="D75" s="166" t="str">
        <f ca="1">(IF(D74="Nothing","Yes",IF(D74="Cement, Aggregate, Steel, etc","Under Construction",IF(D74="Work not yet Started","Work not yet Started"))))</f>
        <v>Under Construction</v>
      </c>
      <c r="E75" s="166"/>
      <c r="F75" s="166" t="str">
        <f ca="1">(IF(D74="Nothing","Yes",IF(D74="Cement, Aggregate, Steel, etc","Under Construction",IF(D74="Work not yet Started","Work not yet Started"))))</f>
        <v>Under Construction</v>
      </c>
      <c r="G75" s="166"/>
      <c r="H75" s="166"/>
      <c r="S75"/>
    </row>
    <row r="76" spans="1:19" ht="35.25" customHeight="1" x14ac:dyDescent="0.3">
      <c r="A76" s="148" t="s">
        <v>135</v>
      </c>
      <c r="B76" s="149"/>
      <c r="C76" s="158" t="s">
        <v>412</v>
      </c>
      <c r="D76" s="159"/>
      <c r="E76" s="159"/>
      <c r="F76" s="159"/>
      <c r="G76" s="159"/>
      <c r="H76" s="160"/>
      <c r="I76" s="49" t="str">
        <f ca="1">IF(D89=100%,"All work Completed. Possession granted to the Building.",IF(D88=100%,"All work Completed, Waiting for OC",I77&amp;""&amp;I78&amp;""&amp;J77&amp;""&amp;J76&amp;" "&amp;J78))</f>
        <v>Excavation, Plinth Completed, RCC upto 4 Slab Completed</v>
      </c>
      <c r="J76" s="50"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RCC upto 4 Slab</v>
      </c>
      <c r="S76"/>
    </row>
    <row r="77" spans="1:19" x14ac:dyDescent="0.3">
      <c r="A77" s="16" t="s">
        <v>137</v>
      </c>
      <c r="B77" s="47">
        <v>1</v>
      </c>
      <c r="C77" s="47" t="s">
        <v>67</v>
      </c>
      <c r="D77" s="47">
        <v>1</v>
      </c>
      <c r="E77" s="47" t="s">
        <v>66</v>
      </c>
      <c r="F77" s="47">
        <v>8</v>
      </c>
      <c r="G77" s="47" t="s">
        <v>75</v>
      </c>
      <c r="H77" s="17">
        <f ca="1">--TRIM(RIGHT(SUBSTITUTE(LEFT(C76,_xlfn.AGGREGATE(16,6,FIND({0,1,2,3,4,5,6,7,8,9},C76,ROW(INDIRECT("1:"&amp;LEN(C76)))),1))," ",REPT(" ",LEN(C76))),LEN(C76)))</f>
        <v>52</v>
      </c>
      <c r="I77" s="51" t="str">
        <f ca="1">IF(D80=100%,"Excavation","")&amp;IF(D81=100%,", Plinth","")&amp;IF(D82=100%,", RCC Slab","")&amp;IF(D83=100%,", Brickwork","")&amp;IF(D84=100%,", Internal Plaster","")&amp;IF(D85=100%,", External Plaster","")&amp;IF(D86=100%,", Flooring","")&amp;IF(D87=100%,", Painting","")&amp;IF(D88=100%,", Building common Amenities","")</f>
        <v>Excavation, Plinth</v>
      </c>
      <c r="J77" s="52"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x14ac:dyDescent="0.3">
      <c r="A78" s="129" t="s">
        <v>85</v>
      </c>
      <c r="B78" s="130"/>
      <c r="C78" s="162" t="str">
        <f ca="1">I76</f>
        <v>Excavation, Plinth Completed, RCC upto 4 Slab Completed</v>
      </c>
      <c r="D78" s="162"/>
      <c r="E78" s="162"/>
      <c r="F78" s="162"/>
      <c r="G78" s="162"/>
      <c r="H78" s="163"/>
      <c r="I78" s="51" t="str">
        <f ca="1">IF(I77&lt;&gt;""," Completed","")</f>
        <v xml:space="preserve"> Completed</v>
      </c>
      <c r="J78" s="52" t="str">
        <f ca="1">IF(J76&lt;&gt;"","Completed","")</f>
        <v>Completed</v>
      </c>
      <c r="S78"/>
    </row>
    <row r="79" spans="1:19" ht="15.75" customHeight="1" x14ac:dyDescent="0.3">
      <c r="A79" s="145" t="s">
        <v>46</v>
      </c>
      <c r="B79" s="146"/>
      <c r="C79" s="43" t="s">
        <v>134</v>
      </c>
      <c r="D79" s="43" t="s">
        <v>78</v>
      </c>
      <c r="E79" s="146" t="s">
        <v>80</v>
      </c>
      <c r="F79" s="146"/>
      <c r="G79" s="146" t="s">
        <v>79</v>
      </c>
      <c r="H79" s="153"/>
      <c r="I79" s="13" t="s">
        <v>136</v>
      </c>
      <c r="J79" s="28">
        <f ca="1">H77*25%</f>
        <v>13</v>
      </c>
      <c r="S79"/>
    </row>
    <row r="80" spans="1:19" x14ac:dyDescent="0.3">
      <c r="A80" s="145" t="s">
        <v>123</v>
      </c>
      <c r="B80" s="146"/>
      <c r="C80" s="43">
        <f ca="1">J81</f>
        <v>52</v>
      </c>
      <c r="D80" s="19">
        <f ca="1">((100/H77)*C80)/100</f>
        <v>1</v>
      </c>
      <c r="E80" s="183">
        <f ca="1">(((C81/H77*10)+(40/(D77+F77+H77)*C82)+(7.5/(H77)*C83)+(7.5/(H77)*C84)+(10/H77*C85)+(10/H77*C86)+(5/H77*C87)+(5/H77*C88)+(5/H77*C89))/100)</f>
        <v>0.1262295081967213</v>
      </c>
      <c r="F80" s="191"/>
      <c r="G80" s="183">
        <f ca="1">((((C80/H77)*20)+((C81/H77)*25)+(30/(H77+F77+D77)*C82)+(5/H77*C83)+(5/H77*C84)+(5/H77*C85)+(5/H77*C86)+(0/H77*C87)+(0/H77*C88)+(5/H77*C89))/100)</f>
        <v>0.46967213114754097</v>
      </c>
      <c r="H80" s="184"/>
      <c r="I80" s="13" t="s">
        <v>94</v>
      </c>
      <c r="J80" s="29">
        <f ca="1">H77*50%</f>
        <v>26</v>
      </c>
    </row>
    <row r="81" spans="1:19" x14ac:dyDescent="0.3">
      <c r="A81" s="145" t="s">
        <v>47</v>
      </c>
      <c r="B81" s="146"/>
      <c r="C81" s="53">
        <f ca="1">J89</f>
        <v>52</v>
      </c>
      <c r="D81" s="19">
        <f ca="1">((100/H77)*C81)/100</f>
        <v>1</v>
      </c>
      <c r="E81" s="185"/>
      <c r="F81" s="192"/>
      <c r="G81" s="185"/>
      <c r="H81" s="186"/>
      <c r="I81" s="13" t="s">
        <v>95</v>
      </c>
      <c r="J81" s="29">
        <f ca="1">H77</f>
        <v>52</v>
      </c>
      <c r="S81"/>
    </row>
    <row r="82" spans="1:19" ht="15.75" customHeight="1" x14ac:dyDescent="0.3">
      <c r="A82" s="145" t="s">
        <v>124</v>
      </c>
      <c r="B82" s="146"/>
      <c r="C82" s="43">
        <v>4</v>
      </c>
      <c r="D82" s="19">
        <f ca="1">((100/(D77+F77+H77))*C82)/100</f>
        <v>6.5573770491803282E-2</v>
      </c>
      <c r="E82" s="185"/>
      <c r="F82" s="192"/>
      <c r="G82" s="185"/>
      <c r="H82" s="186"/>
      <c r="I82" s="13" t="s">
        <v>96</v>
      </c>
      <c r="J82" s="30">
        <f ca="1">(IF(B77&gt;1,(H77/(B77+2)),H77/4))</f>
        <v>13</v>
      </c>
      <c r="S82"/>
    </row>
    <row r="83" spans="1:19" ht="15.75" customHeight="1" x14ac:dyDescent="0.3">
      <c r="A83" s="145" t="s">
        <v>131</v>
      </c>
      <c r="B83" s="146" t="s">
        <v>125</v>
      </c>
      <c r="C83" s="43">
        <v>0</v>
      </c>
      <c r="D83" s="19">
        <f ca="1">((100/H77)*C83)/100</f>
        <v>0</v>
      </c>
      <c r="E83" s="185"/>
      <c r="F83" s="192"/>
      <c r="G83" s="185"/>
      <c r="H83" s="186"/>
      <c r="I83" s="13" t="s">
        <v>97</v>
      </c>
      <c r="J83" s="30">
        <f ca="1">(IF(B77&gt;1,(H77/(B77+2)+J82),H77/4+J82))</f>
        <v>26</v>
      </c>
    </row>
    <row r="84" spans="1:19" ht="15.75" customHeight="1" x14ac:dyDescent="0.3">
      <c r="A84" s="145" t="s">
        <v>132</v>
      </c>
      <c r="B84" s="146" t="s">
        <v>125</v>
      </c>
      <c r="C84" s="43">
        <v>0</v>
      </c>
      <c r="D84" s="19">
        <f ca="1">((100/H77)*C84)/100</f>
        <v>0</v>
      </c>
      <c r="E84" s="185"/>
      <c r="F84" s="192"/>
      <c r="G84" s="185"/>
      <c r="H84" s="186"/>
      <c r="I84" s="13" t="s">
        <v>141</v>
      </c>
      <c r="J84" s="30">
        <f>(IF(B77&gt;1,(H77/(B77+2)+J83),0))</f>
        <v>0</v>
      </c>
    </row>
    <row r="85" spans="1:19" ht="15" customHeight="1" x14ac:dyDescent="0.3">
      <c r="A85" s="145" t="s">
        <v>130</v>
      </c>
      <c r="B85" s="146" t="s">
        <v>127</v>
      </c>
      <c r="C85" s="43">
        <v>0</v>
      </c>
      <c r="D85" s="19">
        <f ca="1">((100/(H77))*C85)/100</f>
        <v>0</v>
      </c>
      <c r="E85" s="185"/>
      <c r="F85" s="192"/>
      <c r="G85" s="185"/>
      <c r="H85" s="186"/>
      <c r="I85" s="13" t="s">
        <v>138</v>
      </c>
      <c r="J85" s="30">
        <f>(IF(B77&gt;2,(H77/(B77+2)+J84),0))</f>
        <v>0</v>
      </c>
    </row>
    <row r="86" spans="1:19" ht="15.75" customHeight="1" x14ac:dyDescent="0.3">
      <c r="A86" s="145" t="s">
        <v>126</v>
      </c>
      <c r="B86" s="146" t="s">
        <v>126</v>
      </c>
      <c r="C86" s="43">
        <v>0</v>
      </c>
      <c r="D86" s="19">
        <f ca="1">((100/H77)*C86)/100</f>
        <v>0</v>
      </c>
      <c r="E86" s="185"/>
      <c r="F86" s="192"/>
      <c r="G86" s="185"/>
      <c r="H86" s="186"/>
      <c r="I86" s="13" t="s">
        <v>139</v>
      </c>
      <c r="J86" s="31">
        <f>(IF(B77&gt;3,(H77/(B77+2)+J85),0))</f>
        <v>0</v>
      </c>
    </row>
    <row r="87" spans="1:19" ht="15.75" customHeight="1" x14ac:dyDescent="0.3">
      <c r="A87" s="145" t="s">
        <v>133</v>
      </c>
      <c r="B87" s="146"/>
      <c r="C87" s="43">
        <v>0</v>
      </c>
      <c r="D87" s="19">
        <f ca="1">((100/H77)*C87)/100</f>
        <v>0</v>
      </c>
      <c r="E87" s="185"/>
      <c r="F87" s="192"/>
      <c r="G87" s="185"/>
      <c r="H87" s="186"/>
      <c r="I87" s="13" t="s">
        <v>140</v>
      </c>
      <c r="J87" s="30">
        <f>(IF(B77&gt;4,(H77/(B77+2)+J86),0))</f>
        <v>0</v>
      </c>
    </row>
    <row r="88" spans="1:19" ht="15.75" customHeight="1" x14ac:dyDescent="0.3">
      <c r="A88" s="145" t="s">
        <v>128</v>
      </c>
      <c r="B88" s="146" t="s">
        <v>128</v>
      </c>
      <c r="C88" s="43">
        <v>0</v>
      </c>
      <c r="D88" s="19">
        <f ca="1">((100/(H77))*C88)/100</f>
        <v>0</v>
      </c>
      <c r="E88" s="185"/>
      <c r="F88" s="192"/>
      <c r="G88" s="185"/>
      <c r="H88" s="186"/>
      <c r="I88" s="13" t="s">
        <v>142</v>
      </c>
      <c r="J88" s="30">
        <f ca="1">(IF(B77=1,(H77/(B77+3)+J83),IF(B77=0,(H77/4+J83),IF(B77&gt;1,0))))</f>
        <v>39</v>
      </c>
    </row>
    <row r="89" spans="1:19" ht="16.2" thickBot="1" x14ac:dyDescent="0.35">
      <c r="A89" s="194" t="s">
        <v>129</v>
      </c>
      <c r="B89" s="195"/>
      <c r="C89" s="44">
        <v>0</v>
      </c>
      <c r="D89" s="20">
        <f ca="1">((100/(H77))*C89)/100</f>
        <v>0</v>
      </c>
      <c r="E89" s="187"/>
      <c r="F89" s="193"/>
      <c r="G89" s="187"/>
      <c r="H89" s="188"/>
      <c r="I89" s="15" t="s">
        <v>98</v>
      </c>
      <c r="J89" s="32">
        <f ca="1">(IF(B77&gt;1.5,(H77/(B77+2)+J83+MAX(0,J84-J83)+MAX(0,J85-J84)+MAX(0,J86-J85)+MAX(0,J87-J86)+MAX(0,J88-J87)),IF(B77=1,(H77/(B77+3)+J88),IF(B77=0,H77/4+J88))))</f>
        <v>52</v>
      </c>
    </row>
    <row r="90" spans="1:19" ht="35.25" customHeight="1" x14ac:dyDescent="0.3">
      <c r="A90" s="148" t="s">
        <v>135</v>
      </c>
      <c r="B90" s="149"/>
      <c r="C90" s="158" t="s">
        <v>382</v>
      </c>
      <c r="D90" s="159"/>
      <c r="E90" s="159"/>
      <c r="F90" s="159"/>
      <c r="G90" s="159"/>
      <c r="H90" s="160"/>
      <c r="I90" s="49" t="str">
        <f ca="1">IF(D103=100%,"All work Completed. Possession granted to the Building.",IF(D102=100%,"All work Completed, Waiting for OC",I91&amp;""&amp;I92&amp;""&amp;J91&amp;""&amp;J90&amp;" "&amp;J92))</f>
        <v>Excavation, Plinth Completed, RCC upto 1 Slab Completed</v>
      </c>
      <c r="J90" s="50"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RCC upto 1 Slab</v>
      </c>
      <c r="S90"/>
    </row>
    <row r="91" spans="1:19" x14ac:dyDescent="0.3">
      <c r="A91" s="16" t="s">
        <v>137</v>
      </c>
      <c r="B91" s="47">
        <v>1</v>
      </c>
      <c r="C91" s="47" t="s">
        <v>67</v>
      </c>
      <c r="D91" s="47">
        <v>1</v>
      </c>
      <c r="E91" s="47" t="s">
        <v>66</v>
      </c>
      <c r="F91" s="47">
        <v>8</v>
      </c>
      <c r="G91" s="47" t="s">
        <v>75</v>
      </c>
      <c r="H91" s="17">
        <f ca="1">--TRIM(RIGHT(SUBSTITUTE(LEFT(C90,_xlfn.AGGREGATE(16,6,FIND({0,1,2,3,4,5,6,7,8,9},C90,ROW(INDIRECT("1:"&amp;LEN(C90)))),1))," ",REPT(" ",LEN(C90))),LEN(C90)))</f>
        <v>52</v>
      </c>
      <c r="I91" s="51" t="str">
        <f ca="1">IF(D94=100%,"Excavation","")&amp;IF(D95=100%,", Plinth","")&amp;IF(D96=100%,", RCC Slab","")&amp;IF(D97=100%,", Brickwork","")&amp;IF(D98=100%,", Internal Plaster","")&amp;IF(D99=100%,", External Plaster","")&amp;IF(D100=100%,", Flooring","")&amp;IF(D101=100%,", Painting","")&amp;IF(D102=100%,", Building common Amenities","")</f>
        <v>Excavation, Plinth</v>
      </c>
      <c r="J91" s="52"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x14ac:dyDescent="0.3">
      <c r="A92" s="129" t="s">
        <v>85</v>
      </c>
      <c r="B92" s="130"/>
      <c r="C92" s="162" t="str">
        <f ca="1">I90</f>
        <v>Excavation, Plinth Completed, RCC upto 1 Slab Completed</v>
      </c>
      <c r="D92" s="162"/>
      <c r="E92" s="162"/>
      <c r="F92" s="162"/>
      <c r="G92" s="162"/>
      <c r="H92" s="163"/>
      <c r="I92" s="51" t="str">
        <f ca="1">IF(I91&lt;&gt;""," Completed","")</f>
        <v xml:space="preserve"> Completed</v>
      </c>
      <c r="J92" s="52" t="str">
        <f ca="1">IF(J90&lt;&gt;"","Completed","")</f>
        <v>Completed</v>
      </c>
      <c r="S92"/>
    </row>
    <row r="93" spans="1:19" ht="15.75" customHeight="1" x14ac:dyDescent="0.3">
      <c r="A93" s="145" t="s">
        <v>46</v>
      </c>
      <c r="B93" s="146"/>
      <c r="C93" s="43" t="s">
        <v>134</v>
      </c>
      <c r="D93" s="43" t="s">
        <v>78</v>
      </c>
      <c r="E93" s="146" t="s">
        <v>80</v>
      </c>
      <c r="F93" s="146"/>
      <c r="G93" s="146" t="s">
        <v>79</v>
      </c>
      <c r="H93" s="153"/>
      <c r="I93" s="13" t="s">
        <v>136</v>
      </c>
      <c r="J93" s="28">
        <f ca="1">H91*25%</f>
        <v>13</v>
      </c>
      <c r="S93"/>
    </row>
    <row r="94" spans="1:19" x14ac:dyDescent="0.3">
      <c r="A94" s="145" t="s">
        <v>123</v>
      </c>
      <c r="B94" s="146"/>
      <c r="C94" s="43">
        <f ca="1">J95</f>
        <v>52</v>
      </c>
      <c r="D94" s="19">
        <f ca="1">((100/H91)*C94)/100</f>
        <v>1</v>
      </c>
      <c r="E94" s="183">
        <f ca="1">(((C95/H91*10)+(40/(D91+F91+H91)*C96)+(7.5/(H91)*C97)+(7.5/(H91)*C98)+(10/H91*C99)+(10/H91*C100)+(5/H91*C101)+(5/H91*C102)+(5/H91*C103))/100)</f>
        <v>0.10655737704918034</v>
      </c>
      <c r="F94" s="191"/>
      <c r="G94" s="183">
        <f ca="1">((((C94/H91)*20)+((C95/H91)*25)+(30/(H91+F91+D91)*C96)+(5/H91*C97)+(5/H91*C98)+(5/H91*C99)+(5/H91*C100)+(0/H91*C101)+(0/H91*C102)+(5/H91*C103))/100)</f>
        <v>0.4549180327868852</v>
      </c>
      <c r="H94" s="184"/>
      <c r="I94" s="13" t="s">
        <v>94</v>
      </c>
      <c r="J94" s="29">
        <f ca="1">H91*50%</f>
        <v>26</v>
      </c>
    </row>
    <row r="95" spans="1:19" x14ac:dyDescent="0.3">
      <c r="A95" s="145" t="s">
        <v>47</v>
      </c>
      <c r="B95" s="146"/>
      <c r="C95" s="53">
        <f ca="1">J103</f>
        <v>52</v>
      </c>
      <c r="D95" s="19">
        <f ca="1">((100/H91)*C95)/100</f>
        <v>1</v>
      </c>
      <c r="E95" s="185"/>
      <c r="F95" s="192"/>
      <c r="G95" s="185"/>
      <c r="H95" s="186"/>
      <c r="I95" s="13" t="s">
        <v>95</v>
      </c>
      <c r="J95" s="29">
        <f ca="1">H91</f>
        <v>52</v>
      </c>
      <c r="S95"/>
    </row>
    <row r="96" spans="1:19" ht="15.75" customHeight="1" x14ac:dyDescent="0.3">
      <c r="A96" s="145" t="s">
        <v>124</v>
      </c>
      <c r="B96" s="146"/>
      <c r="C96" s="43">
        <v>1</v>
      </c>
      <c r="D96" s="19">
        <f ca="1">((100/(D91+F91+H91))*C96)/100</f>
        <v>1.6393442622950821E-2</v>
      </c>
      <c r="E96" s="185"/>
      <c r="F96" s="192"/>
      <c r="G96" s="185"/>
      <c r="H96" s="186"/>
      <c r="I96" s="13" t="s">
        <v>96</v>
      </c>
      <c r="J96" s="30">
        <f ca="1">(IF(B91&gt;1,(H91/(B91+2)),H91/4))</f>
        <v>13</v>
      </c>
      <c r="S96"/>
    </row>
    <row r="97" spans="1:10" ht="15.75" customHeight="1" x14ac:dyDescent="0.3">
      <c r="A97" s="145" t="s">
        <v>131</v>
      </c>
      <c r="B97" s="146" t="s">
        <v>125</v>
      </c>
      <c r="C97" s="43">
        <v>0</v>
      </c>
      <c r="D97" s="19">
        <f ca="1">((100/H91)*C97)/100</f>
        <v>0</v>
      </c>
      <c r="E97" s="185"/>
      <c r="F97" s="192"/>
      <c r="G97" s="185"/>
      <c r="H97" s="186"/>
      <c r="I97" s="13" t="s">
        <v>97</v>
      </c>
      <c r="J97" s="30">
        <f ca="1">(IF(B91&gt;1,(H91/(B91+2)+J96),H91/4+J96))</f>
        <v>26</v>
      </c>
    </row>
    <row r="98" spans="1:10" ht="15.75" customHeight="1" x14ac:dyDescent="0.3">
      <c r="A98" s="145" t="s">
        <v>132</v>
      </c>
      <c r="B98" s="146" t="s">
        <v>125</v>
      </c>
      <c r="C98" s="43">
        <v>0</v>
      </c>
      <c r="D98" s="19">
        <f ca="1">((100/H91)*C98)/100</f>
        <v>0</v>
      </c>
      <c r="E98" s="185"/>
      <c r="F98" s="192"/>
      <c r="G98" s="185"/>
      <c r="H98" s="186"/>
      <c r="I98" s="13" t="s">
        <v>141</v>
      </c>
      <c r="J98" s="30">
        <f>(IF(B91&gt;1,(H91/(B91+2)+J97),0))</f>
        <v>0</v>
      </c>
    </row>
    <row r="99" spans="1:10" ht="15" customHeight="1" x14ac:dyDescent="0.3">
      <c r="A99" s="145" t="s">
        <v>130</v>
      </c>
      <c r="B99" s="146" t="s">
        <v>127</v>
      </c>
      <c r="C99" s="43">
        <v>0</v>
      </c>
      <c r="D99" s="19">
        <f ca="1">((100/(H91))*C99)/100</f>
        <v>0</v>
      </c>
      <c r="E99" s="185"/>
      <c r="F99" s="192"/>
      <c r="G99" s="185"/>
      <c r="H99" s="186"/>
      <c r="I99" s="13" t="s">
        <v>138</v>
      </c>
      <c r="J99" s="30">
        <f>(IF(B91&gt;2,(H91/(B91+2)+J98),0))</f>
        <v>0</v>
      </c>
    </row>
    <row r="100" spans="1:10" ht="15.75" customHeight="1" x14ac:dyDescent="0.3">
      <c r="A100" s="145" t="s">
        <v>126</v>
      </c>
      <c r="B100" s="146" t="s">
        <v>126</v>
      </c>
      <c r="C100" s="43">
        <v>0</v>
      </c>
      <c r="D100" s="19">
        <f ca="1">((100/H91)*C100)/100</f>
        <v>0</v>
      </c>
      <c r="E100" s="185"/>
      <c r="F100" s="192"/>
      <c r="G100" s="185"/>
      <c r="H100" s="186"/>
      <c r="I100" s="13" t="s">
        <v>139</v>
      </c>
      <c r="J100" s="31">
        <f>(IF(B91&gt;3,(H91/(B91+2)+J99),0))</f>
        <v>0</v>
      </c>
    </row>
    <row r="101" spans="1:10" ht="15.75" customHeight="1" x14ac:dyDescent="0.3">
      <c r="A101" s="145" t="s">
        <v>133</v>
      </c>
      <c r="B101" s="146"/>
      <c r="C101" s="43">
        <v>0</v>
      </c>
      <c r="D101" s="19">
        <f ca="1">((100/H91)*C101)/100</f>
        <v>0</v>
      </c>
      <c r="E101" s="185"/>
      <c r="F101" s="192"/>
      <c r="G101" s="185"/>
      <c r="H101" s="186"/>
      <c r="I101" s="13" t="s">
        <v>140</v>
      </c>
      <c r="J101" s="30">
        <f>(IF(B91&gt;4,(H91/(B91+2)+J100),0))</f>
        <v>0</v>
      </c>
    </row>
    <row r="102" spans="1:10" ht="15.75" customHeight="1" x14ac:dyDescent="0.3">
      <c r="A102" s="145" t="s">
        <v>128</v>
      </c>
      <c r="B102" s="146" t="s">
        <v>128</v>
      </c>
      <c r="C102" s="43">
        <v>0</v>
      </c>
      <c r="D102" s="19">
        <f ca="1">((100/(H91))*C102)/100</f>
        <v>0</v>
      </c>
      <c r="E102" s="185"/>
      <c r="F102" s="192"/>
      <c r="G102" s="185"/>
      <c r="H102" s="186"/>
      <c r="I102" s="13" t="s">
        <v>142</v>
      </c>
      <c r="J102" s="30">
        <f ca="1">(IF(B91=1,(H91/(B91+3)+J97),IF(B91=0,(H91/4+J97),IF(B91&gt;1,0))))</f>
        <v>39</v>
      </c>
    </row>
    <row r="103" spans="1:10" ht="16.2" thickBot="1" x14ac:dyDescent="0.35">
      <c r="A103" s="194" t="s">
        <v>129</v>
      </c>
      <c r="B103" s="195"/>
      <c r="C103" s="44">
        <v>0</v>
      </c>
      <c r="D103" s="20">
        <f ca="1">((100/(H91))*C103)/100</f>
        <v>0</v>
      </c>
      <c r="E103" s="187"/>
      <c r="F103" s="193"/>
      <c r="G103" s="187"/>
      <c r="H103" s="188"/>
      <c r="I103" s="15" t="s">
        <v>98</v>
      </c>
      <c r="J103" s="32">
        <f ca="1">(IF(B91&gt;1.5,(H91/(B91+2)+J97+MAX(0,J98-J97)+MAX(0,J99-J98)+MAX(0,J100-J99)+MAX(0,J101-J100)+MAX(0,J102-J101)),IF(B91=1,(H91/(B91+3)+J102),IF(B91=0,H91/4+J102))))</f>
        <v>52</v>
      </c>
    </row>
    <row r="104" spans="1:10" ht="35.25" hidden="1" customHeight="1" x14ac:dyDescent="0.3">
      <c r="A104" s="148" t="s">
        <v>135</v>
      </c>
      <c r="B104" s="149"/>
      <c r="C104" s="150" t="str">
        <f>D67</f>
        <v>Wing 2 = LG + UG + P1 + P2 to P6/Pt Resi. + P7 Top/Pt Resi. + 8th Service Floor + 9th to 52nd Floor</v>
      </c>
      <c r="D104" s="151"/>
      <c r="E104" s="151"/>
      <c r="F104" s="151"/>
      <c r="G104" s="151"/>
      <c r="H104" s="152"/>
      <c r="I104" s="49" t="str">
        <f ca="1">IF(D117=100%,"All work Completed. Possession granted to the Building.",IF(D116=100%,"All work Completed, Waiting for OC",I105&amp;""&amp;I106&amp;""&amp;J105&amp;""&amp;J104&amp;" "&amp;J106))</f>
        <v xml:space="preserve">Excavation Completed, Plinth work is process </v>
      </c>
      <c r="J104" s="50"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row>
    <row r="105" spans="1:10" hidden="1" x14ac:dyDescent="0.3">
      <c r="A105" s="16" t="s">
        <v>137</v>
      </c>
      <c r="B105" s="47">
        <f>IF(AND(ISNUMBER(SEARCH("1B",C104))),1,IF(AND(ISNUMBER(SEARCH("2B",C104))),2,IF(AND(ISNUMBER(SEARCH("3B",C104))),3,IF(AND(ISNUMBER(SEARCH("4B",C104))),4,IF(ISNUMBER(SEARCH("5B",C104)),5,0)))))</f>
        <v>0</v>
      </c>
      <c r="C105" s="47" t="s">
        <v>67</v>
      </c>
      <c r="D105" s="47">
        <v>1</v>
      </c>
      <c r="E105" s="47" t="s">
        <v>66</v>
      </c>
      <c r="F105" s="47">
        <v>0</v>
      </c>
      <c r="G105" s="48" t="s">
        <v>75</v>
      </c>
      <c r="H105" s="17">
        <f ca="1">--TRIM(RIGHT(SUBSTITUTE(LEFT(C104,_xlfn.AGGREGATE(16,6,FIND({0,1,2,3,4,5,6,7,8,9},C104,ROW(INDIRECT("1:"&amp;LEN(C104)))),1))," ",REPT(" ",LEN(C104))),LEN(C104)))</f>
        <v>52</v>
      </c>
      <c r="I105" s="51" t="str">
        <f ca="1">IF(D108=100%,"Excavation","")&amp;IF(D109=100%,", Plinth","")&amp;IF(D110=100%,", RCC Slab","")&amp;IF(D111=100%,", Brickwork","")&amp;IF(D112=100%,", Internal Plaster","")&amp;IF(D113=100%,", External Plaster","")&amp;IF(D114=100%,", Flooring","")&amp;IF(D115=100%,", Painting","")&amp;IF(D116=100%,", Building common Amenities","")</f>
        <v>Excavation</v>
      </c>
      <c r="J105" s="52"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Plinth work is process</v>
      </c>
    </row>
    <row r="106" spans="1:10" hidden="1" x14ac:dyDescent="0.3">
      <c r="A106" s="129" t="s">
        <v>85</v>
      </c>
      <c r="B106" s="130"/>
      <c r="C106" s="162" t="str">
        <f ca="1">(IF($G$61="NA",I104,"All work Completed. OC Received."))</f>
        <v xml:space="preserve">Excavation Completed, Plinth work is process </v>
      </c>
      <c r="D106" s="162"/>
      <c r="E106" s="162"/>
      <c r="F106" s="162"/>
      <c r="G106" s="162"/>
      <c r="H106" s="163"/>
      <c r="I106" s="51" t="str">
        <f ca="1">IF(I105&lt;&gt;""," Completed","")</f>
        <v xml:space="preserve"> Completed</v>
      </c>
      <c r="J106" s="52" t="str">
        <f ca="1">IF(J104&lt;&gt;"","Completed","")</f>
        <v/>
      </c>
    </row>
    <row r="107" spans="1:10" ht="15.75" hidden="1" customHeight="1" x14ac:dyDescent="0.3">
      <c r="A107" s="145" t="s">
        <v>46</v>
      </c>
      <c r="B107" s="146"/>
      <c r="C107" s="43" t="s">
        <v>134</v>
      </c>
      <c r="D107" s="43" t="s">
        <v>78</v>
      </c>
      <c r="E107" s="146" t="s">
        <v>80</v>
      </c>
      <c r="F107" s="146"/>
      <c r="G107" s="146" t="s">
        <v>79</v>
      </c>
      <c r="H107" s="153"/>
      <c r="I107" s="13" t="s">
        <v>136</v>
      </c>
      <c r="J107" s="28">
        <f ca="1">H105*25%</f>
        <v>13</v>
      </c>
    </row>
    <row r="108" spans="1:10" hidden="1" x14ac:dyDescent="0.3">
      <c r="A108" s="145" t="s">
        <v>123</v>
      </c>
      <c r="B108" s="146"/>
      <c r="C108" s="43">
        <f ca="1">J109</f>
        <v>52</v>
      </c>
      <c r="D108" s="19">
        <f ca="1">((100/H105)*C108)/100</f>
        <v>1</v>
      </c>
      <c r="E108" s="183">
        <f ca="1">(((C109/H105*10)+(40/(D105+F105+H105)*C110)+(7.5/(H105)*C111)+(7.5/(H105)*C112)+(10/H105*C113)+(10/H105*C114)+(5/H105*C115)+(5/H105*C116)+(5/H105*C117))/100)</f>
        <v>7.4999999999999997E-2</v>
      </c>
      <c r="F108" s="191"/>
      <c r="G108" s="183">
        <f ca="1">((((C108/H105)*20)+((C109/H105)*25)+(30/(H105+F105+D105)*C110)+(5/H105*C111)+(5/H105*C112)+(5/H105*C113)+(5/H105*C114)+(0/H105*C115)+(0/H105*C116)+(5/H105*C117))/100)</f>
        <v>0.38750000000000001</v>
      </c>
      <c r="H108" s="184"/>
      <c r="I108" s="13" t="s">
        <v>94</v>
      </c>
      <c r="J108" s="29">
        <f ca="1">H105*50%</f>
        <v>26</v>
      </c>
    </row>
    <row r="109" spans="1:10" hidden="1" x14ac:dyDescent="0.3">
      <c r="A109" s="145" t="s">
        <v>47</v>
      </c>
      <c r="B109" s="146"/>
      <c r="C109" s="53">
        <f ca="1">J116</f>
        <v>39</v>
      </c>
      <c r="D109" s="19">
        <f ca="1">((100/H105)*C109)/100</f>
        <v>0.75</v>
      </c>
      <c r="E109" s="185"/>
      <c r="F109" s="192"/>
      <c r="G109" s="185"/>
      <c r="H109" s="186"/>
      <c r="I109" s="13" t="s">
        <v>95</v>
      </c>
      <c r="J109" s="29">
        <f ca="1">H105</f>
        <v>52</v>
      </c>
    </row>
    <row r="110" spans="1:10" ht="15.75" hidden="1" customHeight="1" x14ac:dyDescent="0.3">
      <c r="A110" s="145" t="s">
        <v>124</v>
      </c>
      <c r="B110" s="146"/>
      <c r="C110" s="43">
        <v>0</v>
      </c>
      <c r="D110" s="19">
        <f ca="1">((100/(D105+F105+H105))*C110)/100</f>
        <v>0</v>
      </c>
      <c r="E110" s="185"/>
      <c r="F110" s="192"/>
      <c r="G110" s="185"/>
      <c r="H110" s="186"/>
      <c r="I110" s="13" t="s">
        <v>96</v>
      </c>
      <c r="J110" s="30">
        <f ca="1">(IF(B105&gt;1,(H105/(B105+2)),H105/4))</f>
        <v>13</v>
      </c>
    </row>
    <row r="111" spans="1:10" ht="15.75" hidden="1" customHeight="1" x14ac:dyDescent="0.3">
      <c r="A111" s="145" t="s">
        <v>131</v>
      </c>
      <c r="B111" s="146" t="s">
        <v>125</v>
      </c>
      <c r="C111" s="43">
        <v>0</v>
      </c>
      <c r="D111" s="19">
        <f ca="1">((100/H105)*C111)/100</f>
        <v>0</v>
      </c>
      <c r="E111" s="185"/>
      <c r="F111" s="192"/>
      <c r="G111" s="185"/>
      <c r="H111" s="186"/>
      <c r="I111" s="13" t="s">
        <v>97</v>
      </c>
      <c r="J111" s="30">
        <f ca="1">(IF(B105&gt;1,(H105/(B105+2)+J110),H105/4+J110))</f>
        <v>26</v>
      </c>
    </row>
    <row r="112" spans="1:10" ht="15.75" hidden="1" customHeight="1" x14ac:dyDescent="0.3">
      <c r="A112" s="145" t="s">
        <v>132</v>
      </c>
      <c r="B112" s="146" t="s">
        <v>125</v>
      </c>
      <c r="C112" s="43">
        <v>0</v>
      </c>
      <c r="D112" s="19">
        <f ca="1">((100/H105)*C112)/100</f>
        <v>0</v>
      </c>
      <c r="E112" s="185"/>
      <c r="F112" s="192"/>
      <c r="G112" s="185"/>
      <c r="H112" s="186"/>
      <c r="I112" s="13" t="s">
        <v>141</v>
      </c>
      <c r="J112" s="30">
        <f>(IF(B105&gt;1,(H105/(B105+2)+J111),0))</f>
        <v>0</v>
      </c>
    </row>
    <row r="113" spans="1:10" ht="15" hidden="1" customHeight="1" x14ac:dyDescent="0.3">
      <c r="A113" s="145" t="s">
        <v>130</v>
      </c>
      <c r="B113" s="146" t="s">
        <v>127</v>
      </c>
      <c r="C113" s="43">
        <v>0</v>
      </c>
      <c r="D113" s="19">
        <f ca="1">((100/(H105))*C113)/100</f>
        <v>0</v>
      </c>
      <c r="E113" s="185"/>
      <c r="F113" s="192"/>
      <c r="G113" s="185"/>
      <c r="H113" s="186"/>
      <c r="I113" s="13" t="s">
        <v>138</v>
      </c>
      <c r="J113" s="30">
        <f>(IF(B105&gt;2,(H105/(B105+2)+J112),0))</f>
        <v>0</v>
      </c>
    </row>
    <row r="114" spans="1:10" ht="15.75" hidden="1" customHeight="1" x14ac:dyDescent="0.3">
      <c r="A114" s="145" t="s">
        <v>126</v>
      </c>
      <c r="B114" s="146" t="s">
        <v>126</v>
      </c>
      <c r="C114" s="43">
        <v>0</v>
      </c>
      <c r="D114" s="19">
        <f ca="1">((100/H105)*C114)/100</f>
        <v>0</v>
      </c>
      <c r="E114" s="185"/>
      <c r="F114" s="192"/>
      <c r="G114" s="185"/>
      <c r="H114" s="186"/>
      <c r="I114" s="13" t="s">
        <v>139</v>
      </c>
      <c r="J114" s="31">
        <f>(IF(B105&gt;3,(H105/(B105+2)+J113),0))</f>
        <v>0</v>
      </c>
    </row>
    <row r="115" spans="1:10" ht="15.75" hidden="1" customHeight="1" x14ac:dyDescent="0.3">
      <c r="A115" s="145" t="s">
        <v>133</v>
      </c>
      <c r="B115" s="146"/>
      <c r="C115" s="43">
        <v>0</v>
      </c>
      <c r="D115" s="19">
        <f ca="1">((100/H105)*C115)/100</f>
        <v>0</v>
      </c>
      <c r="E115" s="185"/>
      <c r="F115" s="192"/>
      <c r="G115" s="185"/>
      <c r="H115" s="186"/>
      <c r="I115" s="13" t="s">
        <v>140</v>
      </c>
      <c r="J115" s="30">
        <f>(IF(B105&gt;4,(H105/(B105+2)+J114),0))</f>
        <v>0</v>
      </c>
    </row>
    <row r="116" spans="1:10" ht="15.75" hidden="1" customHeight="1" x14ac:dyDescent="0.3">
      <c r="A116" s="145" t="s">
        <v>128</v>
      </c>
      <c r="B116" s="146" t="s">
        <v>128</v>
      </c>
      <c r="C116" s="43">
        <v>0</v>
      </c>
      <c r="D116" s="19">
        <f ca="1">((100/(H105))*C116)/100</f>
        <v>0</v>
      </c>
      <c r="E116" s="185"/>
      <c r="F116" s="192"/>
      <c r="G116" s="185"/>
      <c r="H116" s="186"/>
      <c r="I116" s="13" t="s">
        <v>142</v>
      </c>
      <c r="J116" s="30">
        <f ca="1">(IF(B105=1,(H105/(B105+3)+J111),IF(B105=0,(H105/4+J111),IF(B105&gt;1,0))))</f>
        <v>39</v>
      </c>
    </row>
    <row r="117" spans="1:10" ht="16.2" hidden="1" thickBot="1" x14ac:dyDescent="0.35">
      <c r="A117" s="194" t="s">
        <v>129</v>
      </c>
      <c r="B117" s="195"/>
      <c r="C117" s="44">
        <v>0</v>
      </c>
      <c r="D117" s="20">
        <f ca="1">((100/(H105))*C117)/100</f>
        <v>0</v>
      </c>
      <c r="E117" s="187"/>
      <c r="F117" s="193"/>
      <c r="G117" s="187"/>
      <c r="H117" s="188"/>
      <c r="I117" s="15" t="s">
        <v>98</v>
      </c>
      <c r="J117" s="32">
        <f ca="1">(IF(B105&gt;1.5,(H105/(B105+2)+J111+MAX(0,J112-J111)+MAX(0,J113-J112)+MAX(0,J114-J113)+MAX(0,J115-J114)+MAX(0,J116-J115)),IF(B105=1,(H105/(B105+3)+J116),IF(B105=0,H105/4+J116))))</f>
        <v>52</v>
      </c>
    </row>
    <row r="118" spans="1:10" ht="15.75" hidden="1" customHeight="1" x14ac:dyDescent="0.3">
      <c r="A118" s="148" t="s">
        <v>135</v>
      </c>
      <c r="B118" s="149"/>
      <c r="C118" s="150" t="str">
        <f>D68</f>
        <v>C Wing = 1B + G + 1st to 20th Floor</v>
      </c>
      <c r="D118" s="151"/>
      <c r="E118" s="151"/>
      <c r="F118" s="151"/>
      <c r="G118" s="151"/>
      <c r="H118" s="152"/>
      <c r="I118" s="49" t="str">
        <f ca="1">IF(D131=100%,"All work Completed. Possession granted to the Building.",IF(D130=100%,"All work Completed, Waiting for OC",I119&amp;""&amp;I120&amp;""&amp;J119&amp;""&amp;J118&amp;" "&amp;J120))</f>
        <v xml:space="preserve">Excavation, Plinth, RCC Slab Completed </v>
      </c>
      <c r="J118" s="50"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c>
    </row>
    <row r="119" spans="1:10" hidden="1" x14ac:dyDescent="0.3">
      <c r="A119" s="16" t="s">
        <v>137</v>
      </c>
      <c r="B119" s="47">
        <f>IF(AND(ISNUMBER(SEARCH("1B",C118))),1,IF(AND(ISNUMBER(SEARCH("2B",C118))),2,IF(AND(ISNUMBER(SEARCH("3B",C118))),3,IF(AND(ISNUMBER(SEARCH("4B",C118))),4,IF(ISNUMBER(SEARCH("5B",C118)),5,0)))))</f>
        <v>1</v>
      </c>
      <c r="C119" s="47" t="s">
        <v>67</v>
      </c>
      <c r="D119" s="47">
        <v>1</v>
      </c>
      <c r="E119" s="47" t="s">
        <v>66</v>
      </c>
      <c r="F119" s="14">
        <v>0</v>
      </c>
      <c r="G119" s="48" t="s">
        <v>75</v>
      </c>
      <c r="H119" s="17">
        <f ca="1">--TRIM(RIGHT(SUBSTITUTE(LEFT(C118,_xlfn.AGGREGATE(16,6,FIND({0,1,2,3,4,5,6,7,8,9},C118,ROW(INDIRECT("1:"&amp;LEN(C118)))),1))," ",REPT(" ",LEN(C118))),LEN(C118)))</f>
        <v>20</v>
      </c>
      <c r="I119" s="51" t="str">
        <f ca="1">IF(D122=100%,"Excavation","")&amp;IF(D123=100%,", Plinth","")&amp;IF(D124=100%,", RCC Slab","")&amp;IF(D125=100%,", Brickwork","")&amp;IF(D126=100%,", Internal Plaster","")&amp;IF(D127=100%,", External Plaster","")&amp;IF(D128=100%,", Flooring","")&amp;IF(D129=100%,", Painting","")&amp;IF(D130=100%,", Building common Amenities","")</f>
        <v>Excavation, Plinth, RCC Slab</v>
      </c>
      <c r="J119" s="52" t="str">
        <f ca="1">(IF(C122=0,"Work not yet Started.",IF(D122=25%,"Piling work in process",IF(D122=50%,"Excavation work in process",IF(D122=100%,"","0")))))&amp;(IF(C123=0%,"",IF(C123=J124,", Footing work is process",IF(C123=J125,", Footing work Completed",IF(C123=J126,", 1st Basement Completed",IF(C123=J127,", 1st &amp; 2nd Basement Completed",IF(C123=J128,", 1st to 3rd Basement Completed",IF(C123=J129,", 1st to 4th Basement Completed",IF(C123=J130,", Plinth work is process",IF(C123=J131,"","0"))))))))))</f>
        <v/>
      </c>
    </row>
    <row r="120" spans="1:10" hidden="1" x14ac:dyDescent="0.3">
      <c r="A120" s="129" t="s">
        <v>85</v>
      </c>
      <c r="B120" s="130"/>
      <c r="C120" s="162" t="str">
        <f ca="1">(IF($G$61="NA",I118,"All work Completed. OC Received."))</f>
        <v xml:space="preserve">Excavation, Plinth, RCC Slab Completed </v>
      </c>
      <c r="D120" s="162"/>
      <c r="E120" s="162"/>
      <c r="F120" s="162"/>
      <c r="G120" s="162"/>
      <c r="H120" s="163"/>
      <c r="I120" s="51" t="str">
        <f ca="1">IF(I119&lt;&gt;""," Completed","")</f>
        <v xml:space="preserve"> Completed</v>
      </c>
      <c r="J120" s="52" t="str">
        <f ca="1">IF(J118&lt;&gt;"","Completed","")</f>
        <v/>
      </c>
    </row>
    <row r="121" spans="1:10" ht="15.75" hidden="1" customHeight="1" x14ac:dyDescent="0.3">
      <c r="A121" s="145" t="s">
        <v>46</v>
      </c>
      <c r="B121" s="146"/>
      <c r="C121" s="43" t="s">
        <v>134</v>
      </c>
      <c r="D121" s="43" t="s">
        <v>78</v>
      </c>
      <c r="E121" s="146" t="s">
        <v>80</v>
      </c>
      <c r="F121" s="146"/>
      <c r="G121" s="146" t="s">
        <v>79</v>
      </c>
      <c r="H121" s="153"/>
      <c r="I121" s="13" t="s">
        <v>136</v>
      </c>
      <c r="J121" s="28">
        <f ca="1">H119*25%</f>
        <v>5</v>
      </c>
    </row>
    <row r="122" spans="1:10" hidden="1" x14ac:dyDescent="0.3">
      <c r="A122" s="145" t="s">
        <v>123</v>
      </c>
      <c r="B122" s="146"/>
      <c r="C122" s="43">
        <f ca="1">J123</f>
        <v>20</v>
      </c>
      <c r="D122" s="19">
        <f ca="1">((100/H119)*C122)/100</f>
        <v>1</v>
      </c>
      <c r="E122" s="183">
        <f ca="1">(((C123/H119*10)+(40/(D119+F119+H119)*C124)+(7.5/(H119)*C125)+(7.5/(H119)*C126)+(10/H119*C127)+(10/H119*C128)+(5/H119*C129)+(5/H119*C130)+(5/H119*C131))/100)</f>
        <v>0.5</v>
      </c>
      <c r="F122" s="191"/>
      <c r="G122" s="183">
        <f ca="1">((((C122/H119)*20)+((C123/H119)*25)+(30/(H119+F119+D119)*C124)+(5/H119*C125)+(5/H119*C126)+(5/H119*C127)+(5/H119*C128)+(0/H119*C129)+(0/H119*C130)+(5/H119*C131))/100)</f>
        <v>0.75</v>
      </c>
      <c r="H122" s="184"/>
      <c r="I122" s="13" t="s">
        <v>94</v>
      </c>
      <c r="J122" s="29">
        <f ca="1">H119*50%</f>
        <v>10</v>
      </c>
    </row>
    <row r="123" spans="1:10" hidden="1" x14ac:dyDescent="0.3">
      <c r="A123" s="145" t="s">
        <v>47</v>
      </c>
      <c r="B123" s="146"/>
      <c r="C123" s="43">
        <f ca="1">J131</f>
        <v>20</v>
      </c>
      <c r="D123" s="19">
        <f ca="1">((100/H119)*C123)/100</f>
        <v>1</v>
      </c>
      <c r="E123" s="185"/>
      <c r="F123" s="192"/>
      <c r="G123" s="185"/>
      <c r="H123" s="186"/>
      <c r="I123" s="13" t="s">
        <v>95</v>
      </c>
      <c r="J123" s="29">
        <f ca="1">H119</f>
        <v>20</v>
      </c>
    </row>
    <row r="124" spans="1:10" ht="15.75" hidden="1" customHeight="1" x14ac:dyDescent="0.3">
      <c r="A124" s="145" t="s">
        <v>124</v>
      </c>
      <c r="B124" s="146"/>
      <c r="C124" s="43">
        <f ca="1">D119+H119</f>
        <v>21</v>
      </c>
      <c r="D124" s="19">
        <f ca="1">((100/(D119+F119+H119))*C124)/100</f>
        <v>1</v>
      </c>
      <c r="E124" s="185"/>
      <c r="F124" s="192"/>
      <c r="G124" s="185"/>
      <c r="H124" s="186"/>
      <c r="I124" s="13" t="s">
        <v>96</v>
      </c>
      <c r="J124" s="30">
        <f ca="1">(IF(B119&gt;1,(H119/(B119+2)),H119/4))</f>
        <v>5</v>
      </c>
    </row>
    <row r="125" spans="1:10" ht="15.75" hidden="1" customHeight="1" x14ac:dyDescent="0.3">
      <c r="A125" s="145" t="s">
        <v>131</v>
      </c>
      <c r="B125" s="146" t="s">
        <v>125</v>
      </c>
      <c r="C125" s="43">
        <v>0</v>
      </c>
      <c r="D125" s="19">
        <f ca="1">((100/H119)*C125)/100</f>
        <v>0</v>
      </c>
      <c r="E125" s="185"/>
      <c r="F125" s="192"/>
      <c r="G125" s="185"/>
      <c r="H125" s="186"/>
      <c r="I125" s="13" t="s">
        <v>97</v>
      </c>
      <c r="J125" s="30">
        <f ca="1">(IF(B119&gt;1,(H119/(B119+2)+J124),H119/4+J124))</f>
        <v>10</v>
      </c>
    </row>
    <row r="126" spans="1:10" ht="15.75" hidden="1" customHeight="1" x14ac:dyDescent="0.3">
      <c r="A126" s="145" t="s">
        <v>132</v>
      </c>
      <c r="B126" s="146" t="s">
        <v>125</v>
      </c>
      <c r="C126" s="43">
        <v>0</v>
      </c>
      <c r="D126" s="19">
        <f ca="1">((100/H119)*C126)/100</f>
        <v>0</v>
      </c>
      <c r="E126" s="185"/>
      <c r="F126" s="192"/>
      <c r="G126" s="185"/>
      <c r="H126" s="186"/>
      <c r="I126" s="13" t="s">
        <v>141</v>
      </c>
      <c r="J126" s="30">
        <f>(IF(B119&gt;1,(H119/(B119+2)+J125),0))</f>
        <v>0</v>
      </c>
    </row>
    <row r="127" spans="1:10" ht="15" hidden="1" customHeight="1" x14ac:dyDescent="0.3">
      <c r="A127" s="145" t="s">
        <v>130</v>
      </c>
      <c r="B127" s="146" t="s">
        <v>127</v>
      </c>
      <c r="C127" s="43">
        <v>0</v>
      </c>
      <c r="D127" s="19">
        <f ca="1">((100/(H119))*C127)/100</f>
        <v>0</v>
      </c>
      <c r="E127" s="185"/>
      <c r="F127" s="192"/>
      <c r="G127" s="185"/>
      <c r="H127" s="186"/>
      <c r="I127" s="13" t="s">
        <v>138</v>
      </c>
      <c r="J127" s="30">
        <f>(IF(B119&gt;2,(H119/(B119+2)+J126),0))</f>
        <v>0</v>
      </c>
    </row>
    <row r="128" spans="1:10" ht="15.75" hidden="1" customHeight="1" x14ac:dyDescent="0.3">
      <c r="A128" s="145" t="s">
        <v>126</v>
      </c>
      <c r="B128" s="146" t="s">
        <v>126</v>
      </c>
      <c r="C128" s="43">
        <v>0</v>
      </c>
      <c r="D128" s="19">
        <f ca="1">((100/H119)*C128)/100</f>
        <v>0</v>
      </c>
      <c r="E128" s="185"/>
      <c r="F128" s="192"/>
      <c r="G128" s="185"/>
      <c r="H128" s="186"/>
      <c r="I128" s="13" t="s">
        <v>139</v>
      </c>
      <c r="J128" s="31">
        <f>(IF(B119&gt;3,(H119/(B119+2)+J127),0))</f>
        <v>0</v>
      </c>
    </row>
    <row r="129" spans="1:10" ht="15.75" hidden="1" customHeight="1" x14ac:dyDescent="0.3">
      <c r="A129" s="145" t="s">
        <v>133</v>
      </c>
      <c r="B129" s="146"/>
      <c r="C129" s="43">
        <v>0</v>
      </c>
      <c r="D129" s="19">
        <f ca="1">((100/H119)*C129)/100</f>
        <v>0</v>
      </c>
      <c r="E129" s="185"/>
      <c r="F129" s="192"/>
      <c r="G129" s="185"/>
      <c r="H129" s="186"/>
      <c r="I129" s="13" t="s">
        <v>140</v>
      </c>
      <c r="J129" s="30">
        <f>(IF(B119&gt;4,(H119/(B119+2)+J128),0))</f>
        <v>0</v>
      </c>
    </row>
    <row r="130" spans="1:10" ht="15.75" hidden="1" customHeight="1" x14ac:dyDescent="0.3">
      <c r="A130" s="145" t="s">
        <v>128</v>
      </c>
      <c r="B130" s="146" t="s">
        <v>128</v>
      </c>
      <c r="C130" s="43">
        <v>0</v>
      </c>
      <c r="D130" s="19">
        <f ca="1">((100/(H119))*C130)/100</f>
        <v>0</v>
      </c>
      <c r="E130" s="185"/>
      <c r="F130" s="192"/>
      <c r="G130" s="185"/>
      <c r="H130" s="186"/>
      <c r="I130" s="13" t="s">
        <v>142</v>
      </c>
      <c r="J130" s="30">
        <f ca="1">(IF(B119=1,(H119/(B119+3)+J125),IF(B119=0,(H119/4+J125),IF(B119&gt;1,0))))</f>
        <v>15</v>
      </c>
    </row>
    <row r="131" spans="1:10" ht="16.2" hidden="1" thickBot="1" x14ac:dyDescent="0.35">
      <c r="A131" s="194" t="s">
        <v>129</v>
      </c>
      <c r="B131" s="195"/>
      <c r="C131" s="44">
        <v>0</v>
      </c>
      <c r="D131" s="20">
        <f ca="1">((100/(H119))*C131)/100</f>
        <v>0</v>
      </c>
      <c r="E131" s="187"/>
      <c r="F131" s="193"/>
      <c r="G131" s="187"/>
      <c r="H131" s="188"/>
      <c r="I131" s="15" t="s">
        <v>98</v>
      </c>
      <c r="J131" s="32">
        <f ca="1">(IF(B119&gt;1.5,(H119/(B119+2)+J125+MAX(0,J126-J125)+MAX(0,J127-J126)+MAX(0,J128-J127)+MAX(0,J129-J128)+MAX(0,J130-J129)),IF(B119=1,(H119/(B119+3)+J130),IF(B119=0,H119/4+J130))))</f>
        <v>20</v>
      </c>
    </row>
    <row r="132" spans="1:10" x14ac:dyDescent="0.3">
      <c r="A132" s="148" t="s">
        <v>135</v>
      </c>
      <c r="B132" s="149"/>
      <c r="C132" s="158" t="s">
        <v>411</v>
      </c>
      <c r="D132" s="159"/>
      <c r="E132" s="159"/>
      <c r="F132" s="159"/>
      <c r="G132" s="159"/>
      <c r="H132" s="160"/>
      <c r="I132" s="49" t="str">
        <f ca="1">IF(D145=100%,"All work Completed. Possession granted to the Building.",IF(D144=100%,"All work Completed, Waiting for OC",I133&amp;""&amp;I134&amp;""&amp;J133&amp;""&amp;J132&amp;" "&amp;J134))</f>
        <v>Excavation, Plinth Completed, RCC upto 5 Slab Completed</v>
      </c>
      <c r="J132" s="50" t="str">
        <f ca="1">(IF(C138=(D133+F133+H133),"",IF(C138&gt;0,", RCC upto "&amp;C138&amp;" Slab","")))&amp;(IF(C139=H133,"",IF(C139&gt;0,", Brickwork upto "&amp;C139&amp;" Floor","")))&amp;(IF(C140=H133,"",IF(C140&gt;0,", Internal Plaster upto "&amp;C140&amp;" Floor","")))&amp;(IF(C141=H133,"",IF(C141&gt;0,", External Plaster upto "&amp;C141&amp;" Floor","")))&amp;(IF(C142=H133,"",IF(C142&gt;0,", Flooring upto "&amp;C142&amp;" Floor","")))&amp;(IF(C143=H133,"",IF(C143&gt;0,", Painting upto "&amp;C143&amp;" Floor","")))&amp;(IF(C144=H133,"",IF(C144&gt;0,", Finishing upto "&amp;C144&amp;" Floor","")))&amp;(IF(C145=H133,"",IF(C145&gt;0,", Possession upto "&amp;C145&amp;" Floor","")))</f>
        <v>, RCC upto 5 Slab</v>
      </c>
    </row>
    <row r="133" spans="1:10" x14ac:dyDescent="0.3">
      <c r="A133" s="16" t="s">
        <v>137</v>
      </c>
      <c r="B133" s="47">
        <v>1</v>
      </c>
      <c r="C133" s="47" t="s">
        <v>67</v>
      </c>
      <c r="D133" s="47">
        <v>1</v>
      </c>
      <c r="E133" s="47" t="s">
        <v>66</v>
      </c>
      <c r="F133" s="47">
        <v>8</v>
      </c>
      <c r="G133" s="47" t="s">
        <v>75</v>
      </c>
      <c r="H133" s="17">
        <f ca="1">--TRIM(RIGHT(SUBSTITUTE(LEFT(C132,_xlfn.AGGREGATE(16,6,FIND({0,1,2,3,4,5,6,7,8,9},C132,ROW(INDIRECT("1:"&amp;LEN(C132)))),1))," ",REPT(" ",LEN(C132))),LEN(C132)))</f>
        <v>52</v>
      </c>
      <c r="I133" s="51" t="str">
        <f ca="1">IF(D136=100%,"Excavation","")&amp;IF(D137=100%,", Plinth","")&amp;IF(D138=100%,", RCC Slab","")&amp;IF(D139=100%,", Brickwork","")&amp;IF(D140=100%,", Internal Plaster","")&amp;IF(D141=100%,", External Plaster","")&amp;IF(D142=100%,", Flooring","")&amp;IF(D143=100%,", Painting","")&amp;IF(D144=100%,", Building common Amenities","")</f>
        <v>Excavation, Plinth</v>
      </c>
      <c r="J133" s="52" t="str">
        <f ca="1">(IF(C136=0,"Work not yet Started.",IF(D136=25%,"Piling work in process",IF(D136=50%,"Excavation work in process",IF(D136=100%,"","0")))))&amp;(IF(C137=0%,"",IF(C137=J138,", Footing work is process",IF(C137=J139,", Footing work Completed",IF(C137=J140,", 1st Basement Completed",IF(C137=J141,", 1st &amp; 2nd Basement Completed",IF(C137=J142,", 1st to 3rd Basement Completed",IF(C137=J143,", 1st to 4th Basement Completed",IF(C137=J144,", Plinth work is process",IF(C137=J145,"","0"))))))))))</f>
        <v/>
      </c>
    </row>
    <row r="134" spans="1:10" x14ac:dyDescent="0.3">
      <c r="A134" s="129" t="s">
        <v>85</v>
      </c>
      <c r="B134" s="130"/>
      <c r="C134" s="162" t="str">
        <f ca="1">I132</f>
        <v>Excavation, Plinth Completed, RCC upto 5 Slab Completed</v>
      </c>
      <c r="D134" s="162"/>
      <c r="E134" s="162"/>
      <c r="F134" s="162"/>
      <c r="G134" s="162"/>
      <c r="H134" s="163"/>
      <c r="I134" s="51" t="str">
        <f ca="1">IF(I133&lt;&gt;""," Completed","")</f>
        <v xml:space="preserve"> Completed</v>
      </c>
      <c r="J134" s="52" t="str">
        <f ca="1">IF(J132&lt;&gt;"","Completed","")</f>
        <v>Completed</v>
      </c>
    </row>
    <row r="135" spans="1:10" x14ac:dyDescent="0.3">
      <c r="A135" s="145" t="s">
        <v>46</v>
      </c>
      <c r="B135" s="146"/>
      <c r="C135" s="43" t="s">
        <v>134</v>
      </c>
      <c r="D135" s="43" t="s">
        <v>78</v>
      </c>
      <c r="E135" s="146" t="s">
        <v>80</v>
      </c>
      <c r="F135" s="146"/>
      <c r="G135" s="146" t="s">
        <v>79</v>
      </c>
      <c r="H135" s="153"/>
      <c r="I135" s="13" t="s">
        <v>136</v>
      </c>
      <c r="J135" s="28">
        <f ca="1">H133*25%</f>
        <v>13</v>
      </c>
    </row>
    <row r="136" spans="1:10" x14ac:dyDescent="0.3">
      <c r="A136" s="145" t="s">
        <v>123</v>
      </c>
      <c r="B136" s="146"/>
      <c r="C136" s="43">
        <f ca="1">J137</f>
        <v>52</v>
      </c>
      <c r="D136" s="19">
        <f ca="1">((100/H133)*C136)/100</f>
        <v>1</v>
      </c>
      <c r="E136" s="183">
        <f ca="1">(((C137/H133*10)+(40/(D133+F133+H133)*C138)+(7.5/(H133)*C139)+(7.5/(H133)*C140)+(10/H133*C141)+(10/H133*C142)+(5/H133*C143)+(5/H133*C144)+(5/H133*C145))/100)</f>
        <v>0.13278688524590165</v>
      </c>
      <c r="F136" s="191"/>
      <c r="G136" s="183">
        <f ca="1">((((C136/H133)*20)+((C137/H133)*25)+(30/(H133+F133+D133)*C138)+(5/H133*C139)+(5/H133*C140)+(5/H133*C141)+(5/H133*C142)+(0/H133*C143)+(0/H133*C144)+(5/H133*C145))/100)</f>
        <v>0.47459016393442627</v>
      </c>
      <c r="H136" s="184"/>
      <c r="I136" s="13" t="s">
        <v>94</v>
      </c>
      <c r="J136" s="29">
        <f ca="1">H133*50%</f>
        <v>26</v>
      </c>
    </row>
    <row r="137" spans="1:10" x14ac:dyDescent="0.3">
      <c r="A137" s="145" t="s">
        <v>47</v>
      </c>
      <c r="B137" s="146"/>
      <c r="C137" s="53">
        <f ca="1">J145</f>
        <v>52</v>
      </c>
      <c r="D137" s="19">
        <f ca="1">((100/H133)*C137)/100</f>
        <v>1</v>
      </c>
      <c r="E137" s="185"/>
      <c r="F137" s="192"/>
      <c r="G137" s="185"/>
      <c r="H137" s="186"/>
      <c r="I137" s="13" t="s">
        <v>95</v>
      </c>
      <c r="J137" s="29">
        <f ca="1">H133</f>
        <v>52</v>
      </c>
    </row>
    <row r="138" spans="1:10" x14ac:dyDescent="0.3">
      <c r="A138" s="145" t="s">
        <v>124</v>
      </c>
      <c r="B138" s="146"/>
      <c r="C138" s="43">
        <v>5</v>
      </c>
      <c r="D138" s="19">
        <f ca="1">((100/(D133+F133+H133))*C138)/100</f>
        <v>8.1967213114754106E-2</v>
      </c>
      <c r="E138" s="185"/>
      <c r="F138" s="192"/>
      <c r="G138" s="185"/>
      <c r="H138" s="186"/>
      <c r="I138" s="13" t="s">
        <v>96</v>
      </c>
      <c r="J138" s="30">
        <f ca="1">(IF(B133&gt;1,(H133/(B133+2)),H133/4))</f>
        <v>13</v>
      </c>
    </row>
    <row r="139" spans="1:10" x14ac:dyDescent="0.3">
      <c r="A139" s="145" t="s">
        <v>131</v>
      </c>
      <c r="B139" s="146" t="s">
        <v>125</v>
      </c>
      <c r="C139" s="43">
        <v>0</v>
      </c>
      <c r="D139" s="19">
        <f ca="1">((100/H133)*C139)/100</f>
        <v>0</v>
      </c>
      <c r="E139" s="185"/>
      <c r="F139" s="192"/>
      <c r="G139" s="185"/>
      <c r="H139" s="186"/>
      <c r="I139" s="13" t="s">
        <v>97</v>
      </c>
      <c r="J139" s="30">
        <f ca="1">(IF(B133&gt;1,(H133/(B133+2)+J138),H133/4+J138))</f>
        <v>26</v>
      </c>
    </row>
    <row r="140" spans="1:10" x14ac:dyDescent="0.3">
      <c r="A140" s="145" t="s">
        <v>132</v>
      </c>
      <c r="B140" s="146" t="s">
        <v>125</v>
      </c>
      <c r="C140" s="43">
        <v>0</v>
      </c>
      <c r="D140" s="19">
        <f ca="1">((100/H133)*C140)/100</f>
        <v>0</v>
      </c>
      <c r="E140" s="185"/>
      <c r="F140" s="192"/>
      <c r="G140" s="185"/>
      <c r="H140" s="186"/>
      <c r="I140" s="13" t="s">
        <v>141</v>
      </c>
      <c r="J140" s="30">
        <f>(IF(B133&gt;1,(H133/(B133+2)+J139),0))</f>
        <v>0</v>
      </c>
    </row>
    <row r="141" spans="1:10" x14ac:dyDescent="0.3">
      <c r="A141" s="145" t="s">
        <v>130</v>
      </c>
      <c r="B141" s="146" t="s">
        <v>127</v>
      </c>
      <c r="C141" s="43">
        <v>0</v>
      </c>
      <c r="D141" s="19">
        <f ca="1">((100/(H133))*C141)/100</f>
        <v>0</v>
      </c>
      <c r="E141" s="185"/>
      <c r="F141" s="192"/>
      <c r="G141" s="185"/>
      <c r="H141" s="186"/>
      <c r="I141" s="13" t="s">
        <v>138</v>
      </c>
      <c r="J141" s="30">
        <f>(IF(B133&gt;2,(H133/(B133+2)+J140),0))</f>
        <v>0</v>
      </c>
    </row>
    <row r="142" spans="1:10" x14ac:dyDescent="0.3">
      <c r="A142" s="145" t="s">
        <v>126</v>
      </c>
      <c r="B142" s="146" t="s">
        <v>126</v>
      </c>
      <c r="C142" s="43">
        <v>0</v>
      </c>
      <c r="D142" s="19">
        <f ca="1">((100/H133)*C142)/100</f>
        <v>0</v>
      </c>
      <c r="E142" s="185"/>
      <c r="F142" s="192"/>
      <c r="G142" s="185"/>
      <c r="H142" s="186"/>
      <c r="I142" s="13" t="s">
        <v>139</v>
      </c>
      <c r="J142" s="31">
        <f>(IF(B133&gt;3,(H133/(B133+2)+J141),0))</f>
        <v>0</v>
      </c>
    </row>
    <row r="143" spans="1:10" x14ac:dyDescent="0.3">
      <c r="A143" s="145" t="s">
        <v>133</v>
      </c>
      <c r="B143" s="146"/>
      <c r="C143" s="43">
        <v>0</v>
      </c>
      <c r="D143" s="19">
        <f ca="1">((100/H133)*C143)/100</f>
        <v>0</v>
      </c>
      <c r="E143" s="185"/>
      <c r="F143" s="192"/>
      <c r="G143" s="185"/>
      <c r="H143" s="186"/>
      <c r="I143" s="13" t="s">
        <v>140</v>
      </c>
      <c r="J143" s="30">
        <f>(IF(B133&gt;4,(H133/(B133+2)+J142),0))</f>
        <v>0</v>
      </c>
    </row>
    <row r="144" spans="1:10" x14ac:dyDescent="0.3">
      <c r="A144" s="145" t="s">
        <v>128</v>
      </c>
      <c r="B144" s="146" t="s">
        <v>128</v>
      </c>
      <c r="C144" s="43">
        <v>0</v>
      </c>
      <c r="D144" s="19">
        <f ca="1">((100/(H133))*C144)/100</f>
        <v>0</v>
      </c>
      <c r="E144" s="185"/>
      <c r="F144" s="192"/>
      <c r="G144" s="185"/>
      <c r="H144" s="186"/>
      <c r="I144" s="13" t="s">
        <v>142</v>
      </c>
      <c r="J144" s="30">
        <f ca="1">(IF(B133=1,(H133/(B133+3)+J139),IF(B133=0,(H133/4+J139),IF(B133&gt;1,0))))</f>
        <v>39</v>
      </c>
    </row>
    <row r="145" spans="1:22" ht="16.2" thickBot="1" x14ac:dyDescent="0.35">
      <c r="A145" s="194" t="s">
        <v>129</v>
      </c>
      <c r="B145" s="195"/>
      <c r="C145" s="44">
        <v>0</v>
      </c>
      <c r="D145" s="20">
        <f ca="1">((100/(H133))*C145)/100</f>
        <v>0</v>
      </c>
      <c r="E145" s="187"/>
      <c r="F145" s="193"/>
      <c r="G145" s="187"/>
      <c r="H145" s="188"/>
      <c r="I145" s="15" t="s">
        <v>98</v>
      </c>
      <c r="J145" s="32">
        <f ca="1">(IF(B133&gt;1.5,(H133/(B133+2)+J139+MAX(0,J140-J139)+MAX(0,J141-J140)+MAX(0,J142-J141)+MAX(0,J143-J142)+MAX(0,J144-J143)),IF(B133=1,(H133/(B133+3)+J144),IF(B133=0,H133/4+J144))))</f>
        <v>52</v>
      </c>
    </row>
    <row r="146" spans="1:22" ht="33.6" customHeight="1" x14ac:dyDescent="0.3">
      <c r="A146" s="148" t="s">
        <v>135</v>
      </c>
      <c r="B146" s="149"/>
      <c r="C146" s="158" t="s">
        <v>410</v>
      </c>
      <c r="D146" s="159"/>
      <c r="E146" s="159"/>
      <c r="F146" s="159"/>
      <c r="G146" s="159"/>
      <c r="H146" s="160"/>
      <c r="I146" s="49" t="str">
        <f ca="1">IF(D159=100%,"All work Completed. Possession granted to the Building.",IF(D158=100%,"All work Completed, Waiting for OC",I147&amp;""&amp;I148&amp;""&amp;J147&amp;""&amp;J146&amp;" "&amp;J148))</f>
        <v>Excavation, Plinth Completed, RCC upto 3 Slab Completed</v>
      </c>
      <c r="J146" s="50" t="str">
        <f ca="1">(IF(C152=(D147+F147+H147),"",IF(C152&gt;0,", RCC upto "&amp;C152&amp;" Slab","")))&amp;(IF(C153=H147,"",IF(C153&gt;0,", Brickwork upto "&amp;C153&amp;" Floor","")))&amp;(IF(C154=H147,"",IF(C154&gt;0,", Internal Plaster upto "&amp;C154&amp;" Floor","")))&amp;(IF(C155=H147,"",IF(C155&gt;0,", External Plaster upto "&amp;C155&amp;" Floor","")))&amp;(IF(C156=H147,"",IF(C156&gt;0,", Flooring upto "&amp;C156&amp;" Floor","")))&amp;(IF(C157=H147,"",IF(C157&gt;0,", Painting upto "&amp;C157&amp;" Floor","")))&amp;(IF(C158=H147,"",IF(C158&gt;0,", Finishing upto "&amp;C158&amp;" Floor","")))&amp;(IF(C159=H147,"",IF(C159&gt;0,", Possession upto "&amp;C159&amp;" Floor","")))</f>
        <v>, RCC upto 3 Slab</v>
      </c>
    </row>
    <row r="147" spans="1:22" x14ac:dyDescent="0.3">
      <c r="A147" s="16" t="s">
        <v>137</v>
      </c>
      <c r="B147" s="47">
        <v>1</v>
      </c>
      <c r="C147" s="47" t="s">
        <v>67</v>
      </c>
      <c r="D147" s="47">
        <v>1</v>
      </c>
      <c r="E147" s="47" t="s">
        <v>66</v>
      </c>
      <c r="F147" s="47">
        <v>8</v>
      </c>
      <c r="G147" s="47" t="s">
        <v>75</v>
      </c>
      <c r="H147" s="17">
        <f ca="1">--TRIM(RIGHT(SUBSTITUTE(LEFT(C146,_xlfn.AGGREGATE(16,6,FIND({0,1,2,3,4,5,6,7,8,9},C146,ROW(INDIRECT("1:"&amp;LEN(C146)))),1))," ",REPT(" ",LEN(C146))),LEN(C146)))</f>
        <v>52</v>
      </c>
      <c r="I147" s="51" t="str">
        <f ca="1">IF(D150=100%,"Excavation","")&amp;IF(D151=100%,", Plinth","")&amp;IF(D152=100%,", RCC Slab","")&amp;IF(D153=100%,", Brickwork","")&amp;IF(D154=100%,", Internal Plaster","")&amp;IF(D155=100%,", External Plaster","")&amp;IF(D156=100%,", Flooring","")&amp;IF(D157=100%,", Painting","")&amp;IF(D158=100%,", Building common Amenities","")</f>
        <v>Excavation, Plinth</v>
      </c>
      <c r="J147" s="52" t="str">
        <f ca="1">(IF(C150=0,"Work not yet Started.",IF(D150=25%,"Piling work in process",IF(D150=50%,"Excavation work in process",IF(D150=100%,"","0")))))&amp;(IF(C151=0%,"",IF(C151=J152,", Footing work is process",IF(C151=J153,", Footing work Completed",IF(C151=J154,", 1st Basement Completed",IF(C151=J155,", 1st &amp; 2nd Basement Completed",IF(C151=J156,", 1st to 3rd Basement Completed",IF(C151=J157,", 1st to 4th Basement Completed",IF(C151=J158,", Plinth work is process",IF(C151=J159,"","0"))))))))))</f>
        <v/>
      </c>
    </row>
    <row r="148" spans="1:22" x14ac:dyDescent="0.3">
      <c r="A148" s="129" t="s">
        <v>85</v>
      </c>
      <c r="B148" s="130"/>
      <c r="C148" s="162" t="str">
        <f ca="1">I146</f>
        <v>Excavation, Plinth Completed, RCC upto 3 Slab Completed</v>
      </c>
      <c r="D148" s="162"/>
      <c r="E148" s="162"/>
      <c r="F148" s="162"/>
      <c r="G148" s="162"/>
      <c r="H148" s="163"/>
      <c r="I148" s="51" t="str">
        <f ca="1">IF(I147&lt;&gt;""," Completed","")</f>
        <v xml:space="preserve"> Completed</v>
      </c>
      <c r="J148" s="52" t="str">
        <f ca="1">IF(J146&lt;&gt;"","Completed","")</f>
        <v>Completed</v>
      </c>
    </row>
    <row r="149" spans="1:22" x14ac:dyDescent="0.3">
      <c r="A149" s="145" t="s">
        <v>46</v>
      </c>
      <c r="B149" s="146"/>
      <c r="C149" s="43" t="s">
        <v>134</v>
      </c>
      <c r="D149" s="43" t="s">
        <v>78</v>
      </c>
      <c r="E149" s="146" t="s">
        <v>80</v>
      </c>
      <c r="F149" s="146"/>
      <c r="G149" s="146" t="s">
        <v>79</v>
      </c>
      <c r="H149" s="153"/>
      <c r="I149" s="13" t="s">
        <v>136</v>
      </c>
      <c r="J149" s="28">
        <f ca="1">H147*25%</f>
        <v>13</v>
      </c>
    </row>
    <row r="150" spans="1:22" x14ac:dyDescent="0.3">
      <c r="A150" s="145" t="s">
        <v>123</v>
      </c>
      <c r="B150" s="146"/>
      <c r="C150" s="43">
        <f ca="1">J151</f>
        <v>52</v>
      </c>
      <c r="D150" s="19">
        <f ca="1">((100/H147)*C150)/100</f>
        <v>1</v>
      </c>
      <c r="E150" s="183">
        <f ca="1">(((C151/H147*10)+(40/(D147+F147+H147)*C152)+(7.5/(H147)*C153)+(7.5/(H147)*C154)+(10/H147*C155)+(10/H147*C156)+(5/H147*C157)+(5/H147*C158)+(5/H147*C159))/100)</f>
        <v>0.11967213114754099</v>
      </c>
      <c r="F150" s="191"/>
      <c r="G150" s="183">
        <f ca="1">((((C150/H147)*20)+((C151/H147)*25)+(30/(H147+F147+D147)*C152)+(5/H147*C153)+(5/H147*C154)+(5/H147*C155)+(5/H147*C156)+(0/H147*C157)+(0/H147*C158)+(5/H147*C159))/100)</f>
        <v>0.46475409836065573</v>
      </c>
      <c r="H150" s="184"/>
      <c r="I150" s="13" t="s">
        <v>94</v>
      </c>
      <c r="J150" s="29">
        <f ca="1">H147*50%</f>
        <v>26</v>
      </c>
    </row>
    <row r="151" spans="1:22" x14ac:dyDescent="0.3">
      <c r="A151" s="145" t="s">
        <v>47</v>
      </c>
      <c r="B151" s="146"/>
      <c r="C151" s="53">
        <f ca="1">J159</f>
        <v>52</v>
      </c>
      <c r="D151" s="19">
        <f ca="1">((100/H147)*C151)/100</f>
        <v>1</v>
      </c>
      <c r="E151" s="185"/>
      <c r="F151" s="192"/>
      <c r="G151" s="185"/>
      <c r="H151" s="186"/>
      <c r="I151" s="13" t="s">
        <v>95</v>
      </c>
      <c r="J151" s="29">
        <f ca="1">H147</f>
        <v>52</v>
      </c>
    </row>
    <row r="152" spans="1:22" x14ac:dyDescent="0.3">
      <c r="A152" s="145" t="s">
        <v>124</v>
      </c>
      <c r="B152" s="146"/>
      <c r="C152" s="43">
        <v>3</v>
      </c>
      <c r="D152" s="19">
        <f ca="1">((100/(D147+F147+H147))*C152)/100</f>
        <v>4.9180327868852458E-2</v>
      </c>
      <c r="E152" s="185"/>
      <c r="F152" s="192"/>
      <c r="G152" s="185"/>
      <c r="H152" s="186"/>
      <c r="I152" s="13" t="s">
        <v>96</v>
      </c>
      <c r="J152" s="30">
        <f ca="1">(IF(B147&gt;1,(H147/(B147+2)),H147/4))</f>
        <v>13</v>
      </c>
    </row>
    <row r="153" spans="1:22" x14ac:dyDescent="0.3">
      <c r="A153" s="145" t="s">
        <v>131</v>
      </c>
      <c r="B153" s="146" t="s">
        <v>125</v>
      </c>
      <c r="C153" s="43">
        <v>0</v>
      </c>
      <c r="D153" s="19">
        <f ca="1">((100/H147)*C153)/100</f>
        <v>0</v>
      </c>
      <c r="E153" s="185"/>
      <c r="F153" s="192"/>
      <c r="G153" s="185"/>
      <c r="H153" s="186"/>
      <c r="I153" s="13" t="s">
        <v>97</v>
      </c>
      <c r="J153" s="30">
        <f ca="1">(IF(B147&gt;1,(H147/(B147+2)+J152),H147/4+J152))</f>
        <v>26</v>
      </c>
    </row>
    <row r="154" spans="1:22" x14ac:dyDescent="0.3">
      <c r="A154" s="145" t="s">
        <v>132</v>
      </c>
      <c r="B154" s="146" t="s">
        <v>125</v>
      </c>
      <c r="C154" s="43">
        <v>0</v>
      </c>
      <c r="D154" s="19">
        <f ca="1">((100/H147)*C154)/100</f>
        <v>0</v>
      </c>
      <c r="E154" s="185"/>
      <c r="F154" s="192"/>
      <c r="G154" s="185"/>
      <c r="H154" s="186"/>
      <c r="I154" s="13" t="s">
        <v>141</v>
      </c>
      <c r="J154" s="30">
        <f>(IF(B147&gt;1,(H147/(B147+2)+J153),0))</f>
        <v>0</v>
      </c>
    </row>
    <row r="155" spans="1:22" x14ac:dyDescent="0.3">
      <c r="A155" s="145" t="s">
        <v>130</v>
      </c>
      <c r="B155" s="146" t="s">
        <v>127</v>
      </c>
      <c r="C155" s="43">
        <v>0</v>
      </c>
      <c r="D155" s="19">
        <f ca="1">((100/(H147))*C155)/100</f>
        <v>0</v>
      </c>
      <c r="E155" s="185"/>
      <c r="F155" s="192"/>
      <c r="G155" s="185"/>
      <c r="H155" s="186"/>
      <c r="I155" s="13" t="s">
        <v>138</v>
      </c>
      <c r="J155" s="30">
        <f>(IF(B147&gt;2,(H147/(B147+2)+J154),0))</f>
        <v>0</v>
      </c>
    </row>
    <row r="156" spans="1:22" x14ac:dyDescent="0.3">
      <c r="A156" s="145" t="s">
        <v>126</v>
      </c>
      <c r="B156" s="146" t="s">
        <v>126</v>
      </c>
      <c r="C156" s="43">
        <v>0</v>
      </c>
      <c r="D156" s="19">
        <f ca="1">((100/H147)*C156)/100</f>
        <v>0</v>
      </c>
      <c r="E156" s="185"/>
      <c r="F156" s="192"/>
      <c r="G156" s="185"/>
      <c r="H156" s="186"/>
      <c r="I156" s="13" t="s">
        <v>139</v>
      </c>
      <c r="J156" s="31">
        <f>(IF(B147&gt;3,(H147/(B147+2)+J155),0))</f>
        <v>0</v>
      </c>
    </row>
    <row r="157" spans="1:22" x14ac:dyDescent="0.3">
      <c r="A157" s="145" t="s">
        <v>133</v>
      </c>
      <c r="B157" s="146"/>
      <c r="C157" s="43">
        <v>0</v>
      </c>
      <c r="D157" s="19">
        <f ca="1">((100/H147)*C157)/100</f>
        <v>0</v>
      </c>
      <c r="E157" s="185"/>
      <c r="F157" s="192"/>
      <c r="G157" s="185"/>
      <c r="H157" s="186"/>
      <c r="I157" s="13" t="s">
        <v>140</v>
      </c>
      <c r="J157" s="30">
        <f>(IF(B147&gt;4,(H147/(B147+2)+J156),0))</f>
        <v>0</v>
      </c>
    </row>
    <row r="158" spans="1:22" x14ac:dyDescent="0.3">
      <c r="A158" s="145" t="s">
        <v>128</v>
      </c>
      <c r="B158" s="146" t="s">
        <v>128</v>
      </c>
      <c r="C158" s="43">
        <v>0</v>
      </c>
      <c r="D158" s="19">
        <f ca="1">((100/(H147))*C158)/100</f>
        <v>0</v>
      </c>
      <c r="E158" s="185"/>
      <c r="F158" s="192"/>
      <c r="G158" s="185"/>
      <c r="H158" s="186"/>
      <c r="I158" s="13" t="s">
        <v>142</v>
      </c>
      <c r="J158" s="30">
        <f ca="1">(IF(B147=1,(H147/(B147+3)+J153),IF(B147=0,(H147/4+J153),IF(B147&gt;1,0))))</f>
        <v>39</v>
      </c>
    </row>
    <row r="159" spans="1:22" ht="16.2" thickBot="1" x14ac:dyDescent="0.35">
      <c r="A159" s="194" t="s">
        <v>129</v>
      </c>
      <c r="B159" s="195"/>
      <c r="C159" s="44">
        <v>0</v>
      </c>
      <c r="D159" s="20">
        <f ca="1">((100/(H147))*C159)/100</f>
        <v>0</v>
      </c>
      <c r="E159" s="187"/>
      <c r="F159" s="193"/>
      <c r="G159" s="187"/>
      <c r="H159" s="188"/>
      <c r="I159" s="15" t="s">
        <v>98</v>
      </c>
      <c r="J159" s="32">
        <f ca="1">(IF(B147&gt;1.5,(H147/(B147+2)+J153+MAX(0,J154-J153)+MAX(0,J155-J154)+MAX(0,J156-J155)+MAX(0,J157-J156)+MAX(0,J158-J157)),IF(B147=1,(H147/(B147+3)+J158),IF(B147=0,H147/4+J158))))</f>
        <v>52</v>
      </c>
    </row>
    <row r="160" spans="1:22" x14ac:dyDescent="0.3">
      <c r="A160" s="127" t="s">
        <v>152</v>
      </c>
      <c r="B160" s="127"/>
      <c r="C160" s="127"/>
      <c r="D160" s="127"/>
      <c r="E160" s="127"/>
      <c r="F160" s="154" t="s">
        <v>156</v>
      </c>
      <c r="G160" s="154"/>
      <c r="H160" s="154"/>
      <c r="R160" t="s">
        <v>249</v>
      </c>
      <c r="S160" t="s">
        <v>169</v>
      </c>
      <c r="T160" t="s">
        <v>175</v>
      </c>
      <c r="U160" t="s">
        <v>190</v>
      </c>
      <c r="V160" t="s">
        <v>185</v>
      </c>
    </row>
    <row r="161" spans="1:22" x14ac:dyDescent="0.3">
      <c r="A161" s="126" t="s">
        <v>154</v>
      </c>
      <c r="B161" s="126"/>
      <c r="C161" s="126"/>
      <c r="D161" s="126"/>
      <c r="E161" s="126"/>
      <c r="F161" s="128">
        <v>20750</v>
      </c>
      <c r="G161" s="128"/>
      <c r="H161" s="128"/>
      <c r="I161" s="67" t="s">
        <v>357</v>
      </c>
      <c r="J161" s="67"/>
      <c r="K161" s="67"/>
      <c r="L161" s="67"/>
      <c r="M161" s="67"/>
      <c r="N161" s="67"/>
      <c r="R161"/>
      <c r="S161">
        <v>800000</v>
      </c>
      <c r="T161">
        <v>300000</v>
      </c>
      <c r="U161">
        <v>100000</v>
      </c>
      <c r="V161">
        <v>100000</v>
      </c>
    </row>
    <row r="162" spans="1:22" hidden="1" x14ac:dyDescent="0.3">
      <c r="A162" s="126" t="s">
        <v>153</v>
      </c>
      <c r="B162" s="126"/>
      <c r="C162" s="126"/>
      <c r="D162" s="126"/>
      <c r="E162" s="126"/>
      <c r="F162" s="128"/>
      <c r="G162" s="128"/>
      <c r="H162" s="128"/>
      <c r="R162"/>
      <c r="S162">
        <v>900000</v>
      </c>
      <c r="T162">
        <v>350000</v>
      </c>
      <c r="U162">
        <v>150000</v>
      </c>
      <c r="V162">
        <v>150000</v>
      </c>
    </row>
    <row r="163" spans="1:22" hidden="1" x14ac:dyDescent="0.3">
      <c r="A163" s="126" t="s">
        <v>155</v>
      </c>
      <c r="B163" s="126"/>
      <c r="C163" s="126"/>
      <c r="D163" s="126"/>
      <c r="E163" s="126"/>
      <c r="F163" s="128"/>
      <c r="G163" s="128"/>
      <c r="H163" s="128"/>
      <c r="R163"/>
      <c r="S163">
        <v>1000000</v>
      </c>
      <c r="T163">
        <v>400000</v>
      </c>
      <c r="U163">
        <v>200000</v>
      </c>
      <c r="V163">
        <v>200000</v>
      </c>
    </row>
    <row r="164" spans="1:22" s="33" customFormat="1" x14ac:dyDescent="0.3">
      <c r="A164" s="126" t="s">
        <v>356</v>
      </c>
      <c r="B164" s="126"/>
      <c r="C164" s="126"/>
      <c r="D164" s="126"/>
      <c r="E164" s="126"/>
      <c r="F164" s="128">
        <v>100</v>
      </c>
      <c r="G164" s="128"/>
      <c r="H164" s="128"/>
      <c r="I164" s="33" t="s">
        <v>364</v>
      </c>
      <c r="R164"/>
      <c r="S164">
        <v>1100000</v>
      </c>
      <c r="T164">
        <v>500000</v>
      </c>
      <c r="U164">
        <v>250000</v>
      </c>
      <c r="V164" s="23">
        <v>250000</v>
      </c>
    </row>
    <row r="165" spans="1:22" s="33" customFormat="1" hidden="1" x14ac:dyDescent="0.3">
      <c r="A165" s="126" t="s">
        <v>90</v>
      </c>
      <c r="B165" s="126"/>
      <c r="C165" s="126"/>
      <c r="D165" s="126"/>
      <c r="E165" s="126"/>
      <c r="F165" s="128"/>
      <c r="G165" s="128"/>
      <c r="H165" s="128"/>
      <c r="R165"/>
      <c r="S165">
        <v>1200000</v>
      </c>
      <c r="T165">
        <v>600000</v>
      </c>
      <c r="U165">
        <v>300000</v>
      </c>
      <c r="V165">
        <v>300000</v>
      </c>
    </row>
    <row r="166" spans="1:22" s="33" customFormat="1" x14ac:dyDescent="0.3">
      <c r="A166" s="126" t="s">
        <v>361</v>
      </c>
      <c r="B166" s="126"/>
      <c r="C166" s="126"/>
      <c r="D166" s="126"/>
      <c r="E166" s="126"/>
      <c r="F166" s="128">
        <v>450000</v>
      </c>
      <c r="G166" s="128"/>
      <c r="H166" s="128"/>
      <c r="I166" s="250" t="s">
        <v>401</v>
      </c>
      <c r="J166" s="251"/>
      <c r="K166" s="251"/>
      <c r="L166" s="251"/>
      <c r="R166"/>
      <c r="S166">
        <v>1300000</v>
      </c>
      <c r="T166">
        <v>700000</v>
      </c>
      <c r="U166">
        <v>350000</v>
      </c>
      <c r="V166" s="23">
        <v>400000</v>
      </c>
    </row>
    <row r="167" spans="1:22" s="33" customFormat="1" x14ac:dyDescent="0.3">
      <c r="A167" s="126" t="s">
        <v>362</v>
      </c>
      <c r="B167" s="126"/>
      <c r="C167" s="126"/>
      <c r="D167" s="126"/>
      <c r="E167" s="126"/>
      <c r="F167" s="128">
        <v>200000</v>
      </c>
      <c r="G167" s="128"/>
      <c r="H167" s="128"/>
      <c r="R167"/>
      <c r="S167">
        <v>1300000</v>
      </c>
      <c r="T167">
        <v>700000</v>
      </c>
      <c r="U167">
        <v>350000</v>
      </c>
      <c r="V167" s="23">
        <v>400000</v>
      </c>
    </row>
    <row r="168" spans="1:22" s="33" customFormat="1" x14ac:dyDescent="0.3">
      <c r="A168" s="126" t="s">
        <v>91</v>
      </c>
      <c r="B168" s="126"/>
      <c r="C168" s="126"/>
      <c r="D168" s="126"/>
      <c r="E168" s="126"/>
      <c r="F168" s="128">
        <v>25000</v>
      </c>
      <c r="G168" s="128"/>
      <c r="H168" s="128"/>
      <c r="R168"/>
      <c r="S168">
        <v>1400000</v>
      </c>
      <c r="T168">
        <v>800000</v>
      </c>
      <c r="U168">
        <v>400000</v>
      </c>
      <c r="V168"/>
    </row>
    <row r="169" spans="1:22" s="33" customFormat="1" x14ac:dyDescent="0.3">
      <c r="A169" s="126" t="s">
        <v>360</v>
      </c>
      <c r="B169" s="126"/>
      <c r="C169" s="126"/>
      <c r="D169" s="126"/>
      <c r="E169" s="126"/>
      <c r="F169" s="128">
        <v>50000</v>
      </c>
      <c r="G169" s="128"/>
      <c r="H169" s="128"/>
      <c r="R169"/>
      <c r="S169">
        <v>1500000</v>
      </c>
      <c r="T169">
        <v>900000</v>
      </c>
      <c r="U169">
        <v>500000</v>
      </c>
      <c r="V169" s="23"/>
    </row>
    <row r="170" spans="1:22" s="33" customFormat="1" x14ac:dyDescent="0.3">
      <c r="A170" s="126" t="s">
        <v>92</v>
      </c>
      <c r="B170" s="126"/>
      <c r="C170" s="126"/>
      <c r="D170" s="126"/>
      <c r="E170" s="126"/>
      <c r="F170" s="128">
        <v>25000</v>
      </c>
      <c r="G170" s="128"/>
      <c r="H170" s="128"/>
      <c r="R170"/>
      <c r="S170">
        <v>1600000</v>
      </c>
      <c r="T170">
        <v>1000000</v>
      </c>
      <c r="U170">
        <v>600000</v>
      </c>
      <c r="V170"/>
    </row>
    <row r="171" spans="1:22" s="33" customFormat="1" x14ac:dyDescent="0.3">
      <c r="A171" s="126" t="s">
        <v>363</v>
      </c>
      <c r="B171" s="126"/>
      <c r="C171" s="126"/>
      <c r="D171" s="126"/>
      <c r="E171" s="126"/>
      <c r="F171" s="128">
        <v>1000</v>
      </c>
      <c r="G171" s="128"/>
      <c r="H171" s="128"/>
      <c r="R171"/>
      <c r="S171">
        <v>1600000</v>
      </c>
      <c r="T171">
        <v>1000000</v>
      </c>
      <c r="U171">
        <v>600000</v>
      </c>
      <c r="V171"/>
    </row>
    <row r="172" spans="1:22" s="33" customFormat="1" x14ac:dyDescent="0.3">
      <c r="A172" s="126" t="s">
        <v>93</v>
      </c>
      <c r="B172" s="126"/>
      <c r="C172" s="126"/>
      <c r="D172" s="126"/>
      <c r="E172" s="126"/>
      <c r="F172" s="128">
        <v>630000</v>
      </c>
      <c r="G172" s="128"/>
      <c r="H172" s="128"/>
      <c r="R172"/>
      <c r="S172">
        <v>1700000</v>
      </c>
      <c r="T172"/>
      <c r="U172"/>
      <c r="V172" s="23"/>
    </row>
    <row r="173" spans="1:22" x14ac:dyDescent="0.3">
      <c r="A173" s="126" t="s">
        <v>48</v>
      </c>
      <c r="B173" s="126"/>
      <c r="C173" s="126"/>
      <c r="D173" s="126"/>
      <c r="E173" s="126"/>
      <c r="F173" s="128">
        <v>1200000</v>
      </c>
      <c r="G173" s="128"/>
      <c r="H173" s="128"/>
      <c r="R173"/>
      <c r="S173">
        <v>1800000</v>
      </c>
      <c r="T173"/>
      <c r="U173"/>
    </row>
    <row r="174" spans="1:22" s="34" customFormat="1" x14ac:dyDescent="0.3">
      <c r="A174" s="147" t="s">
        <v>49</v>
      </c>
      <c r="B174" s="147"/>
      <c r="C174" s="147"/>
      <c r="D174" s="147"/>
      <c r="E174" s="147"/>
      <c r="F174" s="128">
        <f>F161*0.8</f>
        <v>16600</v>
      </c>
      <c r="G174" s="128"/>
      <c r="H174" s="128"/>
      <c r="R174" s="21"/>
      <c r="S174" s="21"/>
      <c r="T174"/>
      <c r="U174"/>
      <c r="V174" s="21"/>
    </row>
    <row r="175" spans="1:22" s="35" customFormat="1" ht="15.75" hidden="1" customHeight="1" x14ac:dyDescent="0.3">
      <c r="A175" s="118" t="s">
        <v>70</v>
      </c>
      <c r="B175" s="118"/>
      <c r="C175" s="118"/>
      <c r="D175" s="118"/>
      <c r="E175" s="118"/>
      <c r="F175" s="118"/>
      <c r="G175" s="118"/>
      <c r="H175" s="118"/>
      <c r="R175"/>
      <c r="S175" s="21"/>
      <c r="T175"/>
      <c r="U175"/>
      <c r="V175" s="21"/>
    </row>
    <row r="176" spans="1:22" s="35" customFormat="1" ht="15.75" hidden="1" customHeight="1" x14ac:dyDescent="0.3">
      <c r="A176" s="121" t="s">
        <v>50</v>
      </c>
      <c r="B176" s="121"/>
      <c r="C176" s="120" t="s">
        <v>73</v>
      </c>
      <c r="D176" s="120"/>
      <c r="E176" s="122" t="s">
        <v>51</v>
      </c>
      <c r="F176" s="122"/>
      <c r="G176" s="121" t="s">
        <v>52</v>
      </c>
      <c r="H176" s="121"/>
      <c r="R176"/>
      <c r="S176" s="21"/>
      <c r="T176"/>
      <c r="U176" s="21"/>
      <c r="V176" s="21"/>
    </row>
    <row r="177" spans="1:22" s="35" customFormat="1" hidden="1" x14ac:dyDescent="0.3">
      <c r="A177" s="119"/>
      <c r="B177" s="119"/>
      <c r="C177" s="133"/>
      <c r="D177" s="133"/>
      <c r="E177" s="134"/>
      <c r="F177" s="134"/>
      <c r="G177" s="135"/>
      <c r="H177" s="135"/>
      <c r="R177"/>
      <c r="S177" s="21"/>
      <c r="T177"/>
      <c r="U177" s="21"/>
      <c r="V177" s="21"/>
    </row>
    <row r="178" spans="1:22" s="35" customFormat="1" hidden="1" x14ac:dyDescent="0.3">
      <c r="A178" s="119"/>
      <c r="B178" s="119"/>
      <c r="C178" s="133"/>
      <c r="D178" s="133"/>
      <c r="E178" s="134"/>
      <c r="F178" s="134"/>
      <c r="G178" s="135"/>
      <c r="H178" s="135"/>
      <c r="R178"/>
      <c r="S178" s="21"/>
      <c r="T178"/>
      <c r="U178" s="21"/>
      <c r="V178" s="21"/>
    </row>
    <row r="179" spans="1:22" s="35" customFormat="1" hidden="1" x14ac:dyDescent="0.3">
      <c r="A179" s="118" t="s">
        <v>145</v>
      </c>
      <c r="B179" s="118"/>
      <c r="C179" s="120"/>
      <c r="D179" s="120"/>
      <c r="E179" s="122"/>
      <c r="F179" s="122"/>
      <c r="G179" s="121"/>
      <c r="H179" s="121"/>
      <c r="R179"/>
      <c r="S179" s="21"/>
      <c r="T179"/>
      <c r="U179" s="21"/>
      <c r="V179" s="21"/>
    </row>
    <row r="180" spans="1:22" s="35" customFormat="1" x14ac:dyDescent="0.3">
      <c r="A180" s="118" t="s">
        <v>65</v>
      </c>
      <c r="B180" s="118"/>
      <c r="C180" s="118"/>
      <c r="D180" s="118"/>
      <c r="E180" s="118"/>
      <c r="F180" s="118"/>
      <c r="G180" s="118"/>
      <c r="H180" s="118"/>
      <c r="T180"/>
    </row>
    <row r="181" spans="1:22" s="35" customFormat="1" ht="15.75" customHeight="1" x14ac:dyDescent="0.3">
      <c r="A181" s="121" t="s">
        <v>50</v>
      </c>
      <c r="B181" s="121"/>
      <c r="C181" s="120" t="s">
        <v>73</v>
      </c>
      <c r="D181" s="120"/>
      <c r="E181" s="122" t="s">
        <v>51</v>
      </c>
      <c r="F181" s="122"/>
      <c r="G181" s="121" t="s">
        <v>52</v>
      </c>
      <c r="H181" s="121"/>
      <c r="T181"/>
    </row>
    <row r="182" spans="1:22" s="35" customFormat="1" x14ac:dyDescent="0.3">
      <c r="A182" s="119" t="s">
        <v>317</v>
      </c>
      <c r="B182" s="119"/>
      <c r="C182" s="136">
        <f>COUNT(F209:F211)*6+COUNT(F216)+COUNT(F222:F227)*18+COUNT(F229:F231,F234)*2+COUNT(F236:F238,F241)*3+COUNT(F243:F248)*16+COUNT(F250:F255)*4+COUNT(F257:F260,F262)</f>
        <v>272</v>
      </c>
      <c r="D182" s="136"/>
      <c r="E182" s="113">
        <f>SUM(F209:F211)*6+SUM(F216)+SUM(F222:F227)*18+SUM(F229:F231,F234)*2+SUM(F236:F238,F241)*3+SUM(F243:F248)*16+SUM(F250:F255)*4+SUM(F257:F260,F262)</f>
        <v>426432.84559200011</v>
      </c>
      <c r="F182" s="113"/>
      <c r="G182" s="113">
        <f>SUM(H209:H211)*6+SUM(H216)+SUM(H222:H227)*18+SUM(H229:H231,H234)*2+SUM(H236:H238,H241)*3+SUM(H243:H248)*16+SUM(H250:H255)*4+SUM(H257:H260,H262)</f>
        <v>639649.2683880002</v>
      </c>
      <c r="H182" s="113"/>
      <c r="N182" s="42">
        <v>10.763999999999999</v>
      </c>
      <c r="T182"/>
    </row>
    <row r="183" spans="1:22" s="35" customFormat="1" ht="15.75" customHeight="1" x14ac:dyDescent="0.3">
      <c r="A183" s="119" t="s">
        <v>369</v>
      </c>
      <c r="B183" s="119"/>
      <c r="C183" s="113">
        <f>COUNT(D271:D272)*5+COUNT(D283:D288)*12+COUNT(D290:D292,D295)+COUNT(D297:D299,D302)*4+COUNT(D304:D309)*19</f>
        <v>216</v>
      </c>
      <c r="D183" s="113"/>
      <c r="E183" s="113">
        <f>SUM(F271:F272)*5+SUM(F283:F288)*12+SUM(F290:F292,F295)+SUM(F297:F299,F302)*4+SUM(F304:F309)*19</f>
        <v>332954.67441600002</v>
      </c>
      <c r="F183" s="113"/>
      <c r="G183" s="113">
        <f>SUM(H271:H272)*5+SUM(H283:H288)*12+SUM(H290:H292,H295)+SUM(H297:H299,H302)*4+SUM(H304:H309)*19</f>
        <v>499432.01162399998</v>
      </c>
      <c r="H183" s="113"/>
    </row>
    <row r="184" spans="1:22" s="35" customFormat="1" x14ac:dyDescent="0.3">
      <c r="A184" s="119" t="s">
        <v>349</v>
      </c>
      <c r="B184" s="119"/>
      <c r="C184" s="113">
        <f>COUNT(F316:F317)+COUNT(F325:F329)*6+COUNT(F334:F335,F338)+COUNT(F342:F349)*18+COUNT(F351:F354,F357:F358)*2+COUNT(F360:F363,F366:F367)*3+COUNT(F369:F376)*16+COUNT(F378:F382,F384:F385)+COUNT(F387:F394)*3</f>
        <v>368</v>
      </c>
      <c r="D184" s="113"/>
      <c r="E184" s="113">
        <f>SUM(F316:F317)+SUM(F325:F329)*6+SUM(F334:F335,F338)+SUM(F342:F349)*18+SUM(F351:F354,F357:F358)*2+SUM(F360:F363,F366:F367)*3+SUM(F369:F376)*16+SUM(F378:F382,F384:F385)+SUM(F387:F394)*3</f>
        <v>324569.89623240003</v>
      </c>
      <c r="F184" s="113"/>
      <c r="G184" s="113">
        <f>SUM(H316:H317)+SUM(H325:H329)*6+SUM(H334:H335,H338)+SUM(H342:H349)*18+SUM(H351:H354,H357:H358)*2+SUM(H360:H363,H366:H367)*3+SUM(H369:H376)*16+SUM(H378:H382,H384:H385)+SUM(H387:H394)*3</f>
        <v>486854.84434860002</v>
      </c>
      <c r="H184" s="113"/>
    </row>
    <row r="185" spans="1:22" s="35" customFormat="1" x14ac:dyDescent="0.3">
      <c r="A185" s="119" t="s">
        <v>335</v>
      </c>
      <c r="B185" s="119"/>
      <c r="C185" s="136">
        <f>COUNT(F405:F406)+COUNT(F411:F415)*6+COUNT(F420,F423:F424)+COUNT(F427:F434)*18+COUNT(F436:F439,F442:F443)*2+COUNT(F445:F448,F451:F452)*3+COUNT(F454:F461)*16+COUNT(F463:F470)*3+COUNT(F472:F475,F477:F479)</f>
        <v>368</v>
      </c>
      <c r="D185" s="136"/>
      <c r="E185" s="113">
        <f>SUM(F405:F406)+SUM(F411:F415)*6+SUM(F420,F423:F424)+SUM(F427:F434)*18+SUM(F436:F439,F442:F443)*2+SUM(F445:F448,F451:F452)*3+SUM(F454:F461)*16+SUM(F463:F470)*3+SUM(F472:F475,F477:F479)</f>
        <v>324691.37335440004</v>
      </c>
      <c r="F185" s="113"/>
      <c r="G185" s="113">
        <f>SUM(H405:H406)+SUM(H411:H415)*6+SUM(H420,H423:H424)+SUM(H427:H434)*18+SUM(H436:H439,H442:H443)*2+SUM(H445:H448,H451:H452)*3+SUM(H454:H461)*16+SUM(H463:H470)*3+SUM(H472:H475,H477:H479)</f>
        <v>487037.06003160006</v>
      </c>
      <c r="H185" s="113"/>
    </row>
    <row r="186" spans="1:22" s="35" customFormat="1" x14ac:dyDescent="0.3">
      <c r="A186" s="119" t="s">
        <v>338</v>
      </c>
      <c r="B186" s="119"/>
      <c r="C186" s="113">
        <f>COUNT(D487)+COUNT(D496:D499)*6+COUNT(D505,D508)+COUNT(D512:D519)*18+COUNT(D521:D524,D527:D528)*2+COUNT(D530:D533,D536:D537)*3+COUNT(D539:D546)*16+COUNT(D548:D552,D554:D555)+COUNT(D557:D564)*3</f>
        <v>360</v>
      </c>
      <c r="D186" s="113"/>
      <c r="E186" s="113">
        <f>SUM(F487)+SUM(F496:F499)*6+SUM(F505,F508)+SUM(F512:F519)*18+SUM(F521:F524,F527:F528)*2+SUM(F530:F533,F536:F537)*3+SUM(F539:F546)*16+SUM(F548:F552,F554:F555)+SUM(F557:F564)*3</f>
        <v>359163.76902120002</v>
      </c>
      <c r="F186" s="113"/>
      <c r="G186" s="113">
        <f>SUM(H487)+SUM(H496:H499)*6+SUM(H505,H508)+SUM(H512:H519)*18+SUM(H521:H524,H527:H528)*2+SUM(H530:H533,H536:H537)*3+SUM(H539:H546)*16+SUM(H548:H552,H554:H555)+SUM(H557:H564)*3</f>
        <v>538745.65353180002</v>
      </c>
      <c r="H186" s="113"/>
    </row>
    <row r="187" spans="1:22" s="35" customFormat="1" x14ac:dyDescent="0.3">
      <c r="A187" s="118" t="s">
        <v>145</v>
      </c>
      <c r="B187" s="118"/>
      <c r="C187" s="131">
        <f>SUM(C182:D186)</f>
        <v>1584</v>
      </c>
      <c r="D187" s="132"/>
      <c r="E187" s="131">
        <f>SUM(E182:F186)</f>
        <v>1767812.5586160002</v>
      </c>
      <c r="F187" s="132"/>
      <c r="G187" s="131">
        <f>SUM(G182:H186)</f>
        <v>2651718.8379239999</v>
      </c>
      <c r="H187" s="132"/>
    </row>
    <row r="188" spans="1:22" s="35" customFormat="1" hidden="1" x14ac:dyDescent="0.3">
      <c r="A188" s="118" t="s">
        <v>162</v>
      </c>
      <c r="B188" s="118"/>
      <c r="C188" s="120">
        <f>SUM(C182:D186)</f>
        <v>1584</v>
      </c>
      <c r="D188" s="120"/>
      <c r="E188" s="137">
        <f>SUM(E182:F186)</f>
        <v>1767812.5586160002</v>
      </c>
      <c r="F188" s="137"/>
      <c r="G188" s="137">
        <f>SUM(G182:H186)</f>
        <v>2651718.8379239999</v>
      </c>
      <c r="H188" s="137"/>
    </row>
    <row r="189" spans="1:22" s="34" customFormat="1" x14ac:dyDescent="0.3">
      <c r="A189" s="123" t="s">
        <v>378</v>
      </c>
      <c r="B189" s="123"/>
      <c r="C189" s="123"/>
      <c r="D189" s="123"/>
      <c r="E189" s="123"/>
      <c r="F189" s="123"/>
      <c r="G189" s="123"/>
      <c r="H189" s="123"/>
      <c r="T189" s="35"/>
    </row>
    <row r="190" spans="1:22" x14ac:dyDescent="0.3">
      <c r="A190" s="221" t="s">
        <v>332</v>
      </c>
      <c r="B190" s="221"/>
      <c r="C190" s="221"/>
      <c r="D190" s="221"/>
      <c r="E190" s="221"/>
      <c r="F190" s="221"/>
      <c r="G190" s="221"/>
      <c r="H190" s="221"/>
      <c r="T190" s="35"/>
    </row>
    <row r="191" spans="1:22" ht="47.25" hidden="1" customHeight="1" x14ac:dyDescent="0.3">
      <c r="A191" s="114" t="s">
        <v>114</v>
      </c>
      <c r="B191" s="114" t="s">
        <v>172</v>
      </c>
      <c r="C191" s="114" t="s">
        <v>53</v>
      </c>
      <c r="D191" s="114" t="s">
        <v>228</v>
      </c>
      <c r="E191" s="116" t="s">
        <v>151</v>
      </c>
      <c r="F191" s="114" t="s">
        <v>54</v>
      </c>
      <c r="G191" s="116" t="s">
        <v>55</v>
      </c>
      <c r="H191" s="56" t="s">
        <v>144</v>
      </c>
      <c r="T191" s="35"/>
    </row>
    <row r="192" spans="1:22" s="37" customFormat="1" hidden="1" x14ac:dyDescent="0.3">
      <c r="A192" s="115"/>
      <c r="B192" s="115"/>
      <c r="C192" s="115"/>
      <c r="D192" s="115"/>
      <c r="E192" s="117"/>
      <c r="F192" s="115"/>
      <c r="G192" s="117"/>
      <c r="H192" s="57">
        <v>0.45</v>
      </c>
      <c r="T192" s="34"/>
    </row>
    <row r="193" spans="1:20" s="37" customFormat="1" hidden="1" x14ac:dyDescent="0.3">
      <c r="A193" s="79" t="s">
        <v>113</v>
      </c>
      <c r="B193" s="80"/>
      <c r="C193" s="80"/>
      <c r="D193" s="80"/>
      <c r="E193" s="80"/>
      <c r="F193" s="80"/>
      <c r="G193" s="80"/>
      <c r="H193" s="81"/>
      <c r="J193" s="36"/>
      <c r="T193" s="21"/>
    </row>
    <row r="194" spans="1:20" s="37" customFormat="1" ht="15.75" hidden="1" customHeight="1" x14ac:dyDescent="0.3">
      <c r="A194" s="82">
        <v>1</v>
      </c>
      <c r="B194" s="83"/>
      <c r="C194" s="42"/>
      <c r="D194" s="42"/>
      <c r="E194" s="42">
        <v>0</v>
      </c>
      <c r="F194" s="42">
        <f>D194+E194</f>
        <v>0</v>
      </c>
      <c r="G194" s="42">
        <v>0</v>
      </c>
      <c r="H194" s="42">
        <f>(D194+E194)*(($H$192)+1)</f>
        <v>0</v>
      </c>
      <c r="I194" s="36"/>
      <c r="L194" s="84"/>
      <c r="M194" s="84"/>
      <c r="N194" s="36"/>
      <c r="T194" s="21"/>
    </row>
    <row r="195" spans="1:20" s="37" customFormat="1" ht="15.75" hidden="1" customHeight="1" x14ac:dyDescent="0.3">
      <c r="A195" s="82">
        <f>A194+1</f>
        <v>2</v>
      </c>
      <c r="B195" s="83"/>
      <c r="C195" s="42"/>
      <c r="D195" s="42"/>
      <c r="E195" s="42">
        <v>0</v>
      </c>
      <c r="F195" s="42">
        <f>D195+E195</f>
        <v>0</v>
      </c>
      <c r="G195" s="42">
        <v>0</v>
      </c>
      <c r="H195" s="42">
        <f>(D195+E195)*(($H$192)+1)</f>
        <v>0</v>
      </c>
      <c r="I195" s="36"/>
      <c r="L195" s="84"/>
      <c r="M195" s="84"/>
      <c r="N195" s="36"/>
    </row>
    <row r="196" spans="1:20" s="37" customFormat="1" ht="15.75" hidden="1" customHeight="1" x14ac:dyDescent="0.3">
      <c r="A196" s="82">
        <f>A195+1</f>
        <v>3</v>
      </c>
      <c r="B196" s="83"/>
      <c r="C196" s="42"/>
      <c r="D196" s="42"/>
      <c r="E196" s="42">
        <v>0</v>
      </c>
      <c r="F196" s="42">
        <f>D196+E196</f>
        <v>0</v>
      </c>
      <c r="G196" s="42">
        <v>0</v>
      </c>
      <c r="H196" s="42">
        <f>(D196+E196)*(($H$192)+1)</f>
        <v>0</v>
      </c>
      <c r="I196" s="36"/>
      <c r="L196" s="84"/>
      <c r="M196" s="84"/>
      <c r="N196" s="36"/>
    </row>
    <row r="197" spans="1:20" s="37" customFormat="1" ht="15.75" hidden="1" customHeight="1" x14ac:dyDescent="0.3">
      <c r="A197" s="82">
        <f>A196+1</f>
        <v>4</v>
      </c>
      <c r="B197" s="83"/>
      <c r="C197" s="42"/>
      <c r="D197" s="42"/>
      <c r="E197" s="42">
        <v>0</v>
      </c>
      <c r="F197" s="42">
        <f>D197+E197</f>
        <v>0</v>
      </c>
      <c r="G197" s="42">
        <v>0</v>
      </c>
      <c r="H197" s="42">
        <f>(D197+E197)*(($H$192)+1)</f>
        <v>0</v>
      </c>
      <c r="I197" s="36"/>
      <c r="L197" s="84"/>
      <c r="M197" s="84"/>
      <c r="N197" s="36"/>
    </row>
    <row r="198" spans="1:20" s="37" customFormat="1" hidden="1" x14ac:dyDescent="0.3">
      <c r="A198" s="82"/>
      <c r="B198" s="95"/>
      <c r="C198" s="95"/>
      <c r="D198" s="95"/>
      <c r="E198" s="95"/>
      <c r="F198" s="95"/>
      <c r="G198" s="95"/>
      <c r="H198" s="83"/>
      <c r="I198" s="36"/>
      <c r="N198" s="36"/>
    </row>
    <row r="199" spans="1:20" ht="47.25" customHeight="1" x14ac:dyDescent="0.3">
      <c r="A199" s="124" t="s">
        <v>115</v>
      </c>
      <c r="B199" s="114" t="s">
        <v>173</v>
      </c>
      <c r="C199" s="114" t="s">
        <v>53</v>
      </c>
      <c r="D199" s="114" t="s">
        <v>228</v>
      </c>
      <c r="E199" s="114" t="s">
        <v>353</v>
      </c>
      <c r="F199" s="114" t="s">
        <v>54</v>
      </c>
      <c r="G199" s="116" t="s">
        <v>55</v>
      </c>
      <c r="H199" s="56" t="s">
        <v>144</v>
      </c>
      <c r="I199" s="36"/>
      <c r="T199" s="37"/>
    </row>
    <row r="200" spans="1:20" s="37" customFormat="1" x14ac:dyDescent="0.3">
      <c r="A200" s="125"/>
      <c r="B200" s="115"/>
      <c r="C200" s="115"/>
      <c r="D200" s="115"/>
      <c r="E200" s="115"/>
      <c r="F200" s="115"/>
      <c r="G200" s="117"/>
      <c r="H200" s="63">
        <v>0.5</v>
      </c>
      <c r="I200" s="36"/>
    </row>
    <row r="201" spans="1:20" s="37" customFormat="1" x14ac:dyDescent="0.3">
      <c r="A201" s="138" t="s">
        <v>377</v>
      </c>
      <c r="B201" s="139"/>
      <c r="C201" s="139"/>
      <c r="D201" s="139"/>
      <c r="E201" s="139"/>
      <c r="F201" s="139"/>
      <c r="G201" s="139"/>
      <c r="H201" s="140"/>
      <c r="J201" s="36"/>
    </row>
    <row r="202" spans="1:20" s="37" customFormat="1" x14ac:dyDescent="0.3">
      <c r="A202" s="110" t="s">
        <v>317</v>
      </c>
      <c r="B202" s="111"/>
      <c r="C202" s="111"/>
      <c r="D202" s="111"/>
      <c r="E202" s="111"/>
      <c r="F202" s="111"/>
      <c r="G202" s="111"/>
      <c r="H202" s="112"/>
      <c r="J202" s="36"/>
    </row>
    <row r="203" spans="1:20" s="37" customFormat="1" x14ac:dyDescent="0.3">
      <c r="A203" s="79" t="s">
        <v>316</v>
      </c>
      <c r="B203" s="80"/>
      <c r="C203" s="80"/>
      <c r="D203" s="80"/>
      <c r="E203" s="80"/>
      <c r="F203" s="80"/>
      <c r="G203" s="80"/>
      <c r="H203" s="81"/>
      <c r="J203" s="36"/>
    </row>
    <row r="204" spans="1:20" s="37" customFormat="1" x14ac:dyDescent="0.3">
      <c r="A204" s="79" t="s">
        <v>379</v>
      </c>
      <c r="B204" s="80"/>
      <c r="C204" s="80"/>
      <c r="D204" s="80"/>
      <c r="E204" s="80"/>
      <c r="F204" s="80"/>
      <c r="G204" s="80"/>
      <c r="H204" s="81"/>
      <c r="J204" s="36"/>
    </row>
    <row r="205" spans="1:20" s="37" customFormat="1" x14ac:dyDescent="0.3">
      <c r="A205" s="79" t="s">
        <v>318</v>
      </c>
      <c r="B205" s="80"/>
      <c r="C205" s="80"/>
      <c r="D205" s="80"/>
      <c r="E205" s="80"/>
      <c r="F205" s="80"/>
      <c r="G205" s="80"/>
      <c r="H205" s="81"/>
      <c r="I205" s="64">
        <v>1</v>
      </c>
      <c r="J205" s="36"/>
    </row>
    <row r="206" spans="1:20" s="37" customFormat="1" x14ac:dyDescent="0.3">
      <c r="A206" s="79" t="s">
        <v>322</v>
      </c>
      <c r="B206" s="80"/>
      <c r="C206" s="80"/>
      <c r="D206" s="80"/>
      <c r="E206" s="80"/>
      <c r="F206" s="80"/>
      <c r="G206" s="80"/>
      <c r="H206" s="81"/>
      <c r="I206" s="64">
        <f>6</f>
        <v>6</v>
      </c>
      <c r="J206" s="36"/>
    </row>
    <row r="207" spans="1:20" s="37" customFormat="1" ht="15.75" customHeight="1" x14ac:dyDescent="0.3">
      <c r="A207" s="82">
        <v>1</v>
      </c>
      <c r="B207" s="83"/>
      <c r="C207" s="89" t="s">
        <v>319</v>
      </c>
      <c r="D207" s="90"/>
      <c r="E207" s="90"/>
      <c r="F207" s="90"/>
      <c r="G207" s="90"/>
      <c r="H207" s="91"/>
      <c r="I207" s="36"/>
      <c r="L207" s="84"/>
      <c r="M207" s="84"/>
      <c r="N207" s="36"/>
      <c r="T207" s="21"/>
    </row>
    <row r="208" spans="1:20" s="37" customFormat="1" ht="15.75" customHeight="1" x14ac:dyDescent="0.3">
      <c r="A208" s="82">
        <f>A207+1</f>
        <v>2</v>
      </c>
      <c r="B208" s="83"/>
      <c r="C208" s="92"/>
      <c r="D208" s="93"/>
      <c r="E208" s="93"/>
      <c r="F208" s="93"/>
      <c r="G208" s="93"/>
      <c r="H208" s="94"/>
      <c r="I208" s="36"/>
      <c r="L208" s="84"/>
      <c r="M208" s="84"/>
      <c r="N208" s="36"/>
    </row>
    <row r="209" spans="1:20" s="37" customFormat="1" ht="15.75" customHeight="1" x14ac:dyDescent="0.3">
      <c r="A209" s="82">
        <f>A208+1</f>
        <v>3</v>
      </c>
      <c r="B209" s="83"/>
      <c r="C209" s="42" t="s">
        <v>320</v>
      </c>
      <c r="D209" s="69">
        <f>(7.48*5.48+2.75*3.65+3.35*4.28+4.08*3.65+3.65*4.28+3.65*5.58+0.98*1.83+1.53*2.45+1.53*1.83+1.53*2.45+1.83*2.75+1.53*2.45+1.53*3.05+1.93*1.53+1*1.93+2.58*1.2+5.33*1.53+1.93*1.53+1.63*1.72+1.63*0.9)*10.764</f>
        <v>1777.5884880000006</v>
      </c>
      <c r="E209" s="42">
        <f>(7.48*1.68+2.23*1.45)*10.764</f>
        <v>170.07012359999999</v>
      </c>
      <c r="F209" s="42">
        <f>D209+E209</f>
        <v>1947.6586116000005</v>
      </c>
      <c r="G209" s="42">
        <v>0</v>
      </c>
      <c r="H209" s="42">
        <f>F209*(($H$200)+1)+(IF(G209&lt;101,G209,IF(G209&lt;201,G209/2,IF(G209&lt;=301,G209/3,G209/4))))</f>
        <v>2921.4879174000007</v>
      </c>
      <c r="I209" s="36"/>
      <c r="L209" s="84"/>
      <c r="M209" s="84"/>
      <c r="N209" s="36"/>
    </row>
    <row r="210" spans="1:20" s="37" customFormat="1" ht="15.75" customHeight="1" x14ac:dyDescent="0.3">
      <c r="A210" s="82">
        <f>A209+1</f>
        <v>4</v>
      </c>
      <c r="B210" s="83"/>
      <c r="C210" s="42" t="s">
        <v>321</v>
      </c>
      <c r="D210" s="42">
        <f>(3.65*7.33+3.35*2.45+3.35*4.27+3.65*4.58+3.83*3.35+1.53*2.5+2.45*1.53+1.88*1.53+2.45*1.53+1.58*1.07+2.58*1.67+1.23*3.78+1.08*3.35+3.68*1.05+0.9*1.05+1.68*1.08+1.68*0.6+1.1*1.78)*10.764</f>
        <v>1257.9714576000001</v>
      </c>
      <c r="E210" s="70">
        <f>(3.65*1.53+1.53*1.85)*10.764</f>
        <v>90.579059999999998</v>
      </c>
      <c r="F210" s="42">
        <f>D210+E210</f>
        <v>1348.5505176000001</v>
      </c>
      <c r="G210" s="42">
        <v>0</v>
      </c>
      <c r="H210" s="42">
        <f>F210*(($H$200)+1)+(IF(G210&lt;101,G210,IF(G210&lt;201,G210/2,IF(G210&lt;=301,G210/3,G210/4))))</f>
        <v>2022.8257764000002</v>
      </c>
      <c r="I210" s="36"/>
      <c r="L210" s="84"/>
      <c r="M210" s="84"/>
      <c r="N210" s="36"/>
    </row>
    <row r="211" spans="1:20" s="37" customFormat="1" ht="15.75" customHeight="1" x14ac:dyDescent="0.3">
      <c r="A211" s="82">
        <f>A210+1</f>
        <v>5</v>
      </c>
      <c r="B211" s="83"/>
      <c r="C211" s="42" t="s">
        <v>321</v>
      </c>
      <c r="D211" s="42">
        <f t="shared" ref="D211" si="0">(3.65*7.33+3.35*2.45+3.35*4.27+3.65*4.58+3.83*3.35+1.53*2.5+2.45*1.53+1.88*1.53+2.45*1.53+1.58*1.07+2.58*1.67+1.23*3.78+1.08*3.35+3.68*1.05+0.9*1.05+1.68*1.08+1.68*0.6+1.1*1.78)*10.764</f>
        <v>1257.9714576000001</v>
      </c>
      <c r="E211" s="70">
        <f>(3.65*1.53+1.53*1.85)*10.764</f>
        <v>90.579059999999998</v>
      </c>
      <c r="F211" s="42">
        <f>D211+E211</f>
        <v>1348.5505176000001</v>
      </c>
      <c r="G211" s="42">
        <v>0</v>
      </c>
      <c r="H211" s="42">
        <f>F211*(($H$200)+1)+(IF(G211&lt;101,G211,IF(G211&lt;201,G211/2,IF(G211&lt;=301,G211/3,G211/4))))</f>
        <v>2022.8257764000002</v>
      </c>
      <c r="I211" s="36"/>
      <c r="L211" s="84"/>
      <c r="M211" s="84"/>
      <c r="N211" s="36"/>
    </row>
    <row r="212" spans="1:20" s="37" customFormat="1" ht="15.75" customHeight="1" x14ac:dyDescent="0.3">
      <c r="A212" s="82">
        <f>A211+1</f>
        <v>6</v>
      </c>
      <c r="B212" s="83"/>
      <c r="C212" s="82" t="s">
        <v>319</v>
      </c>
      <c r="D212" s="95"/>
      <c r="E212" s="95"/>
      <c r="F212" s="95"/>
      <c r="G212" s="95"/>
      <c r="H212" s="83"/>
      <c r="I212" s="36"/>
      <c r="L212" s="84"/>
      <c r="M212" s="84"/>
      <c r="N212" s="36"/>
    </row>
    <row r="213" spans="1:20" s="37" customFormat="1" ht="15.75" customHeight="1" x14ac:dyDescent="0.3">
      <c r="A213" s="79" t="s">
        <v>323</v>
      </c>
      <c r="B213" s="80"/>
      <c r="C213" s="80"/>
      <c r="D213" s="80"/>
      <c r="E213" s="80"/>
      <c r="F213" s="80"/>
      <c r="G213" s="80"/>
      <c r="H213" s="81"/>
      <c r="I213" s="64">
        <v>1</v>
      </c>
      <c r="J213" s="36"/>
    </row>
    <row r="214" spans="1:20" s="37" customFormat="1" ht="15.75" customHeight="1" x14ac:dyDescent="0.3">
      <c r="A214" s="82">
        <v>1</v>
      </c>
      <c r="B214" s="83"/>
      <c r="C214" s="89" t="s">
        <v>325</v>
      </c>
      <c r="D214" s="90"/>
      <c r="E214" s="90"/>
      <c r="F214" s="90"/>
      <c r="G214" s="90"/>
      <c r="H214" s="91"/>
      <c r="I214" s="36"/>
      <c r="L214" s="84"/>
      <c r="M214" s="84"/>
      <c r="N214" s="36"/>
      <c r="T214" s="21"/>
    </row>
    <row r="215" spans="1:20" s="37" customFormat="1" ht="15.75" customHeight="1" x14ac:dyDescent="0.3">
      <c r="A215" s="82">
        <f>A214+1</f>
        <v>2</v>
      </c>
      <c r="B215" s="83"/>
      <c r="C215" s="92"/>
      <c r="D215" s="93"/>
      <c r="E215" s="93"/>
      <c r="F215" s="93"/>
      <c r="G215" s="93"/>
      <c r="H215" s="94"/>
      <c r="I215" s="36"/>
      <c r="L215" s="84"/>
      <c r="M215" s="84"/>
      <c r="N215" s="36"/>
    </row>
    <row r="216" spans="1:20" s="37" customFormat="1" ht="15.75" customHeight="1" x14ac:dyDescent="0.3">
      <c r="A216" s="82">
        <f>A215+1</f>
        <v>3</v>
      </c>
      <c r="B216" s="83"/>
      <c r="C216" s="42" t="s">
        <v>320</v>
      </c>
      <c r="D216" s="69">
        <f>(7.48*5.48+2.75*3.65+3.35*4.28+4.08*3.65+3.65*4.28+3.65*5.58+0.98*1.83+1.53*2.45+1.53*1.83+1.53*2.45+1.83*2.75+1.53*2.45+1.53*3.05+1.93*1.53+1*1.93+2.58*1.2+5.33*1.53+1.93*1.53+1.63*1.72+1.63*0.9)*10.764</f>
        <v>1777.5884880000006</v>
      </c>
      <c r="E216" s="42">
        <f>(7.48*1.68+2.23*1.45)*10.764</f>
        <v>170.07012359999999</v>
      </c>
      <c r="F216" s="42">
        <f>D216+E216</f>
        <v>1947.6586116000005</v>
      </c>
      <c r="G216" s="42">
        <v>0</v>
      </c>
      <c r="H216" s="42">
        <f>F216*(($H$200)+1)+(IF(G216&lt;101,G216,IF(G216&lt;201,G216/2,IF(G216&lt;=301,G216/3,G216/4))))</f>
        <v>2921.4879174000007</v>
      </c>
      <c r="I216" s="36"/>
      <c r="L216" s="84"/>
      <c r="M216" s="84"/>
      <c r="N216" s="36"/>
    </row>
    <row r="217" spans="1:20" s="37" customFormat="1" ht="15.75" customHeight="1" x14ac:dyDescent="0.3">
      <c r="A217" s="82">
        <f>A216+1</f>
        <v>4</v>
      </c>
      <c r="B217" s="83"/>
      <c r="C217" s="89" t="s">
        <v>324</v>
      </c>
      <c r="D217" s="90"/>
      <c r="E217" s="90"/>
      <c r="F217" s="90"/>
      <c r="G217" s="90"/>
      <c r="H217" s="91"/>
      <c r="I217" s="36"/>
      <c r="L217" s="84"/>
      <c r="M217" s="84"/>
      <c r="N217" s="36"/>
    </row>
    <row r="218" spans="1:20" s="37" customFormat="1" ht="15.75" customHeight="1" x14ac:dyDescent="0.3">
      <c r="A218" s="82">
        <f>A217+1</f>
        <v>5</v>
      </c>
      <c r="B218" s="83"/>
      <c r="C218" s="92"/>
      <c r="D218" s="93"/>
      <c r="E218" s="93"/>
      <c r="F218" s="93"/>
      <c r="G218" s="93"/>
      <c r="H218" s="94"/>
      <c r="I218" s="36"/>
      <c r="L218" s="84"/>
      <c r="M218" s="84"/>
      <c r="N218" s="36"/>
    </row>
    <row r="219" spans="1:20" s="37" customFormat="1" ht="15.75" customHeight="1" x14ac:dyDescent="0.3">
      <c r="A219" s="82">
        <f>A218+1</f>
        <v>6</v>
      </c>
      <c r="B219" s="83"/>
      <c r="C219" s="82" t="s">
        <v>325</v>
      </c>
      <c r="D219" s="95"/>
      <c r="E219" s="95"/>
      <c r="F219" s="95"/>
      <c r="G219" s="95"/>
      <c r="H219" s="83"/>
      <c r="I219" s="36"/>
      <c r="L219" s="84"/>
      <c r="M219" s="84"/>
      <c r="N219" s="36"/>
    </row>
    <row r="220" spans="1:20" s="37" customFormat="1" ht="15.75" customHeight="1" x14ac:dyDescent="0.3">
      <c r="A220" s="79" t="s">
        <v>380</v>
      </c>
      <c r="B220" s="80"/>
      <c r="C220" s="80"/>
      <c r="D220" s="80"/>
      <c r="E220" s="80"/>
      <c r="F220" s="80"/>
      <c r="G220" s="80"/>
      <c r="H220" s="81"/>
      <c r="I220" s="36"/>
      <c r="N220" s="36"/>
    </row>
    <row r="221" spans="1:20" s="37" customFormat="1" x14ac:dyDescent="0.3">
      <c r="A221" s="106" t="s">
        <v>326</v>
      </c>
      <c r="B221" s="106"/>
      <c r="C221" s="106"/>
      <c r="D221" s="106"/>
      <c r="E221" s="106"/>
      <c r="F221" s="106"/>
      <c r="G221" s="106"/>
      <c r="H221" s="106"/>
      <c r="I221" s="65">
        <f>6+6+6</f>
        <v>18</v>
      </c>
      <c r="L221" s="84"/>
      <c r="M221" s="84"/>
    </row>
    <row r="222" spans="1:20" s="37" customFormat="1" x14ac:dyDescent="0.3">
      <c r="A222" s="85">
        <v>1</v>
      </c>
      <c r="B222" s="85"/>
      <c r="C222" s="42" t="s">
        <v>321</v>
      </c>
      <c r="D222" s="42">
        <f>(3.65*7.33+3.35*2.45+3.35*4.27+3.65*4.58+3.83*3.35+1.53*2.5+2.45*1.53+1.88*1.53+2.45*1.53+1.58*1.07+2.58*1.67+1.23*3.78+1.08*3.35+3.68*1.05+0.9*1.05+1.68*1.08+1.68*0.6+1.1*1.78)*10.764</f>
        <v>1257.9714576000001</v>
      </c>
      <c r="E222" s="70">
        <f>(3.65*1.53+1.53*1.85)*10.764</f>
        <v>90.579059999999998</v>
      </c>
      <c r="F222" s="42">
        <f t="shared" ref="F222:F227" si="1">D222+E222</f>
        <v>1348.5505176000001</v>
      </c>
      <c r="G222" s="42">
        <v>0</v>
      </c>
      <c r="H222" s="42">
        <f t="shared" ref="H222:H227" si="2">F222*(($H$200)+1)+(IF(G222&lt;101,G222,IF(G222&lt;201,G222/2,IF(G222&lt;=301,G222/3,G222/4))))</f>
        <v>2022.8257764000002</v>
      </c>
      <c r="I222" s="36"/>
      <c r="N222" s="36"/>
    </row>
    <row r="223" spans="1:20" s="37" customFormat="1" x14ac:dyDescent="0.3">
      <c r="A223" s="85">
        <f>A222+1</f>
        <v>2</v>
      </c>
      <c r="B223" s="85"/>
      <c r="C223" s="42" t="s">
        <v>321</v>
      </c>
      <c r="D223" s="42">
        <f>(3.65*7.33+3.35*2.45+3.35*4.27+3.65*4.58+3.83*3.35+1.53*2.5+2.45*1.53+1.88*1.53+2.45*1.53+1.58*1.07+2.58*1.67+1.23*3.78+1.08*3.35+3.68*1.05+0.9*1.05+1.68*1.08+1.68*0.6+1.1*1.78)*10.764</f>
        <v>1257.9714576000001</v>
      </c>
      <c r="E223" s="70">
        <f>(3.65*1.53+1.53*1.85)*10.764</f>
        <v>90.579059999999998</v>
      </c>
      <c r="F223" s="42">
        <f t="shared" si="1"/>
        <v>1348.5505176000001</v>
      </c>
      <c r="G223" s="42">
        <v>0</v>
      </c>
      <c r="H223" s="42">
        <f t="shared" si="2"/>
        <v>2022.8257764000002</v>
      </c>
      <c r="I223" s="36"/>
      <c r="N223" s="36"/>
    </row>
    <row r="224" spans="1:20" s="37" customFormat="1" x14ac:dyDescent="0.3">
      <c r="A224" s="85">
        <f>A223+1</f>
        <v>3</v>
      </c>
      <c r="B224" s="85"/>
      <c r="C224" s="42" t="s">
        <v>320</v>
      </c>
      <c r="D224" s="69">
        <f>(7.48*5.48+2.75*3.65+3.35*4.28+4.08*3.65+3.65*4.28+3.65*5.58+0.98*1.83+1.53*2.45+1.53*1.83+1.53*2.45+1.83*2.75+1.53*2.45+1.53*3.05+1.93*1.53+1*1.93+2.58*1.2+5.33*1.53+1.93*1.53+1.63*1.72+1.63*0.9)*10.764</f>
        <v>1777.5884880000006</v>
      </c>
      <c r="E224" s="42">
        <f>(7.48*1.68+2.23*1.45)*10.764</f>
        <v>170.07012359999999</v>
      </c>
      <c r="F224" s="42">
        <f t="shared" si="1"/>
        <v>1947.6586116000005</v>
      </c>
      <c r="G224" s="42">
        <v>0</v>
      </c>
      <c r="H224" s="42">
        <f t="shared" si="2"/>
        <v>2921.4879174000007</v>
      </c>
      <c r="I224" s="36"/>
      <c r="N224" s="36"/>
    </row>
    <row r="225" spans="1:14" s="37" customFormat="1" x14ac:dyDescent="0.3">
      <c r="A225" s="85">
        <f>A224+1</f>
        <v>4</v>
      </c>
      <c r="B225" s="85"/>
      <c r="C225" s="42" t="s">
        <v>321</v>
      </c>
      <c r="D225" s="42">
        <f t="shared" ref="D225:D226" si="3">(3.65*7.33+3.35*2.45+3.35*4.27+3.65*4.58+3.83*3.35+1.53*2.5+2.45*1.53+1.88*1.53+2.45*1.53+1.58*1.07+2.58*1.67+1.23*3.78+1.08*3.35+3.68*1.05+0.9*1.05+1.68*1.08+1.68*0.6+1.1*1.78)*10.764</f>
        <v>1257.9714576000001</v>
      </c>
      <c r="E225" s="70">
        <f>(3.65*1.53+1.53*1.85)*10.764</f>
        <v>90.579059999999998</v>
      </c>
      <c r="F225" s="42">
        <f t="shared" si="1"/>
        <v>1348.5505176000001</v>
      </c>
      <c r="G225" s="42">
        <v>0</v>
      </c>
      <c r="H225" s="42">
        <f t="shared" si="2"/>
        <v>2022.8257764000002</v>
      </c>
      <c r="I225" s="36"/>
      <c r="N225" s="36"/>
    </row>
    <row r="226" spans="1:14" s="37" customFormat="1" x14ac:dyDescent="0.3">
      <c r="A226" s="85">
        <f>A225+1</f>
        <v>5</v>
      </c>
      <c r="B226" s="85"/>
      <c r="C226" s="42" t="s">
        <v>321</v>
      </c>
      <c r="D226" s="42">
        <f t="shared" si="3"/>
        <v>1257.9714576000001</v>
      </c>
      <c r="E226" s="70">
        <f>(3.65*1.53+1.53*1.85)*10.764</f>
        <v>90.579059999999998</v>
      </c>
      <c r="F226" s="42">
        <f t="shared" si="1"/>
        <v>1348.5505176000001</v>
      </c>
      <c r="G226" s="42">
        <v>0</v>
      </c>
      <c r="H226" s="42">
        <f t="shared" si="2"/>
        <v>2022.8257764000002</v>
      </c>
      <c r="I226" s="36"/>
      <c r="N226" s="36"/>
    </row>
    <row r="227" spans="1:14" s="37" customFormat="1" x14ac:dyDescent="0.3">
      <c r="A227" s="85">
        <f>A226+1</f>
        <v>6</v>
      </c>
      <c r="B227" s="85"/>
      <c r="C227" s="42" t="s">
        <v>320</v>
      </c>
      <c r="D227" s="69">
        <f>(7.48*5.48+2.75*3.65+3.35*4.28+4.08*3.65+3.65*4.28+3.65*5.58+0.98*1.83+1.53*2.45+1.53*1.83+1.53*2.45+1.83*2.75+1.53*2.45+1.53*3.05+1.93*1.53+1*1.93+2.58*1.2+5.33*1.53+1.93*1.53+1.63*1.72+1.63*0.9)*10.764</f>
        <v>1777.5884880000006</v>
      </c>
      <c r="E227" s="42">
        <f>(7.48*1.68+2.23*1.45)*10.764</f>
        <v>170.07012359999999</v>
      </c>
      <c r="F227" s="42">
        <f t="shared" si="1"/>
        <v>1947.6586116000005</v>
      </c>
      <c r="G227" s="42">
        <v>0</v>
      </c>
      <c r="H227" s="42">
        <f t="shared" si="2"/>
        <v>2921.4879174000007</v>
      </c>
      <c r="I227" s="36"/>
      <c r="N227" s="36"/>
    </row>
    <row r="228" spans="1:14" s="37" customFormat="1" x14ac:dyDescent="0.3">
      <c r="A228" s="106" t="s">
        <v>328</v>
      </c>
      <c r="B228" s="106"/>
      <c r="C228" s="106"/>
      <c r="D228" s="106"/>
      <c r="E228" s="106"/>
      <c r="F228" s="106"/>
      <c r="G228" s="106"/>
      <c r="H228" s="106"/>
      <c r="I228" s="65">
        <v>2</v>
      </c>
      <c r="L228" s="84"/>
      <c r="M228" s="84"/>
    </row>
    <row r="229" spans="1:14" s="37" customFormat="1" x14ac:dyDescent="0.3">
      <c r="A229" s="85">
        <v>1</v>
      </c>
      <c r="B229" s="85"/>
      <c r="C229" s="42" t="s">
        <v>321</v>
      </c>
      <c r="D229" s="42">
        <f>(3.65*7.33+3.35*2.45+3.35*4.27+3.65*4.58+3.83*3.35+1.53*2.5+2.45*1.53+1.88*1.53+2.45*1.53+1.58*1.07+2.58*1.67+1.23*3.78+1.08*3.35+3.68*1.05+0.9*1.05+1.68*1.08+1.68*0.6+1.1*1.78)*10.764</f>
        <v>1257.9714576000001</v>
      </c>
      <c r="E229" s="70">
        <f>(3.65*1.53+1.53*1.85)*10.764</f>
        <v>90.579059999999998</v>
      </c>
      <c r="F229" s="42">
        <f>D229+E229</f>
        <v>1348.5505176000001</v>
      </c>
      <c r="G229" s="42">
        <v>0</v>
      </c>
      <c r="H229" s="42">
        <f>F229*(($H$200)+1)+(IF(G229&lt;101,G229,IF(G229&lt;201,G229/2,IF(G229&lt;=301,G229/3,G229/4))))</f>
        <v>2022.8257764000002</v>
      </c>
      <c r="I229" s="36"/>
      <c r="N229" s="36"/>
    </row>
    <row r="230" spans="1:14" s="37" customFormat="1" x14ac:dyDescent="0.3">
      <c r="A230" s="85">
        <f>A229+1</f>
        <v>2</v>
      </c>
      <c r="B230" s="85"/>
      <c r="C230" s="42" t="s">
        <v>321</v>
      </c>
      <c r="D230" s="42">
        <f>(3.65*7.33+3.35*2.45+3.35*4.27+3.65*4.58+3.83*3.35+1.53*2.5+2.45*1.53+1.88*1.53+2.45*1.53+1.58*1.07+2.58*1.67+1.23*3.78+1.08*3.35+3.68*1.05+0.9*1.05+1.68*1.08+1.68*0.6+1.1*1.78)*10.764</f>
        <v>1257.9714576000001</v>
      </c>
      <c r="E230" s="70">
        <f>(3.65*1.53+1.53*1.85)*10.764</f>
        <v>90.579059999999998</v>
      </c>
      <c r="F230" s="42">
        <f>D230+E230</f>
        <v>1348.5505176000001</v>
      </c>
      <c r="G230" s="42">
        <v>0</v>
      </c>
      <c r="H230" s="42">
        <f>F230*(($H$200)+1)+(IF(G230&lt;101,G230,IF(G230&lt;201,G230/2,IF(G230&lt;=301,G230/3,G230/4))))</f>
        <v>2022.8257764000002</v>
      </c>
      <c r="I230" s="36"/>
      <c r="N230" s="36"/>
    </row>
    <row r="231" spans="1:14" s="37" customFormat="1" x14ac:dyDescent="0.3">
      <c r="A231" s="85">
        <f>A230+1</f>
        <v>3</v>
      </c>
      <c r="B231" s="85"/>
      <c r="C231" s="42" t="s">
        <v>320</v>
      </c>
      <c r="D231" s="69">
        <f>(7.48*5.48+2.75*3.65+3.35*4.28+4.08*3.65+3.65*4.28+3.65*5.58+0.98*1.83+1.53*2.45+1.53*1.83+1.53*2.45+1.83*2.75+1.53*2.45+1.53*3.05+1.93*1.53+1*1.93+2.58*1.2+5.33*1.53+1.93*1.53+1.63*1.72+1.63*0.9)*10.764</f>
        <v>1777.5884880000006</v>
      </c>
      <c r="E231" s="42">
        <f>(7.48*1.68+2.23*1.45)*10.764</f>
        <v>170.07012359999999</v>
      </c>
      <c r="F231" s="42">
        <f>D231+E231</f>
        <v>1947.6586116000005</v>
      </c>
      <c r="G231" s="42">
        <v>0</v>
      </c>
      <c r="H231" s="42">
        <f>F231*(($H$200)+1)+(IF(G231&lt;101,G231,IF(G231&lt;201,G231/2,IF(G231&lt;=301,G231/3,G231/4))))</f>
        <v>2921.4879174000007</v>
      </c>
      <c r="I231" s="36"/>
      <c r="N231" s="36"/>
    </row>
    <row r="232" spans="1:14" s="37" customFormat="1" x14ac:dyDescent="0.3">
      <c r="A232" s="85">
        <f>A231+1</f>
        <v>4</v>
      </c>
      <c r="B232" s="85"/>
      <c r="C232" s="89" t="s">
        <v>324</v>
      </c>
      <c r="D232" s="90"/>
      <c r="E232" s="90"/>
      <c r="F232" s="90"/>
      <c r="G232" s="90"/>
      <c r="H232" s="91"/>
      <c r="I232" s="36"/>
      <c r="N232" s="36"/>
    </row>
    <row r="233" spans="1:14" s="37" customFormat="1" x14ac:dyDescent="0.3">
      <c r="A233" s="85">
        <f>A232+1</f>
        <v>5</v>
      </c>
      <c r="B233" s="85"/>
      <c r="C233" s="92"/>
      <c r="D233" s="93"/>
      <c r="E233" s="93"/>
      <c r="F233" s="93"/>
      <c r="G233" s="93"/>
      <c r="H233" s="94"/>
      <c r="I233" s="36"/>
      <c r="N233" s="36"/>
    </row>
    <row r="234" spans="1:14" s="37" customFormat="1" x14ac:dyDescent="0.3">
      <c r="A234" s="85">
        <f>A233+1</f>
        <v>6</v>
      </c>
      <c r="B234" s="85"/>
      <c r="C234" s="42" t="s">
        <v>320</v>
      </c>
      <c r="D234" s="69">
        <f>(7.48*5.48+2.75*3.65+3.35*4.28+4.08*3.65+3.65*4.28+3.65*5.58+0.98*1.83+1.53*2.45+1.53*1.83+1.53*2.45+1.83*2.75+1.53*2.45+1.53*3.05+1.93*1.53+1*1.93+2.58*1.2+5.33*1.53+1.93*1.53+1.63*1.72+1.63*0.9)*10.764</f>
        <v>1777.5884880000006</v>
      </c>
      <c r="E234" s="42">
        <f>(7.48*1.68+2.23*1.45)*10.764</f>
        <v>170.07012359999999</v>
      </c>
      <c r="F234" s="42">
        <f>D234+E234</f>
        <v>1947.6586116000005</v>
      </c>
      <c r="G234" s="42">
        <v>0</v>
      </c>
      <c r="H234" s="42">
        <f>F234*(($H$200)+1)+(IF(G234&lt;101,G234,IF(G234&lt;201,G234/2,IF(G234&lt;=301,G234/3,G234/4))))</f>
        <v>2921.4879174000007</v>
      </c>
      <c r="I234" s="36"/>
      <c r="N234" s="36"/>
    </row>
    <row r="235" spans="1:14" s="37" customFormat="1" x14ac:dyDescent="0.3">
      <c r="A235" s="106" t="s">
        <v>327</v>
      </c>
      <c r="B235" s="106"/>
      <c r="C235" s="106"/>
      <c r="D235" s="106"/>
      <c r="E235" s="106"/>
      <c r="F235" s="106"/>
      <c r="G235" s="106"/>
      <c r="H235" s="106"/>
      <c r="I235" s="65">
        <v>3</v>
      </c>
      <c r="L235" s="84"/>
      <c r="M235" s="84"/>
    </row>
    <row r="236" spans="1:14" s="37" customFormat="1" x14ac:dyDescent="0.3">
      <c r="A236" s="85">
        <v>1</v>
      </c>
      <c r="B236" s="85"/>
      <c r="C236" s="42" t="s">
        <v>321</v>
      </c>
      <c r="D236" s="69">
        <f>(3.65*7.4+3.35*2.45+3.43*4.27+3.73*4.58+3.9*3.43+2.53*1.53+1.53*2.5+2.45*1.53+1.88*1.53+1.58*1.07+2.58*1.67+1.23*3.7+1.08*3.43+3.658*1.05+0.9*1.05+1.68*1.08+1.68*0.6+1.1*1.78)*10.764</f>
        <v>1275.1647948000002</v>
      </c>
      <c r="E236" s="70">
        <f>(3.65*1.53+1.53*1.85)*10.764</f>
        <v>90.579059999999998</v>
      </c>
      <c r="F236" s="42">
        <f>D236+E236</f>
        <v>1365.7438548000002</v>
      </c>
      <c r="G236" s="42">
        <v>0</v>
      </c>
      <c r="H236" s="42">
        <f>F236*(($H$200)+1)+(IF(G236&lt;101,G236,IF(G236&lt;201,G236/2,IF(G236&lt;=301,G236/3,G236/4))))</f>
        <v>2048.6157822000005</v>
      </c>
      <c r="I236" s="36"/>
      <c r="N236" s="36"/>
    </row>
    <row r="237" spans="1:14" s="37" customFormat="1" x14ac:dyDescent="0.3">
      <c r="A237" s="85">
        <f>A236+1</f>
        <v>2</v>
      </c>
      <c r="B237" s="85"/>
      <c r="C237" s="42" t="s">
        <v>321</v>
      </c>
      <c r="D237" s="69">
        <f>(3.65*7.4+3.35*2.45+3.43*4.27+3.73*4.58+3.9*3.43+2.53*1.53+1.53*2.5+2.45*1.53+1.88*1.53+1.58*1.07+2.58*1.67+1.23*3.7+1.08*3.43+3.658*1.05+0.9*1.05+1.68*1.08+1.68*0.6+1.1*1.78)*10.764</f>
        <v>1275.1647948000002</v>
      </c>
      <c r="E237" s="70">
        <f>(3.65*1.53+1.53*1.85)*10.764</f>
        <v>90.579059999999998</v>
      </c>
      <c r="F237" s="42">
        <f>D237+E237</f>
        <v>1365.7438548000002</v>
      </c>
      <c r="G237" s="42">
        <v>0</v>
      </c>
      <c r="H237" s="42">
        <f>F237*(($H$200)+1)+(IF(G237&lt;101,G237,IF(G237&lt;201,G237/2,IF(G237&lt;=301,G237/3,G237/4))))</f>
        <v>2048.6157822000005</v>
      </c>
      <c r="I237" s="36"/>
      <c r="N237" s="36"/>
    </row>
    <row r="238" spans="1:14" s="37" customFormat="1" x14ac:dyDescent="0.3">
      <c r="A238" s="85">
        <f>A237+1</f>
        <v>3</v>
      </c>
      <c r="B238" s="85"/>
      <c r="C238" s="42" t="s">
        <v>320</v>
      </c>
      <c r="D238" s="69">
        <f>(7.73*5.48+2.75*3.65+3.43*4.28+4.08*3.65+3.65*4.28+3.65*5.58+1.06*1.83+1.53*2.45+1.58*1.83+1.58*2.45+1.83*2.75+1.53*2.45+1.53*3.05+2.05*1.53+1*1.93+2.58*1.2+5.4*1.53+1.88*1.53+1.63*1.72+1.63*0.9)*10.764</f>
        <v>1802.2057560000005</v>
      </c>
      <c r="E238" s="42">
        <f>(7.48*1.68+2.23*1.45)*10.764</f>
        <v>170.07012359999999</v>
      </c>
      <c r="F238" s="42">
        <f>D238+E238</f>
        <v>1972.2758796000005</v>
      </c>
      <c r="G238" s="42">
        <v>0</v>
      </c>
      <c r="H238" s="42">
        <f>F238*(($H$200)+1)+(IF(G238&lt;101,G238,IF(G238&lt;201,G238/2,IF(G238&lt;=301,G238/3,G238/4))))</f>
        <v>2958.4138194000006</v>
      </c>
      <c r="I238" s="71">
        <f>(3.65*7.4+3.35*2.45+3.43*4.27+3.73*4.58+3.9*3.43+2.53*1.53+1.53*2.5+2.45*1.53+1.88*1.53+1.58*1.07+2.58*1.67+1.23*3.7+1.08*3.43+3.658*1.05+0.9*1.05+1.68*1.08+1.68*0.6+1.1*1.78)*10.764</f>
        <v>1275.1647948000002</v>
      </c>
      <c r="N238" s="36"/>
    </row>
    <row r="239" spans="1:14" s="37" customFormat="1" x14ac:dyDescent="0.3">
      <c r="A239" s="85">
        <f>A238+1</f>
        <v>4</v>
      </c>
      <c r="B239" s="85"/>
      <c r="C239" s="89" t="s">
        <v>324</v>
      </c>
      <c r="D239" s="90"/>
      <c r="E239" s="90"/>
      <c r="F239" s="90"/>
      <c r="G239" s="90"/>
      <c r="H239" s="91"/>
      <c r="I239" s="71">
        <f>(3.65*7.4+3.35*2.45+3.43*4.27+3.73*4.58+3.9*3.43+2.53*1.53+1.53*2.5+2.45*1.53+1.88*1.53+1.58*1.07+2.58*1.67+1.23*3.7+1.08*3.43+3.658*1.05+0.9*1.05+1.68*1.08+1.68*0.6+1.1*1.78)*10.764</f>
        <v>1275.1647948000002</v>
      </c>
      <c r="N239" s="36"/>
    </row>
    <row r="240" spans="1:14" s="37" customFormat="1" x14ac:dyDescent="0.3">
      <c r="A240" s="85">
        <f>A239+1</f>
        <v>5</v>
      </c>
      <c r="B240" s="85"/>
      <c r="C240" s="92"/>
      <c r="D240" s="93"/>
      <c r="E240" s="93"/>
      <c r="F240" s="93"/>
      <c r="G240" s="93"/>
      <c r="H240" s="94"/>
      <c r="I240" s="36"/>
      <c r="N240" s="36"/>
    </row>
    <row r="241" spans="1:14" s="37" customFormat="1" x14ac:dyDescent="0.3">
      <c r="A241" s="85">
        <f>A240+1</f>
        <v>6</v>
      </c>
      <c r="B241" s="85"/>
      <c r="C241" s="42" t="s">
        <v>320</v>
      </c>
      <c r="D241" s="69">
        <f>(7.73*5.48+2.75*3.65+3.43*4.28+4.08*3.65+3.65*4.28+3.65*5.58+1.06*1.83+1.53*2.45+1.58*1.83+1.58*2.45+1.83*2.75+1.53*2.45+1.53*3.05+2.05*1.53+1*1.93+2.58*1.2+5.4*1.53+1.88*1.53+1.63*1.72+1.63*0.9)*10.764</f>
        <v>1802.2057560000005</v>
      </c>
      <c r="E241" s="42">
        <f>(7.48*1.68+2.23*1.45)*10.764</f>
        <v>170.07012359999999</v>
      </c>
      <c r="F241" s="42">
        <f>D241+E241</f>
        <v>1972.2758796000005</v>
      </c>
      <c r="G241" s="42">
        <v>0</v>
      </c>
      <c r="H241" s="42">
        <f>F241*(($H$200)+1)+(IF(G241&lt;101,G241,IF(G241&lt;201,G241/2,IF(G241&lt;=301,G241/3,G241/4))))</f>
        <v>2958.4138194000006</v>
      </c>
      <c r="I241" s="36"/>
      <c r="N241" s="36"/>
    </row>
    <row r="242" spans="1:14" s="37" customFormat="1" x14ac:dyDescent="0.3">
      <c r="A242" s="106" t="s">
        <v>329</v>
      </c>
      <c r="B242" s="106"/>
      <c r="C242" s="106"/>
      <c r="D242" s="106"/>
      <c r="E242" s="106"/>
      <c r="F242" s="106"/>
      <c r="G242" s="106"/>
      <c r="H242" s="106"/>
      <c r="I242" s="65">
        <f>5+6+4</f>
        <v>15</v>
      </c>
      <c r="L242" s="84"/>
      <c r="M242" s="84"/>
    </row>
    <row r="243" spans="1:14" s="37" customFormat="1" x14ac:dyDescent="0.3">
      <c r="A243" s="85">
        <v>1</v>
      </c>
      <c r="B243" s="85"/>
      <c r="C243" s="42" t="s">
        <v>321</v>
      </c>
      <c r="D243" s="69">
        <f>(3.65*7.4+3.35*2.45+3.43*4.27+3.73*4.58+3.9*3.43+2.53*1.53+1.53*2.5+2.45*1.53+1.88*1.53+1.58*1.07+2.58*1.67+1.23*3.7+1.08*3.43+3.658*1.05+0.9*1.05+1.68*1.08+1.68*0.6+1.1*1.78)*10.764</f>
        <v>1275.1647948000002</v>
      </c>
      <c r="E243" s="70">
        <f>(3.65*1.53+1.53*1.85)*10.764</f>
        <v>90.579059999999998</v>
      </c>
      <c r="F243" s="42">
        <f t="shared" ref="F243:F248" si="4">D243+E243</f>
        <v>1365.7438548000002</v>
      </c>
      <c r="G243" s="42">
        <v>0</v>
      </c>
      <c r="H243" s="42">
        <f t="shared" ref="H243:H248" si="5">F243*(($H$200)+1)+(IF(G243&lt;101,G243,IF(G243&lt;201,G243/2,IF(G243&lt;=301,G243/3,G243/4))))</f>
        <v>2048.6157822000005</v>
      </c>
      <c r="I243" s="36"/>
      <c r="N243" s="36"/>
    </row>
    <row r="244" spans="1:14" s="37" customFormat="1" x14ac:dyDescent="0.3">
      <c r="A244" s="85">
        <f>A243+1</f>
        <v>2</v>
      </c>
      <c r="B244" s="85"/>
      <c r="C244" s="42" t="s">
        <v>321</v>
      </c>
      <c r="D244" s="69">
        <f>(3.65*7.4+3.35*2.45+3.43*4.27+3.73*4.58+3.9*3.43+2.53*1.53+1.53*2.5+2.45*1.53+1.88*1.53+1.58*1.07+2.58*1.67+1.23*3.7+1.08*3.43+3.658*1.05+0.9*1.05+1.68*1.08+1.68*0.6+1.1*1.78)*10.764</f>
        <v>1275.1647948000002</v>
      </c>
      <c r="E244" s="70">
        <f>(3.65*1.53+1.53*1.85)*10.764</f>
        <v>90.579059999999998</v>
      </c>
      <c r="F244" s="42">
        <f t="shared" si="4"/>
        <v>1365.7438548000002</v>
      </c>
      <c r="G244" s="42">
        <v>0</v>
      </c>
      <c r="H244" s="42">
        <f t="shared" si="5"/>
        <v>2048.6157822000005</v>
      </c>
      <c r="I244" s="36"/>
      <c r="N244" s="36"/>
    </row>
    <row r="245" spans="1:14" s="37" customFormat="1" x14ac:dyDescent="0.3">
      <c r="A245" s="85">
        <f>A244+1</f>
        <v>3</v>
      </c>
      <c r="B245" s="85"/>
      <c r="C245" s="42" t="s">
        <v>320</v>
      </c>
      <c r="D245" s="69">
        <f>(7.73*5.48+2.75*3.65+3.43*4.28+4.08*3.65+3.65*4.28+3.65*5.58+1.06*1.83+1.53*2.45+1.58*1.83+1.58*2.45+1.83*2.75+1.53*2.45+1.53*3.05+2.05*1.53+1*1.93+2.58*1.2+5.4*1.53+1.88*1.53+1.63*1.72+1.63*0.9)*10.764</f>
        <v>1802.2057560000005</v>
      </c>
      <c r="E245" s="42">
        <f>(7.48*1.68+2.23*1.45)*10.764</f>
        <v>170.07012359999999</v>
      </c>
      <c r="F245" s="42">
        <f t="shared" si="4"/>
        <v>1972.2758796000005</v>
      </c>
      <c r="G245" s="42">
        <v>0</v>
      </c>
      <c r="H245" s="42">
        <f t="shared" si="5"/>
        <v>2958.4138194000006</v>
      </c>
      <c r="I245" s="36"/>
      <c r="N245" s="36"/>
    </row>
    <row r="246" spans="1:14" s="37" customFormat="1" x14ac:dyDescent="0.3">
      <c r="A246" s="85">
        <f>A245+1</f>
        <v>4</v>
      </c>
      <c r="B246" s="85"/>
      <c r="C246" s="42" t="s">
        <v>321</v>
      </c>
      <c r="D246" s="69">
        <f>(3.65*7.4+3.35*2.45+3.43*4.27+3.73*4.58+3.9*3.43+2.53*1.53+1.53*2.5+2.45*1.53+1.88*1.53+1.58*1.07+2.58*1.67+1.23*3.7+1.08*3.43+3.658*1.05+0.9*1.05+1.68*1.08+1.68*0.6+1.1*1.78)*10.764</f>
        <v>1275.1647948000002</v>
      </c>
      <c r="E246" s="70">
        <f>(3.65*1.53+1.53*1.85)*10.764</f>
        <v>90.579059999999998</v>
      </c>
      <c r="F246" s="42">
        <f t="shared" si="4"/>
        <v>1365.7438548000002</v>
      </c>
      <c r="G246" s="42">
        <v>0</v>
      </c>
      <c r="H246" s="42">
        <f t="shared" si="5"/>
        <v>2048.6157822000005</v>
      </c>
      <c r="I246" s="36"/>
      <c r="N246" s="36"/>
    </row>
    <row r="247" spans="1:14" s="37" customFormat="1" x14ac:dyDescent="0.3">
      <c r="A247" s="85">
        <f>A246+1</f>
        <v>5</v>
      </c>
      <c r="B247" s="85"/>
      <c r="C247" s="42" t="s">
        <v>321</v>
      </c>
      <c r="D247" s="69">
        <f>(3.65*7.4+3.35*2.45+3.43*4.27+3.73*4.58+3.9*3.43+2.53*1.53+1.53*2.5+2.45*1.53+1.88*1.53+1.58*1.07+2.58*1.67+1.23*3.7+1.08*3.43+3.658*1.05+0.9*1.05+1.68*1.08+1.68*0.6+1.1*1.78)*10.764</f>
        <v>1275.1647948000002</v>
      </c>
      <c r="E247" s="70">
        <f>(3.65*1.53+1.53*1.85)*10.764</f>
        <v>90.579059999999998</v>
      </c>
      <c r="F247" s="42">
        <f t="shared" si="4"/>
        <v>1365.7438548000002</v>
      </c>
      <c r="G247" s="42">
        <v>0</v>
      </c>
      <c r="H247" s="42">
        <f t="shared" si="5"/>
        <v>2048.6157822000005</v>
      </c>
      <c r="I247" s="36"/>
      <c r="N247" s="36"/>
    </row>
    <row r="248" spans="1:14" s="37" customFormat="1" x14ac:dyDescent="0.3">
      <c r="A248" s="85">
        <f>A247+1</f>
        <v>6</v>
      </c>
      <c r="B248" s="85"/>
      <c r="C248" s="42" t="s">
        <v>320</v>
      </c>
      <c r="D248" s="69">
        <f>(7.73*5.48+2.75*3.65+3.43*4.28+4.08*3.65+3.65*4.28+3.65*5.58+1.06*1.83+1.53*2.45+1.58*1.83+1.58*2.45+1.83*2.75+1.53*2.45+1.53*3.05+2.05*1.53+1*1.93+2.58*1.2+5.4*1.53+1.88*1.53+1.63*1.72+1.63*0.9)*10.764</f>
        <v>1802.2057560000005</v>
      </c>
      <c r="E248" s="42">
        <f>(7.48*1.68+2.23*1.45)*10.764</f>
        <v>170.07012359999999</v>
      </c>
      <c r="F248" s="42">
        <f t="shared" si="4"/>
        <v>1972.2758796000005</v>
      </c>
      <c r="G248" s="42">
        <v>0</v>
      </c>
      <c r="H248" s="42">
        <f t="shared" si="5"/>
        <v>2958.4138194000006</v>
      </c>
      <c r="I248" s="36"/>
      <c r="N248" s="36"/>
    </row>
    <row r="249" spans="1:14" s="37" customFormat="1" x14ac:dyDescent="0.3">
      <c r="A249" s="106" t="s">
        <v>352</v>
      </c>
      <c r="B249" s="106"/>
      <c r="C249" s="106"/>
      <c r="D249" s="106"/>
      <c r="E249" s="106"/>
      <c r="F249" s="106"/>
      <c r="G249" s="106"/>
      <c r="H249" s="106"/>
      <c r="I249" s="65">
        <f>4</f>
        <v>4</v>
      </c>
      <c r="L249" s="84"/>
      <c r="M249" s="84"/>
    </row>
    <row r="250" spans="1:14" s="37" customFormat="1" x14ac:dyDescent="0.3">
      <c r="A250" s="85">
        <v>1</v>
      </c>
      <c r="B250" s="85"/>
      <c r="C250" s="42" t="s">
        <v>321</v>
      </c>
      <c r="D250" s="69">
        <f>(3.65*7.4+3.35*2.45+3.43*4.27+3.73*4.58+3.9*3.43+2.53*1.53+1.53*2.5+2.45*1.53+1.88*1.53+1.58*1.07+2.58*1.67+1.23*3.7+1.08*3.43+3.658*1.05+0.9*1.05+1.68*1.08+1.68*0.6+1.1*1.78)*10.764</f>
        <v>1275.1647948000002</v>
      </c>
      <c r="E250" s="70">
        <f>(3.65*1.53+1.53*1.85)*10.764</f>
        <v>90.579059999999998</v>
      </c>
      <c r="F250" s="42">
        <f t="shared" ref="F250:F255" si="6">D250+E250</f>
        <v>1365.7438548000002</v>
      </c>
      <c r="G250" s="42">
        <v>0</v>
      </c>
      <c r="H250" s="42">
        <f t="shared" ref="H250:H255" si="7">F250*(($H$200)+1)+(IF(G250&lt;101,G250,IF(G250&lt;201,G250/2,IF(G250&lt;=301,G250/3,G250/4))))</f>
        <v>2048.6157822000005</v>
      </c>
      <c r="I250" s="36"/>
      <c r="N250" s="36"/>
    </row>
    <row r="251" spans="1:14" s="37" customFormat="1" x14ac:dyDescent="0.3">
      <c r="A251" s="85">
        <f>A250+1</f>
        <v>2</v>
      </c>
      <c r="B251" s="85"/>
      <c r="C251" s="42" t="s">
        <v>321</v>
      </c>
      <c r="D251" s="69">
        <f>(3.65*7.4+3.35*2.45+3.43*4.27+3.73*4.58+3.9*3.43+2.53*1.53+1.53*2.5+2.45*1.53+1.88*1.53+1.58*1.07+2.58*1.67+1.23*3.7+1.08*3.43+3.658*1.05+0.9*1.05+1.68*1.08+1.68*0.6+1.1*1.78)*10.764</f>
        <v>1275.1647948000002</v>
      </c>
      <c r="E251" s="70">
        <f>(3.65*1.53+1.53*1.85)*10.764</f>
        <v>90.579059999999998</v>
      </c>
      <c r="F251" s="42">
        <f t="shared" si="6"/>
        <v>1365.7438548000002</v>
      </c>
      <c r="G251" s="42">
        <v>0</v>
      </c>
      <c r="H251" s="42">
        <f t="shared" si="7"/>
        <v>2048.6157822000005</v>
      </c>
      <c r="I251" s="36"/>
      <c r="N251" s="36"/>
    </row>
    <row r="252" spans="1:14" s="37" customFormat="1" x14ac:dyDescent="0.3">
      <c r="A252" s="85">
        <f>A251+1</f>
        <v>3</v>
      </c>
      <c r="B252" s="85"/>
      <c r="C252" s="42" t="s">
        <v>320</v>
      </c>
      <c r="D252" s="69">
        <f>(7.73*5.48+2.75*3.65+3.43*4.28+4.08*3.65+3.65*4.28+3.65*5.58+1.06*1.83+1.53*2.45+1.58*1.83+1.58*2.45+1.83*2.75+1.53*2.45+1.53*3.05+2.05*1.53+1*1.93+2.58*1.2+5.4*1.53+1.88*1.53+1.63*1.72+1.63*0.9)*10.764</f>
        <v>1802.2057560000005</v>
      </c>
      <c r="E252" s="42">
        <f>(7.48*1.68+2.23*1.45)*10.764</f>
        <v>170.07012359999999</v>
      </c>
      <c r="F252" s="42">
        <f t="shared" si="6"/>
        <v>1972.2758796000005</v>
      </c>
      <c r="G252" s="42">
        <v>0</v>
      </c>
      <c r="H252" s="42">
        <f t="shared" si="7"/>
        <v>2958.4138194000006</v>
      </c>
      <c r="I252" s="36"/>
      <c r="N252" s="36"/>
    </row>
    <row r="253" spans="1:14" s="37" customFormat="1" x14ac:dyDescent="0.3">
      <c r="A253" s="85">
        <f>A252+1</f>
        <v>4</v>
      </c>
      <c r="B253" s="85"/>
      <c r="C253" s="42" t="s">
        <v>321</v>
      </c>
      <c r="D253" s="69">
        <f>(3.65*7.4+3.35*2.45+3.43*4.27+3.73*4.58+3.9*3.43+2.53*1.53+1.53*2.5+2.45*1.53+1.88*1.53+1.58*1.07+2.58*1.67+1.23*3.7+1.08*3.43+3.658*1.05+0.9*1.05+1.68*1.08+1.68*0.6+1.1*1.78)*10.764</f>
        <v>1275.1647948000002</v>
      </c>
      <c r="E253" s="70">
        <f>(3.65*1.53+1.53*1.85)*10.764</f>
        <v>90.579059999999998</v>
      </c>
      <c r="F253" s="42">
        <f t="shared" si="6"/>
        <v>1365.7438548000002</v>
      </c>
      <c r="G253" s="42">
        <v>0</v>
      </c>
      <c r="H253" s="42">
        <f t="shared" si="7"/>
        <v>2048.6157822000005</v>
      </c>
      <c r="I253" s="36"/>
      <c r="N253" s="36"/>
    </row>
    <row r="254" spans="1:14" s="37" customFormat="1" x14ac:dyDescent="0.3">
      <c r="A254" s="85">
        <f>A253+1</f>
        <v>5</v>
      </c>
      <c r="B254" s="85"/>
      <c r="C254" s="42" t="s">
        <v>321</v>
      </c>
      <c r="D254" s="69">
        <f>(3.65*7.4+3.35*2.45+3.43*4.27+3.73*4.58+3.9*3.43+2.53*1.53+1.53*2.5+2.45*1.53+1.88*1.53+1.58*1.07+2.58*1.67+1.23*3.7+1.08*3.43+3.658*1.05+0.9*1.05+1.68*1.08+1.68*0.6+1.1*1.78)*10.764</f>
        <v>1275.1647948000002</v>
      </c>
      <c r="E254" s="70">
        <f>(3.65*1.53+1.53*1.85)*10.764</f>
        <v>90.579059999999998</v>
      </c>
      <c r="F254" s="42">
        <f t="shared" si="6"/>
        <v>1365.7438548000002</v>
      </c>
      <c r="G254" s="42">
        <v>0</v>
      </c>
      <c r="H254" s="42">
        <f t="shared" si="7"/>
        <v>2048.6157822000005</v>
      </c>
      <c r="I254" s="36"/>
      <c r="N254" s="36"/>
    </row>
    <row r="255" spans="1:14" s="37" customFormat="1" x14ac:dyDescent="0.3">
      <c r="A255" s="85">
        <f>A254+1</f>
        <v>6</v>
      </c>
      <c r="B255" s="85"/>
      <c r="C255" s="42" t="s">
        <v>320</v>
      </c>
      <c r="D255" s="69">
        <f>(7.73*5.48+2.75*3.65+3.43*4.28+4.08*3.65+3.65*4.28+3.65*5.58+1.06*1.83+1.53*2.45+1.58*1.83+1.58*2.45+1.83*2.75+1.53*2.45+1.53*3.05+2.05*1.53+1*1.93+2.58*1.2+5.4*1.53+1.88*1.53+1.63*1.72+1.63*0.9)*10.764</f>
        <v>1802.2057560000005</v>
      </c>
      <c r="E255" s="42">
        <f>(7.48*1.68+2.23*1.45)*10.764</f>
        <v>170.07012359999999</v>
      </c>
      <c r="F255" s="42">
        <f t="shared" si="6"/>
        <v>1972.2758796000005</v>
      </c>
      <c r="G255" s="42">
        <v>0</v>
      </c>
      <c r="H255" s="42">
        <f t="shared" si="7"/>
        <v>2958.4138194000006</v>
      </c>
      <c r="I255" s="36"/>
      <c r="N255" s="36"/>
    </row>
    <row r="256" spans="1:14" s="37" customFormat="1" x14ac:dyDescent="0.3">
      <c r="A256" s="106" t="s">
        <v>331</v>
      </c>
      <c r="B256" s="106"/>
      <c r="C256" s="106"/>
      <c r="D256" s="106"/>
      <c r="E256" s="106"/>
      <c r="F256" s="106"/>
      <c r="G256" s="106"/>
      <c r="H256" s="106"/>
      <c r="I256" s="65">
        <f>1</f>
        <v>1</v>
      </c>
      <c r="L256" s="84"/>
      <c r="M256" s="84"/>
    </row>
    <row r="257" spans="1:20" s="37" customFormat="1" x14ac:dyDescent="0.3">
      <c r="A257" s="85">
        <v>1</v>
      </c>
      <c r="B257" s="85"/>
      <c r="C257" s="42" t="s">
        <v>321</v>
      </c>
      <c r="D257" s="69">
        <f>(3.65*7.4+3.35*2.45+3.43*4.27+3.73*4.58+3.9*3.43+2.53*1.53+1.53*2.5+2.45*1.53+1.88*1.53+1.58*1.07+2.58*1.67+1.23*3.7+1.08*3.43+3.658*1.05+0.9*1.05+1.68*1.08+1.68*0.6+1.1*1.78)*10.764</f>
        <v>1275.1647948000002</v>
      </c>
      <c r="E257" s="70">
        <f>(3.65*1.53+1.53*1.85)*10.764</f>
        <v>90.579059999999998</v>
      </c>
      <c r="F257" s="42">
        <f>D257+E257</f>
        <v>1365.7438548000002</v>
      </c>
      <c r="G257" s="42">
        <v>0</v>
      </c>
      <c r="H257" s="42">
        <f>F257*(($H$200)+1)+(IF(G257&lt;101,G257,IF(G257&lt;201,G257/2,IF(G257&lt;=301,G257/3,G257/4))))</f>
        <v>2048.6157822000005</v>
      </c>
      <c r="I257" s="65"/>
      <c r="N257" s="36"/>
    </row>
    <row r="258" spans="1:20" s="37" customFormat="1" x14ac:dyDescent="0.3">
      <c r="A258" s="85">
        <f>A257+1</f>
        <v>2</v>
      </c>
      <c r="B258" s="85"/>
      <c r="C258" s="42" t="s">
        <v>321</v>
      </c>
      <c r="D258" s="69">
        <f>(3.65*7.4+3.35*2.45+3.43*4.27+3.73*4.58+3.9*3.43+2.53*1.53+1.53*2.5+2.45*1.53+1.88*1.53+1.58*1.07+2.58*1.67+1.23*3.7+1.08*3.43+3.658*1.05+0.9*1.05+1.68*1.08+1.68*0.6+1.1*1.78)*10.764</f>
        <v>1275.1647948000002</v>
      </c>
      <c r="E258" s="70">
        <f>(3.65*1.53+1.53*1.85)*10.764</f>
        <v>90.579059999999998</v>
      </c>
      <c r="F258" s="42">
        <f>D258+E258</f>
        <v>1365.7438548000002</v>
      </c>
      <c r="G258" s="42">
        <v>0</v>
      </c>
      <c r="H258" s="42">
        <f>F258*(($H$200)+1)+(IF(G258&lt;101,G258,IF(G258&lt;201,G258/2,IF(G258&lt;=301,G258/3,G258/4))))</f>
        <v>2048.6157822000005</v>
      </c>
      <c r="I258" s="36"/>
      <c r="N258" s="36"/>
    </row>
    <row r="259" spans="1:20" s="37" customFormat="1" x14ac:dyDescent="0.3">
      <c r="A259" s="85">
        <f>A258+1</f>
        <v>3</v>
      </c>
      <c r="B259" s="85"/>
      <c r="C259" s="42" t="s">
        <v>320</v>
      </c>
      <c r="D259" s="69">
        <f>(7.73*5.48+2.75*3.65+3.43*4.28+4.08*3.65+3.65*4.28+3.65*5.58+1.06*1.83+1.53*2.45+1.58*1.83+1.58*2.45+1.83*2.75+1.53*2.45+1.53*3.05+2.05*1.53+1*1.93+2.58*1.2+5.4*1.53+1.88*1.53+1.63*1.72+1.63*0.9)*10.764</f>
        <v>1802.2057560000005</v>
      </c>
      <c r="E259" s="42">
        <f>(7.48*1.68+2.23*1.45)*10.764</f>
        <v>170.07012359999999</v>
      </c>
      <c r="F259" s="42">
        <f>D259+E259</f>
        <v>1972.2758796000005</v>
      </c>
      <c r="G259" s="42">
        <v>0</v>
      </c>
      <c r="H259" s="42">
        <f>F259*(($H$200)+1)+(IF(G259&lt;101,G259,IF(G259&lt;201,G259/2,IF(G259&lt;=301,G259/3,G259/4))))</f>
        <v>2958.4138194000006</v>
      </c>
      <c r="I259" s="36"/>
      <c r="N259" s="36"/>
    </row>
    <row r="260" spans="1:20" s="37" customFormat="1" x14ac:dyDescent="0.3">
      <c r="A260" s="85">
        <f>A259+1</f>
        <v>4</v>
      </c>
      <c r="B260" s="85"/>
      <c r="C260" s="42" t="s">
        <v>321</v>
      </c>
      <c r="D260" s="69">
        <f>(3.65*7.4+3.35*2.45+3.43*4.27+3.73*4.58+3.9*3.43+2.53*1.53+1.53*2.5+2.45*1.53+1.88*1.53+1.58*1.07+2.58*1.67+1.23*3.7+1.08*3.43+3.658*1.05+0.9*1.05+1.68*1.08+1.68*0.6+1.1*1.78)*10.764</f>
        <v>1275.1647948000002</v>
      </c>
      <c r="E260" s="70">
        <f>(3.65*1.53+1.53*1.85)*10.764</f>
        <v>90.579059999999998</v>
      </c>
      <c r="F260" s="42">
        <f>D260+E260</f>
        <v>1365.7438548000002</v>
      </c>
      <c r="G260" s="42">
        <v>0</v>
      </c>
      <c r="H260" s="42">
        <f>F260*(($H$200)+1)+(IF(G260&lt;101,G260,IF(G260&lt;201,G260/2,IF(G260&lt;=301,G260/3,G260/4))))</f>
        <v>2048.6157822000005</v>
      </c>
      <c r="I260" s="36"/>
      <c r="N260" s="36"/>
    </row>
    <row r="261" spans="1:20" s="37" customFormat="1" x14ac:dyDescent="0.3">
      <c r="A261" s="85">
        <f>A260+1</f>
        <v>5</v>
      </c>
      <c r="B261" s="85"/>
      <c r="C261" s="82" t="s">
        <v>324</v>
      </c>
      <c r="D261" s="95"/>
      <c r="E261" s="95"/>
      <c r="F261" s="95"/>
      <c r="G261" s="95"/>
      <c r="H261" s="83"/>
      <c r="I261" s="36"/>
      <c r="N261" s="36"/>
    </row>
    <row r="262" spans="1:20" s="37" customFormat="1" x14ac:dyDescent="0.3">
      <c r="A262" s="85">
        <f>A261+1</f>
        <v>6</v>
      </c>
      <c r="B262" s="85"/>
      <c r="C262" s="42" t="s">
        <v>320</v>
      </c>
      <c r="D262" s="69">
        <f>(7.73*5.48+2.75*3.65+3.43*4.28+4.08*3.65+3.65*4.28+3.65*5.58+1.06*1.83+1.53*2.45+1.58*1.83+1.58*2.45+1.83*2.75+1.53*2.45+1.53*3.05+2.05*1.53+1*1.93+2.58*1.2+5.4*1.53+1.88*1.53+1.63*1.72+1.63*0.9)*10.764</f>
        <v>1802.2057560000005</v>
      </c>
      <c r="E262" s="42">
        <f>(7.48*1.68+2.23*1.45)*10.764</f>
        <v>170.07012359999999</v>
      </c>
      <c r="F262" s="42">
        <f>D262+E262</f>
        <v>1972.2758796000005</v>
      </c>
      <c r="G262" s="42">
        <v>0</v>
      </c>
      <c r="H262" s="42">
        <f>F262*(($H$200)+1)+(IF(G262&lt;101,G262,IF(G262&lt;201,G262/2,IF(G262&lt;=301,G262/3,G262/4))))</f>
        <v>2958.4138194000006</v>
      </c>
      <c r="I262" s="36"/>
      <c r="N262" s="36"/>
    </row>
    <row r="263" spans="1:20" s="37" customFormat="1" x14ac:dyDescent="0.3">
      <c r="A263" s="110" t="s">
        <v>369</v>
      </c>
      <c r="B263" s="111"/>
      <c r="C263" s="111"/>
      <c r="D263" s="111"/>
      <c r="E263" s="111"/>
      <c r="F263" s="111"/>
      <c r="G263" s="111"/>
      <c r="H263" s="112"/>
      <c r="J263" s="36"/>
    </row>
    <row r="264" spans="1:20" s="37" customFormat="1" x14ac:dyDescent="0.3">
      <c r="A264" s="79" t="s">
        <v>316</v>
      </c>
      <c r="B264" s="80"/>
      <c r="C264" s="80"/>
      <c r="D264" s="80"/>
      <c r="E264" s="80"/>
      <c r="F264" s="80"/>
      <c r="G264" s="80"/>
      <c r="H264" s="81"/>
      <c r="J264" s="36"/>
    </row>
    <row r="265" spans="1:20" s="37" customFormat="1" ht="37.5" customHeight="1" x14ac:dyDescent="0.3">
      <c r="A265" s="79" t="s">
        <v>333</v>
      </c>
      <c r="B265" s="80"/>
      <c r="C265" s="80"/>
      <c r="D265" s="80"/>
      <c r="E265" s="80"/>
      <c r="F265" s="80"/>
      <c r="G265" s="80"/>
      <c r="H265" s="81"/>
      <c r="J265" s="36"/>
    </row>
    <row r="266" spans="1:20" s="37" customFormat="1" x14ac:dyDescent="0.3">
      <c r="A266" s="79" t="s">
        <v>318</v>
      </c>
      <c r="B266" s="80"/>
      <c r="C266" s="80"/>
      <c r="D266" s="80"/>
      <c r="E266" s="80"/>
      <c r="F266" s="80"/>
      <c r="G266" s="80"/>
      <c r="H266" s="81"/>
      <c r="I266" s="64">
        <v>1</v>
      </c>
      <c r="J266" s="36"/>
    </row>
    <row r="267" spans="1:20" s="37" customFormat="1" x14ac:dyDescent="0.3">
      <c r="A267" s="79" t="s">
        <v>392</v>
      </c>
      <c r="B267" s="80"/>
      <c r="C267" s="80"/>
      <c r="D267" s="80"/>
      <c r="E267" s="80"/>
      <c r="F267" s="80"/>
      <c r="G267" s="80"/>
      <c r="H267" s="81"/>
      <c r="I267" s="64">
        <f>6</f>
        <v>6</v>
      </c>
      <c r="J267" s="36"/>
    </row>
    <row r="268" spans="1:20" s="37" customFormat="1" ht="15.75" customHeight="1" x14ac:dyDescent="0.3">
      <c r="A268" s="82">
        <v>1</v>
      </c>
      <c r="B268" s="83"/>
      <c r="C268" s="89" t="s">
        <v>319</v>
      </c>
      <c r="D268" s="90"/>
      <c r="E268" s="90"/>
      <c r="F268" s="90"/>
      <c r="G268" s="90"/>
      <c r="H268" s="91"/>
      <c r="I268" s="36"/>
      <c r="L268" s="84"/>
      <c r="M268" s="84"/>
      <c r="N268" s="36"/>
      <c r="T268" s="21"/>
    </row>
    <row r="269" spans="1:20" s="37" customFormat="1" ht="15.75" customHeight="1" x14ac:dyDescent="0.3">
      <c r="A269" s="82">
        <f>A268+1</f>
        <v>2</v>
      </c>
      <c r="B269" s="83"/>
      <c r="C269" s="107"/>
      <c r="D269" s="108"/>
      <c r="E269" s="108"/>
      <c r="F269" s="108"/>
      <c r="G269" s="108"/>
      <c r="H269" s="109"/>
      <c r="I269" s="36"/>
      <c r="L269" s="84"/>
      <c r="M269" s="84"/>
      <c r="N269" s="36"/>
    </row>
    <row r="270" spans="1:20" s="37" customFormat="1" ht="15.75" customHeight="1" x14ac:dyDescent="0.3">
      <c r="A270" s="82">
        <f>A269+1</f>
        <v>3</v>
      </c>
      <c r="B270" s="83"/>
      <c r="C270" s="92"/>
      <c r="D270" s="93"/>
      <c r="E270" s="93"/>
      <c r="F270" s="93"/>
      <c r="G270" s="93"/>
      <c r="H270" s="94"/>
      <c r="I270" s="36"/>
      <c r="L270" s="84"/>
      <c r="M270" s="84"/>
      <c r="N270" s="36"/>
    </row>
    <row r="271" spans="1:20" s="37" customFormat="1" ht="15.75" customHeight="1" x14ac:dyDescent="0.3">
      <c r="A271" s="82">
        <f>A270+1</f>
        <v>4</v>
      </c>
      <c r="B271" s="83"/>
      <c r="C271" s="42" t="s">
        <v>321</v>
      </c>
      <c r="D271" s="42">
        <f>(3.65*7.33+3.35*2.45+2.56*1.68+1.58*1.06+1.23*3.77+1.05*3.35+3.4*4.28+1.88*1.55+3.65*1.08+2.45*1.55+1.53*2.5+0.9*1.05+2.83*1.68+3.83*3.35+3.73*4.58+2.45*1.53)*10.764</f>
        <v>1264.6031580000001</v>
      </c>
      <c r="E271" s="42">
        <f>(3.65*1.53+1.53*1.87)*10.764</f>
        <v>90.908438400000009</v>
      </c>
      <c r="F271" s="42">
        <f>D271+E271</f>
        <v>1355.5115964000001</v>
      </c>
      <c r="G271" s="42">
        <v>0</v>
      </c>
      <c r="H271" s="42">
        <f>F271*(($H$200)+1)+(IF(G271&lt;101,G271,IF(G271&lt;201,G271/2,IF(G271&lt;=301,G271/3,G271/4))))</f>
        <v>2033.2673946000002</v>
      </c>
      <c r="I271" s="36"/>
      <c r="L271" s="84"/>
      <c r="M271" s="84"/>
      <c r="N271" s="36"/>
    </row>
    <row r="272" spans="1:20" s="37" customFormat="1" ht="15.75" customHeight="1" x14ac:dyDescent="0.3">
      <c r="A272" s="82">
        <f>A271+1</f>
        <v>5</v>
      </c>
      <c r="B272" s="83"/>
      <c r="C272" s="42" t="s">
        <v>321</v>
      </c>
      <c r="D272" s="42">
        <f>(3.65*7.33+3.35*2.45+2.56*1.68+1.58*1.06+1.23*3.77+1.05*3.35+3.4*4.28+1.88*1.55+3.65*1.08+2.45*1.55+1.53*2.5+0.9*1.05+2.83*1.68+3.83*3.35+3.73*4.58+2.45*1.53)*10.764</f>
        <v>1264.6031580000001</v>
      </c>
      <c r="E272" s="42">
        <f>(3.65*1.53+1.53*1.87)*10.764</f>
        <v>90.908438400000009</v>
      </c>
      <c r="F272" s="42">
        <f>D272+E272</f>
        <v>1355.5115964000001</v>
      </c>
      <c r="G272" s="42">
        <v>0</v>
      </c>
      <c r="H272" s="42">
        <f>F272*(($H$200)+1)+(IF(G272&lt;101,G272,IF(G272&lt;201,G272/2,IF(G272&lt;=301,G272/3,G272/4))))</f>
        <v>2033.2673946000002</v>
      </c>
      <c r="I272" s="36"/>
      <c r="L272" s="84"/>
      <c r="M272" s="84"/>
      <c r="N272" s="36"/>
    </row>
    <row r="273" spans="1:20" s="37" customFormat="1" ht="15.75" customHeight="1" x14ac:dyDescent="0.3">
      <c r="A273" s="82">
        <f>A272+1</f>
        <v>6</v>
      </c>
      <c r="B273" s="83"/>
      <c r="C273" s="82" t="s">
        <v>319</v>
      </c>
      <c r="D273" s="95"/>
      <c r="E273" s="95"/>
      <c r="F273" s="95"/>
      <c r="G273" s="95"/>
      <c r="H273" s="83"/>
      <c r="I273" s="36"/>
      <c r="L273" s="84"/>
      <c r="M273" s="84"/>
      <c r="N273" s="36"/>
    </row>
    <row r="274" spans="1:20" s="37" customFormat="1" x14ac:dyDescent="0.3">
      <c r="A274" s="79" t="s">
        <v>393</v>
      </c>
      <c r="B274" s="80"/>
      <c r="C274" s="80"/>
      <c r="D274" s="80"/>
      <c r="E274" s="80"/>
      <c r="F274" s="80"/>
      <c r="G274" s="80"/>
      <c r="H274" s="81"/>
      <c r="I274" s="64">
        <f>6</f>
        <v>6</v>
      </c>
      <c r="J274" s="36"/>
    </row>
    <row r="275" spans="1:20" s="37" customFormat="1" ht="15.75" customHeight="1" x14ac:dyDescent="0.3">
      <c r="A275" s="82">
        <v>1</v>
      </c>
      <c r="B275" s="83"/>
      <c r="C275" s="89" t="s">
        <v>325</v>
      </c>
      <c r="D275" s="90"/>
      <c r="E275" s="90"/>
      <c r="F275" s="90"/>
      <c r="G275" s="90"/>
      <c r="H275" s="91"/>
      <c r="I275" s="36"/>
      <c r="L275" s="84"/>
      <c r="M275" s="84"/>
      <c r="N275" s="36"/>
      <c r="T275" s="21"/>
    </row>
    <row r="276" spans="1:20" s="37" customFormat="1" ht="15.75" customHeight="1" x14ac:dyDescent="0.3">
      <c r="A276" s="82">
        <f>A275+1</f>
        <v>2</v>
      </c>
      <c r="B276" s="83"/>
      <c r="C276" s="107"/>
      <c r="D276" s="108"/>
      <c r="E276" s="108"/>
      <c r="F276" s="108"/>
      <c r="G276" s="108"/>
      <c r="H276" s="109"/>
      <c r="I276" s="36"/>
      <c r="L276" s="84"/>
      <c r="M276" s="84"/>
      <c r="N276" s="36"/>
    </row>
    <row r="277" spans="1:20" s="37" customFormat="1" ht="15.75" customHeight="1" x14ac:dyDescent="0.3">
      <c r="A277" s="82">
        <f>A276+1</f>
        <v>3</v>
      </c>
      <c r="B277" s="83"/>
      <c r="C277" s="92"/>
      <c r="D277" s="93"/>
      <c r="E277" s="93"/>
      <c r="F277" s="93"/>
      <c r="G277" s="93"/>
      <c r="H277" s="94"/>
      <c r="I277" s="36"/>
      <c r="L277" s="84"/>
      <c r="M277" s="84"/>
      <c r="N277" s="36"/>
    </row>
    <row r="278" spans="1:20" s="37" customFormat="1" ht="15.75" customHeight="1" x14ac:dyDescent="0.3">
      <c r="A278" s="82">
        <f>A277+1</f>
        <v>4</v>
      </c>
      <c r="B278" s="83"/>
      <c r="C278" s="89" t="s">
        <v>324</v>
      </c>
      <c r="D278" s="90"/>
      <c r="E278" s="90"/>
      <c r="F278" s="90"/>
      <c r="G278" s="90"/>
      <c r="H278" s="91"/>
      <c r="I278" s="36"/>
      <c r="L278" s="84"/>
      <c r="M278" s="84"/>
      <c r="N278" s="36"/>
    </row>
    <row r="279" spans="1:20" s="37" customFormat="1" ht="15.75" customHeight="1" x14ac:dyDescent="0.3">
      <c r="A279" s="82">
        <f>A278+1</f>
        <v>5</v>
      </c>
      <c r="B279" s="83"/>
      <c r="C279" s="92"/>
      <c r="D279" s="93"/>
      <c r="E279" s="93"/>
      <c r="F279" s="93"/>
      <c r="G279" s="93"/>
      <c r="H279" s="94"/>
      <c r="I279" s="36"/>
      <c r="L279" s="84"/>
      <c r="M279" s="84"/>
      <c r="N279" s="36"/>
    </row>
    <row r="280" spans="1:20" s="37" customFormat="1" ht="15.75" customHeight="1" x14ac:dyDescent="0.3">
      <c r="A280" s="82">
        <f>A279+1</f>
        <v>6</v>
      </c>
      <c r="B280" s="83"/>
      <c r="C280" s="82" t="s">
        <v>325</v>
      </c>
      <c r="D280" s="95"/>
      <c r="E280" s="95"/>
      <c r="F280" s="95"/>
      <c r="G280" s="95"/>
      <c r="H280" s="83"/>
      <c r="I280" s="36"/>
      <c r="L280" s="84"/>
      <c r="M280" s="84"/>
      <c r="N280" s="36"/>
    </row>
    <row r="281" spans="1:20" s="37" customFormat="1" x14ac:dyDescent="0.3">
      <c r="A281" s="79" t="s">
        <v>394</v>
      </c>
      <c r="B281" s="80"/>
      <c r="C281" s="80"/>
      <c r="D281" s="80"/>
      <c r="E281" s="80"/>
      <c r="F281" s="80"/>
      <c r="G281" s="80"/>
      <c r="H281" s="81"/>
      <c r="I281" s="64">
        <f>4</f>
        <v>4</v>
      </c>
      <c r="J281" s="36"/>
    </row>
    <row r="282" spans="1:20" s="37" customFormat="1" x14ac:dyDescent="0.3">
      <c r="A282" s="79" t="s">
        <v>395</v>
      </c>
      <c r="B282" s="80"/>
      <c r="C282" s="80"/>
      <c r="D282" s="80"/>
      <c r="E282" s="80"/>
      <c r="F282" s="80"/>
      <c r="G282" s="80"/>
      <c r="H282" s="81"/>
      <c r="I282" s="64">
        <f>4</f>
        <v>4</v>
      </c>
      <c r="J282" s="36"/>
    </row>
    <row r="283" spans="1:20" s="37" customFormat="1" ht="15.75" customHeight="1" x14ac:dyDescent="0.3">
      <c r="A283" s="82">
        <v>1</v>
      </c>
      <c r="B283" s="83"/>
      <c r="C283" s="42" t="s">
        <v>321</v>
      </c>
      <c r="D283" s="66">
        <f>(3.65*7.33+3.35*2.45+2.56*1.68+1.58*1.06+1.23*3.77+1.05*3.35+3.4*4.28+1.88*1.55+3.65*1.08+2.45*1.55+1.53*2.5+0.9*1.05+2.83*1.68+3.83*3.35+3.73*4.58+2.45*1.53)*10.764</f>
        <v>1264.6031580000001</v>
      </c>
      <c r="E283" s="42">
        <f>(3.65*1.53+1.53*1.87)*10.764</f>
        <v>90.908438400000009</v>
      </c>
      <c r="F283" s="42">
        <f t="shared" ref="F283:F288" si="8">D283+E283</f>
        <v>1355.5115964000001</v>
      </c>
      <c r="G283" s="42">
        <v>0</v>
      </c>
      <c r="H283" s="42">
        <f t="shared" ref="H283:H288" si="9">F283*(($H$200)+1)+(IF(G283&lt;101,G283,IF(G283&lt;201,G283/2,IF(G283&lt;=301,G283/3,G283/4))))</f>
        <v>2033.2673946000002</v>
      </c>
      <c r="I283" s="36"/>
      <c r="L283" s="84"/>
      <c r="M283" s="84"/>
      <c r="N283" s="36"/>
      <c r="T283" s="21"/>
    </row>
    <row r="284" spans="1:20" s="37" customFormat="1" ht="15.75" customHeight="1" x14ac:dyDescent="0.3">
      <c r="A284" s="82">
        <f>A283+1</f>
        <v>2</v>
      </c>
      <c r="B284" s="83"/>
      <c r="C284" s="42" t="s">
        <v>321</v>
      </c>
      <c r="D284" s="66">
        <f>(3.65*7.33+3.35*2.45+2.56*1.68+1.58*1.06+1.23*3.77+1.05*3.35+3.4*4.28+1.88*1.55+3.65*1.08+2.45*1.55+1.53*2.5+0.9*1.05+2.83*1.68+3.83*3.35+3.73*4.58+2.45*1.53)*10.764</f>
        <v>1264.6031580000001</v>
      </c>
      <c r="E284" s="42">
        <f>(3.65*1.53+1.53*1.87)*10.764</f>
        <v>90.908438400000009</v>
      </c>
      <c r="F284" s="42">
        <f t="shared" si="8"/>
        <v>1355.5115964000001</v>
      </c>
      <c r="G284" s="42">
        <v>0</v>
      </c>
      <c r="H284" s="42">
        <f t="shared" si="9"/>
        <v>2033.2673946000002</v>
      </c>
      <c r="I284" s="36"/>
      <c r="L284" s="84"/>
      <c r="M284" s="84"/>
      <c r="N284" s="36"/>
    </row>
    <row r="285" spans="1:20" s="37" customFormat="1" ht="15.75" customHeight="1" x14ac:dyDescent="0.3">
      <c r="A285" s="82">
        <f>A284+1</f>
        <v>3</v>
      </c>
      <c r="B285" s="83"/>
      <c r="C285" s="42" t="s">
        <v>320</v>
      </c>
      <c r="D285" s="42">
        <f>(7.65*5.48+5.23*1.53+1.85*1.53+2.75*3.65+0.98*1.83+1*1.93+2*1.53+4.1*3.65+1.53*1.83+1.53*2.45+3.35*4.28+1.53*2.45+3.65*4.27+1.53*2.45+1.63*1.72+3.65*5.58+1.63*0.9+1.53*3.05+1.83*2.75)*10.764</f>
        <v>1752.8721912000001</v>
      </c>
      <c r="E285" s="42">
        <f>(2.23*1.45+7.6*1.68)*10.764</f>
        <v>172.24014599999998</v>
      </c>
      <c r="F285" s="42">
        <f t="shared" si="8"/>
        <v>1925.1123372000002</v>
      </c>
      <c r="G285" s="42">
        <v>0</v>
      </c>
      <c r="H285" s="42">
        <f t="shared" si="9"/>
        <v>2887.6685058000003</v>
      </c>
      <c r="I285" s="36"/>
      <c r="L285" s="84"/>
      <c r="M285" s="84"/>
      <c r="N285" s="36"/>
    </row>
    <row r="286" spans="1:20" s="37" customFormat="1" ht="15.75" customHeight="1" x14ac:dyDescent="0.3">
      <c r="A286" s="82">
        <f>A285+1</f>
        <v>4</v>
      </c>
      <c r="B286" s="83"/>
      <c r="C286" s="42" t="s">
        <v>321</v>
      </c>
      <c r="D286" s="66">
        <f t="shared" ref="D286:D287" si="10">(3.65*7.33+3.35*2.45+2.56*1.68+1.58*1.06+1.23*3.77+1.05*3.35+3.4*4.28+1.88*1.55+3.65*1.08+2.45*1.55+1.53*2.5+0.9*1.05+2.83*1.68+3.83*3.35+3.73*4.58+2.45*1.53)*10.764</f>
        <v>1264.6031580000001</v>
      </c>
      <c r="E286" s="42">
        <f t="shared" ref="E286:E287" si="11">(3.65*1.53+1.53*1.87)*10.764</f>
        <v>90.908438400000009</v>
      </c>
      <c r="F286" s="42">
        <f t="shared" si="8"/>
        <v>1355.5115964000001</v>
      </c>
      <c r="G286" s="42">
        <v>0</v>
      </c>
      <c r="H286" s="42">
        <f t="shared" si="9"/>
        <v>2033.2673946000002</v>
      </c>
      <c r="I286" s="36"/>
      <c r="L286" s="84"/>
      <c r="M286" s="84"/>
      <c r="N286" s="36"/>
    </row>
    <row r="287" spans="1:20" s="37" customFormat="1" ht="15.75" customHeight="1" x14ac:dyDescent="0.3">
      <c r="A287" s="82">
        <f>A286+1</f>
        <v>5</v>
      </c>
      <c r="B287" s="83"/>
      <c r="C287" s="42" t="s">
        <v>321</v>
      </c>
      <c r="D287" s="66">
        <f t="shared" si="10"/>
        <v>1264.6031580000001</v>
      </c>
      <c r="E287" s="42">
        <f t="shared" si="11"/>
        <v>90.908438400000009</v>
      </c>
      <c r="F287" s="42">
        <f t="shared" si="8"/>
        <v>1355.5115964000001</v>
      </c>
      <c r="G287" s="42">
        <v>0</v>
      </c>
      <c r="H287" s="42">
        <f t="shared" si="9"/>
        <v>2033.2673946000002</v>
      </c>
      <c r="I287" s="36"/>
      <c r="L287" s="84"/>
      <c r="M287" s="84"/>
      <c r="N287" s="36"/>
    </row>
    <row r="288" spans="1:20" s="37" customFormat="1" ht="15.75" customHeight="1" x14ac:dyDescent="0.3">
      <c r="A288" s="82">
        <f>A287+1</f>
        <v>6</v>
      </c>
      <c r="B288" s="83"/>
      <c r="C288" s="42" t="s">
        <v>320</v>
      </c>
      <c r="D288" s="42">
        <f>(7.65*5.48+3*1.53+1.85*1.53+2.75*3.65+0.98*1.83+1*1.93+2.08*1.98+4.1*3.65+1.53*1.83+1.53*2.45+3.35*4.33+1.53*2.45+3.65*4.27+1.53*2.45+1.63*1.72+3.65*5.58+1.63*0.9+1.53*3.05+1.83*2.75)*10.764</f>
        <v>1729.3420872000002</v>
      </c>
      <c r="E288" s="42">
        <f>(2.23*1.45+7.6*1.68)*10.764</f>
        <v>172.24014599999998</v>
      </c>
      <c r="F288" s="42">
        <f t="shared" si="8"/>
        <v>1901.5822332000002</v>
      </c>
      <c r="G288" s="42">
        <v>0</v>
      </c>
      <c r="H288" s="42">
        <f t="shared" si="9"/>
        <v>2852.3733498000001</v>
      </c>
      <c r="I288" s="36"/>
      <c r="L288" s="84"/>
      <c r="M288" s="84"/>
      <c r="N288" s="36"/>
    </row>
    <row r="289" spans="1:20" s="37" customFormat="1" x14ac:dyDescent="0.3">
      <c r="A289" s="79" t="s">
        <v>396</v>
      </c>
      <c r="B289" s="80"/>
      <c r="C289" s="80"/>
      <c r="D289" s="80"/>
      <c r="E289" s="80"/>
      <c r="F289" s="80"/>
      <c r="G289" s="80"/>
      <c r="H289" s="81"/>
      <c r="I289" s="64">
        <f>4</f>
        <v>4</v>
      </c>
      <c r="J289" s="36"/>
    </row>
    <row r="290" spans="1:20" s="37" customFormat="1" ht="15.75" customHeight="1" x14ac:dyDescent="0.3">
      <c r="A290" s="82">
        <v>1</v>
      </c>
      <c r="B290" s="83"/>
      <c r="C290" s="42" t="s">
        <v>321</v>
      </c>
      <c r="D290" s="66">
        <f>(3.65*7.33+3.35*2.45+2.56*1.68+1.58*1.06+1.23*3.77+1.05*3.35+3.4*4.28+1.88*1.55+3.65*1.08+2.45*1.55+1.53*2.5+0.9*1.05+2.83*1.68+3.83*3.35+3.73*4.58+2.45*1.53)*10.764</f>
        <v>1264.6031580000001</v>
      </c>
      <c r="E290" s="42">
        <f>(3.65*1.53+1.53*1.87)*10.764</f>
        <v>90.908438400000009</v>
      </c>
      <c r="F290" s="42">
        <f t="shared" ref="F290:F295" si="12">D290+E290</f>
        <v>1355.5115964000001</v>
      </c>
      <c r="G290" s="42">
        <v>0</v>
      </c>
      <c r="H290" s="42">
        <f t="shared" ref="H290:H295" si="13">F290*(($H$200)+1)+(IF(G290&lt;101,G290,IF(G290&lt;201,G290/2,IF(G290&lt;=301,G290/3,G290/4))))</f>
        <v>2033.2673946000002</v>
      </c>
      <c r="I290" s="36"/>
      <c r="L290" s="84"/>
      <c r="M290" s="84"/>
      <c r="N290" s="36"/>
      <c r="T290" s="21"/>
    </row>
    <row r="291" spans="1:20" s="37" customFormat="1" ht="15.75" customHeight="1" x14ac:dyDescent="0.3">
      <c r="A291" s="82">
        <f>A290+1</f>
        <v>2</v>
      </c>
      <c r="B291" s="83"/>
      <c r="C291" s="42" t="s">
        <v>321</v>
      </c>
      <c r="D291" s="66">
        <f>(3.65*7.33+3.35*2.45+2.56*1.68+1.58*1.06+1.23*3.77+1.05*3.35+3.4*4.28+1.88*1.55+3.65*1.08+2.45*1.55+1.53*2.5+0.9*1.05+2.83*1.68+3.83*3.35+3.73*4.58+2.45*1.53)*10.764</f>
        <v>1264.6031580000001</v>
      </c>
      <c r="E291" s="42">
        <f>(3.65*1.53+1.53*1.87)*10.764</f>
        <v>90.908438400000009</v>
      </c>
      <c r="F291" s="42">
        <f t="shared" si="12"/>
        <v>1355.5115964000001</v>
      </c>
      <c r="G291" s="42">
        <v>0</v>
      </c>
      <c r="H291" s="42">
        <f t="shared" si="13"/>
        <v>2033.2673946000002</v>
      </c>
      <c r="I291" s="36"/>
      <c r="L291" s="84"/>
      <c r="M291" s="84"/>
      <c r="N291" s="36"/>
    </row>
    <row r="292" spans="1:20" s="37" customFormat="1" ht="15.75" customHeight="1" x14ac:dyDescent="0.3">
      <c r="A292" s="82">
        <f>A291+1</f>
        <v>3</v>
      </c>
      <c r="B292" s="83"/>
      <c r="C292" s="42" t="s">
        <v>320</v>
      </c>
      <c r="D292" s="42">
        <f>(7.65*5.48+5.23*1.53+1.85*1.53+2.75*3.65+0.98*1.83+1*1.93+2*1.53+4.1*3.65+1.53*1.83+1.53*2.45+3.35*4.28+1.53*2.45+3.65*4.27+1.53*2.45+1.63*1.72+3.65*5.58+1.63*0.9+1.53*3.05+1.83*2.75)*10.764</f>
        <v>1752.8721912000001</v>
      </c>
      <c r="E292" s="42">
        <f>(2.23*1.45+7.6*1.68)*10.764</f>
        <v>172.24014599999998</v>
      </c>
      <c r="F292" s="42">
        <f t="shared" si="12"/>
        <v>1925.1123372000002</v>
      </c>
      <c r="G292" s="42">
        <v>0</v>
      </c>
      <c r="H292" s="42">
        <f t="shared" si="13"/>
        <v>2887.6685058000003</v>
      </c>
      <c r="I292" s="36"/>
      <c r="L292" s="84"/>
      <c r="M292" s="84"/>
      <c r="N292" s="36"/>
    </row>
    <row r="293" spans="1:20" s="37" customFormat="1" ht="15.75" customHeight="1" x14ac:dyDescent="0.3">
      <c r="A293" s="82">
        <f>A292+1</f>
        <v>4</v>
      </c>
      <c r="B293" s="83"/>
      <c r="C293" s="89" t="s">
        <v>324</v>
      </c>
      <c r="D293" s="90"/>
      <c r="E293" s="90"/>
      <c r="F293" s="90"/>
      <c r="G293" s="90"/>
      <c r="H293" s="91"/>
      <c r="I293" s="36"/>
      <c r="L293" s="84"/>
      <c r="M293" s="84"/>
      <c r="N293" s="36"/>
    </row>
    <row r="294" spans="1:20" s="37" customFormat="1" ht="15.75" customHeight="1" x14ac:dyDescent="0.3">
      <c r="A294" s="82">
        <f>A293+1</f>
        <v>5</v>
      </c>
      <c r="B294" s="83"/>
      <c r="C294" s="92"/>
      <c r="D294" s="93"/>
      <c r="E294" s="93"/>
      <c r="F294" s="93"/>
      <c r="G294" s="93"/>
      <c r="H294" s="94"/>
      <c r="I294" s="36"/>
      <c r="L294" s="84"/>
      <c r="M294" s="84"/>
      <c r="N294" s="36"/>
    </row>
    <row r="295" spans="1:20" s="37" customFormat="1" ht="15.75" customHeight="1" x14ac:dyDescent="0.3">
      <c r="A295" s="82">
        <f>A294+1</f>
        <v>6</v>
      </c>
      <c r="B295" s="83"/>
      <c r="C295" s="42" t="s">
        <v>320</v>
      </c>
      <c r="D295" s="42">
        <f>(7.65*5.48+3*1.53+1.85*1.53+2.75*3.65+0.98*1.83+1*1.93+2.08*1.98+4.1*3.65+1.53*1.83+1.53*2.45+3.35*4.33+1.53*2.45+3.65*4.27+1.53*2.45+1.63*1.72+3.65*5.58+1.63*0.9+1.53*3.05+1.83*2.75)*10.764</f>
        <v>1729.3420872000002</v>
      </c>
      <c r="E295" s="42">
        <f>(2.23*1.45+7.6*1.68)*10.764</f>
        <v>172.24014599999998</v>
      </c>
      <c r="F295" s="42">
        <f t="shared" si="12"/>
        <v>1901.5822332000002</v>
      </c>
      <c r="G295" s="42">
        <v>0</v>
      </c>
      <c r="H295" s="42">
        <f t="shared" si="13"/>
        <v>2852.3733498000001</v>
      </c>
      <c r="I295" s="36"/>
      <c r="L295" s="84"/>
      <c r="M295" s="84"/>
      <c r="N295" s="36"/>
    </row>
    <row r="296" spans="1:20" s="37" customFormat="1" x14ac:dyDescent="0.3">
      <c r="A296" s="79" t="s">
        <v>397</v>
      </c>
      <c r="B296" s="80"/>
      <c r="C296" s="80"/>
      <c r="D296" s="80"/>
      <c r="E296" s="80"/>
      <c r="F296" s="80"/>
      <c r="G296" s="80"/>
      <c r="H296" s="81"/>
      <c r="I296" s="64">
        <f>4</f>
        <v>4</v>
      </c>
      <c r="J296" s="36"/>
    </row>
    <row r="297" spans="1:20" s="37" customFormat="1" ht="15.75" customHeight="1" x14ac:dyDescent="0.3">
      <c r="A297" s="82">
        <v>1</v>
      </c>
      <c r="B297" s="83"/>
      <c r="C297" s="42" t="s">
        <v>321</v>
      </c>
      <c r="D297" s="66">
        <f>(3.65*7.33+3.35*2.45+2.56*1.68+1.58*1.06+1.23*3.77+1.05*3.35+3.4*4.28+1.88*1.55+3.65*1.08+2.45*1.55+1.53*2.5+0.9*1.05+2.83*1.68+3.83*3.35+3.73*4.58+2.45*1.53)*10.764</f>
        <v>1264.6031580000001</v>
      </c>
      <c r="E297" s="42">
        <f>(3.65*1.53+1.53*1.87)*10.764</f>
        <v>90.908438400000009</v>
      </c>
      <c r="F297" s="42">
        <f t="shared" ref="F297:F299" si="14">D297+E297</f>
        <v>1355.5115964000001</v>
      </c>
      <c r="G297" s="42">
        <v>0</v>
      </c>
      <c r="H297" s="42">
        <f t="shared" ref="H297:H299" si="15">F297*(($H$200)+1)+(IF(G297&lt;101,G297,IF(G297&lt;201,G297/2,IF(G297&lt;=301,G297/3,G297/4))))</f>
        <v>2033.2673946000002</v>
      </c>
      <c r="I297" s="36"/>
      <c r="L297" s="84"/>
      <c r="M297" s="84"/>
      <c r="N297" s="36"/>
      <c r="T297" s="21"/>
    </row>
    <row r="298" spans="1:20" s="37" customFormat="1" ht="15.75" customHeight="1" x14ac:dyDescent="0.3">
      <c r="A298" s="82">
        <f>A297+1</f>
        <v>2</v>
      </c>
      <c r="B298" s="83"/>
      <c r="C298" s="42" t="s">
        <v>321</v>
      </c>
      <c r="D298" s="66">
        <f>(3.65*7.33+3.35*2.45+2.56*1.68+1.58*1.06+1.23*3.77+1.05*3.35+3.4*4.28+1.88*1.55+3.65*1.08+2.45*1.55+1.53*2.5+0.9*1.05+2.83*1.68+3.83*3.35+3.73*4.58+2.45*1.53)*10.764</f>
        <v>1264.6031580000001</v>
      </c>
      <c r="E298" s="42">
        <f>(3.65*1.53+1.53*1.87)*10.764</f>
        <v>90.908438400000009</v>
      </c>
      <c r="F298" s="42">
        <f t="shared" si="14"/>
        <v>1355.5115964000001</v>
      </c>
      <c r="G298" s="42">
        <v>0</v>
      </c>
      <c r="H298" s="42">
        <f t="shared" si="15"/>
        <v>2033.2673946000002</v>
      </c>
      <c r="I298" s="36"/>
      <c r="L298" s="84"/>
      <c r="M298" s="84"/>
      <c r="N298" s="36"/>
    </row>
    <row r="299" spans="1:20" s="37" customFormat="1" ht="15.75" customHeight="1" x14ac:dyDescent="0.3">
      <c r="A299" s="82">
        <f>A298+1</f>
        <v>3</v>
      </c>
      <c r="B299" s="83"/>
      <c r="C299" s="42" t="s">
        <v>320</v>
      </c>
      <c r="D299" s="42">
        <f>(7.65*5.48+5.23*1.53+1.85*1.53+2.75*3.65+0.98*1.83+1*1.93+2*1.53+4.1*3.65+1.53*1.83+1.53*2.45+3.35*4.28+1.53*2.45+3.65*4.27+1.53*2.45+1.63*1.72+3.65*5.58+1.63*0.9+1.53*3.05+1.83*2.75)*10.764</f>
        <v>1752.8721912000001</v>
      </c>
      <c r="E299" s="42">
        <f>(2.23*1.45+7.6*1.68)*10.764</f>
        <v>172.24014599999998</v>
      </c>
      <c r="F299" s="42">
        <f t="shared" si="14"/>
        <v>1925.1123372000002</v>
      </c>
      <c r="G299" s="42">
        <v>0</v>
      </c>
      <c r="H299" s="42">
        <f t="shared" si="15"/>
        <v>2887.6685058000003</v>
      </c>
      <c r="I299" s="36"/>
      <c r="L299" s="84"/>
      <c r="M299" s="84"/>
      <c r="N299" s="36"/>
    </row>
    <row r="300" spans="1:20" s="37" customFormat="1" ht="15.75" customHeight="1" x14ac:dyDescent="0.3">
      <c r="A300" s="82">
        <f>A299+1</f>
        <v>4</v>
      </c>
      <c r="B300" s="83"/>
      <c r="C300" s="89" t="s">
        <v>324</v>
      </c>
      <c r="D300" s="90"/>
      <c r="E300" s="90"/>
      <c r="F300" s="90"/>
      <c r="G300" s="90"/>
      <c r="H300" s="91"/>
      <c r="I300" s="36"/>
      <c r="L300" s="84"/>
      <c r="M300" s="84"/>
      <c r="N300" s="36"/>
    </row>
    <row r="301" spans="1:20" s="37" customFormat="1" ht="15.75" customHeight="1" x14ac:dyDescent="0.3">
      <c r="A301" s="82">
        <f>A300+1</f>
        <v>5</v>
      </c>
      <c r="B301" s="83"/>
      <c r="C301" s="92"/>
      <c r="D301" s="93"/>
      <c r="E301" s="93"/>
      <c r="F301" s="93"/>
      <c r="G301" s="93"/>
      <c r="H301" s="94"/>
      <c r="I301" s="36"/>
      <c r="L301" s="84"/>
      <c r="M301" s="84"/>
      <c r="N301" s="36"/>
    </row>
    <row r="302" spans="1:20" s="37" customFormat="1" ht="15.75" customHeight="1" x14ac:dyDescent="0.3">
      <c r="A302" s="82">
        <f>A301+1</f>
        <v>6</v>
      </c>
      <c r="B302" s="83"/>
      <c r="C302" s="42" t="s">
        <v>320</v>
      </c>
      <c r="D302" s="42">
        <f>(7.65*5.48+3*1.53+1.85*1.53+2.75*3.65+0.98*1.83+1*1.93+2.08*1.98+4.1*3.65+1.53*1.83+1.53*2.45+3.35*4.33+1.53*2.45+3.65*4.27+1.53*2.45+1.63*1.72+3.65*5.58+1.63*0.9+1.53*3.05+1.83*2.75)*10.764</f>
        <v>1729.3420872000002</v>
      </c>
      <c r="E302" s="42">
        <f>(2.23*1.45+7.6*1.68)*10.764</f>
        <v>172.24014599999998</v>
      </c>
      <c r="F302" s="42">
        <f t="shared" ref="F302" si="16">D302+E302</f>
        <v>1901.5822332000002</v>
      </c>
      <c r="G302" s="42">
        <v>0</v>
      </c>
      <c r="H302" s="42">
        <f t="shared" ref="H302" si="17">F302*(($H$200)+1)+(IF(G302&lt;101,G302,IF(G302&lt;201,G302/2,IF(G302&lt;=301,G302/3,G302/4))))</f>
        <v>2852.3733498000001</v>
      </c>
      <c r="I302" s="36"/>
      <c r="L302" s="84"/>
      <c r="M302" s="84"/>
      <c r="N302" s="36"/>
    </row>
    <row r="303" spans="1:20" s="37" customFormat="1" x14ac:dyDescent="0.3">
      <c r="A303" s="79" t="s">
        <v>398</v>
      </c>
      <c r="B303" s="80"/>
      <c r="C303" s="80"/>
      <c r="D303" s="80"/>
      <c r="E303" s="80"/>
      <c r="F303" s="80"/>
      <c r="G303" s="80"/>
      <c r="H303" s="81"/>
      <c r="I303" s="64">
        <f>4</f>
        <v>4</v>
      </c>
      <c r="J303" s="36"/>
    </row>
    <row r="304" spans="1:20" s="37" customFormat="1" ht="15.75" customHeight="1" x14ac:dyDescent="0.3">
      <c r="A304" s="82">
        <v>1</v>
      </c>
      <c r="B304" s="83"/>
      <c r="C304" s="42" t="s">
        <v>321</v>
      </c>
      <c r="D304" s="66">
        <f>(3.65*7.33+3.35*2.45+2.56*1.68+1.58*1.06+1.23*3.77+1.05*3.35+3.4*4.28+1.88*1.55+3.65*1.08+2.45*1.55+1.53*2.5+0.9*1.05+2.83*1.68+3.83*3.35+3.73*4.58+2.45*1.53)*10.764</f>
        <v>1264.6031580000001</v>
      </c>
      <c r="E304" s="42">
        <f>(3.65*1.53+1.53*1.87)*10.764</f>
        <v>90.908438400000009</v>
      </c>
      <c r="F304" s="42">
        <f t="shared" ref="F304:F309" si="18">D304+E304</f>
        <v>1355.5115964000001</v>
      </c>
      <c r="G304" s="42">
        <v>0</v>
      </c>
      <c r="H304" s="42">
        <f t="shared" ref="H304:H309" si="19">F304*(($H$200)+1)+(IF(G304&lt;101,G304,IF(G304&lt;201,G304/2,IF(G304&lt;=301,G304/3,G304/4))))</f>
        <v>2033.2673946000002</v>
      </c>
      <c r="I304" s="36"/>
      <c r="L304" s="84"/>
      <c r="M304" s="84"/>
      <c r="N304" s="36"/>
      <c r="T304" s="21"/>
    </row>
    <row r="305" spans="1:20" s="37" customFormat="1" ht="15.75" customHeight="1" x14ac:dyDescent="0.3">
      <c r="A305" s="82">
        <f>A304+1</f>
        <v>2</v>
      </c>
      <c r="B305" s="83"/>
      <c r="C305" s="42" t="s">
        <v>321</v>
      </c>
      <c r="D305" s="66">
        <f>(3.65*7.33+3.35*2.45+2.56*1.68+1.58*1.06+1.23*3.77+1.05*3.35+3.4*4.28+1.88*1.55+3.65*1.08+2.45*1.55+1.53*2.5+0.9*1.05+2.83*1.68+3.83*3.35+3.73*4.58+2.45*1.53)*10.764</f>
        <v>1264.6031580000001</v>
      </c>
      <c r="E305" s="42">
        <f>(3.65*1.53+1.53*1.87)*10.764</f>
        <v>90.908438400000009</v>
      </c>
      <c r="F305" s="42">
        <f t="shared" si="18"/>
        <v>1355.5115964000001</v>
      </c>
      <c r="G305" s="42">
        <v>0</v>
      </c>
      <c r="H305" s="42">
        <f t="shared" si="19"/>
        <v>2033.2673946000002</v>
      </c>
      <c r="I305" s="36"/>
      <c r="L305" s="84"/>
      <c r="M305" s="84"/>
      <c r="N305" s="36"/>
    </row>
    <row r="306" spans="1:20" s="37" customFormat="1" ht="15.75" customHeight="1" x14ac:dyDescent="0.3">
      <c r="A306" s="82">
        <f>A305+1</f>
        <v>3</v>
      </c>
      <c r="B306" s="83"/>
      <c r="C306" s="42" t="s">
        <v>320</v>
      </c>
      <c r="D306" s="42">
        <f>(7.65*5.48+5.23*1.53+1.85*1.53+2.75*3.65+0.98*1.83+1*1.93+2*1.53+4.1*3.65+1.53*1.83+1.53*2.45+3.35*4.28+1.53*2.45+3.65*4.27+1.53*2.45+1.63*1.72+3.65*5.58+1.63*0.9+1.53*3.05+1.83*2.75)*10.764</f>
        <v>1752.8721912000001</v>
      </c>
      <c r="E306" s="42">
        <f>(2.23*1.45+7.6*1.68)*10.764</f>
        <v>172.24014599999998</v>
      </c>
      <c r="F306" s="42">
        <f t="shared" si="18"/>
        <v>1925.1123372000002</v>
      </c>
      <c r="G306" s="42">
        <v>0</v>
      </c>
      <c r="H306" s="42">
        <f t="shared" si="19"/>
        <v>2887.6685058000003</v>
      </c>
      <c r="I306" s="36"/>
      <c r="L306" s="84"/>
      <c r="M306" s="84"/>
      <c r="N306" s="36"/>
    </row>
    <row r="307" spans="1:20" s="37" customFormat="1" ht="15.75" customHeight="1" x14ac:dyDescent="0.3">
      <c r="A307" s="82">
        <f>A306+1</f>
        <v>4</v>
      </c>
      <c r="B307" s="83"/>
      <c r="C307" s="42" t="s">
        <v>321</v>
      </c>
      <c r="D307" s="66">
        <f t="shared" ref="D307:D308" si="20">(3.65*7.33+3.35*2.45+2.56*1.68+1.58*1.06+1.23*3.77+1.05*3.35+3.4*4.28+1.88*1.55+3.65*1.08+2.45*1.55+1.53*2.5+0.9*1.05+2.83*1.68+3.83*3.35+3.73*4.58+2.45*1.53)*10.764</f>
        <v>1264.6031580000001</v>
      </c>
      <c r="E307" s="42">
        <f t="shared" ref="E307:E308" si="21">(3.65*1.53+1.53*1.87)*10.764</f>
        <v>90.908438400000009</v>
      </c>
      <c r="F307" s="42">
        <f t="shared" si="18"/>
        <v>1355.5115964000001</v>
      </c>
      <c r="G307" s="42">
        <v>0</v>
      </c>
      <c r="H307" s="42">
        <f t="shared" si="19"/>
        <v>2033.2673946000002</v>
      </c>
      <c r="I307" s="36"/>
      <c r="L307" s="84"/>
      <c r="M307" s="84"/>
      <c r="N307" s="36"/>
    </row>
    <row r="308" spans="1:20" s="37" customFormat="1" ht="15.75" customHeight="1" x14ac:dyDescent="0.3">
      <c r="A308" s="82">
        <f>A307+1</f>
        <v>5</v>
      </c>
      <c r="B308" s="83"/>
      <c r="C308" s="42" t="s">
        <v>321</v>
      </c>
      <c r="D308" s="66">
        <f t="shared" si="20"/>
        <v>1264.6031580000001</v>
      </c>
      <c r="E308" s="42">
        <f t="shared" si="21"/>
        <v>90.908438400000009</v>
      </c>
      <c r="F308" s="42">
        <f t="shared" si="18"/>
        <v>1355.5115964000001</v>
      </c>
      <c r="G308" s="42">
        <v>0</v>
      </c>
      <c r="H308" s="42">
        <f t="shared" si="19"/>
        <v>2033.2673946000002</v>
      </c>
      <c r="I308" s="36"/>
      <c r="L308" s="84"/>
      <c r="M308" s="84"/>
      <c r="N308" s="36"/>
    </row>
    <row r="309" spans="1:20" s="37" customFormat="1" ht="15.75" customHeight="1" x14ac:dyDescent="0.3">
      <c r="A309" s="82">
        <f>A308+1</f>
        <v>6</v>
      </c>
      <c r="B309" s="83"/>
      <c r="C309" s="42" t="s">
        <v>320</v>
      </c>
      <c r="D309" s="42">
        <f>(7.65*5.48+3*1.53+1.85*1.53+2.75*3.65+0.98*1.83+1*1.93+2.08*1.98+4.1*3.65+1.53*1.83+1.53*2.45+3.35*4.33+1.53*2.45+3.65*4.27+1.53*2.45+1.63*1.72+3.65*5.58+1.63*0.9+1.53*3.05+1.83*2.75)*10.764</f>
        <v>1729.3420872000002</v>
      </c>
      <c r="E309" s="42">
        <f>(2.23*1.45+7.6*1.68)*10.764</f>
        <v>172.24014599999998</v>
      </c>
      <c r="F309" s="42">
        <f t="shared" si="18"/>
        <v>1901.5822332000002</v>
      </c>
      <c r="G309" s="42">
        <v>0</v>
      </c>
      <c r="H309" s="42">
        <f t="shared" si="19"/>
        <v>2852.3733498000001</v>
      </c>
      <c r="I309" s="36"/>
      <c r="L309" s="84"/>
      <c r="M309" s="84"/>
      <c r="N309" s="36"/>
    </row>
    <row r="310" spans="1:20" s="37" customFormat="1" x14ac:dyDescent="0.3">
      <c r="A310" s="110" t="s">
        <v>349</v>
      </c>
      <c r="B310" s="111"/>
      <c r="C310" s="111"/>
      <c r="D310" s="111"/>
      <c r="E310" s="111"/>
      <c r="F310" s="111"/>
      <c r="G310" s="111"/>
      <c r="H310" s="112"/>
      <c r="J310" s="36"/>
    </row>
    <row r="311" spans="1:20" s="37" customFormat="1" x14ac:dyDescent="0.3">
      <c r="A311" s="79" t="s">
        <v>316</v>
      </c>
      <c r="B311" s="80"/>
      <c r="C311" s="80"/>
      <c r="D311" s="80"/>
      <c r="E311" s="80"/>
      <c r="F311" s="80"/>
      <c r="G311" s="80"/>
      <c r="H311" s="81"/>
      <c r="J311" s="36"/>
    </row>
    <row r="312" spans="1:20" s="37" customFormat="1" x14ac:dyDescent="0.3">
      <c r="A312" s="79" t="s">
        <v>379</v>
      </c>
      <c r="B312" s="80"/>
      <c r="C312" s="80"/>
      <c r="D312" s="80"/>
      <c r="E312" s="80"/>
      <c r="F312" s="80"/>
      <c r="G312" s="80"/>
      <c r="H312" s="81"/>
      <c r="J312" s="36"/>
    </row>
    <row r="313" spans="1:20" s="37" customFormat="1" x14ac:dyDescent="0.3">
      <c r="A313" s="79" t="s">
        <v>351</v>
      </c>
      <c r="B313" s="80"/>
      <c r="C313" s="80"/>
      <c r="D313" s="80"/>
      <c r="E313" s="80"/>
      <c r="F313" s="80"/>
      <c r="G313" s="80"/>
      <c r="H313" s="81"/>
      <c r="I313" s="64">
        <v>1</v>
      </c>
      <c r="J313" s="36"/>
    </row>
    <row r="314" spans="1:20" s="37" customFormat="1" ht="15.75" customHeight="1" x14ac:dyDescent="0.3">
      <c r="A314" s="82">
        <v>1</v>
      </c>
      <c r="B314" s="83"/>
      <c r="C314" s="89" t="s">
        <v>319</v>
      </c>
      <c r="D314" s="90"/>
      <c r="E314" s="90"/>
      <c r="F314" s="90"/>
      <c r="G314" s="90"/>
      <c r="H314" s="91"/>
      <c r="I314" s="36"/>
      <c r="L314" s="84"/>
      <c r="M314" s="84"/>
      <c r="N314" s="36"/>
      <c r="T314" s="21"/>
    </row>
    <row r="315" spans="1:20" s="37" customFormat="1" ht="15.75" customHeight="1" x14ac:dyDescent="0.3">
      <c r="A315" s="82">
        <f t="shared" ref="A315:A321" si="22">A314+1</f>
        <v>2</v>
      </c>
      <c r="B315" s="83"/>
      <c r="C315" s="92"/>
      <c r="D315" s="93"/>
      <c r="E315" s="93"/>
      <c r="F315" s="93"/>
      <c r="G315" s="93"/>
      <c r="H315" s="94"/>
      <c r="I315" s="36"/>
      <c r="L315" s="84"/>
      <c r="M315" s="84"/>
      <c r="N315" s="36"/>
    </row>
    <row r="316" spans="1:20" s="37" customFormat="1" ht="15.75" customHeight="1" x14ac:dyDescent="0.3">
      <c r="A316" s="82">
        <f t="shared" si="22"/>
        <v>3</v>
      </c>
      <c r="B316" s="83"/>
      <c r="C316" s="66" t="s">
        <v>336</v>
      </c>
      <c r="D316" s="66">
        <f>(5.48*3.05+2.13*2.75+3.65*3.05+3.95*3.2+1.4*2.33+1.4*2.28+2.58*1.23+2.87*0.93+0.93*1.7+0.93*0.8)*10.764</f>
        <v>656.23264200000006</v>
      </c>
      <c r="E316" s="74">
        <f>(1.83*1.08+1.27*3.05)*10.764</f>
        <v>62.968323599999998</v>
      </c>
      <c r="F316" s="66">
        <f>D316+E316</f>
        <v>719.20096560000002</v>
      </c>
      <c r="G316" s="66">
        <v>0</v>
      </c>
      <c r="H316" s="66">
        <f>F316*(($H$200)+1)+(IF(G316&lt;101,G316,IF(G316&lt;201,G316/2,IF(G316&lt;=301,G316/3,G316/4))))</f>
        <v>1078.8014484</v>
      </c>
      <c r="I316" s="36"/>
      <c r="L316" s="84"/>
      <c r="M316" s="84"/>
      <c r="N316" s="42">
        <v>10.763999999999999</v>
      </c>
    </row>
    <row r="317" spans="1:20" s="37" customFormat="1" ht="15.75" customHeight="1" x14ac:dyDescent="0.3">
      <c r="A317" s="82">
        <f t="shared" si="22"/>
        <v>4</v>
      </c>
      <c r="B317" s="83"/>
      <c r="C317" s="66" t="s">
        <v>336</v>
      </c>
      <c r="D317" s="66">
        <f>(5.48*3.05+2.13*2.75+3.65*3.05+3.95*3.2+1.4*2.33+1.4*2.28+2.58*1.23+2.87*0.93+0.93*1.7+0.93*0.8)*10.764</f>
        <v>656.23264200000006</v>
      </c>
      <c r="E317" s="74">
        <f>(1.83*1.08+1.27*3.05)*10.764</f>
        <v>62.968323599999998</v>
      </c>
      <c r="F317" s="66">
        <f>D317+E317</f>
        <v>719.20096560000002</v>
      </c>
      <c r="G317" s="66">
        <v>0</v>
      </c>
      <c r="H317" s="66">
        <f>F317*(($H$200)+1)+(IF(G317&lt;101,G317,IF(G317&lt;201,G317/2,IF(G317&lt;=301,G317/3,G317/4))))</f>
        <v>1078.8014484</v>
      </c>
      <c r="I317" s="36"/>
      <c r="L317" s="84"/>
      <c r="M317" s="84"/>
      <c r="N317" s="36"/>
    </row>
    <row r="318" spans="1:20" s="37" customFormat="1" ht="15.75" customHeight="1" x14ac:dyDescent="0.3">
      <c r="A318" s="82">
        <f t="shared" si="22"/>
        <v>5</v>
      </c>
      <c r="B318" s="83"/>
      <c r="C318" s="227" t="s">
        <v>337</v>
      </c>
      <c r="D318" s="228"/>
      <c r="E318" s="228"/>
      <c r="F318" s="228"/>
      <c r="G318" s="228"/>
      <c r="H318" s="229"/>
      <c r="I318" s="36"/>
      <c r="L318" s="84"/>
      <c r="M318" s="84"/>
      <c r="N318" s="36"/>
    </row>
    <row r="319" spans="1:20" s="37" customFormat="1" ht="15.75" customHeight="1" x14ac:dyDescent="0.3">
      <c r="A319" s="82">
        <f t="shared" si="22"/>
        <v>6</v>
      </c>
      <c r="B319" s="83"/>
      <c r="C319" s="236"/>
      <c r="D319" s="237"/>
      <c r="E319" s="237"/>
      <c r="F319" s="237"/>
      <c r="G319" s="237"/>
      <c r="H319" s="238"/>
      <c r="I319" s="36"/>
      <c r="L319" s="84"/>
      <c r="M319" s="84"/>
      <c r="N319" s="36"/>
    </row>
    <row r="320" spans="1:20" s="37" customFormat="1" ht="15.75" customHeight="1" x14ac:dyDescent="0.3">
      <c r="A320" s="82">
        <f t="shared" si="22"/>
        <v>7</v>
      </c>
      <c r="B320" s="83"/>
      <c r="C320" s="236"/>
      <c r="D320" s="237"/>
      <c r="E320" s="237"/>
      <c r="F320" s="237"/>
      <c r="G320" s="237"/>
      <c r="H320" s="238"/>
      <c r="I320" s="36"/>
      <c r="L320" s="84"/>
      <c r="M320" s="84"/>
      <c r="N320" s="36"/>
    </row>
    <row r="321" spans="1:20" s="37" customFormat="1" ht="15.75" customHeight="1" x14ac:dyDescent="0.3">
      <c r="A321" s="82">
        <f t="shared" si="22"/>
        <v>8</v>
      </c>
      <c r="B321" s="83"/>
      <c r="C321" s="230"/>
      <c r="D321" s="231"/>
      <c r="E321" s="231"/>
      <c r="F321" s="231"/>
      <c r="G321" s="231"/>
      <c r="H321" s="232"/>
      <c r="I321" s="36"/>
      <c r="L321" s="84"/>
      <c r="M321" s="84"/>
      <c r="N321" s="36"/>
    </row>
    <row r="322" spans="1:20" s="37" customFormat="1" x14ac:dyDescent="0.3">
      <c r="A322" s="79" t="s">
        <v>322</v>
      </c>
      <c r="B322" s="80"/>
      <c r="C322" s="80"/>
      <c r="D322" s="80"/>
      <c r="E322" s="80"/>
      <c r="F322" s="80"/>
      <c r="G322" s="80"/>
      <c r="H322" s="81"/>
      <c r="I322" s="64">
        <f>6</f>
        <v>6</v>
      </c>
      <c r="J322" s="36"/>
    </row>
    <row r="323" spans="1:20" s="37" customFormat="1" ht="15.75" customHeight="1" x14ac:dyDescent="0.3">
      <c r="A323" s="82">
        <v>1</v>
      </c>
      <c r="B323" s="83"/>
      <c r="C323" s="89" t="s">
        <v>319</v>
      </c>
      <c r="D323" s="90"/>
      <c r="E323" s="90"/>
      <c r="F323" s="90"/>
      <c r="G323" s="90"/>
      <c r="H323" s="91"/>
      <c r="I323" s="36"/>
      <c r="L323" s="84"/>
      <c r="M323" s="84"/>
      <c r="N323" s="36"/>
      <c r="T323" s="21"/>
    </row>
    <row r="324" spans="1:20" s="37" customFormat="1" ht="15.75" customHeight="1" x14ac:dyDescent="0.3">
      <c r="A324" s="82">
        <f t="shared" ref="A324:A330" si="23">A323+1</f>
        <v>2</v>
      </c>
      <c r="B324" s="83"/>
      <c r="C324" s="92"/>
      <c r="D324" s="93"/>
      <c r="E324" s="93"/>
      <c r="F324" s="93"/>
      <c r="G324" s="93"/>
      <c r="H324" s="94"/>
      <c r="I324" s="36"/>
      <c r="L324" s="84"/>
      <c r="M324" s="84"/>
      <c r="N324" s="36"/>
    </row>
    <row r="325" spans="1:20" s="37" customFormat="1" ht="15.75" customHeight="1" x14ac:dyDescent="0.3">
      <c r="A325" s="82">
        <f t="shared" si="23"/>
        <v>3</v>
      </c>
      <c r="B325" s="83"/>
      <c r="C325" s="66" t="s">
        <v>336</v>
      </c>
      <c r="D325" s="66">
        <f>(5.48*3.05+2.13*2.75+3.65*3.05+3.95*3.2+1.4*2.33+1.4*2.28+2.58*1.23+2.87*0.93+0.93*1.7+0.93*0.8)*10.764</f>
        <v>656.23264200000006</v>
      </c>
      <c r="E325" s="74">
        <f>(1.83*1.08+1.27*3.05)*10.764</f>
        <v>62.968323599999998</v>
      </c>
      <c r="F325" s="66">
        <f>D325+E325</f>
        <v>719.20096560000002</v>
      </c>
      <c r="G325" s="66">
        <v>0</v>
      </c>
      <c r="H325" s="66">
        <f>F325*(($H$200)+1)+(IF(G325&lt;101,G325,IF(G325&lt;201,G325/2,IF(G325&lt;=301,G325/3,G325/4))))</f>
        <v>1078.8014484</v>
      </c>
      <c r="I325" s="36"/>
      <c r="L325" s="84"/>
      <c r="M325" s="84"/>
      <c r="N325" s="42">
        <v>10.763999999999999</v>
      </c>
    </row>
    <row r="326" spans="1:20" s="37" customFormat="1" ht="15.75" customHeight="1" x14ac:dyDescent="0.3">
      <c r="A326" s="82">
        <f t="shared" si="23"/>
        <v>4</v>
      </c>
      <c r="B326" s="83"/>
      <c r="C326" s="66" t="s">
        <v>336</v>
      </c>
      <c r="D326" s="66">
        <f>(5.48*3.05+2.13*2.75+3.65*3.05+3.95*3.2+1.4*2.33+1.4*2.28+2.58*1.23+2.87*0.93+0.93*1.7+0.93*0.8)*10.764</f>
        <v>656.23264200000006</v>
      </c>
      <c r="E326" s="74">
        <f>(1.83*1.08+1.27*3.05)*10.764</f>
        <v>62.968323599999998</v>
      </c>
      <c r="F326" s="66">
        <f>D326+E326</f>
        <v>719.20096560000002</v>
      </c>
      <c r="G326" s="66">
        <v>0</v>
      </c>
      <c r="H326" s="66">
        <f>F326*(($H$200)+1)+(IF(G326&lt;101,G326,IF(G326&lt;201,G326/2,IF(G326&lt;=301,G326/3,G326/4))))</f>
        <v>1078.8014484</v>
      </c>
      <c r="I326" s="36"/>
      <c r="L326" s="84"/>
      <c r="M326" s="84"/>
      <c r="N326" s="36"/>
    </row>
    <row r="327" spans="1:20" s="37" customFormat="1" ht="15.75" customHeight="1" x14ac:dyDescent="0.3">
      <c r="A327" s="82">
        <f t="shared" si="23"/>
        <v>5</v>
      </c>
      <c r="B327" s="83"/>
      <c r="C327" s="66" t="s">
        <v>321</v>
      </c>
      <c r="D327" s="66">
        <f>(3.35*6.1+3.05*2.45+3.05*3.98+3.35*4.28+4.05*3.48+1.53*2.45+1.53*2.45+1.53*2.45+1.23*3.08+0.98*3.48+3.43*0.93+2.45*0.3)*10.764</f>
        <v>977.88464279999994</v>
      </c>
      <c r="E327" s="74">
        <f>(3.35*1.3+1.08*1.85)*10.764</f>
        <v>68.383691999999996</v>
      </c>
      <c r="F327" s="66">
        <f>D327+E327</f>
        <v>1046.2683348</v>
      </c>
      <c r="G327" s="66">
        <v>0</v>
      </c>
      <c r="H327" s="66">
        <f>F327*(($H$200)+1)+(IF(G327&lt;101,G327,IF(G327&lt;201,G327/2,IF(G327&lt;=301,G327/3,G327/4))))</f>
        <v>1569.4025022000001</v>
      </c>
      <c r="I327" s="36"/>
      <c r="L327" s="84"/>
      <c r="M327" s="84"/>
      <c r="N327" s="36"/>
    </row>
    <row r="328" spans="1:20" s="37" customFormat="1" ht="15.75" customHeight="1" x14ac:dyDescent="0.3">
      <c r="A328" s="82">
        <f t="shared" si="23"/>
        <v>6</v>
      </c>
      <c r="B328" s="83"/>
      <c r="C328" s="66" t="s">
        <v>321</v>
      </c>
      <c r="D328" s="66">
        <f>(3.35*6.1+3.05*2.45+3.05*3.98+3.35*4.28+4.05*3.48+1.53*2.45+1.53*2.45+1.53*2.45+1.23*3.08+0.98*3.48+3.43*0.93+2.45*0.3)*10.764</f>
        <v>977.88464279999994</v>
      </c>
      <c r="E328" s="74">
        <f>(3.35*1.3+1.08*1.85)*10.764</f>
        <v>68.383691999999996</v>
      </c>
      <c r="F328" s="66">
        <f>D328+E328</f>
        <v>1046.2683348</v>
      </c>
      <c r="G328" s="66">
        <v>0</v>
      </c>
      <c r="H328" s="66">
        <f>F328*(($H$200)+1)+(IF(G328&lt;101,G328,IF(G328&lt;201,G328/2,IF(G328&lt;=301,G328/3,G328/4))))</f>
        <v>1569.4025022000001</v>
      </c>
      <c r="I328" s="36"/>
      <c r="L328" s="84"/>
      <c r="M328" s="84"/>
      <c r="N328" s="36"/>
    </row>
    <row r="329" spans="1:20" s="37" customFormat="1" ht="15.75" customHeight="1" x14ac:dyDescent="0.3">
      <c r="A329" s="82">
        <f t="shared" si="23"/>
        <v>7</v>
      </c>
      <c r="B329" s="83"/>
      <c r="C329" s="66" t="s">
        <v>336</v>
      </c>
      <c r="D329" s="66">
        <f>(3.25*5.48+2.13*2.75+3.05*3.65+3*0.78+3.2*3.18+2.28*1.38+2.28*1.38+2.58*1.23+0.73*3.23+1.53*0.93+1*0.93)*10.764</f>
        <v>661.91065200000003</v>
      </c>
      <c r="E329" s="74">
        <f>(3*1.28+1.73*1.05)*10.764</f>
        <v>60.886565999999988</v>
      </c>
      <c r="F329" s="66">
        <f>D329+E329</f>
        <v>722.79721800000004</v>
      </c>
      <c r="G329" s="66">
        <v>0</v>
      </c>
      <c r="H329" s="66">
        <f>F329*(($H$200)+1)+(IF(G329&lt;101,G329,IF(G329&lt;201,G329/2,IF(G329&lt;=301,G329/3,G329/4))))</f>
        <v>1084.195827</v>
      </c>
      <c r="I329" s="36"/>
      <c r="L329" s="84"/>
      <c r="M329" s="84"/>
      <c r="N329" s="36"/>
    </row>
    <row r="330" spans="1:20" s="37" customFormat="1" ht="15.75" customHeight="1" x14ac:dyDescent="0.3">
      <c r="A330" s="82">
        <f t="shared" si="23"/>
        <v>8</v>
      </c>
      <c r="B330" s="83"/>
      <c r="C330" s="82" t="s">
        <v>319</v>
      </c>
      <c r="D330" s="95"/>
      <c r="E330" s="95"/>
      <c r="F330" s="95"/>
      <c r="G330" s="95"/>
      <c r="H330" s="83"/>
      <c r="I330" s="36"/>
      <c r="L330" s="84"/>
      <c r="M330" s="84"/>
      <c r="N330" s="36"/>
    </row>
    <row r="331" spans="1:20" s="37" customFormat="1" ht="15.75" customHeight="1" x14ac:dyDescent="0.3">
      <c r="A331" s="79" t="s">
        <v>323</v>
      </c>
      <c r="B331" s="80"/>
      <c r="C331" s="80"/>
      <c r="D331" s="80"/>
      <c r="E331" s="80"/>
      <c r="F331" s="80"/>
      <c r="G331" s="80"/>
      <c r="H331" s="81"/>
      <c r="I331" s="64">
        <v>1</v>
      </c>
      <c r="J331" s="36"/>
    </row>
    <row r="332" spans="1:20" s="37" customFormat="1" ht="15.75" customHeight="1" x14ac:dyDescent="0.3">
      <c r="A332" s="82">
        <v>1</v>
      </c>
      <c r="B332" s="83"/>
      <c r="C332" s="227" t="s">
        <v>350</v>
      </c>
      <c r="D332" s="228"/>
      <c r="E332" s="228"/>
      <c r="F332" s="228"/>
      <c r="G332" s="228"/>
      <c r="H332" s="229"/>
      <c r="I332" s="36"/>
      <c r="L332" s="84"/>
      <c r="M332" s="84"/>
      <c r="N332" s="36"/>
      <c r="T332" s="21"/>
    </row>
    <row r="333" spans="1:20" s="37" customFormat="1" ht="15.75" customHeight="1" x14ac:dyDescent="0.3">
      <c r="A333" s="82">
        <f t="shared" ref="A333:A339" si="24">A332+1</f>
        <v>2</v>
      </c>
      <c r="B333" s="83"/>
      <c r="C333" s="230"/>
      <c r="D333" s="231"/>
      <c r="E333" s="231"/>
      <c r="F333" s="231"/>
      <c r="G333" s="231"/>
      <c r="H333" s="232"/>
      <c r="I333" s="36"/>
      <c r="L333" s="84"/>
      <c r="M333" s="84"/>
      <c r="N333" s="36"/>
    </row>
    <row r="334" spans="1:20" s="37" customFormat="1" ht="15.75" customHeight="1" x14ac:dyDescent="0.3">
      <c r="A334" s="82">
        <f t="shared" si="24"/>
        <v>3</v>
      </c>
      <c r="B334" s="83"/>
      <c r="C334" s="66" t="s">
        <v>336</v>
      </c>
      <c r="D334" s="66">
        <f>(5.48*3.05+2.13*2.75+3.65*3.05+3.95*3.2+1.4*2.33+1.4*2.28+2.58*1.23+2.87*0.93+0.93*1.7+0.93*0.8)*10.764</f>
        <v>656.23264200000006</v>
      </c>
      <c r="E334" s="74">
        <f>(1.83*1.08+1.27*3.05)*10.764</f>
        <v>62.968323599999998</v>
      </c>
      <c r="F334" s="66">
        <f>D334+E334</f>
        <v>719.20096560000002</v>
      </c>
      <c r="G334" s="66">
        <v>0</v>
      </c>
      <c r="H334" s="66">
        <f>F334*(($H$200)+1)+(IF(G334&lt;101,G334,IF(G334&lt;201,G334/2,IF(G334&lt;=301,G334/3,G334/4))))</f>
        <v>1078.8014484</v>
      </c>
      <c r="I334" s="36"/>
      <c r="L334" s="84"/>
      <c r="M334" s="84"/>
      <c r="N334" s="36"/>
    </row>
    <row r="335" spans="1:20" s="37" customFormat="1" ht="15.75" customHeight="1" x14ac:dyDescent="0.3">
      <c r="A335" s="82">
        <f t="shared" si="24"/>
        <v>4</v>
      </c>
      <c r="B335" s="83"/>
      <c r="C335" s="66" t="s">
        <v>336</v>
      </c>
      <c r="D335" s="66">
        <f>(5.48*3.05+2.13*2.75+3.65*3.05+3.95*3.2+1.4*2.33+1.4*2.28+2.58*1.23+2.87*0.93+0.93*1.7+0.93*0.8)*10.764</f>
        <v>656.23264200000006</v>
      </c>
      <c r="E335" s="74">
        <f>(1.83*1.08+1.27*3.05)*10.764</f>
        <v>62.968323599999998</v>
      </c>
      <c r="F335" s="66">
        <f>D335+E335</f>
        <v>719.20096560000002</v>
      </c>
      <c r="G335" s="66">
        <v>0</v>
      </c>
      <c r="H335" s="66">
        <f>F335*(($H$200)+1)+(IF(G335&lt;101,G335,IF(G335&lt;201,G335/2,IF(G335&lt;=301,G335/3,G335/4))))</f>
        <v>1078.8014484</v>
      </c>
      <c r="I335" s="36"/>
      <c r="L335" s="84"/>
      <c r="M335" s="84"/>
      <c r="N335" s="36"/>
    </row>
    <row r="336" spans="1:20" s="37" customFormat="1" ht="15.75" customHeight="1" x14ac:dyDescent="0.3">
      <c r="A336" s="82">
        <f t="shared" si="24"/>
        <v>5</v>
      </c>
      <c r="B336" s="83"/>
      <c r="C336" s="227" t="s">
        <v>324</v>
      </c>
      <c r="D336" s="228"/>
      <c r="E336" s="228"/>
      <c r="F336" s="228"/>
      <c r="G336" s="228"/>
      <c r="H336" s="229"/>
      <c r="I336" s="36"/>
      <c r="L336" s="84"/>
      <c r="M336" s="84"/>
      <c r="N336" s="36"/>
    </row>
    <row r="337" spans="1:14" s="37" customFormat="1" ht="15.75" customHeight="1" x14ac:dyDescent="0.3">
      <c r="A337" s="82">
        <f t="shared" si="24"/>
        <v>6</v>
      </c>
      <c r="B337" s="83"/>
      <c r="C337" s="230"/>
      <c r="D337" s="231"/>
      <c r="E337" s="231"/>
      <c r="F337" s="231"/>
      <c r="G337" s="231"/>
      <c r="H337" s="232"/>
      <c r="I337" s="36"/>
      <c r="L337" s="84"/>
      <c r="M337" s="84"/>
      <c r="N337" s="36"/>
    </row>
    <row r="338" spans="1:14" s="37" customFormat="1" ht="15.75" customHeight="1" x14ac:dyDescent="0.3">
      <c r="A338" s="82">
        <f t="shared" si="24"/>
        <v>7</v>
      </c>
      <c r="B338" s="83"/>
      <c r="C338" s="66" t="s">
        <v>336</v>
      </c>
      <c r="D338" s="66">
        <f>(3.25*5.48+2.13*2.75+3.05*3.65+3*0.78+3.2*3.18+2.28*1.38+2.28*1.38+2.58*1.23+0.73*3.23+1.53*0.93+1*0.93)*10.764</f>
        <v>661.91065200000003</v>
      </c>
      <c r="E338" s="74">
        <f>(3*1.28+1.73*1.05)*10.764</f>
        <v>60.886565999999988</v>
      </c>
      <c r="F338" s="66">
        <f>D338+E338</f>
        <v>722.79721800000004</v>
      </c>
      <c r="G338" s="66">
        <v>0</v>
      </c>
      <c r="H338" s="66">
        <f>F338*(($H$200)+1)+(IF(G338&lt;101,G338,IF(G338&lt;201,G338/2,IF(G338&lt;=301,G338/3,G338/4))))</f>
        <v>1084.195827</v>
      </c>
      <c r="I338" s="36"/>
      <c r="L338" s="84"/>
      <c r="M338" s="84"/>
      <c r="N338" s="36"/>
    </row>
    <row r="339" spans="1:14" s="37" customFormat="1" ht="15.75" customHeight="1" x14ac:dyDescent="0.3">
      <c r="A339" s="82">
        <f t="shared" si="24"/>
        <v>8</v>
      </c>
      <c r="B339" s="83"/>
      <c r="C339" s="86" t="s">
        <v>319</v>
      </c>
      <c r="D339" s="87"/>
      <c r="E339" s="87"/>
      <c r="F339" s="87"/>
      <c r="G339" s="87"/>
      <c r="H339" s="88"/>
      <c r="I339" s="36"/>
      <c r="L339" s="84"/>
      <c r="M339" s="84"/>
      <c r="N339" s="36"/>
    </row>
    <row r="340" spans="1:14" s="37" customFormat="1" x14ac:dyDescent="0.3">
      <c r="A340" s="79" t="s">
        <v>380</v>
      </c>
      <c r="B340" s="80"/>
      <c r="C340" s="80"/>
      <c r="D340" s="80"/>
      <c r="E340" s="80"/>
      <c r="F340" s="80"/>
      <c r="G340" s="80"/>
      <c r="H340" s="81"/>
      <c r="I340" s="65">
        <f>6+6+6</f>
        <v>18</v>
      </c>
      <c r="L340" s="84"/>
      <c r="M340" s="84"/>
    </row>
    <row r="341" spans="1:14" s="37" customFormat="1" x14ac:dyDescent="0.3">
      <c r="A341" s="106" t="s">
        <v>370</v>
      </c>
      <c r="B341" s="106"/>
      <c r="C341" s="106"/>
      <c r="D341" s="106"/>
      <c r="E341" s="106"/>
      <c r="F341" s="106"/>
      <c r="G341" s="106"/>
      <c r="H341" s="106"/>
      <c r="I341" s="36"/>
      <c r="N341" s="36"/>
    </row>
    <row r="342" spans="1:14" s="37" customFormat="1" x14ac:dyDescent="0.3">
      <c r="A342" s="85">
        <v>1</v>
      </c>
      <c r="B342" s="85"/>
      <c r="C342" s="42" t="s">
        <v>321</v>
      </c>
      <c r="D342" s="42">
        <f>(3.35*6.1+3.05*2.45+3.05*3.98+3.35*4.28+3.85*3.48+1.53*2.45+1.53*2.45+1.53*2.45+1.23*3.07+0.98*3.48+3.35*0.93+1.63*1.73+2.45*0.3)*10.764</f>
        <v>999.81306360000008</v>
      </c>
      <c r="E342" s="73">
        <f>(1.08*1.85+2.93*1.3)*10.764</f>
        <v>62.506548000000002</v>
      </c>
      <c r="F342" s="42">
        <f t="shared" ref="F342:F349" si="25">D342+E342</f>
        <v>1062.3196116000001</v>
      </c>
      <c r="G342" s="42">
        <v>0</v>
      </c>
      <c r="H342" s="42">
        <f t="shared" ref="H342:H349" si="26">F342*(($H$200)+1)+(IF(G342&lt;101,G342,IF(G342&lt;201,G342/2,IF(G342&lt;=301,G342/3,G342/4))))</f>
        <v>1593.4794174000003</v>
      </c>
      <c r="I342" s="36"/>
      <c r="N342" s="36"/>
    </row>
    <row r="343" spans="1:14" s="37" customFormat="1" x14ac:dyDescent="0.3">
      <c r="A343" s="85">
        <f t="shared" ref="A343:A349" si="27">A342+1</f>
        <v>2</v>
      </c>
      <c r="B343" s="85"/>
      <c r="C343" s="42" t="s">
        <v>321</v>
      </c>
      <c r="D343" s="42">
        <f>(3.35*6.1+3.05*2.45+3.05*3.98+3.35*4.28+3.85*3.48+1.53*2.45+1.53*2.45+1.53*2.45+1.23*3.07+0.98*3.48+3.35*0.93+1.63*1.73+2.45*0.3)*10.764</f>
        <v>999.81306360000008</v>
      </c>
      <c r="E343" s="73">
        <f>(1.08*1.85+2.93*1.3)*10.764</f>
        <v>62.506548000000002</v>
      </c>
      <c r="F343" s="42">
        <f t="shared" si="25"/>
        <v>1062.3196116000001</v>
      </c>
      <c r="G343" s="42">
        <v>0</v>
      </c>
      <c r="H343" s="42">
        <f t="shared" si="26"/>
        <v>1593.4794174000003</v>
      </c>
      <c r="I343" s="36">
        <f>71.14*10.764</f>
        <v>765.75095999999996</v>
      </c>
      <c r="N343" s="36"/>
    </row>
    <row r="344" spans="1:14" s="37" customFormat="1" x14ac:dyDescent="0.3">
      <c r="A344" s="85">
        <f t="shared" si="27"/>
        <v>3</v>
      </c>
      <c r="B344" s="85"/>
      <c r="C344" s="42" t="s">
        <v>336</v>
      </c>
      <c r="D344" s="42">
        <f>(5.48*3.05+2.13*2.75+3.65*3.05+3.95*3.2+1.4*2.33+1.4*2.28+2.58*1.23+2.87*0.93+0.93*1.7+0.93*0.8)*10.764</f>
        <v>656.23264200000006</v>
      </c>
      <c r="E344" s="73">
        <f>(1.83*1.08+1.27*3.05)*10.764</f>
        <v>62.968323599999998</v>
      </c>
      <c r="F344" s="42">
        <f t="shared" si="25"/>
        <v>719.20096560000002</v>
      </c>
      <c r="G344" s="42">
        <v>0</v>
      </c>
      <c r="H344" s="42">
        <f t="shared" si="26"/>
        <v>1078.8014484</v>
      </c>
      <c r="I344" s="36"/>
      <c r="N344" s="36"/>
    </row>
    <row r="345" spans="1:14" s="37" customFormat="1" x14ac:dyDescent="0.3">
      <c r="A345" s="85">
        <f t="shared" si="27"/>
        <v>4</v>
      </c>
      <c r="B345" s="85"/>
      <c r="C345" s="42" t="s">
        <v>336</v>
      </c>
      <c r="D345" s="42">
        <f>(5.48*3.05+2.13*2.75+3.65*3.05+3.95*3.2+1.4*2.33+1.4*2.28+2.58*1.23+2.87*0.93+0.93*1.7+0.93*0.8)*10.764</f>
        <v>656.23264200000006</v>
      </c>
      <c r="E345" s="73">
        <f>(1.83*1.08+1.27*3.05)*10.764</f>
        <v>62.968323599999998</v>
      </c>
      <c r="F345" s="42">
        <f t="shared" si="25"/>
        <v>719.20096560000002</v>
      </c>
      <c r="G345" s="42">
        <v>0</v>
      </c>
      <c r="H345" s="42">
        <f t="shared" si="26"/>
        <v>1078.8014484</v>
      </c>
      <c r="I345" s="36"/>
      <c r="N345" s="36"/>
    </row>
    <row r="346" spans="1:14" s="37" customFormat="1" x14ac:dyDescent="0.3">
      <c r="A346" s="85">
        <f t="shared" si="27"/>
        <v>5</v>
      </c>
      <c r="B346" s="85"/>
      <c r="C346" s="42" t="s">
        <v>321</v>
      </c>
      <c r="D346" s="42">
        <f>(3.35*6.1+3.05*2.45+3.05*3.98+3.35*4.28+4.05*3.48+1.53*2.45+1.53*2.45+1.53*2.45+1.23*3.08+0.98*3.48+3.43*0.93+2.45*0.3)*10.764</f>
        <v>977.88464279999994</v>
      </c>
      <c r="E346" s="73">
        <f>(3.35*1.3+1.08*1.85)*10.764</f>
        <v>68.383691999999996</v>
      </c>
      <c r="F346" s="42">
        <f t="shared" si="25"/>
        <v>1046.2683348</v>
      </c>
      <c r="G346" s="42">
        <v>0</v>
      </c>
      <c r="H346" s="42">
        <f t="shared" si="26"/>
        <v>1569.4025022000001</v>
      </c>
      <c r="I346" s="36"/>
      <c r="N346" s="36"/>
    </row>
    <row r="347" spans="1:14" s="37" customFormat="1" x14ac:dyDescent="0.3">
      <c r="A347" s="85">
        <f t="shared" si="27"/>
        <v>6</v>
      </c>
      <c r="B347" s="85"/>
      <c r="C347" s="42" t="s">
        <v>321</v>
      </c>
      <c r="D347" s="42">
        <f>(3.35*6.1+3.05*2.45+3.05*3.98+3.35*4.28+4.05*3.48+1.53*2.45+1.53*2.45+1.53*2.45+1.23*3.08+0.98*3.48+3.43*0.93+2.45*0.3)*10.764</f>
        <v>977.88464279999994</v>
      </c>
      <c r="E347" s="73">
        <f>(3.35*1.3+1.08*1.85)*10.764</f>
        <v>68.383691999999996</v>
      </c>
      <c r="F347" s="42">
        <f t="shared" si="25"/>
        <v>1046.2683348</v>
      </c>
      <c r="G347" s="42">
        <v>0</v>
      </c>
      <c r="H347" s="42">
        <f t="shared" si="26"/>
        <v>1569.4025022000001</v>
      </c>
      <c r="I347" s="36"/>
      <c r="N347" s="36"/>
    </row>
    <row r="348" spans="1:14" s="37" customFormat="1" x14ac:dyDescent="0.3">
      <c r="A348" s="82">
        <f t="shared" si="27"/>
        <v>7</v>
      </c>
      <c r="B348" s="83"/>
      <c r="C348" s="42" t="s">
        <v>336</v>
      </c>
      <c r="D348" s="42">
        <f>(3.25*5.48+2.13*2.75+3.05*3.65+3*0.78+3.2*3.18+2.28*1.38+2.28*1.38+2.58*1.23+0.73*3.23+1.53*0.93+1*0.93)*10.764</f>
        <v>661.91065200000003</v>
      </c>
      <c r="E348" s="73">
        <f>(3*1.28+1.73*1.05)*10.764</f>
        <v>60.886565999999988</v>
      </c>
      <c r="F348" s="42">
        <f t="shared" si="25"/>
        <v>722.79721800000004</v>
      </c>
      <c r="G348" s="42">
        <v>0</v>
      </c>
      <c r="H348" s="42">
        <f t="shared" si="26"/>
        <v>1084.195827</v>
      </c>
      <c r="I348" s="36"/>
      <c r="N348" s="36"/>
    </row>
    <row r="349" spans="1:14" s="37" customFormat="1" x14ac:dyDescent="0.3">
      <c r="A349" s="82">
        <f t="shared" si="27"/>
        <v>8</v>
      </c>
      <c r="B349" s="83"/>
      <c r="C349" s="42" t="s">
        <v>336</v>
      </c>
      <c r="D349" s="42">
        <f>(3.25*5.48+2.13*2.75+3.05*3.65+3*0.78+3.2*3.18+2.28*1.38+2.28*1.38+2.58*1.23+0.73*3.23+1.53*0.93+1*0.93)*10.764</f>
        <v>661.91065200000003</v>
      </c>
      <c r="E349" s="73">
        <f>(3*1.28+1.73*1.05)*10.764</f>
        <v>60.886565999999988</v>
      </c>
      <c r="F349" s="42">
        <f t="shared" si="25"/>
        <v>722.79721800000004</v>
      </c>
      <c r="G349" s="42">
        <v>0</v>
      </c>
      <c r="H349" s="42">
        <f t="shared" si="26"/>
        <v>1084.195827</v>
      </c>
      <c r="I349" s="65">
        <f>2</f>
        <v>2</v>
      </c>
      <c r="L349" s="84"/>
      <c r="M349" s="84"/>
    </row>
    <row r="350" spans="1:14" s="37" customFormat="1" x14ac:dyDescent="0.3">
      <c r="A350" s="106" t="s">
        <v>328</v>
      </c>
      <c r="B350" s="106"/>
      <c r="C350" s="106"/>
      <c r="D350" s="106"/>
      <c r="E350" s="106"/>
      <c r="F350" s="106"/>
      <c r="G350" s="106"/>
      <c r="H350" s="106"/>
      <c r="I350" s="36"/>
      <c r="N350" s="36"/>
    </row>
    <row r="351" spans="1:14" s="37" customFormat="1" x14ac:dyDescent="0.3">
      <c r="A351" s="85">
        <v>1</v>
      </c>
      <c r="B351" s="85"/>
      <c r="C351" s="42" t="s">
        <v>321</v>
      </c>
      <c r="D351" s="42">
        <f>(3.35*6.1+3.05*2.45+3.05*3.98+3.35*4.28+3.85*3.48+1.53*2.45+1.53*2.45+1.53*2.45+1.23*3.07+0.98*3.48+3.35*0.93+1.63*1.73+2.45*0.3)*10.764</f>
        <v>999.81306360000008</v>
      </c>
      <c r="E351" s="73">
        <f>(1.08*1.85+2.93*1.3)*10.764</f>
        <v>62.506548000000002</v>
      </c>
      <c r="F351" s="42">
        <f>D351+E351</f>
        <v>1062.3196116000001</v>
      </c>
      <c r="G351" s="42">
        <v>0</v>
      </c>
      <c r="H351" s="42">
        <f>F351*(($H$200)+1)+(IF(G351&lt;101,G351,IF(G351&lt;201,G351/2,IF(G351&lt;=301,G351/3,G351/4))))</f>
        <v>1593.4794174000003</v>
      </c>
      <c r="I351" s="36"/>
      <c r="N351" s="36"/>
    </row>
    <row r="352" spans="1:14" s="37" customFormat="1" x14ac:dyDescent="0.3">
      <c r="A352" s="85">
        <f t="shared" ref="A352:A358" si="28">A351+1</f>
        <v>2</v>
      </c>
      <c r="B352" s="85"/>
      <c r="C352" s="42" t="s">
        <v>321</v>
      </c>
      <c r="D352" s="42">
        <f>(3.35*6.1+3.05*2.45+3.05*3.98+3.35*4.28+3.85*3.48+1.53*2.45+1.53*2.45+1.53*2.45+1.23*3.07+0.98*3.48+3.35*0.93+1.63*1.73+2.45*0.3)*10.764</f>
        <v>999.81306360000008</v>
      </c>
      <c r="E352" s="73">
        <f>(1.08*1.85+2.93*1.3)*10.764</f>
        <v>62.506548000000002</v>
      </c>
      <c r="F352" s="42">
        <f>D352+E352</f>
        <v>1062.3196116000001</v>
      </c>
      <c r="G352" s="42">
        <v>0</v>
      </c>
      <c r="H352" s="42">
        <f>F352*(($H$200)+1)+(IF(G352&lt;101,G352,IF(G352&lt;201,G352/2,IF(G352&lt;=301,G352/3,G352/4))))</f>
        <v>1593.4794174000003</v>
      </c>
      <c r="I352" s="36"/>
      <c r="N352" s="36"/>
    </row>
    <row r="353" spans="1:14" s="37" customFormat="1" x14ac:dyDescent="0.3">
      <c r="A353" s="85">
        <f t="shared" si="28"/>
        <v>3</v>
      </c>
      <c r="B353" s="85"/>
      <c r="C353" s="42" t="s">
        <v>336</v>
      </c>
      <c r="D353" s="42">
        <f>(5.48*3.05+2.13*2.75+3.65*3.05+3.95*3.2+1.4*2.33+1.4*2.28+2.58*1.23+2.87*0.93+0.93*1.7+0.93*0.8)*10.764</f>
        <v>656.23264200000006</v>
      </c>
      <c r="E353" s="73">
        <f>(1.83*1.08+1.27*3.05)*10.764</f>
        <v>62.968323599999998</v>
      </c>
      <c r="F353" s="42">
        <f>D353+E353</f>
        <v>719.20096560000002</v>
      </c>
      <c r="G353" s="42">
        <v>0</v>
      </c>
      <c r="H353" s="42">
        <f>F353*(($H$200)+1)+(IF(G353&lt;101,G353,IF(G353&lt;201,G353/2,IF(G353&lt;=301,G353/3,G353/4))))</f>
        <v>1078.8014484</v>
      </c>
      <c r="I353" s="36"/>
      <c r="N353" s="36"/>
    </row>
    <row r="354" spans="1:14" s="37" customFormat="1" x14ac:dyDescent="0.3">
      <c r="A354" s="85">
        <f t="shared" si="28"/>
        <v>4</v>
      </c>
      <c r="B354" s="85"/>
      <c r="C354" s="42" t="s">
        <v>336</v>
      </c>
      <c r="D354" s="42">
        <f>(5.48*3.05+2.13*2.75+3.65*3.05+3.95*3.2+1.4*2.33+1.4*2.28+2.58*1.23+2.87*0.93+0.93*1.7+0.93*0.8)*10.764</f>
        <v>656.23264200000006</v>
      </c>
      <c r="E354" s="73">
        <f>(1.83*1.08+1.27*3.05)*10.764</f>
        <v>62.968323599999998</v>
      </c>
      <c r="F354" s="42">
        <f>D354+E354</f>
        <v>719.20096560000002</v>
      </c>
      <c r="G354" s="42">
        <v>0</v>
      </c>
      <c r="H354" s="42">
        <f>F354*(($H$200)+1)+(IF(G354&lt;101,G354,IF(G354&lt;201,G354/2,IF(G354&lt;=301,G354/3,G354/4))))</f>
        <v>1078.8014484</v>
      </c>
      <c r="I354" s="36"/>
      <c r="N354" s="36"/>
    </row>
    <row r="355" spans="1:14" s="37" customFormat="1" x14ac:dyDescent="0.3">
      <c r="A355" s="85">
        <f t="shared" si="28"/>
        <v>5</v>
      </c>
      <c r="B355" s="85"/>
      <c r="C355" s="89" t="s">
        <v>324</v>
      </c>
      <c r="D355" s="90"/>
      <c r="E355" s="90"/>
      <c r="F355" s="90"/>
      <c r="G355" s="90"/>
      <c r="H355" s="91"/>
      <c r="I355" s="36"/>
      <c r="N355" s="36"/>
    </row>
    <row r="356" spans="1:14" s="37" customFormat="1" x14ac:dyDescent="0.3">
      <c r="A356" s="85">
        <f t="shared" si="28"/>
        <v>6</v>
      </c>
      <c r="B356" s="85"/>
      <c r="C356" s="92"/>
      <c r="D356" s="93"/>
      <c r="E356" s="93"/>
      <c r="F356" s="93"/>
      <c r="G356" s="93"/>
      <c r="H356" s="94"/>
      <c r="I356" s="36"/>
      <c r="N356" s="36"/>
    </row>
    <row r="357" spans="1:14" s="37" customFormat="1" x14ac:dyDescent="0.3">
      <c r="A357" s="82">
        <f t="shared" si="28"/>
        <v>7</v>
      </c>
      <c r="B357" s="83"/>
      <c r="C357" s="42" t="s">
        <v>336</v>
      </c>
      <c r="D357" s="42">
        <f>(3.25*5.48+2.13*2.75+3.05*3.65+3*0.78+3.2*3.18+2.28*1.38+2.28*1.38+2.58*1.23+0.73*3.23+1.53*0.93+1*0.93)*10.764</f>
        <v>661.91065200000003</v>
      </c>
      <c r="E357" s="73">
        <f>(3*1.28+1.73*1.05)*10.764</f>
        <v>60.886565999999988</v>
      </c>
      <c r="F357" s="42">
        <f>D357+E357</f>
        <v>722.79721800000004</v>
      </c>
      <c r="G357" s="42">
        <v>0</v>
      </c>
      <c r="H357" s="42">
        <f>F357*(($H$200)+1)+(IF(G357&lt;101,G357,IF(G357&lt;201,G357/2,IF(G357&lt;=301,G357/3,G357/4))))</f>
        <v>1084.195827</v>
      </c>
      <c r="I357" s="36"/>
      <c r="N357" s="36"/>
    </row>
    <row r="358" spans="1:14" s="37" customFormat="1" x14ac:dyDescent="0.3">
      <c r="A358" s="82">
        <f t="shared" si="28"/>
        <v>8</v>
      </c>
      <c r="B358" s="83"/>
      <c r="C358" s="42" t="s">
        <v>336</v>
      </c>
      <c r="D358" s="42">
        <f>(3.25*5.48+2.13*2.75+3.05*3.65+3*0.78+3.2*3.18+2.28*1.38+2.28*1.38+2.58*1.23+0.73*3.23+1.53*0.93+1*0.93)*10.764</f>
        <v>661.91065200000003</v>
      </c>
      <c r="E358" s="73">
        <f>(3*1.28+1.73*1.05)*10.764</f>
        <v>60.886565999999988</v>
      </c>
      <c r="F358" s="42">
        <f>D358+E358</f>
        <v>722.79721800000004</v>
      </c>
      <c r="G358" s="42">
        <v>0</v>
      </c>
      <c r="H358" s="42">
        <f>F358*(($H$200)+1)+(IF(G358&lt;101,G358,IF(G358&lt;201,G358/2,IF(G358&lt;=301,G358/3,G358/4))))</f>
        <v>1084.195827</v>
      </c>
      <c r="I358" s="65">
        <f>3</f>
        <v>3</v>
      </c>
      <c r="L358" s="84"/>
      <c r="M358" s="84"/>
    </row>
    <row r="359" spans="1:14" s="37" customFormat="1" x14ac:dyDescent="0.3">
      <c r="A359" s="106" t="s">
        <v>327</v>
      </c>
      <c r="B359" s="106"/>
      <c r="C359" s="106"/>
      <c r="D359" s="106"/>
      <c r="E359" s="106"/>
      <c r="F359" s="106"/>
      <c r="G359" s="106"/>
      <c r="H359" s="106"/>
      <c r="I359" s="36"/>
      <c r="N359" s="36"/>
    </row>
    <row r="360" spans="1:14" s="37" customFormat="1" x14ac:dyDescent="0.3">
      <c r="A360" s="85">
        <v>1</v>
      </c>
      <c r="B360" s="85"/>
      <c r="C360" s="42" t="s">
        <v>321</v>
      </c>
      <c r="D360" s="72">
        <f>(3.35*6.18+3.05*2.45+3.05*3.98+3.43*4.28+3.93*3.55+1.53*2.53+1.53*2.53+1.53*2.45+1.23*3+0.98*3.55+3.35*0.93+1.63*1.73+2.45*0.23)*10.764</f>
        <v>1012.9419144000002</v>
      </c>
      <c r="E360" s="73">
        <f>(1.08*1.85+3*1.3)*10.764</f>
        <v>63.486072</v>
      </c>
      <c r="F360" s="42">
        <f>D360+E360</f>
        <v>1076.4279864000002</v>
      </c>
      <c r="G360" s="42">
        <v>0</v>
      </c>
      <c r="H360" s="42">
        <f>F360*(($H$200)+1)+(IF(G360&lt;101,G360,IF(G360&lt;201,G360/2,IF(G360&lt;=301,G360/3,G360/4))))</f>
        <v>1614.6419796000005</v>
      </c>
      <c r="I360" s="36"/>
      <c r="N360" s="36"/>
    </row>
    <row r="361" spans="1:14" s="37" customFormat="1" x14ac:dyDescent="0.3">
      <c r="A361" s="85">
        <f t="shared" ref="A361:A367" si="29">A360+1</f>
        <v>2</v>
      </c>
      <c r="B361" s="85"/>
      <c r="C361" s="42" t="s">
        <v>321</v>
      </c>
      <c r="D361" s="72">
        <f>(3.35*6.18+3.05*2.45+3.05*3.98+3.43*4.28+3.93*3.55+1.53*2.53+1.53*2.53+1.53*2.45+1.23*3+0.98*3.55+3.35*0.93+1.63*1.73+2.45*0.23)*10.764</f>
        <v>1012.9419144000002</v>
      </c>
      <c r="E361" s="73">
        <f>(1.08*1.85+3*1.3)*10.764</f>
        <v>63.486072</v>
      </c>
      <c r="F361" s="42">
        <f>D361+E361</f>
        <v>1076.4279864000002</v>
      </c>
      <c r="G361" s="42">
        <v>0</v>
      </c>
      <c r="H361" s="42">
        <f>F361*(($H$200)+1)+(IF(G361&lt;101,G361,IF(G361&lt;201,G361/2,IF(G361&lt;=301,G361/3,G361/4))))</f>
        <v>1614.6419796000005</v>
      </c>
      <c r="I361" s="36"/>
      <c r="N361" s="36"/>
    </row>
    <row r="362" spans="1:14" s="37" customFormat="1" x14ac:dyDescent="0.3">
      <c r="A362" s="85">
        <f t="shared" si="29"/>
        <v>3</v>
      </c>
      <c r="B362" s="85"/>
      <c r="C362" s="42" t="s">
        <v>336</v>
      </c>
      <c r="D362" s="72">
        <f>(5.48*3.05+2.2*2.75+3.65*3.08+3.95*3.2+1.4*2.33+1.4*2.28+2.58*1.23+2.87*0.93+0.93*1.7+0.93*0.8)*10.764</f>
        <v>659.48337000000004</v>
      </c>
      <c r="E362" s="73">
        <f>(1.91*1.07+1.27*3.05)*10.764</f>
        <v>63.692740799999989</v>
      </c>
      <c r="F362" s="42">
        <f>D362+E362</f>
        <v>723.17611080000006</v>
      </c>
      <c r="G362" s="42">
        <v>0</v>
      </c>
      <c r="H362" s="42">
        <f>F362*(($H$200)+1)+(IF(G362&lt;101,G362,IF(G362&lt;201,G362/2,IF(G362&lt;=301,G362/3,G362/4))))</f>
        <v>1084.7641662000001</v>
      </c>
      <c r="I362" s="36"/>
      <c r="N362" s="36"/>
    </row>
    <row r="363" spans="1:14" s="37" customFormat="1" x14ac:dyDescent="0.3">
      <c r="A363" s="85">
        <f t="shared" si="29"/>
        <v>4</v>
      </c>
      <c r="B363" s="85"/>
      <c r="C363" s="42" t="s">
        <v>336</v>
      </c>
      <c r="D363" s="72">
        <f>(5.48*3.05+2.2*2.75+3.65*3.08+3.95*3.2+1.4*2.33+1.4*2.28+2.58*1.23+2.87*0.93+0.93*1.7+0.93*0.8)*10.764</f>
        <v>659.48337000000004</v>
      </c>
      <c r="E363" s="73">
        <f>(1.91*1.07+1.27*3.05)*10.764</f>
        <v>63.692740799999989</v>
      </c>
      <c r="F363" s="42">
        <f>D363+E363</f>
        <v>723.17611080000006</v>
      </c>
      <c r="G363" s="42">
        <v>0</v>
      </c>
      <c r="H363" s="42">
        <f>F363*(($H$200)+1)+(IF(G363&lt;101,G363,IF(G363&lt;201,G363/2,IF(G363&lt;=301,G363/3,G363/4))))</f>
        <v>1084.7641662000001</v>
      </c>
      <c r="I363" s="36"/>
      <c r="N363" s="36"/>
    </row>
    <row r="364" spans="1:14" s="37" customFormat="1" x14ac:dyDescent="0.3">
      <c r="A364" s="85">
        <f t="shared" si="29"/>
        <v>5</v>
      </c>
      <c r="B364" s="85"/>
      <c r="C364" s="89" t="s">
        <v>324</v>
      </c>
      <c r="D364" s="90"/>
      <c r="E364" s="90"/>
      <c r="F364" s="90"/>
      <c r="G364" s="90"/>
      <c r="H364" s="91"/>
      <c r="I364" s="36"/>
      <c r="N364" s="36"/>
    </row>
    <row r="365" spans="1:14" s="37" customFormat="1" x14ac:dyDescent="0.3">
      <c r="A365" s="85">
        <f t="shared" si="29"/>
        <v>6</v>
      </c>
      <c r="B365" s="85"/>
      <c r="C365" s="92"/>
      <c r="D365" s="93"/>
      <c r="E365" s="93"/>
      <c r="F365" s="93"/>
      <c r="G365" s="93"/>
      <c r="H365" s="94"/>
      <c r="I365" s="252">
        <f>(3.05*1.28+1.8*1.05)*10.764</f>
        <v>62.366616</v>
      </c>
      <c r="J365" s="253">
        <f>(3*1.28+1.73*1.05)*10.764</f>
        <v>60.886565999999988</v>
      </c>
      <c r="N365" s="36"/>
    </row>
    <row r="366" spans="1:14" s="37" customFormat="1" x14ac:dyDescent="0.3">
      <c r="A366" s="82">
        <f t="shared" si="29"/>
        <v>7</v>
      </c>
      <c r="B366" s="83"/>
      <c r="C366" s="42" t="s">
        <v>336</v>
      </c>
      <c r="D366" s="72">
        <f>(3.25*5.48+2.2*2.75+3.05*3.65+3*0.48+3.2*3.48+2.28*1.38+2.28*1.38+2.58*1.23+0.78*3.23+1.48*0.93+1*0.93)*10.764</f>
        <v>665.86642199999994</v>
      </c>
      <c r="E366" s="73">
        <f>(3.05*1.28+1.8*1.05)*10.764</f>
        <v>62.366616</v>
      </c>
      <c r="F366" s="42">
        <f>D366+E366</f>
        <v>728.23303799999996</v>
      </c>
      <c r="G366" s="42">
        <v>0</v>
      </c>
      <c r="H366" s="42">
        <f>F366*(($H$200)+1)+(IF(G366&lt;101,G366,IF(G366&lt;201,G366/2,IF(G366&lt;=301,G366/3,G366/4))))</f>
        <v>1092.349557</v>
      </c>
      <c r="I366" s="252">
        <f>(3.05*1.28+1.8*1.05)*10.764</f>
        <v>62.366616</v>
      </c>
      <c r="J366" s="253">
        <f>(3*1.28+1.73*1.05)*10.764</f>
        <v>60.886565999999988</v>
      </c>
      <c r="N366" s="36"/>
    </row>
    <row r="367" spans="1:14" s="37" customFormat="1" x14ac:dyDescent="0.3">
      <c r="A367" s="82">
        <f t="shared" si="29"/>
        <v>8</v>
      </c>
      <c r="B367" s="83"/>
      <c r="C367" s="42" t="s">
        <v>336</v>
      </c>
      <c r="D367" s="72">
        <f>(3.25*5.48+2.2*2.75+3.05*3.65+3*0.48+3.2*3.48+2.28*1.38+2.28*1.38+2.58*1.23+0.78*3.23+1.48*0.93+1*0.93)*10.764</f>
        <v>665.86642199999994</v>
      </c>
      <c r="E367" s="73">
        <f>(3.05*1.28+1.8*1.05)*10.764</f>
        <v>62.366616</v>
      </c>
      <c r="F367" s="42">
        <f>D367+E367</f>
        <v>728.23303799999996</v>
      </c>
      <c r="G367" s="42">
        <v>0</v>
      </c>
      <c r="H367" s="42">
        <f>F367*(($H$200)+1)+(IF(G367&lt;101,G367,IF(G367&lt;201,G367/2,IF(G367&lt;=301,G367/3,G367/4))))</f>
        <v>1092.349557</v>
      </c>
      <c r="I367" s="65">
        <f>6+6+4</f>
        <v>16</v>
      </c>
      <c r="L367" s="84"/>
      <c r="M367" s="84"/>
    </row>
    <row r="368" spans="1:14" s="37" customFormat="1" x14ac:dyDescent="0.3">
      <c r="A368" s="106" t="s">
        <v>371</v>
      </c>
      <c r="B368" s="106"/>
      <c r="C368" s="106"/>
      <c r="D368" s="106"/>
      <c r="E368" s="106"/>
      <c r="F368" s="106"/>
      <c r="G368" s="106"/>
      <c r="H368" s="106"/>
      <c r="I368" s="36"/>
      <c r="N368" s="36"/>
    </row>
    <row r="369" spans="1:14" s="37" customFormat="1" x14ac:dyDescent="0.3">
      <c r="A369" s="85">
        <v>1</v>
      </c>
      <c r="B369" s="85"/>
      <c r="C369" s="42" t="s">
        <v>321</v>
      </c>
      <c r="D369" s="72">
        <f>(3.35*6.18+3.05*2.45+3.05*3.98+3.43*4.28+3.93*3.55+1.53*2.53+1.53*2.53+1.53*2.45+1.23*3+0.98*3.55+3.35*0.93+1.63*1.73+2.45*0.23)*10.764</f>
        <v>1012.9419144000002</v>
      </c>
      <c r="E369" s="73">
        <f>(1.08*1.85+3*1.3)*10.764</f>
        <v>63.486072</v>
      </c>
      <c r="F369" s="42">
        <f t="shared" ref="F369:F376" si="30">D369+E369</f>
        <v>1076.4279864000002</v>
      </c>
      <c r="G369" s="42">
        <v>0</v>
      </c>
      <c r="H369" s="42">
        <f t="shared" ref="H369:H376" si="31">F369*(($H$200)+1)+(IF(G369&lt;101,G369,IF(G369&lt;201,G369/2,IF(G369&lt;=301,G369/3,G369/4))))</f>
        <v>1614.6419796000005</v>
      </c>
      <c r="I369" s="36"/>
      <c r="N369" s="36"/>
    </row>
    <row r="370" spans="1:14" s="37" customFormat="1" x14ac:dyDescent="0.3">
      <c r="A370" s="85">
        <f t="shared" ref="A370:A376" si="32">A369+1</f>
        <v>2</v>
      </c>
      <c r="B370" s="85"/>
      <c r="C370" s="42" t="s">
        <v>321</v>
      </c>
      <c r="D370" s="72">
        <f>(3.35*6.18+3.05*2.45+3.05*3.98+3.43*4.28+3.93*3.55+1.53*2.53+1.53*2.53+1.53*2.45+1.23*3+0.98*3.55+3.35*0.93+1.63*1.73+2.45*0.23)*10.764</f>
        <v>1012.9419144000002</v>
      </c>
      <c r="E370" s="73">
        <f>(1.08*1.85+3*1.3)*10.764</f>
        <v>63.486072</v>
      </c>
      <c r="F370" s="42">
        <f t="shared" si="30"/>
        <v>1076.4279864000002</v>
      </c>
      <c r="G370" s="42">
        <v>0</v>
      </c>
      <c r="H370" s="42">
        <f t="shared" si="31"/>
        <v>1614.6419796000005</v>
      </c>
      <c r="I370" s="36"/>
      <c r="N370" s="36"/>
    </row>
    <row r="371" spans="1:14" s="37" customFormat="1" x14ac:dyDescent="0.3">
      <c r="A371" s="85">
        <f t="shared" si="32"/>
        <v>3</v>
      </c>
      <c r="B371" s="85"/>
      <c r="C371" s="42" t="s">
        <v>336</v>
      </c>
      <c r="D371" s="72">
        <f>(5.48*3.05+2.2*2.75+3.65*3.08+3.95*3.2+1.4*2.33+1.4*2.28+2.58*1.23+2.87*0.93+0.93*1.7+0.93*0.8)*10.764</f>
        <v>659.48337000000004</v>
      </c>
      <c r="E371" s="73">
        <f>(1.91*1.07+1.27*3.05)*10.764</f>
        <v>63.692740799999989</v>
      </c>
      <c r="F371" s="42">
        <f t="shared" si="30"/>
        <v>723.17611080000006</v>
      </c>
      <c r="G371" s="42">
        <v>0</v>
      </c>
      <c r="H371" s="42">
        <f t="shared" si="31"/>
        <v>1084.7641662000001</v>
      </c>
      <c r="I371" s="36"/>
      <c r="N371" s="36"/>
    </row>
    <row r="372" spans="1:14" s="37" customFormat="1" x14ac:dyDescent="0.3">
      <c r="A372" s="85">
        <f t="shared" si="32"/>
        <v>4</v>
      </c>
      <c r="B372" s="85"/>
      <c r="C372" s="42" t="s">
        <v>336</v>
      </c>
      <c r="D372" s="72">
        <f>(5.48*3.05+2.2*2.75+3.65*3.08+3.95*3.2+1.4*2.33+1.4*2.28+2.58*1.23+2.87*0.93+0.93*1.7+0.93*0.8)*10.764</f>
        <v>659.48337000000004</v>
      </c>
      <c r="E372" s="73">
        <f>(1.91*1.07+1.27*3.05)*10.764</f>
        <v>63.692740799999989</v>
      </c>
      <c r="F372" s="42">
        <f t="shared" si="30"/>
        <v>723.17611080000006</v>
      </c>
      <c r="G372" s="42">
        <v>0</v>
      </c>
      <c r="H372" s="42">
        <f t="shared" si="31"/>
        <v>1084.7641662000001</v>
      </c>
      <c r="I372" s="36"/>
      <c r="N372" s="36"/>
    </row>
    <row r="373" spans="1:14" s="37" customFormat="1" x14ac:dyDescent="0.3">
      <c r="A373" s="85">
        <f t="shared" si="32"/>
        <v>5</v>
      </c>
      <c r="B373" s="85"/>
      <c r="C373" s="42" t="s">
        <v>321</v>
      </c>
      <c r="D373" s="72">
        <f>(3.35*6.18+3.05*2.45+3.1*3.98+3.35*4.28+4.13*3.55+1.53*2.53+1.53*2.53+1.6*2.45+1.23*3+0.98*3.55+3.43*0.93+2.45*0.23)*10.764</f>
        <v>991.33426080000015</v>
      </c>
      <c r="E373" s="73">
        <f>(3.35*1.3+1.08*1.85)*10.764</f>
        <v>68.383691999999996</v>
      </c>
      <c r="F373" s="42">
        <f t="shared" si="30"/>
        <v>1059.7179528000001</v>
      </c>
      <c r="G373" s="42">
        <v>0</v>
      </c>
      <c r="H373" s="42">
        <f t="shared" si="31"/>
        <v>1589.5769292000002</v>
      </c>
      <c r="I373" s="36"/>
      <c r="N373" s="36"/>
    </row>
    <row r="374" spans="1:14" s="37" customFormat="1" x14ac:dyDescent="0.3">
      <c r="A374" s="85">
        <f t="shared" si="32"/>
        <v>6</v>
      </c>
      <c r="B374" s="85"/>
      <c r="C374" s="42" t="s">
        <v>321</v>
      </c>
      <c r="D374" s="72">
        <f>(3.35*6.18+3.05*2.45+3.1*3.98+3.35*4.28+4.13*3.55+1.53*2.53+1.53*2.53+1.6*2.45+1.23*3+0.98*3.55+3.43*0.93+2.45*0.23)*10.764</f>
        <v>991.33426080000015</v>
      </c>
      <c r="E374" s="73">
        <f>(3.35*1.3+1.08*1.85)*10.764</f>
        <v>68.383691999999996</v>
      </c>
      <c r="F374" s="42">
        <f t="shared" si="30"/>
        <v>1059.7179528000001</v>
      </c>
      <c r="G374" s="42">
        <v>0</v>
      </c>
      <c r="H374" s="42">
        <f t="shared" si="31"/>
        <v>1589.5769292000002</v>
      </c>
      <c r="I374" s="36"/>
      <c r="N374" s="36"/>
    </row>
    <row r="375" spans="1:14" s="37" customFormat="1" x14ac:dyDescent="0.3">
      <c r="A375" s="82">
        <f t="shared" si="32"/>
        <v>7</v>
      </c>
      <c r="B375" s="83"/>
      <c r="C375" s="42" t="s">
        <v>336</v>
      </c>
      <c r="D375" s="72">
        <f>(3.25*5.48+2.2*2.75+3.05*3.65+3*0.48+3.2*3.48+2.28*1.38+2.28*1.38+2.58*1.23+0.78*3.23+1.48*0.93+1*0.93)*10.764</f>
        <v>665.86642199999994</v>
      </c>
      <c r="E375" s="73">
        <f>(3.05*1.28+1.8*1.05)*10.764</f>
        <v>62.366616</v>
      </c>
      <c r="F375" s="42">
        <f t="shared" si="30"/>
        <v>728.23303799999996</v>
      </c>
      <c r="G375" s="42">
        <v>0</v>
      </c>
      <c r="H375" s="42">
        <f t="shared" si="31"/>
        <v>1092.349557</v>
      </c>
      <c r="I375" s="36"/>
      <c r="N375" s="36"/>
    </row>
    <row r="376" spans="1:14" s="37" customFormat="1" ht="15.75" customHeight="1" x14ac:dyDescent="0.3">
      <c r="A376" s="82">
        <f t="shared" si="32"/>
        <v>8</v>
      </c>
      <c r="B376" s="83"/>
      <c r="C376" s="42" t="s">
        <v>336</v>
      </c>
      <c r="D376" s="72">
        <f>(3.25*5.48+2.2*2.75+3.05*3.65+3*0.48+3.2*3.48+2.28*1.38+2.28*1.38+2.58*1.23+0.78*3.23+1.48*0.93+1*0.93)*10.764</f>
        <v>665.86642199999994</v>
      </c>
      <c r="E376" s="73">
        <f>(3.05*1.28+1.8*1.05)*10.764</f>
        <v>62.366616</v>
      </c>
      <c r="F376" s="42">
        <f t="shared" si="30"/>
        <v>728.23303799999996</v>
      </c>
      <c r="G376" s="42">
        <v>0</v>
      </c>
      <c r="H376" s="42">
        <f t="shared" si="31"/>
        <v>1092.349557</v>
      </c>
      <c r="I376" s="65">
        <f>1</f>
        <v>1</v>
      </c>
      <c r="L376" s="84"/>
      <c r="M376" s="84"/>
    </row>
    <row r="377" spans="1:14" s="37" customFormat="1" x14ac:dyDescent="0.3">
      <c r="A377" s="106" t="s">
        <v>331</v>
      </c>
      <c r="B377" s="106"/>
      <c r="C377" s="106"/>
      <c r="D377" s="106"/>
      <c r="E377" s="106"/>
      <c r="F377" s="106"/>
      <c r="G377" s="106"/>
      <c r="H377" s="106"/>
      <c r="I377" s="36"/>
      <c r="N377" s="36"/>
    </row>
    <row r="378" spans="1:14" s="37" customFormat="1" x14ac:dyDescent="0.3">
      <c r="A378" s="85">
        <v>1</v>
      </c>
      <c r="B378" s="85"/>
      <c r="C378" s="42" t="s">
        <v>321</v>
      </c>
      <c r="D378" s="72">
        <f>(3.35*6.18+3.05*2.45+3.05*3.98+3.43*4.28+3.93*3.55+1.53*2.53+1.53*2.53+1.53*2.45+1.23*3+0.98*3.55+3.35*0.93+1.63*1.73+2.45*0.23)*10.764</f>
        <v>1012.9419144000002</v>
      </c>
      <c r="E378" s="73">
        <f>(1.08*1.85+3*1.3)*10.764</f>
        <v>63.486072</v>
      </c>
      <c r="F378" s="42">
        <f t="shared" ref="F378:F385" si="33">D378+E378</f>
        <v>1076.4279864000002</v>
      </c>
      <c r="G378" s="42">
        <v>0</v>
      </c>
      <c r="H378" s="42">
        <f>F378*(($H$200)+1)+(IF(G378&lt;101,G378,IF(G378&lt;201,G378/2,IF(G378&lt;=301,G378/3,G378/4))))</f>
        <v>1614.6419796000005</v>
      </c>
      <c r="I378" s="36"/>
      <c r="N378" s="36"/>
    </row>
    <row r="379" spans="1:14" s="37" customFormat="1" x14ac:dyDescent="0.3">
      <c r="A379" s="85">
        <f t="shared" ref="A379:A385" si="34">A378+1</f>
        <v>2</v>
      </c>
      <c r="B379" s="85"/>
      <c r="C379" s="42" t="s">
        <v>321</v>
      </c>
      <c r="D379" s="72">
        <f>(3.35*6.18+3.05*2.45+3.05*3.98+3.43*4.28+3.93*3.55+1.53*2.53+1.53*2.53+1.53*2.45+1.23*3+0.98*3.55+3.35*0.93+1.63*1.73+2.45*0.23)*10.764</f>
        <v>1012.9419144000002</v>
      </c>
      <c r="E379" s="73">
        <f>(1.08*1.85+3*1.3)*10.764</f>
        <v>63.486072</v>
      </c>
      <c r="F379" s="42">
        <f t="shared" si="33"/>
        <v>1076.4279864000002</v>
      </c>
      <c r="G379" s="42">
        <v>0</v>
      </c>
      <c r="H379" s="42">
        <f>F379*(($H$200)+1)+(IF(G379&lt;101,G379,IF(G379&lt;201,G379/2,IF(G379&lt;=301,G379/3,G379/4))))</f>
        <v>1614.6419796000005</v>
      </c>
      <c r="I379" s="36"/>
      <c r="N379" s="36"/>
    </row>
    <row r="380" spans="1:14" s="37" customFormat="1" x14ac:dyDescent="0.3">
      <c r="A380" s="85">
        <f t="shared" si="34"/>
        <v>3</v>
      </c>
      <c r="B380" s="85"/>
      <c r="C380" s="42" t="s">
        <v>336</v>
      </c>
      <c r="D380" s="72">
        <f>(5.48*3.05+2.2*2.75+3.65*3.08+3.95*3.2+1.4*2.33+1.4*2.28+2.58*1.23+2.87*0.93+0.93*1.7+0.93*0.8)*10.764</f>
        <v>659.48337000000004</v>
      </c>
      <c r="E380" s="73">
        <f>(1.91*1.07+1.27*3.05)*10.764</f>
        <v>63.692740799999989</v>
      </c>
      <c r="F380" s="42">
        <f t="shared" si="33"/>
        <v>723.17611080000006</v>
      </c>
      <c r="G380" s="42">
        <v>0</v>
      </c>
      <c r="H380" s="42">
        <f>F380*(($H$200)+1)+(IF(G380&lt;101,G380,IF(G380&lt;201,G380/2,IF(G380&lt;=301,G380/3,G380/4))))</f>
        <v>1084.7641662000001</v>
      </c>
      <c r="I380" s="36"/>
      <c r="N380" s="36"/>
    </row>
    <row r="381" spans="1:14" s="37" customFormat="1" x14ac:dyDescent="0.3">
      <c r="A381" s="85">
        <f t="shared" si="34"/>
        <v>4</v>
      </c>
      <c r="B381" s="85"/>
      <c r="C381" s="42" t="s">
        <v>336</v>
      </c>
      <c r="D381" s="72">
        <f>(5.48*3.05+2.2*2.75+3.65*3.08+3.95*3.2+1.4*2.33+1.4*2.28+2.58*1.23+2.87*0.93+0.93*1.7+0.93*0.8)*10.764</f>
        <v>659.48337000000004</v>
      </c>
      <c r="E381" s="73">
        <f>(1.91*1.07+1.27*3.05)*10.764</f>
        <v>63.692740799999989</v>
      </c>
      <c r="F381" s="42">
        <f t="shared" si="33"/>
        <v>723.17611080000006</v>
      </c>
      <c r="G381" s="42">
        <v>0</v>
      </c>
      <c r="H381" s="42">
        <f>F381*(($H$200)+1)+(IF(G381&lt;101,G381,IF(G381&lt;201,G381/2,IF(G381&lt;=301,G381/3,G381/4))))</f>
        <v>1084.7641662000001</v>
      </c>
      <c r="I381" s="36"/>
      <c r="N381" s="36"/>
    </row>
    <row r="382" spans="1:14" s="37" customFormat="1" x14ac:dyDescent="0.3">
      <c r="A382" s="85">
        <f t="shared" si="34"/>
        <v>5</v>
      </c>
      <c r="B382" s="85"/>
      <c r="C382" s="42" t="s">
        <v>321</v>
      </c>
      <c r="D382" s="72">
        <f>(3.35*6.18+3.05*2.45+3.1*3.98+3.35*4.28+4.13*3.55+1.53*2.53+1.53*2.53+1.6*2.45+1.23*3+0.98*3.55+3.43*0.93+2.45*0.23)*10.764</f>
        <v>991.33426080000015</v>
      </c>
      <c r="E382" s="73">
        <f>(3.35*1.3+1.08*1.85)*10.764</f>
        <v>68.383691999999996</v>
      </c>
      <c r="F382" s="42">
        <f t="shared" si="33"/>
        <v>1059.7179528000001</v>
      </c>
      <c r="G382" s="42">
        <v>0</v>
      </c>
      <c r="H382" s="42">
        <f>F382*(($H$200)+1)+(IF(G382&lt;101,G382,IF(G382&lt;201,G382/2,IF(G382&lt;=301,G382/3,G382/4))))</f>
        <v>1589.5769292000002</v>
      </c>
      <c r="I382" s="36"/>
      <c r="N382" s="36"/>
    </row>
    <row r="383" spans="1:14" s="37" customFormat="1" x14ac:dyDescent="0.3">
      <c r="A383" s="85">
        <f t="shared" si="34"/>
        <v>6</v>
      </c>
      <c r="B383" s="85"/>
      <c r="C383" s="82" t="s">
        <v>324</v>
      </c>
      <c r="D383" s="95"/>
      <c r="E383" s="95"/>
      <c r="F383" s="95"/>
      <c r="G383" s="95"/>
      <c r="H383" s="83"/>
      <c r="I383" s="36"/>
      <c r="N383" s="36"/>
    </row>
    <row r="384" spans="1:14" s="37" customFormat="1" x14ac:dyDescent="0.3">
      <c r="A384" s="82">
        <f t="shared" si="34"/>
        <v>7</v>
      </c>
      <c r="B384" s="83"/>
      <c r="C384" s="42" t="s">
        <v>336</v>
      </c>
      <c r="D384" s="72">
        <f>(3.25*5.48+2.2*2.75+3.05*3.65+3*0.48+3.2*3.48+2.28*1.38+2.28*1.38+2.58*1.23+0.78*3.23+1.48*0.93+1*0.93)*10.764</f>
        <v>665.86642199999994</v>
      </c>
      <c r="E384" s="73">
        <f>(3.05*1.28+1.8*1.05)*10.764</f>
        <v>62.366616</v>
      </c>
      <c r="F384" s="42">
        <f t="shared" si="33"/>
        <v>728.23303799999996</v>
      </c>
      <c r="G384" s="42">
        <v>0</v>
      </c>
      <c r="H384" s="42">
        <f>F384*(($H$200)+1)+(IF(G384&lt;101,G384,IF(G384&lt;201,G384/2,IF(G384&lt;=301,G384/3,G384/4))))</f>
        <v>1092.349557</v>
      </c>
      <c r="I384" s="36"/>
      <c r="N384" s="36"/>
    </row>
    <row r="385" spans="1:20" s="37" customFormat="1" x14ac:dyDescent="0.3">
      <c r="A385" s="82">
        <f t="shared" si="34"/>
        <v>8</v>
      </c>
      <c r="B385" s="83"/>
      <c r="C385" s="42" t="s">
        <v>336</v>
      </c>
      <c r="D385" s="72">
        <f>(3.25*5.48+2.2*2.75+3.05*3.65+3*0.48+3.2*3.48+2.28*1.38+2.28*1.38+2.58*1.23+0.78*3.23+1.48*0.93+1*0.93)*10.764</f>
        <v>665.86642199999994</v>
      </c>
      <c r="E385" s="73">
        <f>(3.05*1.28+1.8*1.05)*10.764</f>
        <v>62.366616</v>
      </c>
      <c r="F385" s="42">
        <f t="shared" si="33"/>
        <v>728.23303799999996</v>
      </c>
      <c r="G385" s="42">
        <v>0</v>
      </c>
      <c r="H385" s="42">
        <f>F385*(($H$200)+1)+(IF(G385&lt;101,G385,IF(G385&lt;201,G385/2,IF(G385&lt;=301,G385/3,G385/4))))</f>
        <v>1092.349557</v>
      </c>
      <c r="I385" s="65">
        <f>3</f>
        <v>3</v>
      </c>
      <c r="L385" s="84"/>
      <c r="M385" s="84"/>
    </row>
    <row r="386" spans="1:20" s="37" customFormat="1" x14ac:dyDescent="0.3">
      <c r="A386" s="106" t="s">
        <v>330</v>
      </c>
      <c r="B386" s="106"/>
      <c r="C386" s="106"/>
      <c r="D386" s="106"/>
      <c r="E386" s="106"/>
      <c r="F386" s="106"/>
      <c r="G386" s="106"/>
      <c r="H386" s="106"/>
      <c r="I386" s="36"/>
      <c r="N386" s="36"/>
    </row>
    <row r="387" spans="1:20" s="37" customFormat="1" x14ac:dyDescent="0.3">
      <c r="A387" s="85">
        <v>1</v>
      </c>
      <c r="B387" s="85"/>
      <c r="C387" s="42" t="s">
        <v>321</v>
      </c>
      <c r="D387" s="72">
        <f>(3.35*6.18+3.05*2.45+3.05*3.98+3.43*4.28+3.93*3.55+1.53*2.53+1.53*2.53+1.53*2.45+1.23*3+0.98*3.55+3.35*0.93+1.63*1.73+2.45*0.23)*10.764</f>
        <v>1012.9419144000002</v>
      </c>
      <c r="E387" s="73">
        <f>(1.08*1.85+3*1.3)*10.764</f>
        <v>63.486072</v>
      </c>
      <c r="F387" s="42">
        <f t="shared" ref="F387:F394" si="35">D387+E387</f>
        <v>1076.4279864000002</v>
      </c>
      <c r="G387" s="42">
        <v>0</v>
      </c>
      <c r="H387" s="42">
        <f t="shared" ref="H387:H394" si="36">F387*(($H$200)+1)+(IF(G387&lt;101,G387,IF(G387&lt;201,G387/2,IF(G387&lt;=301,G387/3,G387/4))))</f>
        <v>1614.6419796000005</v>
      </c>
      <c r="I387" s="36"/>
      <c r="N387" s="36"/>
    </row>
    <row r="388" spans="1:20" s="37" customFormat="1" x14ac:dyDescent="0.3">
      <c r="A388" s="85">
        <f t="shared" ref="A388:A394" si="37">A387+1</f>
        <v>2</v>
      </c>
      <c r="B388" s="85"/>
      <c r="C388" s="42" t="s">
        <v>321</v>
      </c>
      <c r="D388" s="72">
        <f>(3.35*6.18+3.05*2.45+3.05*3.98+3.43*4.28+3.93*3.55+1.53*2.53+1.53*2.53+1.53*2.45+1.23*3+0.98*3.55+3.35*0.93+1.63*1.73+2.45*0.23)*10.764</f>
        <v>1012.9419144000002</v>
      </c>
      <c r="E388" s="73">
        <f>(1.08*1.85+3*1.3)*10.764</f>
        <v>63.486072</v>
      </c>
      <c r="F388" s="42">
        <f t="shared" si="35"/>
        <v>1076.4279864000002</v>
      </c>
      <c r="G388" s="42">
        <v>0</v>
      </c>
      <c r="H388" s="42">
        <f t="shared" si="36"/>
        <v>1614.6419796000005</v>
      </c>
      <c r="I388" s="36"/>
      <c r="N388" s="36"/>
    </row>
    <row r="389" spans="1:20" s="37" customFormat="1" x14ac:dyDescent="0.3">
      <c r="A389" s="85">
        <f t="shared" si="37"/>
        <v>3</v>
      </c>
      <c r="B389" s="85"/>
      <c r="C389" s="42" t="s">
        <v>336</v>
      </c>
      <c r="D389" s="72">
        <f>(5.48*3.05+2.2*2.75+3.65*3.08+3.95*3.2+1.4*2.33+1.4*2.28+2.58*1.23+2.87*0.93+0.93*1.7+0.93*0.8)*10.764</f>
        <v>659.48337000000004</v>
      </c>
      <c r="E389" s="73">
        <f>(1.91*1.07+1.27*3.05)*10.764</f>
        <v>63.692740799999989</v>
      </c>
      <c r="F389" s="42">
        <f t="shared" si="35"/>
        <v>723.17611080000006</v>
      </c>
      <c r="G389" s="42">
        <v>0</v>
      </c>
      <c r="H389" s="42">
        <f t="shared" si="36"/>
        <v>1084.7641662000001</v>
      </c>
      <c r="I389" s="36"/>
      <c r="N389" s="36"/>
    </row>
    <row r="390" spans="1:20" s="37" customFormat="1" x14ac:dyDescent="0.3">
      <c r="A390" s="85">
        <f t="shared" si="37"/>
        <v>4</v>
      </c>
      <c r="B390" s="85"/>
      <c r="C390" s="42" t="s">
        <v>336</v>
      </c>
      <c r="D390" s="72">
        <f>(5.48*3.05+2.2*2.75+3.65*3.08+3.95*3.2+1.4*2.33+1.4*2.28+2.58*1.23+2.87*0.93+0.93*1.7+0.93*0.8)*10.764</f>
        <v>659.48337000000004</v>
      </c>
      <c r="E390" s="73">
        <f>(1.91*1.07+1.27*3.05)*10.764</f>
        <v>63.692740799999989</v>
      </c>
      <c r="F390" s="42">
        <f t="shared" si="35"/>
        <v>723.17611080000006</v>
      </c>
      <c r="G390" s="42">
        <v>0</v>
      </c>
      <c r="H390" s="42">
        <f t="shared" si="36"/>
        <v>1084.7641662000001</v>
      </c>
      <c r="I390" s="36"/>
      <c r="N390" s="36"/>
    </row>
    <row r="391" spans="1:20" s="37" customFormat="1" x14ac:dyDescent="0.3">
      <c r="A391" s="85">
        <f t="shared" si="37"/>
        <v>5</v>
      </c>
      <c r="B391" s="85"/>
      <c r="C391" s="42" t="s">
        <v>321</v>
      </c>
      <c r="D391" s="72">
        <f>(3.35*6.18+3.05*2.45+3.1*3.98+3.35*4.28+4.13*3.55+1.53*2.53+1.53*2.53+1.6*2.45+1.23*3+0.98*3.55+3.43*0.93+2.45*0.23)*10.764</f>
        <v>991.33426080000015</v>
      </c>
      <c r="E391" s="73">
        <f>(3.35*1.3+1.08*1.85)*10.764</f>
        <v>68.383691999999996</v>
      </c>
      <c r="F391" s="42">
        <f t="shared" si="35"/>
        <v>1059.7179528000001</v>
      </c>
      <c r="G391" s="42">
        <v>0</v>
      </c>
      <c r="H391" s="42">
        <f t="shared" si="36"/>
        <v>1589.5769292000002</v>
      </c>
      <c r="I391" s="36"/>
      <c r="N391" s="36"/>
    </row>
    <row r="392" spans="1:20" s="37" customFormat="1" x14ac:dyDescent="0.3">
      <c r="A392" s="85">
        <f t="shared" si="37"/>
        <v>6</v>
      </c>
      <c r="B392" s="85"/>
      <c r="C392" s="42" t="s">
        <v>321</v>
      </c>
      <c r="D392" s="72">
        <f>(3.35*6.18+3.05*2.45+3.1*3.98+3.35*4.28+4.13*3.55+1.53*2.53+1.53*2.53+1.6*2.45+1.23*3+0.98*3.55+3.43*0.93+2.45*0.23)*10.764</f>
        <v>991.33426080000015</v>
      </c>
      <c r="E392" s="73">
        <f>(3.35*1.3+1.08*1.85)*10.764</f>
        <v>68.383691999999996</v>
      </c>
      <c r="F392" s="42">
        <f t="shared" si="35"/>
        <v>1059.7179528000001</v>
      </c>
      <c r="G392" s="42">
        <v>0</v>
      </c>
      <c r="H392" s="42">
        <f t="shared" si="36"/>
        <v>1589.5769292000002</v>
      </c>
      <c r="I392" s="36"/>
      <c r="N392" s="36"/>
    </row>
    <row r="393" spans="1:20" s="37" customFormat="1" x14ac:dyDescent="0.3">
      <c r="A393" s="82">
        <f t="shared" si="37"/>
        <v>7</v>
      </c>
      <c r="B393" s="83"/>
      <c r="C393" s="42" t="s">
        <v>336</v>
      </c>
      <c r="D393" s="72">
        <f>(3.25*5.48+2.2*2.75+3.05*3.65+3*0.48+3.2*3.48+2.28*1.38+2.28*1.38+2.58*1.23+0.78*3.23+1.48*0.93+1*0.93)*10.764</f>
        <v>665.86642199999994</v>
      </c>
      <c r="E393" s="73">
        <f>(3.05*1.28+1.8*1.05)*10.764</f>
        <v>62.366616</v>
      </c>
      <c r="F393" s="42">
        <f t="shared" si="35"/>
        <v>728.23303799999996</v>
      </c>
      <c r="G393" s="42">
        <v>0</v>
      </c>
      <c r="H393" s="42">
        <f t="shared" si="36"/>
        <v>1092.349557</v>
      </c>
      <c r="I393" s="36"/>
      <c r="N393" s="36"/>
    </row>
    <row r="394" spans="1:20" s="37" customFormat="1" ht="15.75" customHeight="1" x14ac:dyDescent="0.3">
      <c r="A394" s="82">
        <f t="shared" si="37"/>
        <v>8</v>
      </c>
      <c r="B394" s="83"/>
      <c r="C394" s="42" t="s">
        <v>336</v>
      </c>
      <c r="D394" s="72">
        <f>(3.25*5.48+2.2*2.75+3.05*3.65+3*0.48+3.2*3.48+2.28*1.38+2.28*1.38+2.58*1.23+0.78*3.23+1.48*0.93+1*0.93)*10.764</f>
        <v>665.86642199999994</v>
      </c>
      <c r="E394" s="73">
        <f>(3.05*1.28+1.8*1.05)*10.764</f>
        <v>62.366616</v>
      </c>
      <c r="F394" s="42">
        <f t="shared" si="35"/>
        <v>728.23303799999996</v>
      </c>
      <c r="G394" s="42">
        <v>0</v>
      </c>
      <c r="H394" s="42">
        <f t="shared" si="36"/>
        <v>1092.349557</v>
      </c>
      <c r="I394" s="36"/>
      <c r="L394" s="84"/>
      <c r="M394" s="84"/>
      <c r="N394" s="36"/>
    </row>
    <row r="395" spans="1:20" s="37" customFormat="1" ht="15.75" customHeight="1" x14ac:dyDescent="0.3">
      <c r="A395" s="110" t="s">
        <v>335</v>
      </c>
      <c r="B395" s="111"/>
      <c r="C395" s="111"/>
      <c r="D395" s="111"/>
      <c r="E395" s="111"/>
      <c r="F395" s="111"/>
      <c r="G395" s="111"/>
      <c r="H395" s="112"/>
      <c r="I395" s="36"/>
      <c r="L395" s="84"/>
      <c r="M395" s="84"/>
      <c r="N395" s="36"/>
    </row>
    <row r="396" spans="1:20" s="37" customFormat="1" ht="15.75" customHeight="1" x14ac:dyDescent="0.3">
      <c r="A396" s="79" t="s">
        <v>316</v>
      </c>
      <c r="B396" s="80"/>
      <c r="C396" s="80"/>
      <c r="D396" s="80"/>
      <c r="E396" s="80"/>
      <c r="F396" s="80"/>
      <c r="G396" s="80"/>
      <c r="H396" s="81"/>
      <c r="I396" s="36"/>
      <c r="L396" s="84"/>
      <c r="M396" s="84"/>
      <c r="N396" s="36"/>
    </row>
    <row r="397" spans="1:20" s="37" customFormat="1" x14ac:dyDescent="0.3">
      <c r="A397" s="79" t="s">
        <v>333</v>
      </c>
      <c r="B397" s="80"/>
      <c r="C397" s="80"/>
      <c r="D397" s="80"/>
      <c r="E397" s="80"/>
      <c r="F397" s="80"/>
      <c r="G397" s="80"/>
      <c r="H397" s="81"/>
      <c r="I397" s="64">
        <f>6</f>
        <v>6</v>
      </c>
      <c r="J397" s="36"/>
    </row>
    <row r="398" spans="1:20" s="37" customFormat="1" ht="15.75" customHeight="1" x14ac:dyDescent="0.3">
      <c r="A398" s="79" t="s">
        <v>334</v>
      </c>
      <c r="B398" s="80"/>
      <c r="C398" s="80"/>
      <c r="D398" s="80"/>
      <c r="E398" s="80"/>
      <c r="F398" s="80"/>
      <c r="G398" s="80"/>
      <c r="H398" s="81"/>
      <c r="I398" s="36"/>
      <c r="L398" s="84"/>
      <c r="M398" s="84"/>
      <c r="N398" s="36"/>
      <c r="T398" s="21"/>
    </row>
    <row r="399" spans="1:20" s="37" customFormat="1" ht="15.75" customHeight="1" x14ac:dyDescent="0.3">
      <c r="A399" s="82">
        <v>1</v>
      </c>
      <c r="B399" s="83"/>
      <c r="C399" s="85" t="s">
        <v>319</v>
      </c>
      <c r="D399" s="85"/>
      <c r="E399" s="85"/>
      <c r="F399" s="85"/>
      <c r="G399" s="85"/>
      <c r="H399" s="85"/>
      <c r="I399" s="36"/>
      <c r="L399" s="84"/>
      <c r="M399" s="84"/>
      <c r="N399" s="36"/>
    </row>
    <row r="400" spans="1:20" s="37" customFormat="1" ht="15.75" customHeight="1" x14ac:dyDescent="0.3">
      <c r="A400" s="82">
        <f t="shared" ref="A400:A406" si="38">A399+1</f>
        <v>2</v>
      </c>
      <c r="B400" s="83"/>
      <c r="C400" s="85"/>
      <c r="D400" s="85"/>
      <c r="E400" s="85"/>
      <c r="F400" s="85"/>
      <c r="G400" s="85"/>
      <c r="H400" s="85"/>
      <c r="I400" s="36"/>
      <c r="L400" s="84"/>
      <c r="M400" s="84"/>
      <c r="N400" s="36"/>
    </row>
    <row r="401" spans="1:20" s="37" customFormat="1" ht="15.75" customHeight="1" x14ac:dyDescent="0.3">
      <c r="A401" s="82">
        <f t="shared" si="38"/>
        <v>3</v>
      </c>
      <c r="B401" s="83"/>
      <c r="C401" s="85"/>
      <c r="D401" s="85"/>
      <c r="E401" s="85"/>
      <c r="F401" s="85"/>
      <c r="G401" s="85"/>
      <c r="H401" s="85"/>
      <c r="I401" s="36"/>
      <c r="L401" s="84"/>
      <c r="M401" s="84"/>
      <c r="N401" s="36"/>
    </row>
    <row r="402" spans="1:20" s="37" customFormat="1" ht="15.75" customHeight="1" x14ac:dyDescent="0.3">
      <c r="A402" s="82">
        <f t="shared" si="38"/>
        <v>4</v>
      </c>
      <c r="B402" s="83"/>
      <c r="C402" s="85"/>
      <c r="D402" s="85"/>
      <c r="E402" s="85"/>
      <c r="F402" s="85"/>
      <c r="G402" s="85"/>
      <c r="H402" s="85"/>
      <c r="I402" s="36"/>
      <c r="L402" s="84"/>
      <c r="M402" s="84"/>
      <c r="N402" s="36"/>
    </row>
    <row r="403" spans="1:20" s="37" customFormat="1" ht="15.75" customHeight="1" x14ac:dyDescent="0.3">
      <c r="A403" s="82">
        <f t="shared" si="38"/>
        <v>5</v>
      </c>
      <c r="B403" s="83"/>
      <c r="C403" s="85" t="s">
        <v>337</v>
      </c>
      <c r="D403" s="85"/>
      <c r="E403" s="85"/>
      <c r="F403" s="85"/>
      <c r="G403" s="85"/>
      <c r="H403" s="85"/>
      <c r="I403" s="36"/>
      <c r="L403" s="84"/>
      <c r="M403" s="84"/>
      <c r="N403" s="36"/>
    </row>
    <row r="404" spans="1:20" s="37" customFormat="1" ht="15.75" customHeight="1" x14ac:dyDescent="0.3">
      <c r="A404" s="82">
        <f t="shared" si="38"/>
        <v>6</v>
      </c>
      <c r="B404" s="83"/>
      <c r="C404" s="85"/>
      <c r="D404" s="85"/>
      <c r="E404" s="85"/>
      <c r="F404" s="85"/>
      <c r="G404" s="85"/>
      <c r="H404" s="85"/>
      <c r="I404" s="36"/>
      <c r="L404" s="84"/>
      <c r="M404" s="84"/>
      <c r="N404" s="36"/>
    </row>
    <row r="405" spans="1:20" s="37" customFormat="1" ht="15.75" customHeight="1" x14ac:dyDescent="0.3">
      <c r="A405" s="82">
        <f t="shared" si="38"/>
        <v>7</v>
      </c>
      <c r="B405" s="83"/>
      <c r="C405" s="42" t="s">
        <v>336</v>
      </c>
      <c r="D405" s="73">
        <f>(5.48*3.05+2.13*2.75+3.65*3.05+3.95*3.2+1.4*2.28+1.4*2.33+2.58*1.23+2.87*0.93+0.93*1.5+0.93*1)*10.764</f>
        <v>656.23264200000006</v>
      </c>
      <c r="E405" s="73">
        <f>(1.27*3.05+1.83*1.08)*10.764</f>
        <v>62.968323599999998</v>
      </c>
      <c r="F405" s="42">
        <f>D405+E405</f>
        <v>719.20096560000002</v>
      </c>
      <c r="G405" s="42">
        <v>0</v>
      </c>
      <c r="H405" s="42">
        <f>F405*(($H$200)+1)+(IF(G405&lt;101,G405,IF(G405&lt;201,G405/2,IF(G405&lt;=301,G405/3,G405/4))))</f>
        <v>1078.8014484</v>
      </c>
      <c r="I405" s="36"/>
      <c r="L405" s="84"/>
      <c r="M405" s="84"/>
      <c r="N405" s="36"/>
    </row>
    <row r="406" spans="1:20" s="37" customFormat="1" ht="15.75" customHeight="1" x14ac:dyDescent="0.3">
      <c r="A406" s="82">
        <f t="shared" si="38"/>
        <v>8</v>
      </c>
      <c r="B406" s="83"/>
      <c r="C406" s="42" t="s">
        <v>336</v>
      </c>
      <c r="D406" s="73">
        <f>(5.48*3.05+2.13*2.75+3.65*3.05+3.95*3.2+1.4*2.28+1.4*2.33+2.58*1.23+2.87*0.93+0.93*1.5+0.93*1)*10.764</f>
        <v>656.23264200000006</v>
      </c>
      <c r="E406" s="73">
        <f>(1.27*3.05+1.83*1.08)*10.764</f>
        <v>62.968323599999998</v>
      </c>
      <c r="F406" s="42">
        <f>D406+E406</f>
        <v>719.20096560000002</v>
      </c>
      <c r="G406" s="42">
        <v>0</v>
      </c>
      <c r="H406" s="42">
        <f>F406*(($H$200)+1)+(IF(G406&lt;101,G406,IF(G406&lt;201,G406/2,IF(G406&lt;=301,G406/3,G406/4))))</f>
        <v>1078.8014484</v>
      </c>
      <c r="I406" s="64">
        <v>1</v>
      </c>
      <c r="J406" s="36"/>
    </row>
    <row r="407" spans="1:20" s="37" customFormat="1" ht="15.75" customHeight="1" x14ac:dyDescent="0.3">
      <c r="A407" s="79" t="s">
        <v>322</v>
      </c>
      <c r="B407" s="80"/>
      <c r="C407" s="80"/>
      <c r="D407" s="80"/>
      <c r="E407" s="80"/>
      <c r="F407" s="80"/>
      <c r="G407" s="80"/>
      <c r="H407" s="81"/>
      <c r="I407" s="36"/>
      <c r="L407" s="84"/>
      <c r="M407" s="84"/>
      <c r="N407" s="36"/>
      <c r="T407" s="21"/>
    </row>
    <row r="408" spans="1:20" s="37" customFormat="1" ht="15.75" customHeight="1" x14ac:dyDescent="0.3">
      <c r="A408" s="82">
        <v>1</v>
      </c>
      <c r="B408" s="83"/>
      <c r="C408" s="89" t="s">
        <v>319</v>
      </c>
      <c r="D408" s="90"/>
      <c r="E408" s="90"/>
      <c r="F408" s="90"/>
      <c r="G408" s="90"/>
      <c r="H408" s="91"/>
      <c r="I408" s="36"/>
      <c r="L408" s="84"/>
      <c r="M408" s="84"/>
      <c r="N408" s="36"/>
    </row>
    <row r="409" spans="1:20" s="37" customFormat="1" ht="15.75" customHeight="1" x14ac:dyDescent="0.3">
      <c r="A409" s="82">
        <f t="shared" ref="A409:A415" si="39">A408+1</f>
        <v>2</v>
      </c>
      <c r="B409" s="83"/>
      <c r="C409" s="107"/>
      <c r="D409" s="108"/>
      <c r="E409" s="108"/>
      <c r="F409" s="108"/>
      <c r="G409" s="108"/>
      <c r="H409" s="109"/>
      <c r="I409" s="36"/>
      <c r="L409" s="84"/>
      <c r="M409" s="84"/>
      <c r="N409" s="36"/>
    </row>
    <row r="410" spans="1:20" s="37" customFormat="1" ht="15.75" customHeight="1" x14ac:dyDescent="0.3">
      <c r="A410" s="82">
        <f t="shared" si="39"/>
        <v>3</v>
      </c>
      <c r="B410" s="83"/>
      <c r="C410" s="92"/>
      <c r="D410" s="93"/>
      <c r="E410" s="93"/>
      <c r="F410" s="93"/>
      <c r="G410" s="93"/>
      <c r="H410" s="94"/>
      <c r="I410" s="36"/>
      <c r="L410" s="84"/>
      <c r="M410" s="84"/>
      <c r="N410" s="36"/>
    </row>
    <row r="411" spans="1:20" s="37" customFormat="1" ht="15.75" customHeight="1" x14ac:dyDescent="0.3">
      <c r="A411" s="82">
        <f t="shared" si="39"/>
        <v>4</v>
      </c>
      <c r="B411" s="83"/>
      <c r="C411" s="42" t="s">
        <v>336</v>
      </c>
      <c r="D411" s="73">
        <f>(3.25*5.48+2.13*2.75+3.05*3.65+3*0.78+3.2*3.18+2.28*1.38+2.28*1.38+2.58*1.23+0.73*3.23+1.53*0.93+1*0.93)*10.764</f>
        <v>661.91065200000003</v>
      </c>
      <c r="E411" s="73">
        <f>(3*1.28+1.73*1.05)*10.764</f>
        <v>60.886565999999988</v>
      </c>
      <c r="F411" s="42">
        <f>D411+E411</f>
        <v>722.79721800000004</v>
      </c>
      <c r="G411" s="42">
        <v>0</v>
      </c>
      <c r="H411" s="42">
        <f>F411*(($H$200)+1)+(IF(G411&lt;101,G411,IF(G411&lt;201,G411/2,IF(G411&lt;=301,G411/3,G411/4))))</f>
        <v>1084.195827</v>
      </c>
      <c r="I411" s="36"/>
      <c r="L411" s="84"/>
      <c r="M411" s="84"/>
      <c r="N411" s="36"/>
    </row>
    <row r="412" spans="1:20" s="37" customFormat="1" ht="15.75" customHeight="1" x14ac:dyDescent="0.3">
      <c r="A412" s="82">
        <f t="shared" si="39"/>
        <v>5</v>
      </c>
      <c r="B412" s="83"/>
      <c r="C412" s="42" t="s">
        <v>321</v>
      </c>
      <c r="D412" s="73">
        <f>(3.35*6.1+3.05*2.45+3.05*3.98+3.35*4.28+4.05*3.48+1.53*2.45+1.53*2.45+1.53*2.45+1.23*3.08+0.98*3.48+3.43*0.93+2.45*0.3)*10.764</f>
        <v>977.88464279999994</v>
      </c>
      <c r="E412" s="73">
        <f>(3.35*1.3+1.08*1.85)*10.764</f>
        <v>68.383691999999996</v>
      </c>
      <c r="F412" s="42">
        <f>D412+E412</f>
        <v>1046.2683348</v>
      </c>
      <c r="G412" s="42">
        <v>0</v>
      </c>
      <c r="H412" s="42">
        <f>F412*(($H$200)+1)+(IF(G412&lt;101,G412,IF(G412&lt;201,G412/2,IF(G412&lt;=301,G412/3,G412/4))))</f>
        <v>1569.4025022000001</v>
      </c>
      <c r="I412" s="36"/>
      <c r="L412" s="84"/>
      <c r="M412" s="84"/>
      <c r="N412" s="36"/>
    </row>
    <row r="413" spans="1:20" s="37" customFormat="1" ht="15.75" customHeight="1" x14ac:dyDescent="0.3">
      <c r="A413" s="82">
        <f t="shared" si="39"/>
        <v>6</v>
      </c>
      <c r="B413" s="83"/>
      <c r="C413" s="42" t="s">
        <v>321</v>
      </c>
      <c r="D413" s="73">
        <f>(3.35*6.1+3.05*2.45+3.05*3.98+3.35*4.28+4.05*3.48+1.53*2.45+1.53*2.45+1.53*2.45+1.23*3.08+0.98*3.48+3.43*0.93+2.45*0.3)*10.764</f>
        <v>977.88464279999994</v>
      </c>
      <c r="E413" s="73">
        <f>(3.35*1.3+1.08*1.85)*10.764</f>
        <v>68.383691999999996</v>
      </c>
      <c r="F413" s="42">
        <f>D413+E413</f>
        <v>1046.2683348</v>
      </c>
      <c r="G413" s="42">
        <v>0</v>
      </c>
      <c r="H413" s="42">
        <f>F413*(($H$200)+1)+(IF(G413&lt;101,G413,IF(G413&lt;201,G413/2,IF(G413&lt;=301,G413/3,G413/4))))</f>
        <v>1569.4025022000001</v>
      </c>
      <c r="I413" s="36"/>
      <c r="L413" s="84"/>
      <c r="M413" s="84"/>
      <c r="N413" s="36"/>
    </row>
    <row r="414" spans="1:20" s="37" customFormat="1" ht="15.75" customHeight="1" x14ac:dyDescent="0.3">
      <c r="A414" s="82">
        <f t="shared" si="39"/>
        <v>7</v>
      </c>
      <c r="B414" s="83"/>
      <c r="C414" s="42" t="s">
        <v>336</v>
      </c>
      <c r="D414" s="73">
        <f>(5.48*3.05+2.13*2.75+3.65*3.05+3.95*3.2+1.4*2.28+1.4*2.33+2.58*1.23+2.87*0.93+0.93*1.5+0.93*1)*10.764</f>
        <v>656.23264200000006</v>
      </c>
      <c r="E414" s="73">
        <f>(1.27*3.05+1.83*1.08)*10.764</f>
        <v>62.968323599999998</v>
      </c>
      <c r="F414" s="42">
        <f>D414+E414</f>
        <v>719.20096560000002</v>
      </c>
      <c r="G414" s="42">
        <v>0</v>
      </c>
      <c r="H414" s="42">
        <f>F414*(($H$200)+1)+(IF(G414&lt;101,G414,IF(G414&lt;201,G414/2,IF(G414&lt;=301,G414/3,G414/4))))</f>
        <v>1078.8014484</v>
      </c>
      <c r="I414" s="36"/>
      <c r="L414" s="84"/>
      <c r="M414" s="84"/>
      <c r="N414" s="36"/>
    </row>
    <row r="415" spans="1:20" s="37" customFormat="1" x14ac:dyDescent="0.3">
      <c r="A415" s="82">
        <f t="shared" si="39"/>
        <v>8</v>
      </c>
      <c r="B415" s="83"/>
      <c r="C415" s="42" t="s">
        <v>336</v>
      </c>
      <c r="D415" s="73">
        <f>(5.48*3.05+2.13*2.75+3.65*3.05+3.95*3.2+1.4*2.28+1.4*2.33+2.58*1.23+2.87*0.93+0.93*1.5+0.93*1)*10.764</f>
        <v>656.23264200000006</v>
      </c>
      <c r="E415" s="73">
        <f>(1.27*3.05+1.83*1.08)*10.764</f>
        <v>62.968323599999998</v>
      </c>
      <c r="F415" s="42">
        <f>D415+E415</f>
        <v>719.20096560000002</v>
      </c>
      <c r="G415" s="42">
        <v>0</v>
      </c>
      <c r="H415" s="42">
        <f>F415*(($H$200)+1)+(IF(G415&lt;101,G415,IF(G415&lt;201,G415/2,IF(G415&lt;=301,G415/3,G415/4))))</f>
        <v>1078.8014484</v>
      </c>
      <c r="I415" s="65">
        <f>6+6+6</f>
        <v>18</v>
      </c>
      <c r="L415" s="84"/>
      <c r="M415" s="84"/>
    </row>
    <row r="416" spans="1:20" s="37" customFormat="1" ht="15.75" customHeight="1" x14ac:dyDescent="0.3">
      <c r="A416" s="79" t="s">
        <v>323</v>
      </c>
      <c r="B416" s="80"/>
      <c r="C416" s="80"/>
      <c r="D416" s="80"/>
      <c r="E416" s="80"/>
      <c r="F416" s="80"/>
      <c r="G416" s="80"/>
      <c r="H416" s="81"/>
      <c r="I416" s="36"/>
      <c r="N416" s="36"/>
    </row>
    <row r="417" spans="1:14" s="37" customFormat="1" x14ac:dyDescent="0.3">
      <c r="A417" s="82">
        <v>1</v>
      </c>
      <c r="B417" s="83"/>
      <c r="C417" s="89" t="s">
        <v>325</v>
      </c>
      <c r="D417" s="90"/>
      <c r="E417" s="90"/>
      <c r="F417" s="90"/>
      <c r="G417" s="90"/>
      <c r="H417" s="91"/>
      <c r="I417" s="36"/>
      <c r="N417" s="36"/>
    </row>
    <row r="418" spans="1:14" s="37" customFormat="1" x14ac:dyDescent="0.3">
      <c r="A418" s="82">
        <f t="shared" ref="A418:A424" si="40">A417+1</f>
        <v>2</v>
      </c>
      <c r="B418" s="83"/>
      <c r="C418" s="107"/>
      <c r="D418" s="108"/>
      <c r="E418" s="108"/>
      <c r="F418" s="108"/>
      <c r="G418" s="108"/>
      <c r="H418" s="109"/>
      <c r="I418" s="36"/>
      <c r="N418" s="36"/>
    </row>
    <row r="419" spans="1:14" s="37" customFormat="1" x14ac:dyDescent="0.3">
      <c r="A419" s="82">
        <f t="shared" si="40"/>
        <v>3</v>
      </c>
      <c r="B419" s="83"/>
      <c r="C419" s="92"/>
      <c r="D419" s="93"/>
      <c r="E419" s="93"/>
      <c r="F419" s="93"/>
      <c r="G419" s="93"/>
      <c r="H419" s="94"/>
      <c r="I419" s="36"/>
      <c r="N419" s="36"/>
    </row>
    <row r="420" spans="1:14" s="37" customFormat="1" x14ac:dyDescent="0.3">
      <c r="A420" s="82">
        <f t="shared" si="40"/>
        <v>4</v>
      </c>
      <c r="B420" s="83"/>
      <c r="C420" s="42" t="s">
        <v>336</v>
      </c>
      <c r="D420" s="73">
        <f>(3.25*5.48+2.13*2.75+3.05*3.65+3*0.78+3.2*3.18+2.28*1.38+2.28*1.38+2.58*1.23+0.73*3.23+1.53*0.93+1*0.93)*10.764</f>
        <v>661.91065200000003</v>
      </c>
      <c r="E420" s="73">
        <f>(3*1.28+1.73*1.05)*10.764</f>
        <v>60.886565999999988</v>
      </c>
      <c r="F420" s="42">
        <f>D420+E420</f>
        <v>722.79721800000004</v>
      </c>
      <c r="G420" s="42">
        <v>0</v>
      </c>
      <c r="H420" s="42">
        <f>F420*(($H$200)+1)+(IF(G420&lt;101,G420,IF(G420&lt;201,G420/2,IF(G420&lt;=301,G420/3,G420/4))))</f>
        <v>1084.195827</v>
      </c>
      <c r="I420" s="36"/>
      <c r="N420" s="36"/>
    </row>
    <row r="421" spans="1:14" s="37" customFormat="1" x14ac:dyDescent="0.3">
      <c r="A421" s="82">
        <f t="shared" si="40"/>
        <v>5</v>
      </c>
      <c r="B421" s="83"/>
      <c r="C421" s="89" t="s">
        <v>324</v>
      </c>
      <c r="D421" s="90"/>
      <c r="E421" s="90"/>
      <c r="F421" s="90"/>
      <c r="G421" s="90"/>
      <c r="H421" s="91"/>
      <c r="I421" s="36"/>
      <c r="N421" s="36"/>
    </row>
    <row r="422" spans="1:14" s="37" customFormat="1" x14ac:dyDescent="0.3">
      <c r="A422" s="82">
        <f t="shared" si="40"/>
        <v>6</v>
      </c>
      <c r="B422" s="83"/>
      <c r="C422" s="92"/>
      <c r="D422" s="93"/>
      <c r="E422" s="93"/>
      <c r="F422" s="93"/>
      <c r="G422" s="93"/>
      <c r="H422" s="94"/>
      <c r="I422" s="36"/>
      <c r="N422" s="36"/>
    </row>
    <row r="423" spans="1:14" s="37" customFormat="1" x14ac:dyDescent="0.3">
      <c r="A423" s="82">
        <f t="shared" si="40"/>
        <v>7</v>
      </c>
      <c r="B423" s="83"/>
      <c r="C423" s="73" t="s">
        <v>336</v>
      </c>
      <c r="D423" s="73">
        <f>(5.48*3.05+2.13*2.75+3.65*3.05+3.95*3.2+1.4*2.28+1.4*2.33+2.58*1.23+2.87*0.93+0.93*1.5+0.93*1)*10.764</f>
        <v>656.23264200000006</v>
      </c>
      <c r="E423" s="73">
        <f>(1.27*3.05+1.83*1.08)*10.764</f>
        <v>62.968323599999998</v>
      </c>
      <c r="F423" s="42">
        <f>D423+E423</f>
        <v>719.20096560000002</v>
      </c>
      <c r="G423" s="42">
        <v>0</v>
      </c>
      <c r="H423" s="42">
        <f>F423*(($H$200)+1)+(IF(G423&lt;101,G423,IF(G423&lt;201,G423/2,IF(G423&lt;=301,G423/3,G423/4))))</f>
        <v>1078.8014484</v>
      </c>
      <c r="I423" s="36"/>
      <c r="N423" s="36"/>
    </row>
    <row r="424" spans="1:14" s="37" customFormat="1" x14ac:dyDescent="0.3">
      <c r="A424" s="82">
        <f t="shared" si="40"/>
        <v>8</v>
      </c>
      <c r="B424" s="83"/>
      <c r="C424" s="73" t="s">
        <v>336</v>
      </c>
      <c r="D424" s="73">
        <f>(5.48*3.05+2.13*2.75+3.65*3.05+3.95*3.2+1.4*2.28+1.4*2.33+2.58*1.23+2.87*0.93+0.93*1.5+0.93*1)*10.764</f>
        <v>656.23264200000006</v>
      </c>
      <c r="E424" s="73">
        <f>(1.27*3.05+1.83*1.08)*10.764</f>
        <v>62.968323599999998</v>
      </c>
      <c r="F424" s="42">
        <f>D424+E424</f>
        <v>719.20096560000002</v>
      </c>
      <c r="G424" s="42">
        <v>0</v>
      </c>
      <c r="H424" s="42">
        <f>F424*(($H$200)+1)+(IF(G424&lt;101,G424,IF(G424&lt;201,G424/2,IF(G424&lt;=301,G424/3,G424/4))))</f>
        <v>1078.8014484</v>
      </c>
      <c r="I424" s="65">
        <f>8</f>
        <v>8</v>
      </c>
      <c r="L424" s="84"/>
      <c r="M424" s="84"/>
    </row>
    <row r="425" spans="1:14" s="37" customFormat="1" x14ac:dyDescent="0.3">
      <c r="A425" s="79" t="s">
        <v>380</v>
      </c>
      <c r="B425" s="80"/>
      <c r="C425" s="80"/>
      <c r="D425" s="80"/>
      <c r="E425" s="80"/>
      <c r="F425" s="80"/>
      <c r="G425" s="80"/>
      <c r="H425" s="81"/>
      <c r="I425" s="36"/>
      <c r="N425" s="36"/>
    </row>
    <row r="426" spans="1:14" s="37" customFormat="1" x14ac:dyDescent="0.3">
      <c r="A426" s="106" t="s">
        <v>326</v>
      </c>
      <c r="B426" s="106"/>
      <c r="C426" s="106"/>
      <c r="D426" s="106"/>
      <c r="E426" s="106"/>
      <c r="F426" s="106"/>
      <c r="G426" s="106"/>
      <c r="H426" s="106"/>
      <c r="I426" s="36"/>
      <c r="N426" s="36"/>
    </row>
    <row r="427" spans="1:14" s="37" customFormat="1" x14ac:dyDescent="0.3">
      <c r="A427" s="85">
        <v>1</v>
      </c>
      <c r="B427" s="85"/>
      <c r="C427" s="73" t="s">
        <v>321</v>
      </c>
      <c r="D427" s="73">
        <f>(3.35*6.1+3.05*2.45+3.05*3.98+3.35*4.28+3.85*3.48+1.53*2.45+1.53*2.45+1.53*2.45+1.23*3.07+0.98*3.48+3.35*0.93+1.63*1.73+2.45*0.3)*10.764</f>
        <v>999.81306360000008</v>
      </c>
      <c r="E427" s="73">
        <f>(2.93*1.3+1.08*1.85)*10.764</f>
        <v>62.506548000000002</v>
      </c>
      <c r="F427" s="42">
        <f t="shared" ref="F427:F434" si="41">D427+E427</f>
        <v>1062.3196116000001</v>
      </c>
      <c r="G427" s="42">
        <v>0</v>
      </c>
      <c r="H427" s="42">
        <f t="shared" ref="H427:H434" si="42">F427*(($H$200)+1)+(IF(G427&lt;101,G427,IF(G427&lt;201,G427/2,IF(G427&lt;=301,G427/3,G427/4))))</f>
        <v>1593.4794174000003</v>
      </c>
      <c r="I427" s="36"/>
      <c r="N427" s="36"/>
    </row>
    <row r="428" spans="1:14" s="37" customFormat="1" x14ac:dyDescent="0.3">
      <c r="A428" s="85">
        <f t="shared" ref="A428:A434" si="43">A427+1</f>
        <v>2</v>
      </c>
      <c r="B428" s="85"/>
      <c r="C428" s="73" t="s">
        <v>321</v>
      </c>
      <c r="D428" s="73">
        <f>(3.35*6.1+3.05*2.45+3.05*3.98+3.35*4.28+3.85*3.48+1.53*2.45+1.53*2.45+1.53*2.45+1.23*3.07+0.98*3.48+3.35*0.93+1.63*1.73+2.45*0.3)*10.764</f>
        <v>999.81306360000008</v>
      </c>
      <c r="E428" s="73">
        <f>(2.93*1.3+1.08*1.85)*10.764</f>
        <v>62.506548000000002</v>
      </c>
      <c r="F428" s="42">
        <f t="shared" si="41"/>
        <v>1062.3196116000001</v>
      </c>
      <c r="G428" s="42">
        <v>0</v>
      </c>
      <c r="H428" s="42">
        <f t="shared" si="42"/>
        <v>1593.4794174000003</v>
      </c>
      <c r="I428" s="36"/>
      <c r="N428" s="36"/>
    </row>
    <row r="429" spans="1:14" s="37" customFormat="1" x14ac:dyDescent="0.3">
      <c r="A429" s="85">
        <f t="shared" si="43"/>
        <v>3</v>
      </c>
      <c r="B429" s="85"/>
      <c r="C429" s="73" t="s">
        <v>336</v>
      </c>
      <c r="D429" s="73">
        <f>(3.25*5.48+2.13*2.75+3.05*3.65+3*0.78+3.2*3.18+2.28*1.38+2.28*1.38+2.58*1.23+0.73*3.23+1.53*0.93+1*0.93)*10.764</f>
        <v>661.91065200000003</v>
      </c>
      <c r="E429" s="73">
        <f>(3*1.28+1.73*1.05)*10.764</f>
        <v>60.886565999999988</v>
      </c>
      <c r="F429" s="42">
        <f t="shared" si="41"/>
        <v>722.79721800000004</v>
      </c>
      <c r="G429" s="42">
        <v>0</v>
      </c>
      <c r="H429" s="42">
        <f t="shared" si="42"/>
        <v>1084.195827</v>
      </c>
      <c r="I429" s="36"/>
      <c r="N429" s="36"/>
    </row>
    <row r="430" spans="1:14" s="37" customFormat="1" x14ac:dyDescent="0.3">
      <c r="A430" s="85">
        <f t="shared" si="43"/>
        <v>4</v>
      </c>
      <c r="B430" s="85"/>
      <c r="C430" s="73" t="s">
        <v>336</v>
      </c>
      <c r="D430" s="73">
        <f>(3.25*5.48+2.13*2.75+3.05*3.65+3*0.78+3.2*3.18+2.28*1.38+2.28*1.38+2.58*1.23+0.73*3.23+1.53*0.93+1*0.93)*10.764</f>
        <v>661.91065200000003</v>
      </c>
      <c r="E430" s="73">
        <f>(3*1.28+1.73*1.05)*10.764</f>
        <v>60.886565999999988</v>
      </c>
      <c r="F430" s="42">
        <f t="shared" si="41"/>
        <v>722.79721800000004</v>
      </c>
      <c r="G430" s="42">
        <v>0</v>
      </c>
      <c r="H430" s="42">
        <f t="shared" si="42"/>
        <v>1084.195827</v>
      </c>
      <c r="I430" s="36"/>
      <c r="N430" s="36"/>
    </row>
    <row r="431" spans="1:14" s="37" customFormat="1" x14ac:dyDescent="0.3">
      <c r="A431" s="85">
        <f t="shared" si="43"/>
        <v>5</v>
      </c>
      <c r="B431" s="85"/>
      <c r="C431" s="73" t="s">
        <v>321</v>
      </c>
      <c r="D431" s="73">
        <f>(3.35*6.1+3.05*2.45+3.05*3.98+3.35*4.28+4.05*3.48+1.53*2.45+1.53*2.45+1.53*2.45+1.23*3.08+0.98*3.48+3.43*0.93+2.45*0.3)*10.764</f>
        <v>977.88464279999994</v>
      </c>
      <c r="E431" s="73">
        <f>(3.35*1.3+1.08*1.85)*10.764</f>
        <v>68.383691999999996</v>
      </c>
      <c r="F431" s="42">
        <f t="shared" si="41"/>
        <v>1046.2683348</v>
      </c>
      <c r="G431" s="42">
        <v>0</v>
      </c>
      <c r="H431" s="42">
        <f t="shared" si="42"/>
        <v>1569.4025022000001</v>
      </c>
      <c r="I431" s="36"/>
      <c r="N431" s="36"/>
    </row>
    <row r="432" spans="1:14" s="37" customFormat="1" x14ac:dyDescent="0.3">
      <c r="A432" s="85">
        <f t="shared" si="43"/>
        <v>6</v>
      </c>
      <c r="B432" s="85"/>
      <c r="C432" s="73" t="s">
        <v>321</v>
      </c>
      <c r="D432" s="73">
        <f>(3.35*6.1+3.05*2.45+3.05*3.98+3.35*4.28+4.05*3.48+1.53*2.45+1.53*2.45+1.53*2.45+1.23*3.08+0.98*3.48+3.43*0.93+2.45*0.3)*10.764</f>
        <v>977.88464279999994</v>
      </c>
      <c r="E432" s="73">
        <f>(3.35*1.3+1.08*1.85)*10.764</f>
        <v>68.383691999999996</v>
      </c>
      <c r="F432" s="42">
        <f t="shared" si="41"/>
        <v>1046.2683348</v>
      </c>
      <c r="G432" s="42">
        <v>0</v>
      </c>
      <c r="H432" s="42">
        <f t="shared" si="42"/>
        <v>1569.4025022000001</v>
      </c>
      <c r="I432" s="36"/>
      <c r="N432" s="36"/>
    </row>
    <row r="433" spans="1:14" s="37" customFormat="1" x14ac:dyDescent="0.3">
      <c r="A433" s="85">
        <f t="shared" si="43"/>
        <v>7</v>
      </c>
      <c r="B433" s="85"/>
      <c r="C433" s="73" t="s">
        <v>336</v>
      </c>
      <c r="D433" s="73">
        <f>(5.48*3.05+2.13*2.75+3.65*3.05+3.95*3.2+1.4*2.28+1.4*2.33+2.58*1.23+2.87*0.93+0.93*1.5+0.93*1)*10.764</f>
        <v>656.23264200000006</v>
      </c>
      <c r="E433" s="73">
        <f>(1.27*3.05+1.83*1.08)*10.764</f>
        <v>62.968323599999998</v>
      </c>
      <c r="F433" s="42">
        <f t="shared" si="41"/>
        <v>719.20096560000002</v>
      </c>
      <c r="G433" s="42">
        <v>0</v>
      </c>
      <c r="H433" s="42">
        <f t="shared" si="42"/>
        <v>1078.8014484</v>
      </c>
      <c r="I433" s="65">
        <f>3</f>
        <v>3</v>
      </c>
      <c r="L433" s="84"/>
      <c r="M433" s="84"/>
    </row>
    <row r="434" spans="1:14" s="37" customFormat="1" x14ac:dyDescent="0.3">
      <c r="A434" s="85">
        <f t="shared" si="43"/>
        <v>8</v>
      </c>
      <c r="B434" s="85"/>
      <c r="C434" s="73" t="s">
        <v>336</v>
      </c>
      <c r="D434" s="73">
        <f>(5.48*3.05+2.13*2.75+3.65*3.05+3.95*3.2+1.4*2.28+1.4*2.33+2.58*1.23+2.87*0.93+0.93*1.5+0.93*1)*10.764</f>
        <v>656.23264200000006</v>
      </c>
      <c r="E434" s="73">
        <f>(1.27*3.05+1.83*1.08)*10.764</f>
        <v>62.968323599999998</v>
      </c>
      <c r="F434" s="42">
        <f t="shared" si="41"/>
        <v>719.20096560000002</v>
      </c>
      <c r="G434" s="42">
        <v>0</v>
      </c>
      <c r="H434" s="42">
        <f t="shared" si="42"/>
        <v>1078.8014484</v>
      </c>
      <c r="I434" s="36"/>
      <c r="N434" s="36"/>
    </row>
    <row r="435" spans="1:14" s="37" customFormat="1" x14ac:dyDescent="0.3">
      <c r="A435" s="106" t="s">
        <v>328</v>
      </c>
      <c r="B435" s="106"/>
      <c r="C435" s="106"/>
      <c r="D435" s="106"/>
      <c r="E435" s="106"/>
      <c r="F435" s="106"/>
      <c r="G435" s="106"/>
      <c r="H435" s="106"/>
      <c r="I435" s="36"/>
      <c r="N435" s="36"/>
    </row>
    <row r="436" spans="1:14" s="37" customFormat="1" x14ac:dyDescent="0.3">
      <c r="A436" s="85">
        <v>1</v>
      </c>
      <c r="B436" s="85"/>
      <c r="C436" s="73" t="s">
        <v>321</v>
      </c>
      <c r="D436" s="73">
        <f>(3.35*6.1+3.05*2.45+3.05*3.98+3.35*4.28+3.85*3.48+1.53*2.45+1.53*2.45+1.53*2.45+1.23*3.07+0.98*3.48+3.35*0.93+1.63*1.73+2.45*0.3)*10.764</f>
        <v>999.81306360000008</v>
      </c>
      <c r="E436" s="73">
        <f>(2.93*1.3+1.08*1.85)*10.764</f>
        <v>62.506548000000002</v>
      </c>
      <c r="F436" s="42">
        <f>D436+E436</f>
        <v>1062.3196116000001</v>
      </c>
      <c r="G436" s="42">
        <v>0</v>
      </c>
      <c r="H436" s="42">
        <f>F436*(($H$200)+1)+(IF(G436&lt;101,G436,IF(G436&lt;201,G436/2,IF(G436&lt;=301,G436/3,G436/4))))</f>
        <v>1593.4794174000003</v>
      </c>
      <c r="I436" s="36"/>
      <c r="N436" s="36"/>
    </row>
    <row r="437" spans="1:14" s="37" customFormat="1" x14ac:dyDescent="0.3">
      <c r="A437" s="85">
        <f t="shared" ref="A437:A443" si="44">A436+1</f>
        <v>2</v>
      </c>
      <c r="B437" s="85"/>
      <c r="C437" s="73" t="s">
        <v>321</v>
      </c>
      <c r="D437" s="73">
        <f>(3.35*6.1+3.05*2.45+3.05*3.98+3.35*4.28+3.85*3.48+1.53*2.45+1.53*2.45+1.53*2.45+1.23*3.07+0.98*3.48+3.35*0.93+1.63*1.73+2.45*0.3)*10.764</f>
        <v>999.81306360000008</v>
      </c>
      <c r="E437" s="73">
        <f>(2.93*1.3+1.08*1.85)*10.764</f>
        <v>62.506548000000002</v>
      </c>
      <c r="F437" s="42">
        <f>D437+E437</f>
        <v>1062.3196116000001</v>
      </c>
      <c r="G437" s="42">
        <v>0</v>
      </c>
      <c r="H437" s="42">
        <f>F437*(($H$200)+1)+(IF(G437&lt;101,G437,IF(G437&lt;201,G437/2,IF(G437&lt;=301,G437/3,G437/4))))</f>
        <v>1593.4794174000003</v>
      </c>
      <c r="I437" s="36"/>
      <c r="N437" s="36"/>
    </row>
    <row r="438" spans="1:14" s="37" customFormat="1" x14ac:dyDescent="0.3">
      <c r="A438" s="85">
        <f t="shared" si="44"/>
        <v>3</v>
      </c>
      <c r="B438" s="85"/>
      <c r="C438" s="73" t="s">
        <v>336</v>
      </c>
      <c r="D438" s="73">
        <f>(3.25*5.48+2.13*2.75+3.05*3.65+3*0.78+3.2*3.18+2.28*1.38+2.28*1.38+2.58*1.23+0.73*3.23+1.53*0.93+1*0.93)*10.764</f>
        <v>661.91065200000003</v>
      </c>
      <c r="E438" s="73">
        <f>(3*1.28+1.73*1.05)*10.764</f>
        <v>60.886565999999988</v>
      </c>
      <c r="F438" s="42">
        <f>D438+E438</f>
        <v>722.79721800000004</v>
      </c>
      <c r="G438" s="42">
        <v>0</v>
      </c>
      <c r="H438" s="42">
        <f>F438*(($H$200)+1)+(IF(G438&lt;101,G438,IF(G438&lt;201,G438/2,IF(G438&lt;=301,G438/3,G438/4))))</f>
        <v>1084.195827</v>
      </c>
      <c r="I438" s="36"/>
      <c r="N438" s="36"/>
    </row>
    <row r="439" spans="1:14" s="37" customFormat="1" x14ac:dyDescent="0.3">
      <c r="A439" s="85">
        <f t="shared" si="44"/>
        <v>4</v>
      </c>
      <c r="B439" s="85"/>
      <c r="C439" s="73" t="s">
        <v>336</v>
      </c>
      <c r="D439" s="73">
        <f>(3.25*5.48+2.13*2.75+3.05*3.65+3*0.78+3.2*3.18+2.28*1.38+2.28*1.38+2.58*1.23+0.73*3.23+1.53*0.93+1*0.93)*10.764</f>
        <v>661.91065200000003</v>
      </c>
      <c r="E439" s="73">
        <f>(3*1.28+1.73*1.05)*10.764</f>
        <v>60.886565999999988</v>
      </c>
      <c r="F439" s="42">
        <f>D439+E439</f>
        <v>722.79721800000004</v>
      </c>
      <c r="G439" s="42">
        <v>0</v>
      </c>
      <c r="H439" s="42">
        <f>F439*(($H$200)+1)+(IF(G439&lt;101,G439,IF(G439&lt;201,G439/2,IF(G439&lt;=301,G439/3,G439/4))))</f>
        <v>1084.195827</v>
      </c>
      <c r="I439" s="36"/>
      <c r="N439" s="36"/>
    </row>
    <row r="440" spans="1:14" s="37" customFormat="1" x14ac:dyDescent="0.3">
      <c r="A440" s="85">
        <f t="shared" si="44"/>
        <v>5</v>
      </c>
      <c r="B440" s="85"/>
      <c r="C440" s="89" t="s">
        <v>324</v>
      </c>
      <c r="D440" s="90"/>
      <c r="E440" s="90"/>
      <c r="F440" s="90"/>
      <c r="G440" s="90"/>
      <c r="H440" s="91"/>
      <c r="I440" s="36"/>
      <c r="N440" s="36"/>
    </row>
    <row r="441" spans="1:14" s="37" customFormat="1" x14ac:dyDescent="0.3">
      <c r="A441" s="85">
        <f t="shared" si="44"/>
        <v>6</v>
      </c>
      <c r="B441" s="85"/>
      <c r="C441" s="92"/>
      <c r="D441" s="93"/>
      <c r="E441" s="93"/>
      <c r="F441" s="93"/>
      <c r="G441" s="93"/>
      <c r="H441" s="94"/>
      <c r="I441" s="36"/>
      <c r="N441" s="36"/>
    </row>
    <row r="442" spans="1:14" s="37" customFormat="1" x14ac:dyDescent="0.3">
      <c r="A442" s="85">
        <f t="shared" si="44"/>
        <v>7</v>
      </c>
      <c r="B442" s="85"/>
      <c r="C442" s="73" t="s">
        <v>336</v>
      </c>
      <c r="D442" s="73">
        <f>(5.48*3.05+2.13*2.75+3.65*3.05+3.95*3.2+1.4*2.28+1.4*2.33+2.58*1.23+2.87*0.93+0.93*1.5+0.93*1)*10.764</f>
        <v>656.23264200000006</v>
      </c>
      <c r="E442" s="73">
        <f>(1.27*3.05+1.83*1.08)*10.764</f>
        <v>62.968323599999998</v>
      </c>
      <c r="F442" s="42">
        <f>D442+E442</f>
        <v>719.20096560000002</v>
      </c>
      <c r="G442" s="42">
        <v>0</v>
      </c>
      <c r="H442" s="42">
        <f>F442*(($H$200)+1)+(IF(G442&lt;101,G442,IF(G442&lt;201,G442/2,IF(G442&lt;=301,G442/3,G442/4))))</f>
        <v>1078.8014484</v>
      </c>
      <c r="I442" s="65">
        <f>6+6+4</f>
        <v>16</v>
      </c>
      <c r="L442" s="84"/>
      <c r="M442" s="84"/>
    </row>
    <row r="443" spans="1:14" s="37" customFormat="1" x14ac:dyDescent="0.3">
      <c r="A443" s="85">
        <f t="shared" si="44"/>
        <v>8</v>
      </c>
      <c r="B443" s="85"/>
      <c r="C443" s="73" t="s">
        <v>336</v>
      </c>
      <c r="D443" s="73">
        <f>(5.48*3.05+2.13*2.75+3.65*3.05+3.95*3.2+1.4*2.28+1.4*2.33+2.58*1.23+2.87*0.93+0.93*1.5+0.93*1)*10.764</f>
        <v>656.23264200000006</v>
      </c>
      <c r="E443" s="73">
        <f>(1.27*3.05+1.83*1.08)*10.764</f>
        <v>62.968323599999998</v>
      </c>
      <c r="F443" s="42">
        <f>D443+E443</f>
        <v>719.20096560000002</v>
      </c>
      <c r="G443" s="42">
        <v>0</v>
      </c>
      <c r="H443" s="42">
        <f>F443*(($H$200)+1)+(IF(G443&lt;101,G443,IF(G443&lt;201,G443/2,IF(G443&lt;=301,G443/3,G443/4))))</f>
        <v>1078.8014484</v>
      </c>
      <c r="I443" s="36"/>
      <c r="N443" s="36"/>
    </row>
    <row r="444" spans="1:14" s="37" customFormat="1" x14ac:dyDescent="0.3">
      <c r="A444" s="105" t="s">
        <v>354</v>
      </c>
      <c r="B444" s="105"/>
      <c r="C444" s="105"/>
      <c r="D444" s="105"/>
      <c r="E444" s="105"/>
      <c r="F444" s="105"/>
      <c r="G444" s="105"/>
      <c r="H444" s="105"/>
      <c r="I444" s="36"/>
      <c r="N444" s="36"/>
    </row>
    <row r="445" spans="1:14" s="37" customFormat="1" x14ac:dyDescent="0.3">
      <c r="A445" s="85">
        <v>1</v>
      </c>
      <c r="B445" s="85"/>
      <c r="C445" s="73" t="s">
        <v>321</v>
      </c>
      <c r="D445" s="73">
        <f>(3.35*6.18+3.05*2.45+3.05*3.98+3.43*4.28+3.93*3.55+1.53*2.53+1.53*2.53+1.53*2.45+1.23*3+0.98*3.55+3.35*0.93+1.63*1.73+2.45*0.3)*10.764</f>
        <v>1014.7879404000001</v>
      </c>
      <c r="E445" s="73">
        <f>(3*1.3+1.08*1.85)*10.764</f>
        <v>63.486072</v>
      </c>
      <c r="F445" s="42">
        <f>D445+E445</f>
        <v>1078.2740124000002</v>
      </c>
      <c r="G445" s="42">
        <v>0</v>
      </c>
      <c r="H445" s="42">
        <f>F445*(($H$200)+1)+(IF(G445&lt;101,G445,IF(G445&lt;201,G445/2,IF(G445&lt;=301,G445/3,G445/4))))</f>
        <v>1617.4110186000003</v>
      </c>
      <c r="I445" s="36"/>
      <c r="N445" s="36"/>
    </row>
    <row r="446" spans="1:14" s="37" customFormat="1" x14ac:dyDescent="0.3">
      <c r="A446" s="85">
        <f t="shared" ref="A446:A452" si="45">A445+1</f>
        <v>2</v>
      </c>
      <c r="B446" s="85"/>
      <c r="C446" s="73" t="s">
        <v>321</v>
      </c>
      <c r="D446" s="73">
        <f>(3.35*6.18+3.05*2.45+3.05*3.98+3.43*4.28+3.93*3.55+1.53*2.53+1.53*2.53+1.53*2.45+1.23*3+0.98*3.55+3.35*0.93+1.63*1.73+2.45*0.3)*10.764</f>
        <v>1014.7879404000001</v>
      </c>
      <c r="E446" s="73">
        <f>(3*1.3+1.08*1.85)*10.764</f>
        <v>63.486072</v>
      </c>
      <c r="F446" s="42">
        <f>D446+E446</f>
        <v>1078.2740124000002</v>
      </c>
      <c r="G446" s="42">
        <v>0</v>
      </c>
      <c r="H446" s="42">
        <f>F446*(($H$200)+1)+(IF(G446&lt;101,G446,IF(G446&lt;201,G446/2,IF(G446&lt;=301,G446/3,G446/4))))</f>
        <v>1617.4110186000003</v>
      </c>
      <c r="I446" s="36"/>
      <c r="N446" s="36"/>
    </row>
    <row r="447" spans="1:14" s="37" customFormat="1" x14ac:dyDescent="0.3">
      <c r="A447" s="85">
        <f t="shared" si="45"/>
        <v>3</v>
      </c>
      <c r="B447" s="85"/>
      <c r="C447" s="73" t="s">
        <v>336</v>
      </c>
      <c r="D447" s="73">
        <f>(3.25*5.48+2.13*2.75+3.05*3.65+3*0.48+3.2*3.48+2.28*1.38+2.28*1.38+2.58*1.23+0.78*3.23+1.48*0.93+1*0.93)*10.764</f>
        <v>663.794352</v>
      </c>
      <c r="E447" s="73">
        <f>(3.05*1.28+1.8*1.05)*10.764</f>
        <v>62.366616</v>
      </c>
      <c r="F447" s="42">
        <f>D447+E447</f>
        <v>726.16096800000003</v>
      </c>
      <c r="G447" s="42">
        <v>0</v>
      </c>
      <c r="H447" s="42">
        <f>F447*(($H$200)+1)+(IF(G447&lt;101,G447,IF(G447&lt;201,G447/2,IF(G447&lt;=301,G447/3,G447/4))))</f>
        <v>1089.241452</v>
      </c>
      <c r="I447" s="36"/>
      <c r="N447" s="36"/>
    </row>
    <row r="448" spans="1:14" s="37" customFormat="1" x14ac:dyDescent="0.3">
      <c r="A448" s="85">
        <f t="shared" si="45"/>
        <v>4</v>
      </c>
      <c r="B448" s="85"/>
      <c r="C448" s="73" t="s">
        <v>336</v>
      </c>
      <c r="D448" s="73">
        <f>(3.25*5.48+2.13*2.75+3.05*3.65+3*0.48+3.2*3.48+2.28*1.38+2.28*1.38+2.58*1.23+0.78*3.23+1.48*0.93+1*0.93)*10.764</f>
        <v>663.794352</v>
      </c>
      <c r="E448" s="73">
        <f>(3.05*1.28+1.8*1.05)*10.764</f>
        <v>62.366616</v>
      </c>
      <c r="F448" s="42">
        <f>D448+E448</f>
        <v>726.16096800000003</v>
      </c>
      <c r="G448" s="42">
        <v>0</v>
      </c>
      <c r="H448" s="42">
        <f>F448*(($H$200)+1)+(IF(G448&lt;101,G448,IF(G448&lt;201,G448/2,IF(G448&lt;=301,G448/3,G448/4))))</f>
        <v>1089.241452</v>
      </c>
      <c r="I448" s="36"/>
      <c r="N448" s="36"/>
    </row>
    <row r="449" spans="1:14" s="37" customFormat="1" x14ac:dyDescent="0.3">
      <c r="A449" s="85">
        <f t="shared" si="45"/>
        <v>5</v>
      </c>
      <c r="B449" s="85"/>
      <c r="C449" s="89" t="s">
        <v>324</v>
      </c>
      <c r="D449" s="90"/>
      <c r="E449" s="90"/>
      <c r="F449" s="90"/>
      <c r="G449" s="90"/>
      <c r="H449" s="91"/>
      <c r="I449" s="36"/>
      <c r="N449" s="36"/>
    </row>
    <row r="450" spans="1:14" s="37" customFormat="1" x14ac:dyDescent="0.3">
      <c r="A450" s="85">
        <f t="shared" si="45"/>
        <v>6</v>
      </c>
      <c r="B450" s="85"/>
      <c r="C450" s="92"/>
      <c r="D450" s="93"/>
      <c r="E450" s="93"/>
      <c r="F450" s="93"/>
      <c r="G450" s="93"/>
      <c r="H450" s="94"/>
      <c r="I450" s="36"/>
      <c r="N450" s="36"/>
    </row>
    <row r="451" spans="1:14" s="37" customFormat="1" x14ac:dyDescent="0.3">
      <c r="A451" s="85">
        <f t="shared" si="45"/>
        <v>7</v>
      </c>
      <c r="B451" s="85"/>
      <c r="C451" s="73" t="s">
        <v>336</v>
      </c>
      <c r="D451" s="73">
        <f>(5.48*3.05+2.2*2.75+3.65*3.08+3.95*3.2+1.4*2.28+1.4*2.33+2.58*1.23+2.87*0.93+0.93*1.5+0.93*0.8)*10.764</f>
        <v>657.48126600000001</v>
      </c>
      <c r="E451" s="73">
        <f>(1.27*3.05+1.91*1.07)*10.764</f>
        <v>63.692740799999989</v>
      </c>
      <c r="F451" s="42">
        <f>D451+E451</f>
        <v>721.17400680000003</v>
      </c>
      <c r="G451" s="42">
        <v>0</v>
      </c>
      <c r="H451" s="42">
        <f>F451*(($H$200)+1)+(IF(G451&lt;101,G451,IF(G451&lt;201,G451/2,IF(G451&lt;=301,G451/3,G451/4))))</f>
        <v>1081.7610102000001</v>
      </c>
      <c r="I451" s="65">
        <f>3</f>
        <v>3</v>
      </c>
      <c r="L451" s="84"/>
      <c r="M451" s="84"/>
    </row>
    <row r="452" spans="1:14" s="37" customFormat="1" x14ac:dyDescent="0.3">
      <c r="A452" s="85">
        <f t="shared" si="45"/>
        <v>8</v>
      </c>
      <c r="B452" s="85"/>
      <c r="C452" s="73" t="s">
        <v>336</v>
      </c>
      <c r="D452" s="73">
        <f>(5.48*3.05+2.2*2.75+3.65*3.08+3.95*3.2+1.4*2.28+1.4*2.33+2.58*1.23+2.87*0.93+0.93*1.5+0.93*0.8)*10.764</f>
        <v>657.48126600000001</v>
      </c>
      <c r="E452" s="73">
        <f>(1.27*3.05+1.91*1.07)*10.764</f>
        <v>63.692740799999989</v>
      </c>
      <c r="F452" s="42">
        <f>D452+E452</f>
        <v>721.17400680000003</v>
      </c>
      <c r="G452" s="42">
        <v>0</v>
      </c>
      <c r="H452" s="42">
        <f>F452*(($H$200)+1)+(IF(G452&lt;101,G452,IF(G452&lt;201,G452/2,IF(G452&lt;=301,G452/3,G452/4))))</f>
        <v>1081.7610102000001</v>
      </c>
      <c r="I452" s="36"/>
      <c r="N452" s="36"/>
    </row>
    <row r="453" spans="1:14" s="37" customFormat="1" x14ac:dyDescent="0.3">
      <c r="A453" s="106" t="s">
        <v>329</v>
      </c>
      <c r="B453" s="106"/>
      <c r="C453" s="106"/>
      <c r="D453" s="106"/>
      <c r="E453" s="106"/>
      <c r="F453" s="106"/>
      <c r="G453" s="106"/>
      <c r="H453" s="106"/>
      <c r="I453" s="36"/>
      <c r="N453" s="36"/>
    </row>
    <row r="454" spans="1:14" s="37" customFormat="1" x14ac:dyDescent="0.3">
      <c r="A454" s="85">
        <v>1</v>
      </c>
      <c r="B454" s="85"/>
      <c r="C454" s="73" t="s">
        <v>321</v>
      </c>
      <c r="D454" s="73">
        <f>(3.35*6.18+3.05*2.45+3.05*3.98+3.43*4.28+3.93*3.55+1.53*2.53+1.53*2.53+1.53*2.45+1.23*3+0.98*3.55+3.35*0.93+1.63*1.73+2.45*0.3)*10.764</f>
        <v>1014.7879404000001</v>
      </c>
      <c r="E454" s="73">
        <f>(3*1.3+1.08*1.85)*10.764</f>
        <v>63.486072</v>
      </c>
      <c r="F454" s="42">
        <f t="shared" ref="F454:F461" si="46">D454+E454</f>
        <v>1078.2740124000002</v>
      </c>
      <c r="G454" s="42">
        <v>0</v>
      </c>
      <c r="H454" s="42">
        <f t="shared" ref="H454:H461" si="47">F454*(($H$200)+1)+(IF(G454&lt;101,G454,IF(G454&lt;201,G454/2,IF(G454&lt;=301,G454/3,G454/4))))</f>
        <v>1617.4110186000003</v>
      </c>
      <c r="I454" s="36"/>
      <c r="N454" s="36"/>
    </row>
    <row r="455" spans="1:14" s="37" customFormat="1" x14ac:dyDescent="0.3">
      <c r="A455" s="85">
        <f t="shared" ref="A455:A461" si="48">A454+1</f>
        <v>2</v>
      </c>
      <c r="B455" s="85"/>
      <c r="C455" s="73" t="s">
        <v>321</v>
      </c>
      <c r="D455" s="73">
        <f>(3.35*6.18+3.05*2.45+3.05*3.98+3.43*4.28+3.93*3.55+1.53*2.53+1.53*2.53+1.53*2.45+1.23*3+0.98*3.55+3.35*0.93+1.63*1.73+2.45*0.3)*10.764</f>
        <v>1014.7879404000001</v>
      </c>
      <c r="E455" s="73">
        <f>(3*1.3+1.08*1.85)*10.764</f>
        <v>63.486072</v>
      </c>
      <c r="F455" s="42">
        <f t="shared" si="46"/>
        <v>1078.2740124000002</v>
      </c>
      <c r="G455" s="42">
        <v>0</v>
      </c>
      <c r="H455" s="42">
        <f t="shared" si="47"/>
        <v>1617.4110186000003</v>
      </c>
      <c r="I455" s="36"/>
      <c r="N455" s="36"/>
    </row>
    <row r="456" spans="1:14" s="37" customFormat="1" x14ac:dyDescent="0.3">
      <c r="A456" s="85">
        <f t="shared" si="48"/>
        <v>3</v>
      </c>
      <c r="B456" s="85"/>
      <c r="C456" s="73" t="s">
        <v>336</v>
      </c>
      <c r="D456" s="73">
        <f>(3.25*5.48+2.2*2.75+3.05*3.65+3*0.48+3.2*3.48+2.28*1.38+2.28*1.38+2.58*1.23+0.78*3.23+1.48*0.93+1*0.93)*10.764</f>
        <v>665.86642199999994</v>
      </c>
      <c r="E456" s="73">
        <f>(3.05*1.28+1.8*1.05)*10.764</f>
        <v>62.366616</v>
      </c>
      <c r="F456" s="42">
        <f t="shared" si="46"/>
        <v>728.23303799999996</v>
      </c>
      <c r="G456" s="42">
        <v>0</v>
      </c>
      <c r="H456" s="42">
        <f t="shared" si="47"/>
        <v>1092.349557</v>
      </c>
      <c r="I456" s="36"/>
      <c r="N456" s="36"/>
    </row>
    <row r="457" spans="1:14" s="37" customFormat="1" x14ac:dyDescent="0.3">
      <c r="A457" s="85">
        <f t="shared" si="48"/>
        <v>4</v>
      </c>
      <c r="B457" s="85"/>
      <c r="C457" s="73" t="s">
        <v>336</v>
      </c>
      <c r="D457" s="73">
        <f>(3.25*5.48+2.2*2.75+3.05*3.65+3*0.48+3.2*3.48+2.28*1.38+2.28*1.38+2.58*1.23+0.78*3.23+1.48*0.93+1*0.93)*10.764</f>
        <v>665.86642199999994</v>
      </c>
      <c r="E457" s="73">
        <f>(3.05*1.28+1.8*1.05)*10.764</f>
        <v>62.366616</v>
      </c>
      <c r="F457" s="42">
        <f t="shared" si="46"/>
        <v>728.23303799999996</v>
      </c>
      <c r="G457" s="42">
        <v>0</v>
      </c>
      <c r="H457" s="42">
        <f t="shared" si="47"/>
        <v>1092.349557</v>
      </c>
      <c r="I457" s="36"/>
      <c r="N457" s="36"/>
    </row>
    <row r="458" spans="1:14" s="37" customFormat="1" x14ac:dyDescent="0.3">
      <c r="A458" s="85">
        <f t="shared" si="48"/>
        <v>5</v>
      </c>
      <c r="B458" s="85"/>
      <c r="C458" s="73" t="s">
        <v>321</v>
      </c>
      <c r="D458" s="73">
        <f>(3.35*6.18+3.05*2.45+3.1*3.98+3.35*4.28+4.13*3.55+1.53*2.53+1.53*2.53+1.6*2.45+1.23*3+0.98*3.55+3.43*0.93+2.45*0.3)*10.764</f>
        <v>993.18028680000009</v>
      </c>
      <c r="E458" s="73">
        <f>(3.35*1.3+1.08*1.85)*10.764</f>
        <v>68.383691999999996</v>
      </c>
      <c r="F458" s="42">
        <f t="shared" si="46"/>
        <v>1061.5639788000001</v>
      </c>
      <c r="G458" s="42">
        <v>0</v>
      </c>
      <c r="H458" s="42">
        <f t="shared" si="47"/>
        <v>1592.3459682000002</v>
      </c>
      <c r="I458" s="36"/>
      <c r="N458" s="36"/>
    </row>
    <row r="459" spans="1:14" s="37" customFormat="1" x14ac:dyDescent="0.3">
      <c r="A459" s="85">
        <f t="shared" si="48"/>
        <v>6</v>
      </c>
      <c r="B459" s="85"/>
      <c r="C459" s="73" t="s">
        <v>321</v>
      </c>
      <c r="D459" s="73">
        <f>(3.35*6.18+3.05*2.45+3.1*3.98+3.35*4.28+4.13*3.55+1.53*2.53+1.53*2.53+1.6*2.45+1.23*3+0.98*3.55+3.43*0.93+2.45*0.3)*10.764</f>
        <v>993.18028680000009</v>
      </c>
      <c r="E459" s="73">
        <f>(3.35*1.3+1.08*1.85)*10.764</f>
        <v>68.383691999999996</v>
      </c>
      <c r="F459" s="42">
        <f t="shared" si="46"/>
        <v>1061.5639788000001</v>
      </c>
      <c r="G459" s="42">
        <v>0</v>
      </c>
      <c r="H459" s="42">
        <f t="shared" si="47"/>
        <v>1592.3459682000002</v>
      </c>
      <c r="I459" s="36"/>
      <c r="N459" s="36"/>
    </row>
    <row r="460" spans="1:14" s="37" customFormat="1" x14ac:dyDescent="0.3">
      <c r="A460" s="85">
        <f t="shared" si="48"/>
        <v>7</v>
      </c>
      <c r="B460" s="85"/>
      <c r="C460" s="73" t="s">
        <v>336</v>
      </c>
      <c r="D460" s="73">
        <f>(5.48*3.05+2.2*2.75+3.65*3.08+3.95*3.2+1.4*2.28+1.4*2.33+2.58*1.23+2.87*0.93+0.93*1.5+0.93*0.8)*10.764</f>
        <v>657.48126600000001</v>
      </c>
      <c r="E460" s="73">
        <f>(1.27*3.05+1.91*1.07)*10.764</f>
        <v>63.692740799999989</v>
      </c>
      <c r="F460" s="42">
        <f t="shared" si="46"/>
        <v>721.17400680000003</v>
      </c>
      <c r="G460" s="42">
        <v>0</v>
      </c>
      <c r="H460" s="42">
        <f t="shared" si="47"/>
        <v>1081.7610102000001</v>
      </c>
      <c r="I460" s="65">
        <f>1</f>
        <v>1</v>
      </c>
      <c r="L460" s="84"/>
      <c r="M460" s="84"/>
    </row>
    <row r="461" spans="1:14" s="37" customFormat="1" x14ac:dyDescent="0.3">
      <c r="A461" s="85">
        <f t="shared" si="48"/>
        <v>8</v>
      </c>
      <c r="B461" s="85"/>
      <c r="C461" s="73" t="s">
        <v>336</v>
      </c>
      <c r="D461" s="73">
        <f>(5.48*3.05+2.2*2.75+3.65*3.08+3.95*3.2+1.4*2.28+1.4*2.33+2.58*1.23+2.87*0.93+0.93*1.5+0.93*0.8)*10.764</f>
        <v>657.48126600000001</v>
      </c>
      <c r="E461" s="73">
        <f>(1.27*3.05+1.91*1.07)*10.764</f>
        <v>63.692740799999989</v>
      </c>
      <c r="F461" s="42">
        <f t="shared" si="46"/>
        <v>721.17400680000003</v>
      </c>
      <c r="G461" s="42">
        <v>0</v>
      </c>
      <c r="H461" s="42">
        <f t="shared" si="47"/>
        <v>1081.7610102000001</v>
      </c>
      <c r="I461" s="36"/>
      <c r="N461" s="36"/>
    </row>
    <row r="462" spans="1:14" s="37" customFormat="1" x14ac:dyDescent="0.3">
      <c r="A462" s="106" t="s">
        <v>330</v>
      </c>
      <c r="B462" s="106"/>
      <c r="C462" s="106"/>
      <c r="D462" s="106"/>
      <c r="E462" s="106"/>
      <c r="F462" s="106"/>
      <c r="G462" s="106"/>
      <c r="H462" s="106"/>
      <c r="I462" s="36"/>
      <c r="N462" s="36"/>
    </row>
    <row r="463" spans="1:14" s="37" customFormat="1" x14ac:dyDescent="0.3">
      <c r="A463" s="85">
        <v>1</v>
      </c>
      <c r="B463" s="85"/>
      <c r="C463" s="73" t="s">
        <v>321</v>
      </c>
      <c r="D463" s="73">
        <f>(3.35*6.4+3.05*2.45+3.05*3.98+3.43*4.28+3.93*3.55+1.53*2.45+1.53*2.53+1.53*2.53+1.23*2.77+0.98*3.55+3.35*0.93+1.68*1.73+2.45*0.23)*10.764</f>
        <v>1018.7609328000003</v>
      </c>
      <c r="E463" s="73">
        <f>(3*1.3+1.08*1.85)*10.764</f>
        <v>63.486072</v>
      </c>
      <c r="F463" s="42">
        <f t="shared" ref="F463:F470" si="49">D463+E463</f>
        <v>1082.2470048000002</v>
      </c>
      <c r="G463" s="42">
        <v>0</v>
      </c>
      <c r="H463" s="42">
        <f t="shared" ref="H463:H470" si="50">F463*(($H$200)+1)+(IF(G463&lt;101,G463,IF(G463&lt;201,G463/2,IF(G463&lt;=301,G463/3,G463/4))))</f>
        <v>1623.3705072000002</v>
      </c>
      <c r="I463" s="36"/>
      <c r="N463" s="36"/>
    </row>
    <row r="464" spans="1:14" s="37" customFormat="1" x14ac:dyDescent="0.3">
      <c r="A464" s="85">
        <f t="shared" ref="A464:A470" si="51">A463+1</f>
        <v>2</v>
      </c>
      <c r="B464" s="85"/>
      <c r="C464" s="73" t="s">
        <v>321</v>
      </c>
      <c r="D464" s="73">
        <f>(3.35*6.4+3.05*2.45+3.05*3.98+3.43*4.28+3.93*3.55+1.53*2.45+1.53*2.53+1.53*2.53+1.23*2.77+0.98*3.55+3.35*0.93+1.68*1.73+2.45*0.23)*10.764</f>
        <v>1018.7609328000003</v>
      </c>
      <c r="E464" s="73">
        <f>(3*1.3+1.08*1.85)*10.764</f>
        <v>63.486072</v>
      </c>
      <c r="F464" s="42">
        <f t="shared" si="49"/>
        <v>1082.2470048000002</v>
      </c>
      <c r="G464" s="42">
        <v>0</v>
      </c>
      <c r="H464" s="42">
        <f t="shared" si="50"/>
        <v>1623.3705072000002</v>
      </c>
      <c r="I464" s="36"/>
      <c r="N464" s="36"/>
    </row>
    <row r="465" spans="1:20" s="37" customFormat="1" x14ac:dyDescent="0.3">
      <c r="A465" s="85">
        <f t="shared" si="51"/>
        <v>3</v>
      </c>
      <c r="B465" s="85"/>
      <c r="C465" s="73" t="s">
        <v>336</v>
      </c>
      <c r="D465" s="73">
        <f>(3.25*5.48+2.2*2.75+3.05*3.65+3*0.48+3.2*3.48+2.28*1.38+2.28*1.38+2.58*1.23+0.78*3.23+1.48*0.93+1*0.93)*10.764</f>
        <v>665.86642199999994</v>
      </c>
      <c r="E465" s="73">
        <f>(3.05*1.28+1.8*1.05)*10.764</f>
        <v>62.366616</v>
      </c>
      <c r="F465" s="42">
        <f t="shared" si="49"/>
        <v>728.23303799999996</v>
      </c>
      <c r="G465" s="42">
        <v>0</v>
      </c>
      <c r="H465" s="42">
        <f t="shared" si="50"/>
        <v>1092.349557</v>
      </c>
      <c r="I465" s="36"/>
      <c r="N465" s="36"/>
    </row>
    <row r="466" spans="1:20" s="37" customFormat="1" x14ac:dyDescent="0.3">
      <c r="A466" s="85">
        <f t="shared" si="51"/>
        <v>4</v>
      </c>
      <c r="B466" s="85"/>
      <c r="C466" s="73" t="s">
        <v>336</v>
      </c>
      <c r="D466" s="73">
        <f>(3.25*5.48+2.2*2.75+3.05*3.65+3*0.48+3.2*3.48+2.28*1.38+2.28*1.38+2.58*1.23+0.78*3.23+1.48*0.93+1*0.93)*10.764</f>
        <v>665.86642199999994</v>
      </c>
      <c r="E466" s="73">
        <f>(3.05*1.28+1.8*1.05)*10.764</f>
        <v>62.366616</v>
      </c>
      <c r="F466" s="42">
        <f t="shared" si="49"/>
        <v>728.23303799999996</v>
      </c>
      <c r="G466" s="42">
        <v>0</v>
      </c>
      <c r="H466" s="42">
        <f t="shared" si="50"/>
        <v>1092.349557</v>
      </c>
      <c r="I466" s="36"/>
      <c r="N466" s="36"/>
    </row>
    <row r="467" spans="1:20" s="37" customFormat="1" x14ac:dyDescent="0.3">
      <c r="A467" s="85">
        <f t="shared" si="51"/>
        <v>5</v>
      </c>
      <c r="B467" s="85"/>
      <c r="C467" s="73" t="s">
        <v>321</v>
      </c>
      <c r="D467" s="73">
        <f>(3.35*6.4+3.05*2.45+3.1*3.98+3.35*4.28+4.13*3.55+1.53*2.53+1.53*2.53+1.6*2.45+1.23*2.77+0.98*3.55+3.43*0.93+2.45*0.23)*10.764</f>
        <v>996.22219320000011</v>
      </c>
      <c r="E467" s="73">
        <f>(3.35*1.3+1.08*1.85)*10.764</f>
        <v>68.383691999999996</v>
      </c>
      <c r="F467" s="42">
        <f t="shared" si="49"/>
        <v>1064.6058852000001</v>
      </c>
      <c r="G467" s="42">
        <v>0</v>
      </c>
      <c r="H467" s="42">
        <f t="shared" si="50"/>
        <v>1596.9088278000002</v>
      </c>
      <c r="I467" s="36"/>
      <c r="N467" s="36"/>
    </row>
    <row r="468" spans="1:20" s="37" customFormat="1" x14ac:dyDescent="0.3">
      <c r="A468" s="85">
        <f t="shared" si="51"/>
        <v>6</v>
      </c>
      <c r="B468" s="85"/>
      <c r="C468" s="73" t="s">
        <v>321</v>
      </c>
      <c r="D468" s="73">
        <f>(3.35*6.4+3.05*2.45+3.1*3.98+3.35*4.28+4.13*3.55+1.53*2.53+1.53*2.53+1.6*2.45+1.23*2.77+0.98*3.55+3.43*0.93+2.45*0.23)*10.764</f>
        <v>996.22219320000011</v>
      </c>
      <c r="E468" s="73">
        <f>(3.35*1.3+1.08*1.85)*10.764</f>
        <v>68.383691999999996</v>
      </c>
      <c r="F468" s="42">
        <f t="shared" si="49"/>
        <v>1064.6058852000001</v>
      </c>
      <c r="G468" s="42">
        <v>0</v>
      </c>
      <c r="H468" s="42">
        <f t="shared" si="50"/>
        <v>1596.9088278000002</v>
      </c>
      <c r="I468" s="36"/>
      <c r="N468" s="36"/>
    </row>
    <row r="469" spans="1:20" s="37" customFormat="1" x14ac:dyDescent="0.3">
      <c r="A469" s="85">
        <f t="shared" si="51"/>
        <v>7</v>
      </c>
      <c r="B469" s="85"/>
      <c r="C469" s="73" t="s">
        <v>336</v>
      </c>
      <c r="D469" s="73">
        <f>(5.48*3.05+2.2*2.75+3.65*3.08+3.95*3.2+1.4*2.28+1.4*2.33+2.58*1.23+2.87*0.93+0.93*1.7+0.93*0.8)*10.764</f>
        <v>659.48337000000004</v>
      </c>
      <c r="E469" s="73">
        <f>(1.27*3.05+1.91*1.07)*10.764</f>
        <v>63.692740799999989</v>
      </c>
      <c r="F469" s="42">
        <f t="shared" si="49"/>
        <v>723.17611080000006</v>
      </c>
      <c r="G469" s="42">
        <v>0</v>
      </c>
      <c r="H469" s="42">
        <f t="shared" si="50"/>
        <v>1084.7641662000001</v>
      </c>
      <c r="J469" s="36"/>
    </row>
    <row r="470" spans="1:20" s="37" customFormat="1" x14ac:dyDescent="0.3">
      <c r="A470" s="85">
        <f t="shared" si="51"/>
        <v>8</v>
      </c>
      <c r="B470" s="85"/>
      <c r="C470" s="73" t="s">
        <v>336</v>
      </c>
      <c r="D470" s="73">
        <f>(5.48*3.05+2.2*2.75+3.65*3.08+3.95*3.2+1.4*2.28+1.4*2.33+2.58*1.23+2.87*0.93+0.93*1.7+0.93*0.8)*10.764</f>
        <v>659.48337000000004</v>
      </c>
      <c r="E470" s="73">
        <f>(1.27*3.05+1.91*1.07)*10.764</f>
        <v>63.692740799999989</v>
      </c>
      <c r="F470" s="42">
        <f t="shared" si="49"/>
        <v>723.17611080000006</v>
      </c>
      <c r="G470" s="42">
        <v>0</v>
      </c>
      <c r="H470" s="42">
        <f t="shared" si="50"/>
        <v>1084.7641662000001</v>
      </c>
      <c r="J470" s="36"/>
    </row>
    <row r="471" spans="1:20" s="37" customFormat="1" x14ac:dyDescent="0.3">
      <c r="A471" s="106" t="s">
        <v>331</v>
      </c>
      <c r="B471" s="106"/>
      <c r="C471" s="106"/>
      <c r="D471" s="106"/>
      <c r="E471" s="106"/>
      <c r="F471" s="106"/>
      <c r="G471" s="106"/>
      <c r="H471" s="106"/>
      <c r="J471" s="36"/>
    </row>
    <row r="472" spans="1:20" s="37" customFormat="1" x14ac:dyDescent="0.3">
      <c r="A472" s="85">
        <v>1</v>
      </c>
      <c r="B472" s="85"/>
      <c r="C472" s="73" t="s">
        <v>321</v>
      </c>
      <c r="D472" s="73">
        <f>(3.35*6.4+3.05*2.45+3.05*3.98+3.43*4.28+3.93*3.55+1.53*2.45+1.53*2.53+1.53*2.53+1.23*2.77+0.98*3.55+3.35*0.93+1.68*1.73+2.45*0.23)*10.764</f>
        <v>1018.7609328000003</v>
      </c>
      <c r="E472" s="73">
        <f>(3*1.3+1.08*1.85)*10.764</f>
        <v>63.486072</v>
      </c>
      <c r="F472" s="42">
        <f t="shared" ref="F472:F479" si="52">D472+E472</f>
        <v>1082.2470048000002</v>
      </c>
      <c r="G472" s="42">
        <v>0</v>
      </c>
      <c r="H472" s="42">
        <f t="shared" ref="H472:H479" si="53">F472*(($H$200)+1)+(IF(G472&lt;101,G472,IF(G472&lt;201,G472/2,IF(G472&lt;=301,G472/3,G472/4))))</f>
        <v>1623.3705072000002</v>
      </c>
      <c r="I472" s="37">
        <v>1</v>
      </c>
      <c r="J472" s="36"/>
    </row>
    <row r="473" spans="1:20" s="37" customFormat="1" ht="15.75" customHeight="1" x14ac:dyDescent="0.3">
      <c r="A473" s="85">
        <f t="shared" ref="A473:A479" si="54">A472+1</f>
        <v>2</v>
      </c>
      <c r="B473" s="85"/>
      <c r="C473" s="73" t="s">
        <v>321</v>
      </c>
      <c r="D473" s="73">
        <f>(3.35*6.4+3.05*2.45+3.05*3.98+3.43*4.28+3.93*3.55+1.53*2.45+1.53*2.53+1.53*2.53+1.23*2.77+0.98*3.55+3.35*0.93+1.68*1.73+2.45*0.23)*10.764</f>
        <v>1018.7609328000003</v>
      </c>
      <c r="E473" s="73">
        <f>(3*1.3+1.08*1.85)*10.764</f>
        <v>63.486072</v>
      </c>
      <c r="F473" s="42">
        <f t="shared" si="52"/>
        <v>1082.2470048000002</v>
      </c>
      <c r="G473" s="42">
        <v>0</v>
      </c>
      <c r="H473" s="42">
        <f t="shared" si="53"/>
        <v>1623.3705072000002</v>
      </c>
      <c r="I473" s="36"/>
      <c r="L473" s="84"/>
      <c r="M473" s="84"/>
      <c r="N473" s="36"/>
      <c r="T473" s="21"/>
    </row>
    <row r="474" spans="1:20" s="37" customFormat="1" ht="15.75" customHeight="1" x14ac:dyDescent="0.3">
      <c r="A474" s="85">
        <f t="shared" si="54"/>
        <v>3</v>
      </c>
      <c r="B474" s="85"/>
      <c r="C474" s="73" t="s">
        <v>336</v>
      </c>
      <c r="D474" s="73">
        <f>(3.25*5.48+2.2*2.75+3.05*3.65+3*0.48+3.2*3.48+2.28*1.38+2.28*1.38+2.58*1.23+0.78*3.23+1.48*0.93+1*0.93)*10.764</f>
        <v>665.86642199999994</v>
      </c>
      <c r="E474" s="73">
        <f>(3.05*1.28+1.8*1.05)*10.764</f>
        <v>62.366616</v>
      </c>
      <c r="F474" s="42">
        <f t="shared" si="52"/>
        <v>728.23303799999996</v>
      </c>
      <c r="G474" s="42">
        <v>0</v>
      </c>
      <c r="H474" s="42">
        <f t="shared" si="53"/>
        <v>1092.349557</v>
      </c>
      <c r="I474" s="36"/>
      <c r="L474" s="84"/>
      <c r="M474" s="84"/>
      <c r="N474" s="36"/>
    </row>
    <row r="475" spans="1:20" s="37" customFormat="1" ht="15.75" customHeight="1" x14ac:dyDescent="0.3">
      <c r="A475" s="85">
        <f t="shared" si="54"/>
        <v>4</v>
      </c>
      <c r="B475" s="85"/>
      <c r="C475" s="73" t="s">
        <v>336</v>
      </c>
      <c r="D475" s="73">
        <f>(3.25*5.48+2.2*2.75+3.05*3.65+3*0.48+3.2*3.48+2.28*1.38+2.28*1.38+2.58*1.23+0.78*3.23+1.48*0.93+1*0.93)*10.764</f>
        <v>665.86642199999994</v>
      </c>
      <c r="E475" s="73">
        <f>(3.05*1.28+1.8*1.05)*10.764</f>
        <v>62.366616</v>
      </c>
      <c r="F475" s="42">
        <f t="shared" si="52"/>
        <v>728.23303799999996</v>
      </c>
      <c r="G475" s="42">
        <v>0</v>
      </c>
      <c r="H475" s="42">
        <f t="shared" si="53"/>
        <v>1092.349557</v>
      </c>
      <c r="I475" s="36"/>
      <c r="L475" s="84"/>
      <c r="M475" s="84"/>
      <c r="N475" s="36"/>
    </row>
    <row r="476" spans="1:20" s="37" customFormat="1" ht="15.75" customHeight="1" x14ac:dyDescent="0.3">
      <c r="A476" s="85">
        <f t="shared" si="54"/>
        <v>5</v>
      </c>
      <c r="B476" s="85"/>
      <c r="C476" s="82" t="s">
        <v>324</v>
      </c>
      <c r="D476" s="95"/>
      <c r="E476" s="95"/>
      <c r="F476" s="95"/>
      <c r="G476" s="95"/>
      <c r="H476" s="83"/>
      <c r="I476" s="36"/>
      <c r="L476" s="84"/>
      <c r="M476" s="84"/>
      <c r="N476" s="36"/>
    </row>
    <row r="477" spans="1:20" s="37" customFormat="1" ht="15.75" customHeight="1" x14ac:dyDescent="0.3">
      <c r="A477" s="85">
        <f t="shared" si="54"/>
        <v>6</v>
      </c>
      <c r="B477" s="85"/>
      <c r="C477" s="73" t="s">
        <v>321</v>
      </c>
      <c r="D477" s="73">
        <f>(3.35*6.4+3.05*2.45+3.1*3.98+3.35*4.28+4.13*3.55+1.53*2.53+1.53*2.53+1.6*2.45+1.23*2.77+0.98*3.55+3.43*0.93+2.45*0.23)*10.764</f>
        <v>996.22219320000011</v>
      </c>
      <c r="E477" s="73">
        <f>(3.35*1.3+1.08*1.85)*10.764</f>
        <v>68.383691999999996</v>
      </c>
      <c r="F477" s="42">
        <f t="shared" si="52"/>
        <v>1064.6058852000001</v>
      </c>
      <c r="G477" s="42">
        <v>0</v>
      </c>
      <c r="H477" s="42">
        <f t="shared" si="53"/>
        <v>1596.9088278000002</v>
      </c>
      <c r="I477" s="36"/>
      <c r="L477" s="84"/>
      <c r="M477" s="84"/>
      <c r="N477" s="36"/>
    </row>
    <row r="478" spans="1:20" s="37" customFormat="1" ht="15.75" customHeight="1" x14ac:dyDescent="0.3">
      <c r="A478" s="85">
        <f t="shared" si="54"/>
        <v>7</v>
      </c>
      <c r="B478" s="85"/>
      <c r="C478" s="73" t="s">
        <v>336</v>
      </c>
      <c r="D478" s="73">
        <f>(5.48*3.05+2.2*2.75+3.65*3.08+3.95*3.2+1.4*2.28+1.4*2.33+2.58*1.23+2.87*0.93+0.93*1.7+0.93*0.8)*10.764</f>
        <v>659.48337000000004</v>
      </c>
      <c r="E478" s="73">
        <f>(1.27*3.05+1.91*1.07)*10.764</f>
        <v>63.692740799999989</v>
      </c>
      <c r="F478" s="42">
        <f t="shared" si="52"/>
        <v>723.17611080000006</v>
      </c>
      <c r="G478" s="42">
        <v>0</v>
      </c>
      <c r="H478" s="42">
        <f t="shared" si="53"/>
        <v>1084.7641662000001</v>
      </c>
      <c r="I478" s="36"/>
      <c r="L478" s="84"/>
      <c r="M478" s="84"/>
      <c r="N478" s="36"/>
    </row>
    <row r="479" spans="1:20" s="37" customFormat="1" ht="15.75" customHeight="1" x14ac:dyDescent="0.3">
      <c r="A479" s="85">
        <f t="shared" si="54"/>
        <v>8</v>
      </c>
      <c r="B479" s="85"/>
      <c r="C479" s="73" t="s">
        <v>336</v>
      </c>
      <c r="D479" s="73">
        <f>(5.48*3.05+2.2*2.75+3.65*3.08+3.95*3.2+1.4*2.28+1.4*2.33+2.58*1.23+2.87*0.93+0.93*1.7+0.93*0.8)*10.764</f>
        <v>659.48337000000004</v>
      </c>
      <c r="E479" s="73">
        <f>(1.27*3.05+1.91*1.07)*10.764</f>
        <v>63.692740799999989</v>
      </c>
      <c r="F479" s="42">
        <f t="shared" si="52"/>
        <v>723.17611080000006</v>
      </c>
      <c r="G479" s="42">
        <v>0</v>
      </c>
      <c r="H479" s="42">
        <f t="shared" si="53"/>
        <v>1084.7641662000001</v>
      </c>
      <c r="I479" s="36"/>
      <c r="L479" s="84"/>
      <c r="M479" s="84"/>
      <c r="N479" s="36"/>
    </row>
    <row r="480" spans="1:20" s="37" customFormat="1" ht="15.75" customHeight="1" x14ac:dyDescent="0.3">
      <c r="A480" s="233" t="s">
        <v>338</v>
      </c>
      <c r="B480" s="234"/>
      <c r="C480" s="234"/>
      <c r="D480" s="234"/>
      <c r="E480" s="234"/>
      <c r="F480" s="234"/>
      <c r="G480" s="234"/>
      <c r="H480" s="235"/>
      <c r="I480" s="36"/>
      <c r="L480" s="84"/>
      <c r="M480" s="84"/>
      <c r="N480" s="36"/>
    </row>
    <row r="481" spans="1:20" s="37" customFormat="1" x14ac:dyDescent="0.3">
      <c r="A481" s="79" t="s">
        <v>316</v>
      </c>
      <c r="B481" s="80"/>
      <c r="C481" s="80"/>
      <c r="D481" s="80"/>
      <c r="E481" s="80"/>
      <c r="F481" s="80"/>
      <c r="G481" s="80"/>
      <c r="H481" s="81"/>
      <c r="I481" s="64">
        <f>6</f>
        <v>6</v>
      </c>
      <c r="J481" s="36"/>
    </row>
    <row r="482" spans="1:20" s="37" customFormat="1" ht="15.75" customHeight="1" x14ac:dyDescent="0.3">
      <c r="A482" s="79" t="s">
        <v>333</v>
      </c>
      <c r="B482" s="80"/>
      <c r="C482" s="80"/>
      <c r="D482" s="80"/>
      <c r="E482" s="80"/>
      <c r="F482" s="80"/>
      <c r="G482" s="80"/>
      <c r="H482" s="81"/>
      <c r="I482" s="36"/>
      <c r="L482" s="84"/>
      <c r="M482" s="84"/>
      <c r="N482" s="36"/>
      <c r="T482" s="21"/>
    </row>
    <row r="483" spans="1:20" s="37" customFormat="1" ht="15.75" customHeight="1" x14ac:dyDescent="0.3">
      <c r="A483" s="79" t="s">
        <v>334</v>
      </c>
      <c r="B483" s="80"/>
      <c r="C483" s="80"/>
      <c r="D483" s="80"/>
      <c r="E483" s="80"/>
      <c r="F483" s="80"/>
      <c r="G483" s="80"/>
      <c r="H483" s="81"/>
      <c r="I483" s="36"/>
      <c r="L483" s="84"/>
      <c r="M483" s="84"/>
      <c r="N483" s="36"/>
    </row>
    <row r="484" spans="1:20" s="37" customFormat="1" ht="15.75" customHeight="1" x14ac:dyDescent="0.3">
      <c r="A484" s="82">
        <v>1</v>
      </c>
      <c r="B484" s="83"/>
      <c r="C484" s="227" t="s">
        <v>319</v>
      </c>
      <c r="D484" s="228"/>
      <c r="E484" s="228"/>
      <c r="F484" s="228"/>
      <c r="G484" s="228"/>
      <c r="H484" s="229"/>
      <c r="I484" s="36"/>
      <c r="L484" s="84"/>
      <c r="M484" s="84"/>
      <c r="N484" s="36"/>
    </row>
    <row r="485" spans="1:20" s="37" customFormat="1" ht="15.75" customHeight="1" x14ac:dyDescent="0.3">
      <c r="A485" s="82">
        <f t="shared" ref="A485:A491" si="55">A484+1</f>
        <v>2</v>
      </c>
      <c r="B485" s="83"/>
      <c r="C485" s="236"/>
      <c r="D485" s="237"/>
      <c r="E485" s="237"/>
      <c r="F485" s="237"/>
      <c r="G485" s="237"/>
      <c r="H485" s="238"/>
      <c r="I485" s="36"/>
      <c r="L485" s="84"/>
      <c r="M485" s="84"/>
      <c r="N485" s="36"/>
    </row>
    <row r="486" spans="1:20" s="37" customFormat="1" ht="15.75" customHeight="1" x14ac:dyDescent="0.3">
      <c r="A486" s="82">
        <f t="shared" si="55"/>
        <v>3</v>
      </c>
      <c r="B486" s="83"/>
      <c r="C486" s="230"/>
      <c r="D486" s="231"/>
      <c r="E486" s="231"/>
      <c r="F486" s="231"/>
      <c r="G486" s="231"/>
      <c r="H486" s="232"/>
      <c r="I486" s="36"/>
      <c r="L486" s="84"/>
      <c r="M486" s="84"/>
      <c r="N486" s="36"/>
    </row>
    <row r="487" spans="1:20" s="37" customFormat="1" ht="15.75" customHeight="1" x14ac:dyDescent="0.3">
      <c r="A487" s="82">
        <f t="shared" si="55"/>
        <v>4</v>
      </c>
      <c r="B487" s="83"/>
      <c r="C487" s="42" t="s">
        <v>336</v>
      </c>
      <c r="D487" s="42">
        <f>(3.2*5.65+2.28*3.05+3.05*3.65+3.2*3.33+3*0.95+2.45*1.53+2.5*1.53+2.73*1.23+0.98*3.28+1.1*1.02+1.08*1.02)*10.764</f>
        <v>710.87501160000011</v>
      </c>
      <c r="E487" s="42">
        <f>(2.95*1.22+1.85*1.08)*10.764</f>
        <v>60.246108</v>
      </c>
      <c r="F487" s="42">
        <f>D487+E487</f>
        <v>771.12111960000016</v>
      </c>
      <c r="G487" s="42">
        <v>0</v>
      </c>
      <c r="H487" s="42">
        <f>F487*(($H$200)+1)+(IF(G487&lt;101,G487,IF(G487&lt;201,G487/2,IF(G487&lt;=301,G487/3,G487/4))))</f>
        <v>1156.6816794000001</v>
      </c>
      <c r="I487" s="36"/>
      <c r="L487" s="84"/>
      <c r="M487" s="84"/>
      <c r="N487" s="36"/>
    </row>
    <row r="488" spans="1:20" s="37" customFormat="1" ht="15.75" customHeight="1" x14ac:dyDescent="0.3">
      <c r="A488" s="82">
        <f t="shared" si="55"/>
        <v>5</v>
      </c>
      <c r="B488" s="83"/>
      <c r="C488" s="85" t="s">
        <v>337</v>
      </c>
      <c r="D488" s="85"/>
      <c r="E488" s="85"/>
      <c r="F488" s="85"/>
      <c r="G488" s="85"/>
      <c r="H488" s="85"/>
      <c r="I488" s="36"/>
      <c r="L488" s="84"/>
      <c r="M488" s="84"/>
      <c r="N488" s="36"/>
    </row>
    <row r="489" spans="1:20" s="37" customFormat="1" ht="15.75" customHeight="1" x14ac:dyDescent="0.3">
      <c r="A489" s="82">
        <f t="shared" si="55"/>
        <v>6</v>
      </c>
      <c r="B489" s="83"/>
      <c r="C489" s="85"/>
      <c r="D489" s="85"/>
      <c r="E489" s="85"/>
      <c r="F489" s="85"/>
      <c r="G489" s="85"/>
      <c r="H489" s="85"/>
      <c r="I489" s="36"/>
      <c r="L489" s="84"/>
      <c r="M489" s="84"/>
      <c r="N489" s="36"/>
    </row>
    <row r="490" spans="1:20" s="37" customFormat="1" ht="15.75" customHeight="1" x14ac:dyDescent="0.3">
      <c r="A490" s="82">
        <f t="shared" si="55"/>
        <v>7</v>
      </c>
      <c r="B490" s="83"/>
      <c r="C490" s="89" t="s">
        <v>319</v>
      </c>
      <c r="D490" s="90"/>
      <c r="E490" s="90"/>
      <c r="F490" s="90"/>
      <c r="G490" s="90"/>
      <c r="H490" s="91"/>
      <c r="I490" s="64">
        <v>1</v>
      </c>
      <c r="J490" s="36"/>
    </row>
    <row r="491" spans="1:20" s="37" customFormat="1" ht="15.75" customHeight="1" x14ac:dyDescent="0.3">
      <c r="A491" s="82">
        <f t="shared" si="55"/>
        <v>8</v>
      </c>
      <c r="B491" s="83"/>
      <c r="C491" s="92"/>
      <c r="D491" s="93"/>
      <c r="E491" s="93"/>
      <c r="F491" s="93"/>
      <c r="G491" s="93"/>
      <c r="H491" s="94"/>
      <c r="I491" s="36"/>
      <c r="L491" s="84"/>
      <c r="M491" s="84"/>
      <c r="N491" s="36"/>
      <c r="T491" s="21"/>
    </row>
    <row r="492" spans="1:20" s="37" customFormat="1" ht="15.75" customHeight="1" x14ac:dyDescent="0.3">
      <c r="A492" s="79" t="s">
        <v>322</v>
      </c>
      <c r="B492" s="80"/>
      <c r="C492" s="80"/>
      <c r="D492" s="80"/>
      <c r="E492" s="80"/>
      <c r="F492" s="80"/>
      <c r="G492" s="80"/>
      <c r="H492" s="81"/>
      <c r="I492" s="36"/>
      <c r="L492" s="84"/>
      <c r="M492" s="84"/>
      <c r="N492" s="36"/>
    </row>
    <row r="493" spans="1:20" s="37" customFormat="1" ht="15.75" customHeight="1" x14ac:dyDescent="0.3">
      <c r="A493" s="82">
        <v>1</v>
      </c>
      <c r="B493" s="83"/>
      <c r="C493" s="89" t="s">
        <v>319</v>
      </c>
      <c r="D493" s="90"/>
      <c r="E493" s="90"/>
      <c r="F493" s="90"/>
      <c r="G493" s="90"/>
      <c r="H493" s="91"/>
      <c r="I493" s="36"/>
      <c r="L493" s="84"/>
      <c r="M493" s="84"/>
      <c r="N493" s="36"/>
    </row>
    <row r="494" spans="1:20" s="37" customFormat="1" ht="15.75" customHeight="1" x14ac:dyDescent="0.3">
      <c r="A494" s="82">
        <f t="shared" ref="A494:A500" si="56">A493+1</f>
        <v>2</v>
      </c>
      <c r="B494" s="83"/>
      <c r="C494" s="107"/>
      <c r="D494" s="108"/>
      <c r="E494" s="108"/>
      <c r="F494" s="108"/>
      <c r="G494" s="108"/>
      <c r="H494" s="109"/>
      <c r="I494" s="36"/>
      <c r="L494" s="84"/>
      <c r="M494" s="84"/>
      <c r="N494" s="36"/>
    </row>
    <row r="495" spans="1:20" s="37" customFormat="1" ht="15.75" customHeight="1" x14ac:dyDescent="0.3">
      <c r="A495" s="82">
        <f t="shared" si="56"/>
        <v>3</v>
      </c>
      <c r="B495" s="83"/>
      <c r="C495" s="92"/>
      <c r="D495" s="93"/>
      <c r="E495" s="93"/>
      <c r="F495" s="93"/>
      <c r="G495" s="93"/>
      <c r="H495" s="94"/>
      <c r="I495" s="36"/>
      <c r="L495" s="84"/>
      <c r="M495" s="84"/>
      <c r="N495" s="36"/>
    </row>
    <row r="496" spans="1:20" s="37" customFormat="1" ht="15.75" customHeight="1" x14ac:dyDescent="0.3">
      <c r="A496" s="82">
        <f t="shared" si="56"/>
        <v>4</v>
      </c>
      <c r="B496" s="83"/>
      <c r="C496" s="42" t="s">
        <v>336</v>
      </c>
      <c r="D496" s="42">
        <f>(3.2*5.65+2.28*3.05+3.05*3.65+3.2*3.33+3*0.95+2.45*1.53+2.5*1.53+2.73*1.23+0.98*3.28+1.1*1.02+1.08*1.02)*10.764</f>
        <v>710.87501160000011</v>
      </c>
      <c r="E496" s="42">
        <f>(2.95*1.22+1.85*1.08)*10.764</f>
        <v>60.246108</v>
      </c>
      <c r="F496" s="42">
        <f>D496+E496</f>
        <v>771.12111960000016</v>
      </c>
      <c r="G496" s="42">
        <v>0</v>
      </c>
      <c r="H496" s="42">
        <f>F496*(($H$200)+1)+(IF(G496&lt;101,G496,IF(G496&lt;201,G496/2,IF(G496&lt;=301,G496/3,G496/4))))</f>
        <v>1156.6816794000001</v>
      </c>
      <c r="I496" s="36"/>
      <c r="L496" s="84"/>
      <c r="M496" s="84"/>
      <c r="N496" s="36"/>
    </row>
    <row r="497" spans="1:14" s="37" customFormat="1" ht="15.75" customHeight="1" x14ac:dyDescent="0.3">
      <c r="A497" s="82">
        <f t="shared" si="56"/>
        <v>5</v>
      </c>
      <c r="B497" s="83"/>
      <c r="C497" s="42" t="s">
        <v>321</v>
      </c>
      <c r="D497" s="42">
        <f>(3.65*6.55+3.35*2.45+3.35*4.28+3.65*4.56+3.8*3.35+1.63*1.53+2.45*1.53+1.53*2.45+2.45*1.53+1.23*3.08+1.24*3.35+3.48*1.03+1*1.03+2.73*1.05+1.68*0.62+1.05*0.77)*10.764</f>
        <v>1150.0236072</v>
      </c>
      <c r="E497" s="42">
        <f>(3.65*1.43+1.28*1.85)*10.764</f>
        <v>81.671849999999992</v>
      </c>
      <c r="F497" s="42">
        <f>D497+E497</f>
        <v>1231.6954572</v>
      </c>
      <c r="G497" s="42">
        <v>0</v>
      </c>
      <c r="H497" s="42">
        <f>F497*(($H$200)+1)+(IF(G497&lt;101,G497,IF(G497&lt;201,G497/2,IF(G497&lt;=301,G497/3,G497/4))))</f>
        <v>1847.5431857999999</v>
      </c>
      <c r="I497" s="36"/>
      <c r="L497" s="84"/>
      <c r="M497" s="84"/>
      <c r="N497" s="36"/>
    </row>
    <row r="498" spans="1:14" s="37" customFormat="1" ht="15.75" customHeight="1" x14ac:dyDescent="0.3">
      <c r="A498" s="82">
        <f t="shared" si="56"/>
        <v>6</v>
      </c>
      <c r="B498" s="83"/>
      <c r="C498" s="42" t="s">
        <v>321</v>
      </c>
      <c r="D498" s="42">
        <f>(3.65*6.55+3.35*2.45+3.35*4.28+3.65*4.56+3.8*3.35+1.63*1.53+2.45*1.53+1.53*2.45+2.45*1.53+1.23*3.08+1.24*3.35+3.48*1.03+1*1.03+2.73*1.05+1.68*0.62+1.05*0.77)*10.764</f>
        <v>1150.0236072</v>
      </c>
      <c r="E498" s="42">
        <f>(3.65*1.43+1.28*1.85)*10.764</f>
        <v>81.671849999999992</v>
      </c>
      <c r="F498" s="42">
        <f>D498+E498</f>
        <v>1231.6954572</v>
      </c>
      <c r="G498" s="42">
        <v>0</v>
      </c>
      <c r="H498" s="42">
        <f>F498*(($H$200)+1)+(IF(G498&lt;101,G498,IF(G498&lt;201,G498/2,IF(G498&lt;=301,G498/3,G498/4))))</f>
        <v>1847.5431857999999</v>
      </c>
      <c r="I498" s="36"/>
      <c r="L498" s="84"/>
      <c r="M498" s="84"/>
      <c r="N498" s="36"/>
    </row>
    <row r="499" spans="1:14" s="37" customFormat="1" x14ac:dyDescent="0.3">
      <c r="A499" s="82">
        <f t="shared" si="56"/>
        <v>7</v>
      </c>
      <c r="B499" s="83"/>
      <c r="C499" s="42" t="s">
        <v>336</v>
      </c>
      <c r="D499" s="42">
        <f>(3.2*5.65+2.28*3.05+3.05*3.65+3.2*3.33+3*0.95+2.45*1.53+2.5*1.53+2.73*1.23+0.98*3.28+1.1*1.02+1.08*1.02)*10.764</f>
        <v>710.87501160000011</v>
      </c>
      <c r="E499" s="42">
        <f>(2.95*1.22+1.85*1.08)*10.764</f>
        <v>60.246108</v>
      </c>
      <c r="F499" s="42">
        <f>D499+E499</f>
        <v>771.12111960000016</v>
      </c>
      <c r="G499" s="42">
        <v>0</v>
      </c>
      <c r="H499" s="42">
        <f>F499*(($H$200)+1)+(IF(G499&lt;101,G499,IF(G499&lt;201,G499/2,IF(G499&lt;=301,G499/3,G499/4))))</f>
        <v>1156.6816794000001</v>
      </c>
      <c r="I499" s="65">
        <f>6+6+6</f>
        <v>18</v>
      </c>
      <c r="L499" s="84"/>
      <c r="M499" s="84"/>
    </row>
    <row r="500" spans="1:14" s="37" customFormat="1" x14ac:dyDescent="0.3">
      <c r="A500" s="82">
        <f t="shared" si="56"/>
        <v>8</v>
      </c>
      <c r="B500" s="83"/>
      <c r="C500" s="239" t="s">
        <v>319</v>
      </c>
      <c r="D500" s="240"/>
      <c r="E500" s="240"/>
      <c r="F500" s="240"/>
      <c r="G500" s="240"/>
      <c r="H500" s="241"/>
      <c r="I500" s="36"/>
      <c r="N500" s="36"/>
    </row>
    <row r="501" spans="1:14" s="37" customFormat="1" x14ac:dyDescent="0.3">
      <c r="A501" s="79" t="s">
        <v>323</v>
      </c>
      <c r="B501" s="80"/>
      <c r="C501" s="80"/>
      <c r="D501" s="80"/>
      <c r="E501" s="80"/>
      <c r="F501" s="80"/>
      <c r="G501" s="80"/>
      <c r="H501" s="81"/>
      <c r="I501" s="36"/>
      <c r="N501" s="36"/>
    </row>
    <row r="502" spans="1:14" s="37" customFormat="1" x14ac:dyDescent="0.3">
      <c r="A502" s="82">
        <v>1</v>
      </c>
      <c r="B502" s="83"/>
      <c r="C502" s="89" t="s">
        <v>325</v>
      </c>
      <c r="D502" s="90"/>
      <c r="E502" s="90"/>
      <c r="F502" s="90"/>
      <c r="G502" s="90"/>
      <c r="H502" s="91"/>
      <c r="I502" s="36"/>
      <c r="N502" s="36"/>
    </row>
    <row r="503" spans="1:14" s="37" customFormat="1" x14ac:dyDescent="0.3">
      <c r="A503" s="82">
        <f t="shared" ref="A503:A509" si="57">A502+1</f>
        <v>2</v>
      </c>
      <c r="B503" s="83"/>
      <c r="C503" s="107"/>
      <c r="D503" s="108"/>
      <c r="E503" s="108"/>
      <c r="F503" s="108"/>
      <c r="G503" s="108"/>
      <c r="H503" s="109"/>
      <c r="I503" s="36"/>
      <c r="N503" s="36"/>
    </row>
    <row r="504" spans="1:14" s="37" customFormat="1" x14ac:dyDescent="0.3">
      <c r="A504" s="82">
        <f t="shared" si="57"/>
        <v>3</v>
      </c>
      <c r="B504" s="83"/>
      <c r="C504" s="92"/>
      <c r="D504" s="93"/>
      <c r="E504" s="93"/>
      <c r="F504" s="93"/>
      <c r="G504" s="93"/>
      <c r="H504" s="94"/>
      <c r="I504" s="36"/>
      <c r="N504" s="36"/>
    </row>
    <row r="505" spans="1:14" s="37" customFormat="1" x14ac:dyDescent="0.3">
      <c r="A505" s="82">
        <f t="shared" si="57"/>
        <v>4</v>
      </c>
      <c r="B505" s="83"/>
      <c r="C505" s="42" t="s">
        <v>336</v>
      </c>
      <c r="D505" s="42">
        <f>(3.2*5.65+2.28*3.05+3.05*3.65+3.2*3.33+3*0.95+2.45*1.53+2.5*1.53+2.73*1.23+0.98*3.28+1.1*1.02+1.08*1.02)*10.764</f>
        <v>710.87501160000011</v>
      </c>
      <c r="E505" s="42">
        <f>(2.95*1.22+1.85*1.08)*10.764</f>
        <v>60.246108</v>
      </c>
      <c r="F505" s="42">
        <f>D505+E505</f>
        <v>771.12111960000016</v>
      </c>
      <c r="G505" s="42">
        <v>0</v>
      </c>
      <c r="H505" s="42">
        <f>F505*(($H$200)+1)+(IF(G505&lt;101,G505,IF(G505&lt;201,G505/2,IF(G505&lt;=301,G505/3,G505/4))))</f>
        <v>1156.6816794000001</v>
      </c>
      <c r="I505" s="36"/>
      <c r="N505" s="36"/>
    </row>
    <row r="506" spans="1:14" s="37" customFormat="1" x14ac:dyDescent="0.3">
      <c r="A506" s="82">
        <f t="shared" si="57"/>
        <v>5</v>
      </c>
      <c r="B506" s="83"/>
      <c r="C506" s="89" t="s">
        <v>324</v>
      </c>
      <c r="D506" s="90"/>
      <c r="E506" s="90"/>
      <c r="F506" s="90"/>
      <c r="G506" s="90"/>
      <c r="H506" s="91"/>
      <c r="I506" s="36"/>
      <c r="N506" s="36"/>
    </row>
    <row r="507" spans="1:14" s="37" customFormat="1" x14ac:dyDescent="0.3">
      <c r="A507" s="82">
        <f t="shared" si="57"/>
        <v>6</v>
      </c>
      <c r="B507" s="83"/>
      <c r="C507" s="92"/>
      <c r="D507" s="93"/>
      <c r="E507" s="93"/>
      <c r="F507" s="93"/>
      <c r="G507" s="93"/>
      <c r="H507" s="94"/>
      <c r="I507" s="36"/>
      <c r="N507" s="36"/>
    </row>
    <row r="508" spans="1:14" s="37" customFormat="1" x14ac:dyDescent="0.3">
      <c r="A508" s="82">
        <f t="shared" si="57"/>
        <v>7</v>
      </c>
      <c r="B508" s="83"/>
      <c r="C508" s="42" t="s">
        <v>336</v>
      </c>
      <c r="D508" s="42">
        <f>(3.2*5.65+2.28*3.05+3.05*3.65+3.2*3.33+3*0.95+2.45*1.53+2.5*1.53+2.73*1.23+0.98*3.28+1.1*1.02+1.08*1.02)*10.764</f>
        <v>710.87501160000011</v>
      </c>
      <c r="E508" s="42">
        <f>(2.95*1.22+1.85*1.08)*10.764</f>
        <v>60.246108</v>
      </c>
      <c r="F508" s="42">
        <f>D508+E508</f>
        <v>771.12111960000016</v>
      </c>
      <c r="G508" s="42">
        <v>0</v>
      </c>
      <c r="H508" s="42">
        <f>F508*(($H$200)+1)+(IF(G508&lt;101,G508,IF(G508&lt;201,G508/2,IF(G508&lt;=301,G508/3,G508/4))))</f>
        <v>1156.6816794000001</v>
      </c>
      <c r="I508" s="65">
        <v>2</v>
      </c>
      <c r="L508" s="84"/>
      <c r="M508" s="84"/>
    </row>
    <row r="509" spans="1:14" s="37" customFormat="1" x14ac:dyDescent="0.3">
      <c r="A509" s="82">
        <f t="shared" si="57"/>
        <v>8</v>
      </c>
      <c r="B509" s="83"/>
      <c r="C509" s="82" t="s">
        <v>325</v>
      </c>
      <c r="D509" s="95"/>
      <c r="E509" s="95"/>
      <c r="F509" s="95"/>
      <c r="G509" s="95"/>
      <c r="H509" s="83"/>
      <c r="I509" s="36"/>
      <c r="N509" s="36"/>
    </row>
    <row r="510" spans="1:14" s="37" customFormat="1" x14ac:dyDescent="0.3">
      <c r="A510" s="79" t="s">
        <v>380</v>
      </c>
      <c r="B510" s="80"/>
      <c r="C510" s="80"/>
      <c r="D510" s="80"/>
      <c r="E510" s="80"/>
      <c r="F510" s="80"/>
      <c r="G510" s="80"/>
      <c r="H510" s="81"/>
      <c r="I510" s="36"/>
      <c r="N510" s="36"/>
    </row>
    <row r="511" spans="1:14" s="37" customFormat="1" x14ac:dyDescent="0.3">
      <c r="A511" s="106" t="s">
        <v>326</v>
      </c>
      <c r="B511" s="106"/>
      <c r="C511" s="106"/>
      <c r="D511" s="106"/>
      <c r="E511" s="106"/>
      <c r="F511" s="106"/>
      <c r="G511" s="106"/>
      <c r="H511" s="106"/>
      <c r="I511" s="36"/>
      <c r="N511" s="36"/>
    </row>
    <row r="512" spans="1:14" s="37" customFormat="1" x14ac:dyDescent="0.3">
      <c r="A512" s="85">
        <v>1</v>
      </c>
      <c r="B512" s="85"/>
      <c r="C512" s="42" t="s">
        <v>321</v>
      </c>
      <c r="D512" s="42">
        <f>(3.65*6.55+3.35*2.45+3.35*4.28+3.65*4.56+3.8*3.35+1.63*1.53+2.45*1.53+1.53*2.45+2.45*1.53+1.23*3.08+1.24*3.35+3.48*1.03+1*1.03+2.73*1.05+1.68*0.62+1.05*0.77)*10.764</f>
        <v>1150.0236072</v>
      </c>
      <c r="E512" s="42">
        <f>(3.65*1.43+1.28*1.83)*10.764</f>
        <v>81.396291599999998</v>
      </c>
      <c r="F512" s="42">
        <f t="shared" ref="F512:F519" si="58">D512+E512</f>
        <v>1231.4198988000001</v>
      </c>
      <c r="G512" s="42">
        <v>0</v>
      </c>
      <c r="H512" s="42">
        <f t="shared" ref="H512:H519" si="59">F512*(($H$200)+1)+(IF(G512&lt;101,G512,IF(G512&lt;201,G512/2,IF(G512&lt;=301,G512/3,G512/4))))</f>
        <v>1847.1298482000002</v>
      </c>
      <c r="I512" s="36"/>
      <c r="N512" s="36"/>
    </row>
    <row r="513" spans="1:14" s="37" customFormat="1" x14ac:dyDescent="0.3">
      <c r="A513" s="85">
        <f t="shared" ref="A513:A519" si="60">A512+1</f>
        <v>2</v>
      </c>
      <c r="B513" s="85"/>
      <c r="C513" s="42" t="s">
        <v>321</v>
      </c>
      <c r="D513" s="42">
        <f>(3.65*6.55+3.35*2.45+3.35*4.28+3.65*4.56+3.8*3.35+1.63*1.53+2.45*1.53+1.53*2.45+2.45*1.53+1.23*3.08+1.24*3.35+3.48*1.03+1*1.03+2.73*1.05+1.68*0.62+1.05*0.77)*10.764</f>
        <v>1150.0236072</v>
      </c>
      <c r="E513" s="42">
        <f>(3.65*1.43+1.28*1.83)*10.764</f>
        <v>81.396291599999998</v>
      </c>
      <c r="F513" s="42">
        <f t="shared" si="58"/>
        <v>1231.4198988000001</v>
      </c>
      <c r="G513" s="42">
        <v>0</v>
      </c>
      <c r="H513" s="42">
        <f t="shared" si="59"/>
        <v>1847.1298482000002</v>
      </c>
      <c r="I513" s="36"/>
      <c r="N513" s="36"/>
    </row>
    <row r="514" spans="1:14" s="37" customFormat="1" x14ac:dyDescent="0.3">
      <c r="A514" s="85">
        <f t="shared" si="60"/>
        <v>3</v>
      </c>
      <c r="B514" s="85"/>
      <c r="C514" s="42" t="s">
        <v>336</v>
      </c>
      <c r="D514" s="42">
        <f>(3.2*5.65+2.28*3.05+3.05*3.65+3.2*3.33+3*0.95+2.45*1.53+2.5*1.53+2.73*1.23+0.98*3.28+1.1*1.02+1.08*1.02)*10.764</f>
        <v>710.87501160000011</v>
      </c>
      <c r="E514" s="42">
        <f>(2.95*1.22+1.85*1.08)*10.764</f>
        <v>60.246108</v>
      </c>
      <c r="F514" s="42">
        <f t="shared" si="58"/>
        <v>771.12111960000016</v>
      </c>
      <c r="G514" s="42">
        <v>0</v>
      </c>
      <c r="H514" s="42">
        <f t="shared" si="59"/>
        <v>1156.6816794000001</v>
      </c>
      <c r="I514" s="36"/>
      <c r="N514" s="36"/>
    </row>
    <row r="515" spans="1:14" s="37" customFormat="1" x14ac:dyDescent="0.3">
      <c r="A515" s="85">
        <f t="shared" si="60"/>
        <v>4</v>
      </c>
      <c r="B515" s="85"/>
      <c r="C515" s="42" t="s">
        <v>336</v>
      </c>
      <c r="D515" s="42">
        <f>(3.2*5.65+2.28*3.05+3.05*3.65+3.2*3.33+3*0.95+2.45*1.53+2.5*1.53+2.73*1.23+0.98*3.28+1.1*1.02+1.08*1.02)*10.764</f>
        <v>710.87501160000011</v>
      </c>
      <c r="E515" s="42">
        <f>(2.95*1.22+1.85*1.08)*10.764</f>
        <v>60.246108</v>
      </c>
      <c r="F515" s="42">
        <f t="shared" si="58"/>
        <v>771.12111960000016</v>
      </c>
      <c r="G515" s="42">
        <v>0</v>
      </c>
      <c r="H515" s="42">
        <f t="shared" si="59"/>
        <v>1156.6816794000001</v>
      </c>
      <c r="I515" s="36"/>
      <c r="N515" s="36"/>
    </row>
    <row r="516" spans="1:14" s="37" customFormat="1" x14ac:dyDescent="0.3">
      <c r="A516" s="85">
        <f t="shared" si="60"/>
        <v>5</v>
      </c>
      <c r="B516" s="85"/>
      <c r="C516" s="42" t="s">
        <v>321</v>
      </c>
      <c r="D516" s="42">
        <f>(3.65*6.55+3.35*2.45+3.35*4.28+3.65*4.56+3.8*3.35+1.63*1.53+2.45*1.53+1.53*2.45+2.45*1.53+1.23*3.08+1.24*3.35+3.48*1.03+1*1.03+2.73*1.05+1.68*0.62+1.05*0.77)*10.764</f>
        <v>1150.0236072</v>
      </c>
      <c r="E516" s="42">
        <f>(3.65*1.43+1.28*1.85)*10.764</f>
        <v>81.671849999999992</v>
      </c>
      <c r="F516" s="42">
        <f t="shared" si="58"/>
        <v>1231.6954572</v>
      </c>
      <c r="G516" s="42">
        <v>0</v>
      </c>
      <c r="H516" s="42">
        <f t="shared" si="59"/>
        <v>1847.5431857999999</v>
      </c>
      <c r="I516" s="36"/>
      <c r="N516" s="36"/>
    </row>
    <row r="517" spans="1:14" s="37" customFormat="1" x14ac:dyDescent="0.3">
      <c r="A517" s="85">
        <f t="shared" si="60"/>
        <v>6</v>
      </c>
      <c r="B517" s="85"/>
      <c r="C517" s="42" t="s">
        <v>321</v>
      </c>
      <c r="D517" s="42">
        <f>(3.65*6.55+3.35*2.45+3.35*4.28+3.65*4.56+3.8*3.35+1.63*1.53+2.45*1.53+1.53*2.45+2.45*1.53+1.23*3.08+1.24*3.35+3.48*1.03+1*1.03+2.73*1.05+1.68*0.62+1.05*0.77)*10.764</f>
        <v>1150.0236072</v>
      </c>
      <c r="E517" s="42">
        <f>(3.65*1.43+1.28*1.85)*10.764</f>
        <v>81.671849999999992</v>
      </c>
      <c r="F517" s="42">
        <f t="shared" si="58"/>
        <v>1231.6954572</v>
      </c>
      <c r="G517" s="42">
        <v>0</v>
      </c>
      <c r="H517" s="42">
        <f t="shared" si="59"/>
        <v>1847.5431857999999</v>
      </c>
      <c r="I517" s="65">
        <f>3</f>
        <v>3</v>
      </c>
      <c r="L517" s="84"/>
      <c r="M517" s="84"/>
    </row>
    <row r="518" spans="1:14" s="37" customFormat="1" x14ac:dyDescent="0.3">
      <c r="A518" s="85">
        <f t="shared" si="60"/>
        <v>7</v>
      </c>
      <c r="B518" s="85"/>
      <c r="C518" s="42" t="s">
        <v>336</v>
      </c>
      <c r="D518" s="42">
        <f>(3.2*5.65+2.28*3.05+3.05*3.65+3.2*3.33+3*0.95+2.45*1.53+2.5*1.53+2.73*1.23+0.98*3.28+1.1*1.02+1.08*1.02)*10.764</f>
        <v>710.87501160000011</v>
      </c>
      <c r="E518" s="42">
        <f>(2.95*1.22+1.85*1.08)*10.764</f>
        <v>60.246108</v>
      </c>
      <c r="F518" s="42">
        <f t="shared" si="58"/>
        <v>771.12111960000016</v>
      </c>
      <c r="G518" s="42">
        <v>0</v>
      </c>
      <c r="H518" s="42">
        <f t="shared" si="59"/>
        <v>1156.6816794000001</v>
      </c>
      <c r="I518" s="36"/>
      <c r="N518" s="36"/>
    </row>
    <row r="519" spans="1:14" s="37" customFormat="1" x14ac:dyDescent="0.3">
      <c r="A519" s="85">
        <f t="shared" si="60"/>
        <v>8</v>
      </c>
      <c r="B519" s="85"/>
      <c r="C519" s="42" t="s">
        <v>336</v>
      </c>
      <c r="D519" s="42">
        <f>(3.2*5.65+2.28*3.05+3.05*3.65+3.2*3.33+3*0.95+2.45*1.53+2.5*1.53+2.73*1.23+0.98*3.28+1.1*1.02+1.08*1.02)*10.764</f>
        <v>710.87501160000011</v>
      </c>
      <c r="E519" s="42">
        <f>(2.95*1.22+1.85*1.08)*10.764</f>
        <v>60.246108</v>
      </c>
      <c r="F519" s="42">
        <f t="shared" si="58"/>
        <v>771.12111960000016</v>
      </c>
      <c r="G519" s="42">
        <v>0</v>
      </c>
      <c r="H519" s="42">
        <f t="shared" si="59"/>
        <v>1156.6816794000001</v>
      </c>
      <c r="I519" s="36"/>
      <c r="N519" s="36"/>
    </row>
    <row r="520" spans="1:14" s="37" customFormat="1" x14ac:dyDescent="0.3">
      <c r="A520" s="106" t="s">
        <v>328</v>
      </c>
      <c r="B520" s="106"/>
      <c r="C520" s="106"/>
      <c r="D520" s="106"/>
      <c r="E520" s="106"/>
      <c r="F520" s="106"/>
      <c r="G520" s="106"/>
      <c r="H520" s="106"/>
      <c r="I520" s="36"/>
      <c r="N520" s="36"/>
    </row>
    <row r="521" spans="1:14" s="37" customFormat="1" x14ac:dyDescent="0.3">
      <c r="A521" s="85">
        <v>1</v>
      </c>
      <c r="B521" s="85"/>
      <c r="C521" s="42" t="s">
        <v>321</v>
      </c>
      <c r="D521" s="42">
        <f>(3.65*6.55+3.35*2.45+3.35*4.28+3.65*4.56+3.8*3.35+1.63*1.53+2.45*1.53+1.53*2.45+2.45*1.53+1.23*3.08+1.24*3.35+3.48*1.03+1*1.03+2.73*1.05+1.68*0.62+1.05*0.77)*10.764</f>
        <v>1150.0236072</v>
      </c>
      <c r="E521" s="42">
        <f>(3.65*1.43+1.28*1.83)*10.764</f>
        <v>81.396291599999998</v>
      </c>
      <c r="F521" s="42">
        <f>D521+E521</f>
        <v>1231.4198988000001</v>
      </c>
      <c r="G521" s="42">
        <v>0</v>
      </c>
      <c r="H521" s="42">
        <f>F521*(($H$200)+1)+(IF(G521&lt;101,G521,IF(G521&lt;201,G521/2,IF(G521&lt;=301,G521/3,G521/4))))</f>
        <v>1847.1298482000002</v>
      </c>
      <c r="I521" s="36"/>
      <c r="N521" s="36"/>
    </row>
    <row r="522" spans="1:14" s="37" customFormat="1" x14ac:dyDescent="0.3">
      <c r="A522" s="85">
        <f t="shared" ref="A522:A528" si="61">A521+1</f>
        <v>2</v>
      </c>
      <c r="B522" s="85"/>
      <c r="C522" s="42" t="s">
        <v>321</v>
      </c>
      <c r="D522" s="42">
        <f>(3.65*6.55+3.35*2.45+3.35*4.28+3.65*4.56+3.8*3.35+1.63*1.53+2.45*1.53+1.53*2.45+2.45*1.53+1.23*3.08+1.24*3.35+3.48*1.03+1*1.03+2.73*1.05+1.68*0.62+1.05*0.77)*10.764</f>
        <v>1150.0236072</v>
      </c>
      <c r="E522" s="42">
        <f>(3.65*1.43+1.28*1.83)*10.764</f>
        <v>81.396291599999998</v>
      </c>
      <c r="F522" s="42">
        <f>D522+E522</f>
        <v>1231.4198988000001</v>
      </c>
      <c r="G522" s="42">
        <v>0</v>
      </c>
      <c r="H522" s="42">
        <f>F522*(($H$200)+1)+(IF(G522&lt;101,G522,IF(G522&lt;201,G522/2,IF(G522&lt;=301,G522/3,G522/4))))</f>
        <v>1847.1298482000002</v>
      </c>
      <c r="I522" s="36"/>
      <c r="N522" s="36"/>
    </row>
    <row r="523" spans="1:14" s="37" customFormat="1" x14ac:dyDescent="0.3">
      <c r="A523" s="85">
        <f t="shared" si="61"/>
        <v>3</v>
      </c>
      <c r="B523" s="85"/>
      <c r="C523" s="42" t="s">
        <v>336</v>
      </c>
      <c r="D523" s="42">
        <f>(3.2*5.65+2.28*3.05+3.05*3.65+3.2*3.33+3*0.95+2.45*1.53+2.5*1.53+2.73*1.23+0.98*3.28+1.1*1.02+1.08*1.02)*10.764</f>
        <v>710.87501160000011</v>
      </c>
      <c r="E523" s="42">
        <f>(2.95*1.22+1.85*1.08)*10.764</f>
        <v>60.246108</v>
      </c>
      <c r="F523" s="42">
        <f>D523+E523</f>
        <v>771.12111960000016</v>
      </c>
      <c r="G523" s="42">
        <v>0</v>
      </c>
      <c r="H523" s="42">
        <f>F523*(($H$200)+1)+(IF(G523&lt;101,G523,IF(G523&lt;201,G523/2,IF(G523&lt;=301,G523/3,G523/4))))</f>
        <v>1156.6816794000001</v>
      </c>
      <c r="I523" s="36"/>
      <c r="N523" s="36"/>
    </row>
    <row r="524" spans="1:14" s="37" customFormat="1" x14ac:dyDescent="0.3">
      <c r="A524" s="85">
        <f t="shared" si="61"/>
        <v>4</v>
      </c>
      <c r="B524" s="85"/>
      <c r="C524" s="42" t="s">
        <v>336</v>
      </c>
      <c r="D524" s="42">
        <f>(3.2*5.65+2.28*3.05+3.05*3.65+3.2*3.33+3*0.95+2.45*1.53+2.5*1.53+2.73*1.23+0.98*3.28+1.1*1.02+1.08*1.02)*10.764</f>
        <v>710.87501160000011</v>
      </c>
      <c r="E524" s="42">
        <f>(2.95*1.22+1.85*1.08)*10.764</f>
        <v>60.246108</v>
      </c>
      <c r="F524" s="42">
        <f>D524+E524</f>
        <v>771.12111960000016</v>
      </c>
      <c r="G524" s="42">
        <v>0</v>
      </c>
      <c r="H524" s="42">
        <f>F524*(($H$200)+1)+(IF(G524&lt;101,G524,IF(G524&lt;201,G524/2,IF(G524&lt;=301,G524/3,G524/4))))</f>
        <v>1156.6816794000001</v>
      </c>
      <c r="I524" s="36"/>
      <c r="N524" s="36"/>
    </row>
    <row r="525" spans="1:14" s="37" customFormat="1" x14ac:dyDescent="0.3">
      <c r="A525" s="85">
        <f t="shared" si="61"/>
        <v>5</v>
      </c>
      <c r="B525" s="85"/>
      <c r="C525" s="89" t="s">
        <v>324</v>
      </c>
      <c r="D525" s="90"/>
      <c r="E525" s="90"/>
      <c r="F525" s="90"/>
      <c r="G525" s="90"/>
      <c r="H525" s="91"/>
      <c r="I525" s="36"/>
      <c r="N525" s="36"/>
    </row>
    <row r="526" spans="1:14" s="37" customFormat="1" x14ac:dyDescent="0.3">
      <c r="A526" s="85">
        <f t="shared" si="61"/>
        <v>6</v>
      </c>
      <c r="B526" s="85"/>
      <c r="C526" s="92"/>
      <c r="D526" s="93"/>
      <c r="E526" s="93"/>
      <c r="F526" s="93"/>
      <c r="G526" s="93"/>
      <c r="H526" s="94"/>
      <c r="I526" s="65">
        <f>6+6+4</f>
        <v>16</v>
      </c>
      <c r="L526" s="84"/>
      <c r="M526" s="84"/>
    </row>
    <row r="527" spans="1:14" s="37" customFormat="1" x14ac:dyDescent="0.3">
      <c r="A527" s="85">
        <f t="shared" si="61"/>
        <v>7</v>
      </c>
      <c r="B527" s="85"/>
      <c r="C527" s="42" t="s">
        <v>336</v>
      </c>
      <c r="D527" s="42">
        <f>(3.2*5.65+2.28*3.05+3.05*3.65+3.2*3.33+3*0.95+2.45*1.53+2.5*1.53+2.73*1.23+0.98*3.28+1.1*1.02+1.08*1.02)*10.764</f>
        <v>710.87501160000011</v>
      </c>
      <c r="E527" s="42">
        <f>(2.95*1.22+1.85*1.08)*10.764</f>
        <v>60.246108</v>
      </c>
      <c r="F527" s="42">
        <f>D527+E527</f>
        <v>771.12111960000016</v>
      </c>
      <c r="G527" s="42">
        <v>0</v>
      </c>
      <c r="H527" s="42">
        <f>F527*(($H$200)+1)+(IF(G527&lt;101,G527,IF(G527&lt;201,G527/2,IF(G527&lt;=301,G527/3,G527/4))))</f>
        <v>1156.6816794000001</v>
      </c>
      <c r="I527" s="36"/>
      <c r="N527" s="36"/>
    </row>
    <row r="528" spans="1:14" s="37" customFormat="1" x14ac:dyDescent="0.3">
      <c r="A528" s="85">
        <f t="shared" si="61"/>
        <v>8</v>
      </c>
      <c r="B528" s="85"/>
      <c r="C528" s="42" t="s">
        <v>336</v>
      </c>
      <c r="D528" s="42">
        <f>(3.2*5.65+2.28*3.05+3.05*3.65+3.2*3.33+3*0.95+2.45*1.53+2.5*1.53+2.73*1.23+0.98*3.28+1.1*1.02+1.08*1.02)*10.764</f>
        <v>710.87501160000011</v>
      </c>
      <c r="E528" s="42">
        <f>(2.95*1.22+1.85*1.08)*10.764</f>
        <v>60.246108</v>
      </c>
      <c r="F528" s="42">
        <f>D528+E528</f>
        <v>771.12111960000016</v>
      </c>
      <c r="G528" s="42">
        <v>0</v>
      </c>
      <c r="H528" s="42">
        <f>F528*(($H$200)+1)+(IF(G528&lt;101,G528,IF(G528&lt;201,G528/2,IF(G528&lt;=301,G528/3,G528/4))))</f>
        <v>1156.6816794000001</v>
      </c>
      <c r="I528" s="36"/>
      <c r="N528" s="36"/>
    </row>
    <row r="529" spans="1:14" s="37" customFormat="1" x14ac:dyDescent="0.3">
      <c r="A529" s="105" t="s">
        <v>327</v>
      </c>
      <c r="B529" s="105"/>
      <c r="C529" s="105"/>
      <c r="D529" s="105"/>
      <c r="E529" s="105"/>
      <c r="F529" s="105"/>
      <c r="G529" s="105"/>
      <c r="H529" s="105"/>
      <c r="I529" s="36"/>
      <c r="N529" s="36"/>
    </row>
    <row r="530" spans="1:14" s="37" customFormat="1" x14ac:dyDescent="0.3">
      <c r="A530" s="85">
        <v>1</v>
      </c>
      <c r="B530" s="85"/>
      <c r="C530" s="42" t="s">
        <v>321</v>
      </c>
      <c r="D530" s="42">
        <f>(3.65*6.62+3.35*2.45+3.4*4.28+3.73*4.56+3.88*3.42+1.63*1.53+2.45*1.53+1.53*2.45+2.45*1.53+1.23*3+1.24*3.42+3.48*1.03+1*1.03+2.73*1.05+1.68*0.62+1.05*0.77)*10.764</f>
        <v>1164.6874044000001</v>
      </c>
      <c r="E530" s="42">
        <f>(3.65*1.43+1.28*1.83)*10.764</f>
        <v>81.396291599999998</v>
      </c>
      <c r="F530" s="42">
        <f>D530+E530</f>
        <v>1246.0836960000001</v>
      </c>
      <c r="G530" s="42">
        <v>0</v>
      </c>
      <c r="H530" s="42">
        <f>F530*(($H$200)+1)+(IF(G530&lt;101,G530,IF(G530&lt;201,G530/2,IF(G530&lt;=301,G530/3,G530/4))))</f>
        <v>1869.1255440000002</v>
      </c>
      <c r="I530" s="36"/>
      <c r="N530" s="36"/>
    </row>
    <row r="531" spans="1:14" s="37" customFormat="1" x14ac:dyDescent="0.3">
      <c r="A531" s="85">
        <f t="shared" ref="A531:A537" si="62">A530+1</f>
        <v>2</v>
      </c>
      <c r="B531" s="85"/>
      <c r="C531" s="42" t="s">
        <v>321</v>
      </c>
      <c r="D531" s="42">
        <f>(3.65*6.62+3.35*2.45+3.4*4.28+3.73*4.56+3.88*3.42+1.63*1.53+2.45*1.53+1.53*2.45+2.45*1.53+1.23*3+1.24*3.42+3.48*1.03+1*1.03+2.73*1.05+1.68*0.62+1.05*0.77)*10.764</f>
        <v>1164.6874044000001</v>
      </c>
      <c r="E531" s="42">
        <f>(3.65*1.43+1.28*1.83)*10.764</f>
        <v>81.396291599999998</v>
      </c>
      <c r="F531" s="42">
        <f>D531+E531</f>
        <v>1246.0836960000001</v>
      </c>
      <c r="G531" s="42">
        <v>0</v>
      </c>
      <c r="H531" s="42">
        <f>F531*(($H$200)+1)+(IF(G531&lt;101,G531,IF(G531&lt;201,G531/2,IF(G531&lt;=301,G531/3,G531/4))))</f>
        <v>1869.1255440000002</v>
      </c>
      <c r="I531" s="36"/>
      <c r="N531" s="36"/>
    </row>
    <row r="532" spans="1:14" s="37" customFormat="1" x14ac:dyDescent="0.3">
      <c r="A532" s="85">
        <f t="shared" si="62"/>
        <v>3</v>
      </c>
      <c r="B532" s="85"/>
      <c r="C532" s="42" t="s">
        <v>336</v>
      </c>
      <c r="D532" s="42">
        <f>(3.2*5.65+2.35*3.05+3.05*3.65+3.2*3.63+3*0.65+2.55*1.53+2.45*1.53+2.73*1.23+1.02*3.28+1.1*1.02+1.08*1.02)*10.764</f>
        <v>716.05464840000013</v>
      </c>
      <c r="E532" s="42">
        <f>(1.9*1.08+3*1.22)*10.764</f>
        <v>61.48396799999999</v>
      </c>
      <c r="F532" s="42">
        <f>D532+E532</f>
        <v>777.53861640000014</v>
      </c>
      <c r="G532" s="42">
        <v>0</v>
      </c>
      <c r="H532" s="42">
        <f>F532*(($H$200)+1)+(IF(G532&lt;101,G532,IF(G532&lt;201,G532/2,IF(G532&lt;=301,G532/3,G532/4))))</f>
        <v>1166.3079246000002</v>
      </c>
      <c r="I532" s="36"/>
      <c r="N532" s="36"/>
    </row>
    <row r="533" spans="1:14" s="37" customFormat="1" x14ac:dyDescent="0.3">
      <c r="A533" s="85">
        <f t="shared" si="62"/>
        <v>4</v>
      </c>
      <c r="B533" s="85"/>
      <c r="C533" s="42" t="s">
        <v>336</v>
      </c>
      <c r="D533" s="42">
        <f>(3.2*5.65+2.35*3.05+3.05*3.65+3.2*3.63+3*0.65+2.55*1.53+2.45*1.53+2.73*1.23+1.02*3.28+1.1*1.02+1.08*1.02)*10.764</f>
        <v>716.05464840000013</v>
      </c>
      <c r="E533" s="42">
        <f>(1.9*1.08+3*1.22)*10.764</f>
        <v>61.48396799999999</v>
      </c>
      <c r="F533" s="42">
        <f>D533+E533</f>
        <v>777.53861640000014</v>
      </c>
      <c r="G533" s="42">
        <v>0</v>
      </c>
      <c r="H533" s="42">
        <f>F533*(($H$200)+1)+(IF(G533&lt;101,G533,IF(G533&lt;201,G533/2,IF(G533&lt;=301,G533/3,G533/4))))</f>
        <v>1166.3079246000002</v>
      </c>
      <c r="I533" s="36"/>
      <c r="N533" s="36"/>
    </row>
    <row r="534" spans="1:14" s="37" customFormat="1" x14ac:dyDescent="0.3">
      <c r="A534" s="85">
        <f t="shared" si="62"/>
        <v>5</v>
      </c>
      <c r="B534" s="85"/>
      <c r="C534" s="89" t="s">
        <v>324</v>
      </c>
      <c r="D534" s="90"/>
      <c r="E534" s="90"/>
      <c r="F534" s="90"/>
      <c r="G534" s="90"/>
      <c r="H534" s="91"/>
      <c r="I534" s="36"/>
      <c r="N534" s="36"/>
    </row>
    <row r="535" spans="1:14" s="37" customFormat="1" x14ac:dyDescent="0.3">
      <c r="A535" s="85">
        <f t="shared" si="62"/>
        <v>6</v>
      </c>
      <c r="B535" s="85"/>
      <c r="C535" s="92"/>
      <c r="D535" s="93"/>
      <c r="E535" s="93"/>
      <c r="F535" s="93"/>
      <c r="G535" s="93"/>
      <c r="H535" s="94"/>
      <c r="I535" s="65">
        <v>1</v>
      </c>
      <c r="L535" s="84"/>
      <c r="M535" s="84"/>
    </row>
    <row r="536" spans="1:14" s="37" customFormat="1" x14ac:dyDescent="0.3">
      <c r="A536" s="85">
        <f t="shared" si="62"/>
        <v>7</v>
      </c>
      <c r="B536" s="85"/>
      <c r="C536" s="42" t="s">
        <v>336</v>
      </c>
      <c r="D536" s="42">
        <f>(3.2*5.65+2.35*3.05+3.05*3.65+3.2*3.63+3*0.65+2.55*1.53+2.45*1.53+2.73*1.23+1.02*3.28+1.1*1.02+1.08*1.02)*10.764</f>
        <v>716.05464840000013</v>
      </c>
      <c r="E536" s="42">
        <f>(1.9*1.08+3*1.22)*10.764</f>
        <v>61.48396799999999</v>
      </c>
      <c r="F536" s="42">
        <f>D536+E536</f>
        <v>777.53861640000014</v>
      </c>
      <c r="G536" s="42">
        <v>0</v>
      </c>
      <c r="H536" s="42">
        <f>F536*(($H$200)+1)+(IF(G536&lt;101,G536,IF(G536&lt;201,G536/2,IF(G536&lt;=301,G536/3,G536/4))))</f>
        <v>1166.3079246000002</v>
      </c>
      <c r="I536" s="36"/>
      <c r="N536" s="36"/>
    </row>
    <row r="537" spans="1:14" s="37" customFormat="1" x14ac:dyDescent="0.3">
      <c r="A537" s="85">
        <f t="shared" si="62"/>
        <v>8</v>
      </c>
      <c r="B537" s="85"/>
      <c r="C537" s="42" t="s">
        <v>336</v>
      </c>
      <c r="D537" s="42">
        <f>(3.2*5.65+2.35*3.05+3.05*3.65+3.2*3.63+3*0.65+2.55*1.53+2.45*1.53+2.73*1.23+1.02*3.28+1.1*1.02+1.08*1.02)*10.764</f>
        <v>716.05464840000013</v>
      </c>
      <c r="E537" s="42">
        <f>(1.9*1.08+3*1.22)*10.764</f>
        <v>61.48396799999999</v>
      </c>
      <c r="F537" s="42">
        <f>D537+E537</f>
        <v>777.53861640000014</v>
      </c>
      <c r="G537" s="42">
        <v>0</v>
      </c>
      <c r="H537" s="42">
        <f>F537*(($H$200)+1)+(IF(G537&lt;101,G537,IF(G537&lt;201,G537/2,IF(G537&lt;=301,G537/3,G537/4))))</f>
        <v>1166.3079246000002</v>
      </c>
      <c r="I537" s="36"/>
      <c r="N537" s="36"/>
    </row>
    <row r="538" spans="1:14" s="37" customFormat="1" x14ac:dyDescent="0.3">
      <c r="A538" s="106" t="s">
        <v>329</v>
      </c>
      <c r="B538" s="106"/>
      <c r="C538" s="106"/>
      <c r="D538" s="106"/>
      <c r="E538" s="106"/>
      <c r="F538" s="106"/>
      <c r="G538" s="106"/>
      <c r="H538" s="106"/>
      <c r="I538" s="36"/>
      <c r="N538" s="36"/>
    </row>
    <row r="539" spans="1:14" s="37" customFormat="1" x14ac:dyDescent="0.3">
      <c r="A539" s="85">
        <v>1</v>
      </c>
      <c r="B539" s="85"/>
      <c r="C539" s="42" t="s">
        <v>321</v>
      </c>
      <c r="D539" s="42">
        <f>(3.65*6.62+3.35*2.45+3.4*4.28+3.73*4.56+3.88*3.42+1.63*1.53+2.45*1.53+1.53*2.45+2.45*1.53+1.23*3+1.24*3.42+3.48*1.03+1*1.03+2.73*1.05+1.68*0.62+1.05*0.77)*10.764</f>
        <v>1164.6874044000001</v>
      </c>
      <c r="E539" s="42">
        <f>(3.65*1.43+1.28*1.83)*10.764</f>
        <v>81.396291599999998</v>
      </c>
      <c r="F539" s="42">
        <f t="shared" ref="F539:F546" si="63">D539+E539</f>
        <v>1246.0836960000001</v>
      </c>
      <c r="G539" s="42">
        <v>0</v>
      </c>
      <c r="H539" s="42">
        <f t="shared" ref="H539:H546" si="64">F539*(($H$200)+1)+(IF(G539&lt;101,G539,IF(G539&lt;201,G539/2,IF(G539&lt;=301,G539/3,G539/4))))</f>
        <v>1869.1255440000002</v>
      </c>
      <c r="I539" s="36"/>
      <c r="N539" s="36"/>
    </row>
    <row r="540" spans="1:14" s="37" customFormat="1" x14ac:dyDescent="0.3">
      <c r="A540" s="85">
        <f t="shared" ref="A540:A546" si="65">A539+1</f>
        <v>2</v>
      </c>
      <c r="B540" s="85"/>
      <c r="C540" s="42" t="s">
        <v>321</v>
      </c>
      <c r="D540" s="42">
        <f>(3.65*6.62+3.35*2.45+3.4*4.28+3.73*4.56+3.88*3.42+1.63*1.53+2.45*1.53+1.53*2.45+2.45*1.53+1.23*3+1.24*3.42+3.48*1.03+1*1.03+2.73*1.05+1.68*0.62+1.05*0.77)*10.764</f>
        <v>1164.6874044000001</v>
      </c>
      <c r="E540" s="42">
        <f>(3.65*1.43+1.28*1.83)*10.764</f>
        <v>81.396291599999998</v>
      </c>
      <c r="F540" s="42">
        <f t="shared" si="63"/>
        <v>1246.0836960000001</v>
      </c>
      <c r="G540" s="42">
        <v>0</v>
      </c>
      <c r="H540" s="42">
        <f t="shared" si="64"/>
        <v>1869.1255440000002</v>
      </c>
      <c r="I540" s="36"/>
      <c r="N540" s="36"/>
    </row>
    <row r="541" spans="1:14" s="37" customFormat="1" x14ac:dyDescent="0.3">
      <c r="A541" s="85">
        <f t="shared" si="65"/>
        <v>3</v>
      </c>
      <c r="B541" s="85"/>
      <c r="C541" s="42" t="s">
        <v>336</v>
      </c>
      <c r="D541" s="42">
        <f>(3.2*5.65+2.35*3.05+3.05*3.65+3.2*3.63+3*0.65+2.55*1.53+2.45*1.53+2.73*1.23+1.02*3.28+1.1*1.02+1.08*1.02)*10.764</f>
        <v>716.05464840000013</v>
      </c>
      <c r="E541" s="42">
        <f>(1.9*1.08+3*1.22)*10.764</f>
        <v>61.48396799999999</v>
      </c>
      <c r="F541" s="42">
        <f t="shared" si="63"/>
        <v>777.53861640000014</v>
      </c>
      <c r="G541" s="42">
        <v>0</v>
      </c>
      <c r="H541" s="42">
        <f t="shared" si="64"/>
        <v>1166.3079246000002</v>
      </c>
      <c r="I541" s="36"/>
      <c r="N541" s="36"/>
    </row>
    <row r="542" spans="1:14" s="37" customFormat="1" x14ac:dyDescent="0.3">
      <c r="A542" s="85">
        <f t="shared" si="65"/>
        <v>4</v>
      </c>
      <c r="B542" s="85"/>
      <c r="C542" s="42" t="s">
        <v>336</v>
      </c>
      <c r="D542" s="42">
        <f>(3.2*5.65+2.35*3.05+3.05*3.65+3.2*3.63+3*0.65+2.55*1.53+2.45*1.53+2.73*1.23+1.02*3.28+1.1*1.02+1.08*1.02)*10.764</f>
        <v>716.05464840000013</v>
      </c>
      <c r="E542" s="42">
        <f>(1.9*1.08+3*1.22)*10.764</f>
        <v>61.48396799999999</v>
      </c>
      <c r="F542" s="42">
        <f t="shared" si="63"/>
        <v>777.53861640000014</v>
      </c>
      <c r="G542" s="42">
        <v>0</v>
      </c>
      <c r="H542" s="42">
        <f t="shared" si="64"/>
        <v>1166.3079246000002</v>
      </c>
      <c r="I542" s="36"/>
      <c r="N542" s="36"/>
    </row>
    <row r="543" spans="1:14" s="37" customFormat="1" x14ac:dyDescent="0.3">
      <c r="A543" s="85">
        <f t="shared" si="65"/>
        <v>5</v>
      </c>
      <c r="B543" s="85"/>
      <c r="C543" s="42" t="s">
        <v>321</v>
      </c>
      <c r="D543" s="42">
        <f>(3.65*6.62+3.35*2.45+3.4*4.28+3.73*4.56+3.88*3.43+1.63*1.53+2.45*1.53+1.53*2.45+2.53*1.53+1.23*3+1.24*3.42+3.48*1.03+1*1.03+2.73*1.05+1.68*0.62+1.05*0.77)*10.764</f>
        <v>1166.4225612000002</v>
      </c>
      <c r="E543" s="66">
        <f>(3.65*1.43+1.28*1.85)*10.764</f>
        <v>81.671849999999992</v>
      </c>
      <c r="F543" s="42">
        <f t="shared" si="63"/>
        <v>1248.0944112000002</v>
      </c>
      <c r="G543" s="42">
        <v>0</v>
      </c>
      <c r="H543" s="42">
        <f t="shared" si="64"/>
        <v>1872.1416168000003</v>
      </c>
      <c r="I543" s="36"/>
      <c r="N543" s="36"/>
    </row>
    <row r="544" spans="1:14" s="37" customFormat="1" x14ac:dyDescent="0.3">
      <c r="A544" s="85">
        <f t="shared" si="65"/>
        <v>6</v>
      </c>
      <c r="B544" s="85"/>
      <c r="C544" s="42" t="s">
        <v>321</v>
      </c>
      <c r="D544" s="42">
        <f>(3.65*6.62+3.35*2.45+3.4*4.28+3.73*4.56+3.88*3.43+1.63*1.53+2.45*1.53+1.53*2.45+2.53*1.53+1.23*3+1.24*3.42+3.48*1.03+1*1.03+2.73*1.05+1.68*0.62+1.05*0.77)*10.764</f>
        <v>1166.4225612000002</v>
      </c>
      <c r="E544" s="66">
        <f>(3.65*1.43+1.28*1.85)*10.764</f>
        <v>81.671849999999992</v>
      </c>
      <c r="F544" s="42">
        <f t="shared" si="63"/>
        <v>1248.0944112000002</v>
      </c>
      <c r="G544" s="42">
        <v>0</v>
      </c>
      <c r="H544" s="42">
        <f t="shared" si="64"/>
        <v>1872.1416168000003</v>
      </c>
      <c r="I544" s="65">
        <v>3</v>
      </c>
      <c r="L544" s="84"/>
      <c r="M544" s="84"/>
    </row>
    <row r="545" spans="1:20" s="37" customFormat="1" x14ac:dyDescent="0.3">
      <c r="A545" s="85">
        <f t="shared" si="65"/>
        <v>7</v>
      </c>
      <c r="B545" s="85"/>
      <c r="C545" s="42" t="s">
        <v>336</v>
      </c>
      <c r="D545" s="42">
        <f>(3.2*5.65+2.35*3.05+3.05*3.65+3.2*3.63+3*0.65+2.55*1.53+2.45*1.53+2.73*1.23+1.02*3.28+1.1*1.02+1.08*1.02)*10.764</f>
        <v>716.05464840000013</v>
      </c>
      <c r="E545" s="42">
        <f>(3*1.22+1.9*1.08)*10.764</f>
        <v>61.48396799999999</v>
      </c>
      <c r="F545" s="42">
        <f t="shared" si="63"/>
        <v>777.53861640000014</v>
      </c>
      <c r="G545" s="42">
        <v>0</v>
      </c>
      <c r="H545" s="42">
        <f t="shared" si="64"/>
        <v>1166.3079246000002</v>
      </c>
      <c r="I545" s="36"/>
      <c r="N545" s="36"/>
    </row>
    <row r="546" spans="1:20" s="37" customFormat="1" x14ac:dyDescent="0.3">
      <c r="A546" s="85">
        <f t="shared" si="65"/>
        <v>8</v>
      </c>
      <c r="B546" s="85"/>
      <c r="C546" s="42" t="s">
        <v>336</v>
      </c>
      <c r="D546" s="42">
        <f>(3.2*5.65+2.35*3.05+3.05*3.65+3.2*3.63+3*0.65+2.55*1.53+2.45*1.53+2.73*1.23+1.02*3.28+1.1*1.02+1.08*1.02)*10.764</f>
        <v>716.05464840000013</v>
      </c>
      <c r="E546" s="42">
        <f>(3*1.22+1.9*1.08)*10.764</f>
        <v>61.48396799999999</v>
      </c>
      <c r="F546" s="42">
        <f t="shared" si="63"/>
        <v>777.53861640000014</v>
      </c>
      <c r="G546" s="42">
        <v>0</v>
      </c>
      <c r="H546" s="42">
        <f t="shared" si="64"/>
        <v>1166.3079246000002</v>
      </c>
      <c r="I546" s="36"/>
      <c r="N546" s="36"/>
    </row>
    <row r="547" spans="1:20" s="37" customFormat="1" x14ac:dyDescent="0.3">
      <c r="A547" s="106" t="s">
        <v>331</v>
      </c>
      <c r="B547" s="106"/>
      <c r="C547" s="106"/>
      <c r="D547" s="106"/>
      <c r="E547" s="106"/>
      <c r="F547" s="106"/>
      <c r="G547" s="106"/>
      <c r="H547" s="106"/>
      <c r="I547" s="36"/>
      <c r="N547" s="36"/>
    </row>
    <row r="548" spans="1:20" s="37" customFormat="1" x14ac:dyDescent="0.3">
      <c r="A548" s="85">
        <v>1</v>
      </c>
      <c r="B548" s="85"/>
      <c r="C548" s="42" t="s">
        <v>321</v>
      </c>
      <c r="D548" s="42">
        <f>(3.65*6.62+3.35*2.45+3.4*4.28+3.73*4.56+3.88*3.42+1.63*1.53+2.45*1.53+1.53*2.45+2.45*1.53+1.23*3+1.24*3.42+3.48*1.03+1*1.03+2.73*1.05+1.68*0.62+1.05*0.77)*10.764</f>
        <v>1164.6874044000001</v>
      </c>
      <c r="E548" s="42">
        <f>(3.65*1.43+1.28*1.83)*10.764</f>
        <v>81.396291599999998</v>
      </c>
      <c r="F548" s="42">
        <f>D548+E548</f>
        <v>1246.0836960000001</v>
      </c>
      <c r="G548" s="42">
        <v>0</v>
      </c>
      <c r="H548" s="42">
        <f>F548*(($H$200)+1)+(IF(G548&lt;101,G548,IF(G548&lt;201,G548/2,IF(G548&lt;=301,G548/3,G548/4))))</f>
        <v>1869.1255440000002</v>
      </c>
      <c r="I548" s="36"/>
      <c r="N548" s="36"/>
    </row>
    <row r="549" spans="1:20" s="37" customFormat="1" x14ac:dyDescent="0.3">
      <c r="A549" s="85">
        <f t="shared" ref="A549:A555" si="66">A548+1</f>
        <v>2</v>
      </c>
      <c r="B549" s="85"/>
      <c r="C549" s="42" t="s">
        <v>321</v>
      </c>
      <c r="D549" s="42">
        <f>(3.65*6.62+3.35*2.45+3.4*4.28+3.73*4.56+3.88*3.42+1.63*1.53+2.45*1.53+1.53*2.45+2.45*1.53+1.23*3+1.24*3.42+3.48*1.03+1*1.03+2.73*1.05+1.68*0.62+1.05*0.77)*10.764</f>
        <v>1164.6874044000001</v>
      </c>
      <c r="E549" s="42">
        <f>(3.65*1.43+1.28*1.83)*10.764</f>
        <v>81.396291599999998</v>
      </c>
      <c r="F549" s="42">
        <f>D549+E549</f>
        <v>1246.0836960000001</v>
      </c>
      <c r="G549" s="42">
        <v>0</v>
      </c>
      <c r="H549" s="42">
        <f>F549*(($H$200)+1)+(IF(G549&lt;101,G549,IF(G549&lt;201,G549/2,IF(G549&lt;=301,G549/3,G549/4))))</f>
        <v>1869.1255440000002</v>
      </c>
      <c r="I549" s="36"/>
      <c r="N549" s="36"/>
    </row>
    <row r="550" spans="1:20" s="37" customFormat="1" x14ac:dyDescent="0.3">
      <c r="A550" s="85">
        <f t="shared" si="66"/>
        <v>3</v>
      </c>
      <c r="B550" s="85"/>
      <c r="C550" s="42" t="s">
        <v>336</v>
      </c>
      <c r="D550" s="42">
        <f>(3.2*5.65+2.35*3.05+3.05*3.65+3.2*3.63+3*0.65+2.55*1.53+2.45*1.53+2.73*1.23+1.02*3.28+1.1*1.02+1.08*1.02)*10.764</f>
        <v>716.05464840000013</v>
      </c>
      <c r="E550" s="42">
        <f>(1.9*1.08+3*1.22)*10.764</f>
        <v>61.48396799999999</v>
      </c>
      <c r="F550" s="42">
        <f>D550+E550</f>
        <v>777.53861640000014</v>
      </c>
      <c r="G550" s="42">
        <v>0</v>
      </c>
      <c r="H550" s="42">
        <f>F550*(($H$200)+1)+(IF(G550&lt;101,G550,IF(G550&lt;201,G550/2,IF(G550&lt;=301,G550/3,G550/4))))</f>
        <v>1166.3079246000002</v>
      </c>
      <c r="I550" s="36"/>
      <c r="N550" s="36"/>
    </row>
    <row r="551" spans="1:20" s="37" customFormat="1" x14ac:dyDescent="0.3">
      <c r="A551" s="85">
        <f t="shared" si="66"/>
        <v>4</v>
      </c>
      <c r="B551" s="85"/>
      <c r="C551" s="42" t="s">
        <v>336</v>
      </c>
      <c r="D551" s="42">
        <f>(3.2*5.65+2.35*3.05+3.05*3.65+3.2*3.63+3*0.65+2.55*1.53+2.45*1.53+2.73*1.23+1.02*3.28+1.1*1.02+1.08*1.02)*10.764</f>
        <v>716.05464840000013</v>
      </c>
      <c r="E551" s="42">
        <f>(1.9*1.08+3*1.22)*10.764</f>
        <v>61.48396799999999</v>
      </c>
      <c r="F551" s="42">
        <f>D551+E551</f>
        <v>777.53861640000014</v>
      </c>
      <c r="G551" s="42">
        <v>0</v>
      </c>
      <c r="H551" s="42">
        <f>F551*(($H$200)+1)+(IF(G551&lt;101,G551,IF(G551&lt;201,G551/2,IF(G551&lt;=301,G551/3,G551/4))))</f>
        <v>1166.3079246000002</v>
      </c>
      <c r="I551" s="36"/>
      <c r="N551" s="36"/>
    </row>
    <row r="552" spans="1:20" s="37" customFormat="1" x14ac:dyDescent="0.3">
      <c r="A552" s="85">
        <f t="shared" si="66"/>
        <v>5</v>
      </c>
      <c r="B552" s="85"/>
      <c r="C552" s="42" t="s">
        <v>321</v>
      </c>
      <c r="D552" s="42">
        <f>(3.65*6.62+3.35*2.45+3.4*4.28+3.73*4.56+3.88*3.43+1.63*1.53+2.45*1.53+1.53*2.45+2.53*1.53+1.23*3+1.24*3.42+3.48*1.03+1*1.03+2.73*1.05+1.68*0.62+1.05*0.77)*10.764</f>
        <v>1166.4225612000002</v>
      </c>
      <c r="E552" s="66">
        <f>(3.65*1.43+1.28*1.85)*10.764</f>
        <v>81.671849999999992</v>
      </c>
      <c r="F552" s="42">
        <f>D552+E552</f>
        <v>1248.0944112000002</v>
      </c>
      <c r="G552" s="42">
        <v>0</v>
      </c>
      <c r="H552" s="42">
        <f>F552*(($H$200)+1)+(IF(G552&lt;101,G552,IF(G552&lt;201,G552/2,IF(G552&lt;=301,G552/3,G552/4))))</f>
        <v>1872.1416168000003</v>
      </c>
      <c r="I552" s="36"/>
      <c r="N552" s="36"/>
    </row>
    <row r="553" spans="1:20" s="37" customFormat="1" x14ac:dyDescent="0.3">
      <c r="A553" s="85">
        <f t="shared" si="66"/>
        <v>6</v>
      </c>
      <c r="B553" s="85"/>
      <c r="C553" s="82" t="s">
        <v>324</v>
      </c>
      <c r="D553" s="95"/>
      <c r="E553" s="95"/>
      <c r="F553" s="95"/>
      <c r="G553" s="95"/>
      <c r="H553" s="83"/>
      <c r="J553" s="36"/>
    </row>
    <row r="554" spans="1:20" s="37" customFormat="1" x14ac:dyDescent="0.3">
      <c r="A554" s="85">
        <f t="shared" si="66"/>
        <v>7</v>
      </c>
      <c r="B554" s="85"/>
      <c r="C554" s="42" t="s">
        <v>336</v>
      </c>
      <c r="D554" s="42">
        <f>(3.2*5.65+2.35*3.05+3.05*3.65+3.2*3.63+3*0.65+2.55*1.53+2.45*1.53+2.73*1.23+1.02*3.28+1.1*1.02+1.08*1.02)*10.764</f>
        <v>716.05464840000013</v>
      </c>
      <c r="E554" s="42">
        <f>(3*1.22+1.9*1.08)*10.764</f>
        <v>61.48396799999999</v>
      </c>
      <c r="F554" s="42">
        <f>D554+E554</f>
        <v>777.53861640000014</v>
      </c>
      <c r="G554" s="42">
        <v>0</v>
      </c>
      <c r="H554" s="42">
        <f>F554*(($H$200)+1)+(IF(G554&lt;101,G554,IF(G554&lt;201,G554/2,IF(G554&lt;=301,G554/3,G554/4))))</f>
        <v>1166.3079246000002</v>
      </c>
      <c r="J554" s="36"/>
    </row>
    <row r="555" spans="1:20" s="37" customFormat="1" x14ac:dyDescent="0.3">
      <c r="A555" s="85">
        <f t="shared" si="66"/>
        <v>8</v>
      </c>
      <c r="B555" s="85"/>
      <c r="C555" s="42" t="s">
        <v>336</v>
      </c>
      <c r="D555" s="42">
        <f>(3.2*5.65+2.35*3.05+3.05*3.65+3.2*3.63+3*0.65+2.55*1.53+2.45*1.53+2.73*1.23+1.02*3.28+1.1*1.02+1.08*1.02)*10.764</f>
        <v>716.05464840000013</v>
      </c>
      <c r="E555" s="42">
        <f>(3*1.22+1.9*1.08)*10.764</f>
        <v>61.48396799999999</v>
      </c>
      <c r="F555" s="42">
        <f>D555+E555</f>
        <v>777.53861640000014</v>
      </c>
      <c r="G555" s="42">
        <v>0</v>
      </c>
      <c r="H555" s="42">
        <f>F555*(($H$200)+1)+(IF(G555&lt;101,G555,IF(G555&lt;201,G555/2,IF(G555&lt;=301,G555/3,G555/4))))</f>
        <v>1166.3079246000002</v>
      </c>
      <c r="J555" s="36"/>
    </row>
    <row r="556" spans="1:20" s="37" customFormat="1" x14ac:dyDescent="0.3">
      <c r="A556" s="106" t="s">
        <v>330</v>
      </c>
      <c r="B556" s="106"/>
      <c r="C556" s="106"/>
      <c r="D556" s="106"/>
      <c r="E556" s="106"/>
      <c r="F556" s="106"/>
      <c r="G556" s="106"/>
      <c r="H556" s="106"/>
      <c r="I556" s="37">
        <v>1</v>
      </c>
      <c r="J556" s="36"/>
    </row>
    <row r="557" spans="1:20" s="37" customFormat="1" ht="15.75" customHeight="1" x14ac:dyDescent="0.3">
      <c r="A557" s="85">
        <v>1</v>
      </c>
      <c r="B557" s="85"/>
      <c r="C557" s="42" t="s">
        <v>321</v>
      </c>
      <c r="D557" s="42">
        <f>(3.65*6.62+3.35*2.45+3.4*4.28+3.73*4.56+3.88*3.42+1.63*1.53+2.45*1.53+1.53*2.45+2.45*1.53+1.23*3+1.24*3.42+3.48*1.03+1*1.03+2.73*1.05+1.68*0.62+1.05*0.77)*10.764</f>
        <v>1164.6874044000001</v>
      </c>
      <c r="E557" s="42">
        <f>(3.65*1.43+1.28*1.83)*10.764</f>
        <v>81.396291599999998</v>
      </c>
      <c r="F557" s="42">
        <f t="shared" ref="F557:F564" si="67">D557+E557</f>
        <v>1246.0836960000001</v>
      </c>
      <c r="G557" s="42">
        <v>0</v>
      </c>
      <c r="H557" s="42">
        <f t="shared" ref="H557:H564" si="68">F557*(($H$200)+1)+(IF(G557&lt;101,G557,IF(G557&lt;201,G557/2,IF(G557&lt;=301,G557/3,G557/4))))</f>
        <v>1869.1255440000002</v>
      </c>
      <c r="I557" s="36"/>
      <c r="L557" s="84"/>
      <c r="M557" s="84"/>
      <c r="N557" s="36"/>
      <c r="T557" s="21"/>
    </row>
    <row r="558" spans="1:20" s="37" customFormat="1" ht="15.75" customHeight="1" x14ac:dyDescent="0.3">
      <c r="A558" s="85">
        <f t="shared" ref="A558:A564" si="69">A557+1</f>
        <v>2</v>
      </c>
      <c r="B558" s="85"/>
      <c r="C558" s="42" t="s">
        <v>321</v>
      </c>
      <c r="D558" s="42">
        <f>(3.65*6.62+3.35*2.45+3.4*4.28+3.73*4.56+3.88*3.42+1.63*1.53+2.45*1.53+1.53*2.45+2.45*1.53+1.23*3+1.24*3.42+3.48*1.03+1*1.03+2.73*1.05+1.68*0.62+1.05*0.77)*10.764</f>
        <v>1164.6874044000001</v>
      </c>
      <c r="E558" s="42">
        <f>(3.65*1.43+1.28*1.83)*10.764</f>
        <v>81.396291599999998</v>
      </c>
      <c r="F558" s="42">
        <f t="shared" si="67"/>
        <v>1246.0836960000001</v>
      </c>
      <c r="G558" s="42">
        <v>0</v>
      </c>
      <c r="H558" s="42">
        <f t="shared" si="68"/>
        <v>1869.1255440000002</v>
      </c>
      <c r="I558" s="36"/>
      <c r="L558" s="84"/>
      <c r="M558" s="84"/>
      <c r="N558" s="36"/>
    </row>
    <row r="559" spans="1:20" s="37" customFormat="1" ht="15.75" customHeight="1" x14ac:dyDescent="0.3">
      <c r="A559" s="85">
        <f t="shared" si="69"/>
        <v>3</v>
      </c>
      <c r="B559" s="85"/>
      <c r="C559" s="42" t="s">
        <v>336</v>
      </c>
      <c r="D559" s="42">
        <f>(3.2*5.65+2.35*3.05+3.05*3.65+3.2*3.63+3*0.65+2.55*1.53+2.45*1.53+2.73*1.23+1.02*3.28+1.1*1.02+1.08*1.02)*10.764</f>
        <v>716.05464840000013</v>
      </c>
      <c r="E559" s="42">
        <f>(1.9*1.08+3*1.22)*10.764</f>
        <v>61.48396799999999</v>
      </c>
      <c r="F559" s="42">
        <f t="shared" si="67"/>
        <v>777.53861640000014</v>
      </c>
      <c r="G559" s="42">
        <v>0</v>
      </c>
      <c r="H559" s="42">
        <f t="shared" si="68"/>
        <v>1166.3079246000002</v>
      </c>
      <c r="I559" s="36"/>
      <c r="L559" s="84"/>
      <c r="M559" s="84"/>
      <c r="N559" s="36"/>
    </row>
    <row r="560" spans="1:20" s="37" customFormat="1" ht="15.75" customHeight="1" x14ac:dyDescent="0.3">
      <c r="A560" s="85">
        <f t="shared" si="69"/>
        <v>4</v>
      </c>
      <c r="B560" s="85"/>
      <c r="C560" s="42" t="s">
        <v>336</v>
      </c>
      <c r="D560" s="42">
        <f>(3.2*5.65+2.35*3.05+3.05*3.65+3.2*3.63+3*0.65+2.55*1.53+2.45*1.53+2.73*1.23+1.02*3.28+1.1*1.02+1.08*1.02)*10.764</f>
        <v>716.05464840000013</v>
      </c>
      <c r="E560" s="42">
        <f>(1.9*1.08+3*1.22)*10.764</f>
        <v>61.48396799999999</v>
      </c>
      <c r="F560" s="42">
        <f t="shared" si="67"/>
        <v>777.53861640000014</v>
      </c>
      <c r="G560" s="42">
        <v>0</v>
      </c>
      <c r="H560" s="42">
        <f t="shared" si="68"/>
        <v>1166.3079246000002</v>
      </c>
      <c r="I560" s="36"/>
      <c r="L560" s="84"/>
      <c r="M560" s="84"/>
      <c r="N560" s="36"/>
    </row>
    <row r="561" spans="1:20" s="37" customFormat="1" ht="15.75" customHeight="1" x14ac:dyDescent="0.3">
      <c r="A561" s="85">
        <f t="shared" si="69"/>
        <v>5</v>
      </c>
      <c r="B561" s="85"/>
      <c r="C561" s="42" t="s">
        <v>321</v>
      </c>
      <c r="D561" s="42">
        <f>(3.65*6.62+3.35*2.45+3.4*4.28+3.73*4.56+3.88*3.43+1.63*1.53+2.45*1.53+1.53*2.45+2.53*1.53+1.23*3+1.24*3.42+3.48*1.03+1*1.03+2.73*1.05+1.68*0.62+1.05*0.77)*10.764</f>
        <v>1166.4225612000002</v>
      </c>
      <c r="E561" s="66">
        <f>(3.65*1.43+1.28*1.85)*10.764</f>
        <v>81.671849999999992</v>
      </c>
      <c r="F561" s="42">
        <f t="shared" si="67"/>
        <v>1248.0944112000002</v>
      </c>
      <c r="G561" s="42">
        <v>0</v>
      </c>
      <c r="H561" s="42">
        <f t="shared" si="68"/>
        <v>1872.1416168000003</v>
      </c>
      <c r="I561" s="36"/>
      <c r="L561" s="84"/>
      <c r="M561" s="84"/>
      <c r="N561" s="36"/>
    </row>
    <row r="562" spans="1:20" s="37" customFormat="1" ht="15.75" customHeight="1" x14ac:dyDescent="0.3">
      <c r="A562" s="85">
        <f t="shared" si="69"/>
        <v>6</v>
      </c>
      <c r="B562" s="85"/>
      <c r="C562" s="42" t="s">
        <v>321</v>
      </c>
      <c r="D562" s="42">
        <f>(3.65*6.62+3.35*2.45+3.4*4.28+3.73*4.56+3.88*3.43+1.63*1.53+2.45*1.53+1.53*2.45+2.53*1.53+1.23*3+1.24*3.42+3.48*1.03+1*1.03+2.73*1.05+1.68*0.62+1.05*0.77)*10.764</f>
        <v>1166.4225612000002</v>
      </c>
      <c r="E562" s="66">
        <f>(3.65*1.43+1.28*1.85)*10.764</f>
        <v>81.671849999999992</v>
      </c>
      <c r="F562" s="42">
        <f t="shared" si="67"/>
        <v>1248.0944112000002</v>
      </c>
      <c r="G562" s="42">
        <v>0</v>
      </c>
      <c r="H562" s="42">
        <f t="shared" si="68"/>
        <v>1872.1416168000003</v>
      </c>
      <c r="I562" s="36"/>
      <c r="L562" s="84"/>
      <c r="M562" s="84"/>
      <c r="N562" s="36"/>
    </row>
    <row r="563" spans="1:20" s="37" customFormat="1" ht="15.75" customHeight="1" x14ac:dyDescent="0.3">
      <c r="A563" s="85">
        <f t="shared" si="69"/>
        <v>7</v>
      </c>
      <c r="B563" s="85"/>
      <c r="C563" s="42" t="s">
        <v>336</v>
      </c>
      <c r="D563" s="42">
        <f>(3.2*5.65+2.35*3.05+3.05*3.65+3.2*3.63+3*0.65+2.55*1.53+2.45*1.53+2.73*1.23+1.02*3.28+1.1*1.02+1.08*1.02)*10.764</f>
        <v>716.05464840000013</v>
      </c>
      <c r="E563" s="42">
        <f>(3*1.22+1.9*1.08)*10.764</f>
        <v>61.48396799999999</v>
      </c>
      <c r="F563" s="42">
        <f t="shared" si="67"/>
        <v>777.53861640000014</v>
      </c>
      <c r="G563" s="42">
        <v>0</v>
      </c>
      <c r="H563" s="42">
        <f t="shared" si="68"/>
        <v>1166.3079246000002</v>
      </c>
      <c r="I563" s="36"/>
      <c r="L563" s="84"/>
      <c r="M563" s="84"/>
      <c r="N563" s="36"/>
    </row>
    <row r="564" spans="1:20" s="37" customFormat="1" ht="15.75" customHeight="1" x14ac:dyDescent="0.3">
      <c r="A564" s="85">
        <f t="shared" si="69"/>
        <v>8</v>
      </c>
      <c r="B564" s="85"/>
      <c r="C564" s="42" t="s">
        <v>336</v>
      </c>
      <c r="D564" s="42">
        <f>(3.2*5.65+2.35*3.05+3.05*3.65+3.2*3.63+3*0.65+2.55*1.53+2.45*1.53+2.73*1.23+1.02*3.28+1.1*1.02+1.08*1.02)*10.764</f>
        <v>716.05464840000013</v>
      </c>
      <c r="E564" s="42">
        <f>(3*1.22+1.9*1.08)*10.764</f>
        <v>61.48396799999999</v>
      </c>
      <c r="F564" s="42">
        <f t="shared" si="67"/>
        <v>777.53861640000014</v>
      </c>
      <c r="G564" s="42">
        <v>0</v>
      </c>
      <c r="H564" s="42">
        <f t="shared" si="68"/>
        <v>1166.3079246000002</v>
      </c>
      <c r="I564" s="36"/>
      <c r="L564" s="84"/>
      <c r="M564" s="84"/>
      <c r="N564" s="36"/>
    </row>
    <row r="565" spans="1:20" s="37" customFormat="1" hidden="1" x14ac:dyDescent="0.3">
      <c r="A565" s="110" t="s">
        <v>372</v>
      </c>
      <c r="B565" s="111"/>
      <c r="C565" s="111"/>
      <c r="D565" s="111"/>
      <c r="E565" s="111"/>
      <c r="F565" s="111"/>
      <c r="G565" s="111"/>
      <c r="H565" s="112"/>
      <c r="I565" s="64">
        <f>6</f>
        <v>6</v>
      </c>
      <c r="J565" s="36"/>
    </row>
    <row r="566" spans="1:20" s="37" customFormat="1" ht="15.75" hidden="1" customHeight="1" x14ac:dyDescent="0.3">
      <c r="A566" s="79" t="s">
        <v>316</v>
      </c>
      <c r="B566" s="80"/>
      <c r="C566" s="80"/>
      <c r="D566" s="80"/>
      <c r="E566" s="80"/>
      <c r="F566" s="80"/>
      <c r="G566" s="80"/>
      <c r="H566" s="81"/>
      <c r="I566" s="36"/>
      <c r="L566" s="84"/>
      <c r="M566" s="84"/>
      <c r="N566" s="36"/>
      <c r="T566" s="21"/>
    </row>
    <row r="567" spans="1:20" s="37" customFormat="1" ht="15.75" hidden="1" customHeight="1" x14ac:dyDescent="0.3">
      <c r="A567" s="79" t="s">
        <v>333</v>
      </c>
      <c r="B567" s="80"/>
      <c r="C567" s="80"/>
      <c r="D567" s="80"/>
      <c r="E567" s="80"/>
      <c r="F567" s="80"/>
      <c r="G567" s="80"/>
      <c r="H567" s="81"/>
      <c r="I567" s="36"/>
      <c r="L567" s="84"/>
      <c r="M567" s="84"/>
      <c r="N567" s="36"/>
    </row>
    <row r="568" spans="1:20" s="37" customFormat="1" ht="15.75" hidden="1" customHeight="1" x14ac:dyDescent="0.3">
      <c r="A568" s="79" t="s">
        <v>334</v>
      </c>
      <c r="B568" s="80"/>
      <c r="C568" s="80"/>
      <c r="D568" s="80"/>
      <c r="E568" s="80"/>
      <c r="F568" s="80"/>
      <c r="G568" s="80"/>
      <c r="H568" s="81"/>
      <c r="I568" s="36"/>
      <c r="L568" s="84"/>
      <c r="M568" s="84"/>
      <c r="N568" s="36"/>
    </row>
    <row r="569" spans="1:20" s="37" customFormat="1" ht="15.75" hidden="1" customHeight="1" x14ac:dyDescent="0.3">
      <c r="A569" s="82">
        <v>1</v>
      </c>
      <c r="B569" s="83"/>
      <c r="C569" s="227" t="s">
        <v>319</v>
      </c>
      <c r="D569" s="228"/>
      <c r="E569" s="228"/>
      <c r="F569" s="228"/>
      <c r="G569" s="228"/>
      <c r="H569" s="229"/>
      <c r="I569" s="36"/>
      <c r="L569" s="84"/>
      <c r="M569" s="84"/>
      <c r="N569" s="36"/>
    </row>
    <row r="570" spans="1:20" s="37" customFormat="1" ht="15.75" hidden="1" customHeight="1" x14ac:dyDescent="0.3">
      <c r="A570" s="82">
        <f t="shared" ref="A570:A576" si="70">A569+1</f>
        <v>2</v>
      </c>
      <c r="B570" s="83"/>
      <c r="C570" s="236"/>
      <c r="D570" s="237"/>
      <c r="E570" s="237"/>
      <c r="F570" s="237"/>
      <c r="G570" s="237"/>
      <c r="H570" s="238"/>
      <c r="I570" s="36"/>
      <c r="L570" s="84"/>
      <c r="M570" s="84"/>
      <c r="N570" s="36"/>
    </row>
    <row r="571" spans="1:20" s="37" customFormat="1" ht="15.75" hidden="1" customHeight="1" x14ac:dyDescent="0.3">
      <c r="A571" s="82">
        <f t="shared" si="70"/>
        <v>3</v>
      </c>
      <c r="B571" s="83"/>
      <c r="C571" s="230"/>
      <c r="D571" s="231"/>
      <c r="E571" s="231"/>
      <c r="F571" s="231"/>
      <c r="G571" s="231"/>
      <c r="H571" s="232"/>
      <c r="I571" s="36"/>
      <c r="L571" s="84"/>
      <c r="M571" s="84"/>
      <c r="N571" s="36"/>
    </row>
    <row r="572" spans="1:20" s="37" customFormat="1" ht="15.75" hidden="1" customHeight="1" x14ac:dyDescent="0.3">
      <c r="A572" s="82">
        <f t="shared" si="70"/>
        <v>4</v>
      </c>
      <c r="B572" s="83"/>
      <c r="C572" s="42" t="s">
        <v>336</v>
      </c>
      <c r="D572" s="42">
        <f>(3.2*5.65+2.28*3.05+3.05*3.65+3.2*3.33+3*0.95+2.45*1.53+2.5*1.53+2.73*1.23+0.98*3.28+1.1*1.02+1.08*1.02)*10.764</f>
        <v>710.87501160000011</v>
      </c>
      <c r="E572" s="42">
        <f>(2.95*1.22)*10.764</f>
        <v>38.739635999999997</v>
      </c>
      <c r="F572" s="42">
        <f>D572+E572</f>
        <v>749.61464760000013</v>
      </c>
      <c r="G572" s="42">
        <v>0</v>
      </c>
      <c r="H572" s="42">
        <f>F572*(($H$200)+1)+(IF(G572&lt;101,G572,IF(G572&lt;201,G572/2,IF(G572&lt;=301,G572/3,G572/4))))</f>
        <v>1124.4219714000001</v>
      </c>
      <c r="I572" s="36"/>
      <c r="L572" s="84"/>
      <c r="M572" s="84"/>
      <c r="N572" s="36"/>
    </row>
    <row r="573" spans="1:20" s="37" customFormat="1" ht="15.75" hidden="1" customHeight="1" x14ac:dyDescent="0.3">
      <c r="A573" s="82">
        <f t="shared" si="70"/>
        <v>5</v>
      </c>
      <c r="B573" s="83"/>
      <c r="C573" s="85" t="s">
        <v>337</v>
      </c>
      <c r="D573" s="85"/>
      <c r="E573" s="85"/>
      <c r="F573" s="85"/>
      <c r="G573" s="85"/>
      <c r="H573" s="85"/>
      <c r="I573" s="36"/>
      <c r="L573" s="84"/>
      <c r="M573" s="84"/>
      <c r="N573" s="36"/>
    </row>
    <row r="574" spans="1:20" s="37" customFormat="1" ht="15.75" hidden="1" customHeight="1" x14ac:dyDescent="0.3">
      <c r="A574" s="82">
        <f t="shared" si="70"/>
        <v>6</v>
      </c>
      <c r="B574" s="83"/>
      <c r="C574" s="85"/>
      <c r="D574" s="85"/>
      <c r="E574" s="85"/>
      <c r="F574" s="85"/>
      <c r="G574" s="85"/>
      <c r="H574" s="85"/>
      <c r="I574" s="64">
        <v>1</v>
      </c>
      <c r="J574" s="36"/>
    </row>
    <row r="575" spans="1:20" s="37" customFormat="1" ht="15.75" hidden="1" customHeight="1" x14ac:dyDescent="0.3">
      <c r="A575" s="82">
        <f t="shared" si="70"/>
        <v>7</v>
      </c>
      <c r="B575" s="83"/>
      <c r="C575" s="89" t="s">
        <v>319</v>
      </c>
      <c r="D575" s="90"/>
      <c r="E575" s="90"/>
      <c r="F575" s="90"/>
      <c r="G575" s="90"/>
      <c r="H575" s="91"/>
      <c r="I575" s="36"/>
      <c r="L575" s="84"/>
      <c r="M575" s="84"/>
      <c r="N575" s="36"/>
      <c r="T575" s="21"/>
    </row>
    <row r="576" spans="1:20" s="37" customFormat="1" ht="15.75" hidden="1" customHeight="1" x14ac:dyDescent="0.3">
      <c r="A576" s="82">
        <f t="shared" si="70"/>
        <v>8</v>
      </c>
      <c r="B576" s="83"/>
      <c r="C576" s="92"/>
      <c r="D576" s="93"/>
      <c r="E576" s="93"/>
      <c r="F576" s="93"/>
      <c r="G576" s="93"/>
      <c r="H576" s="94"/>
      <c r="I576" s="36"/>
      <c r="L576" s="84"/>
      <c r="M576" s="84"/>
      <c r="N576" s="36"/>
    </row>
    <row r="577" spans="1:20" s="37" customFormat="1" ht="15.75" hidden="1" customHeight="1" x14ac:dyDescent="0.3">
      <c r="A577" s="79" t="s">
        <v>322</v>
      </c>
      <c r="B577" s="80"/>
      <c r="C577" s="80"/>
      <c r="D577" s="80"/>
      <c r="E577" s="80"/>
      <c r="F577" s="80"/>
      <c r="G577" s="80"/>
      <c r="H577" s="81"/>
      <c r="I577" s="36"/>
      <c r="L577" s="84"/>
      <c r="M577" s="84"/>
      <c r="N577" s="36"/>
    </row>
    <row r="578" spans="1:20" s="37" customFormat="1" ht="15.75" hidden="1" customHeight="1" x14ac:dyDescent="0.3">
      <c r="A578" s="82">
        <v>1</v>
      </c>
      <c r="B578" s="83"/>
      <c r="C578" s="89" t="s">
        <v>319</v>
      </c>
      <c r="D578" s="90"/>
      <c r="E578" s="90"/>
      <c r="F578" s="90"/>
      <c r="G578" s="90"/>
      <c r="H578" s="91"/>
      <c r="I578" s="36"/>
      <c r="L578" s="84"/>
      <c r="M578" s="84"/>
      <c r="N578" s="36"/>
    </row>
    <row r="579" spans="1:20" s="37" customFormat="1" ht="15.75" hidden="1" customHeight="1" x14ac:dyDescent="0.3">
      <c r="A579" s="82">
        <f t="shared" ref="A579:A585" si="71">A578+1</f>
        <v>2</v>
      </c>
      <c r="B579" s="83"/>
      <c r="C579" s="107"/>
      <c r="D579" s="108"/>
      <c r="E579" s="108"/>
      <c r="F579" s="108"/>
      <c r="G579" s="108"/>
      <c r="H579" s="109"/>
      <c r="I579" s="36"/>
      <c r="L579" s="84"/>
      <c r="M579" s="84"/>
      <c r="N579" s="36"/>
    </row>
    <row r="580" spans="1:20" s="37" customFormat="1" ht="15.75" hidden="1" customHeight="1" x14ac:dyDescent="0.3">
      <c r="A580" s="82">
        <f t="shared" si="71"/>
        <v>3</v>
      </c>
      <c r="B580" s="83"/>
      <c r="C580" s="92"/>
      <c r="D580" s="93"/>
      <c r="E580" s="93"/>
      <c r="F580" s="93"/>
      <c r="G580" s="93"/>
      <c r="H580" s="94"/>
      <c r="I580" s="36"/>
      <c r="L580" s="84"/>
      <c r="M580" s="84"/>
      <c r="N580" s="36"/>
    </row>
    <row r="581" spans="1:20" s="37" customFormat="1" ht="15.75" hidden="1" customHeight="1" x14ac:dyDescent="0.3">
      <c r="A581" s="82">
        <f t="shared" si="71"/>
        <v>4</v>
      </c>
      <c r="B581" s="83"/>
      <c r="C581" s="42" t="s">
        <v>336</v>
      </c>
      <c r="D581" s="42">
        <f>(3.2*5.65+2.28*3.05+3.05*3.65+3.2*3.33+3*0.95+2.45*1.53+2.5*1.53+2.73*1.23+0.98*3.28+1.1*1.02+1.08*1.02)*10.764</f>
        <v>710.87501160000011</v>
      </c>
      <c r="E581" s="42">
        <f>(2.95*1.22)*10.764</f>
        <v>38.739635999999997</v>
      </c>
      <c r="F581" s="42">
        <f>D581+E581</f>
        <v>749.61464760000013</v>
      </c>
      <c r="G581" s="42">
        <v>0</v>
      </c>
      <c r="H581" s="42">
        <f>F581*(($H$200)+1)+(IF(G581&lt;101,G581,IF(G581&lt;201,G581/2,IF(G581&lt;=301,G581/3,G581/4))))</f>
        <v>1124.4219714000001</v>
      </c>
      <c r="I581" s="36"/>
      <c r="L581" s="84"/>
      <c r="M581" s="84"/>
      <c r="N581" s="36"/>
    </row>
    <row r="582" spans="1:20" s="37" customFormat="1" ht="15.75" hidden="1" customHeight="1" x14ac:dyDescent="0.3">
      <c r="A582" s="82">
        <f t="shared" si="71"/>
        <v>5</v>
      </c>
      <c r="B582" s="83"/>
      <c r="C582" s="42" t="s">
        <v>321</v>
      </c>
      <c r="D582" s="42">
        <f>(3.65*6.55+3.35*2.45+3.35*4.28+3.65*4.56+3.8*3.35+1.63*1.53+2.45*1.53+1.53*2.45+2.45*1.53+1.23*3.08+1.24*3.35+3.48*1.03+1*1.03+2.73*1.05+1.68*0.62+1.05*0.77)*10.764</f>
        <v>1150.0236072</v>
      </c>
      <c r="E582" s="42">
        <f>(3.65*1.43)*10.764</f>
        <v>56.182697999999995</v>
      </c>
      <c r="F582" s="42">
        <f>D582+E582</f>
        <v>1206.2063052000001</v>
      </c>
      <c r="G582" s="42">
        <v>0</v>
      </c>
      <c r="H582" s="42">
        <f>F582*(($H$200)+1)+(IF(G582&lt;101,G582,IF(G582&lt;201,G582/2,IF(G582&lt;=301,G582/3,G582/4))))</f>
        <v>1809.3094578</v>
      </c>
      <c r="I582" s="36"/>
      <c r="L582" s="84"/>
      <c r="M582" s="84"/>
      <c r="N582" s="36"/>
    </row>
    <row r="583" spans="1:20" s="37" customFormat="1" hidden="1" x14ac:dyDescent="0.3">
      <c r="A583" s="82">
        <f t="shared" si="71"/>
        <v>6</v>
      </c>
      <c r="B583" s="83"/>
      <c r="C583" s="42" t="s">
        <v>321</v>
      </c>
      <c r="D583" s="42">
        <f>(3.65*6.55+3.35*2.45+3.35*4.28+3.65*4.56+3.8*3.35+1.63*1.53+2.45*1.53+1.53*2.45+2.45*1.53+1.23*3.08+1.24*3.35+3.48*1.03+1*1.03+2.73*1.05+1.68*0.62+1.05*0.77)*10.764</f>
        <v>1150.0236072</v>
      </c>
      <c r="E583" s="42">
        <f>(3.65*1.43)*10.764</f>
        <v>56.182697999999995</v>
      </c>
      <c r="F583" s="42">
        <f>D583+E583</f>
        <v>1206.2063052000001</v>
      </c>
      <c r="G583" s="42">
        <v>0</v>
      </c>
      <c r="H583" s="42">
        <f>F583*(($H$200)+1)+(IF(G583&lt;101,G583,IF(G583&lt;201,G583/2,IF(G583&lt;=301,G583/3,G583/4))))</f>
        <v>1809.3094578</v>
      </c>
      <c r="I583" s="65">
        <f>1</f>
        <v>1</v>
      </c>
      <c r="L583" s="84"/>
      <c r="M583" s="84"/>
    </row>
    <row r="584" spans="1:20" s="37" customFormat="1" hidden="1" x14ac:dyDescent="0.3">
      <c r="A584" s="82">
        <f t="shared" si="71"/>
        <v>7</v>
      </c>
      <c r="B584" s="83"/>
      <c r="C584" s="42" t="s">
        <v>336</v>
      </c>
      <c r="D584" s="42">
        <f>(3.2*5.65+2.28*3.05+3.05*3.65+3.2*3.33+3*0.95+2.45*1.53+2.5*1.53+2.73*1.23+0.98*3.28+1.1*1.02+1.08*1.02)*10.764</f>
        <v>710.87501160000011</v>
      </c>
      <c r="E584" s="42">
        <f>(2.95*1.22)*10.764</f>
        <v>38.739635999999997</v>
      </c>
      <c r="F584" s="42">
        <f>D584+E584</f>
        <v>749.61464760000013</v>
      </c>
      <c r="G584" s="42">
        <v>0</v>
      </c>
      <c r="H584" s="42">
        <f>F584*(($H$200)+1)+(IF(G584&lt;101,G584,IF(G584&lt;201,G584/2,IF(G584&lt;=301,G584/3,G584/4))))</f>
        <v>1124.4219714000001</v>
      </c>
      <c r="I584" s="36"/>
      <c r="N584" s="36"/>
    </row>
    <row r="585" spans="1:20" s="37" customFormat="1" hidden="1" x14ac:dyDescent="0.3">
      <c r="A585" s="82">
        <f t="shared" si="71"/>
        <v>8</v>
      </c>
      <c r="B585" s="83"/>
      <c r="C585" s="239" t="s">
        <v>319</v>
      </c>
      <c r="D585" s="240"/>
      <c r="E585" s="240"/>
      <c r="F585" s="240"/>
      <c r="G585" s="240"/>
      <c r="H585" s="241"/>
      <c r="I585" s="36"/>
      <c r="N585" s="36"/>
    </row>
    <row r="586" spans="1:20" s="37" customFormat="1" hidden="1" x14ac:dyDescent="0.3">
      <c r="A586" s="79" t="s">
        <v>323</v>
      </c>
      <c r="B586" s="80"/>
      <c r="C586" s="80"/>
      <c r="D586" s="80"/>
      <c r="E586" s="80"/>
      <c r="F586" s="80"/>
      <c r="G586" s="80"/>
      <c r="H586" s="81"/>
      <c r="I586" s="36"/>
      <c r="N586" s="36"/>
    </row>
    <row r="587" spans="1:20" s="37" customFormat="1" hidden="1" x14ac:dyDescent="0.3">
      <c r="A587" s="82">
        <v>1</v>
      </c>
      <c r="B587" s="83"/>
      <c r="C587" s="89" t="s">
        <v>325</v>
      </c>
      <c r="D587" s="90"/>
      <c r="E587" s="90"/>
      <c r="F587" s="90"/>
      <c r="G587" s="90"/>
      <c r="H587" s="91"/>
      <c r="I587" s="36"/>
      <c r="N587" s="36"/>
    </row>
    <row r="588" spans="1:20" s="37" customFormat="1" hidden="1" x14ac:dyDescent="0.3">
      <c r="A588" s="82">
        <f t="shared" ref="A588:A594" si="72">A587+1</f>
        <v>2</v>
      </c>
      <c r="B588" s="83"/>
      <c r="C588" s="107"/>
      <c r="D588" s="108"/>
      <c r="E588" s="108"/>
      <c r="F588" s="108"/>
      <c r="G588" s="108"/>
      <c r="H588" s="109"/>
      <c r="I588" s="36"/>
      <c r="N588" s="36"/>
    </row>
    <row r="589" spans="1:20" s="37" customFormat="1" hidden="1" x14ac:dyDescent="0.3">
      <c r="A589" s="82">
        <f t="shared" si="72"/>
        <v>3</v>
      </c>
      <c r="B589" s="83"/>
      <c r="C589" s="92"/>
      <c r="D589" s="93"/>
      <c r="E589" s="93"/>
      <c r="F589" s="93"/>
      <c r="G589" s="93"/>
      <c r="H589" s="94"/>
      <c r="I589" s="36"/>
      <c r="N589" s="36"/>
    </row>
    <row r="590" spans="1:20" s="37" customFormat="1" hidden="1" x14ac:dyDescent="0.3">
      <c r="A590" s="82">
        <f t="shared" si="72"/>
        <v>4</v>
      </c>
      <c r="B590" s="83"/>
      <c r="C590" s="42" t="s">
        <v>336</v>
      </c>
      <c r="D590" s="42">
        <f>(3.2*5.65+2.28*3.05+3.05*3.65+3.2*3.33+3*0.95+2.45*1.53+2.5*1.53+2.73*1.23+0.98*3.28+1.1*1.02+1.08*1.02)*10.764</f>
        <v>710.87501160000011</v>
      </c>
      <c r="E590" s="42">
        <f>(2.95*1.22)*10.764</f>
        <v>38.739635999999997</v>
      </c>
      <c r="F590" s="42">
        <f>D590+E590</f>
        <v>749.61464760000013</v>
      </c>
      <c r="G590" s="42">
        <v>0</v>
      </c>
      <c r="H590" s="42">
        <f>F590*(($H$200)+1)+(IF(G590&lt;101,G590,IF(G590&lt;201,G590/2,IF(G590&lt;=301,G590/3,G590/4))))</f>
        <v>1124.4219714000001</v>
      </c>
      <c r="I590" s="36"/>
      <c r="N590" s="36"/>
    </row>
    <row r="591" spans="1:20" s="37" customFormat="1" hidden="1" x14ac:dyDescent="0.3">
      <c r="A591" s="82">
        <f t="shared" si="72"/>
        <v>5</v>
      </c>
      <c r="B591" s="83"/>
      <c r="C591" s="89" t="s">
        <v>324</v>
      </c>
      <c r="D591" s="90"/>
      <c r="E591" s="90"/>
      <c r="F591" s="90"/>
      <c r="G591" s="90"/>
      <c r="H591" s="91"/>
      <c r="I591" s="36"/>
      <c r="N591" s="36"/>
    </row>
    <row r="592" spans="1:20" s="35" customFormat="1" hidden="1" x14ac:dyDescent="0.3">
      <c r="A592" s="82">
        <f t="shared" si="72"/>
        <v>6</v>
      </c>
      <c r="B592" s="83"/>
      <c r="C592" s="92"/>
      <c r="D592" s="93"/>
      <c r="E592" s="93"/>
      <c r="F592" s="93"/>
      <c r="G592" s="93"/>
      <c r="H592" s="94"/>
      <c r="T592" s="37"/>
    </row>
    <row r="593" spans="1:20" s="35" customFormat="1" hidden="1" x14ac:dyDescent="0.3">
      <c r="A593" s="82">
        <f t="shared" si="72"/>
        <v>7</v>
      </c>
      <c r="B593" s="83"/>
      <c r="C593" s="42" t="s">
        <v>336</v>
      </c>
      <c r="D593" s="42">
        <f>(3.2*5.65+2.28*3.05+3.05*3.65+3.2*3.33+3*0.95+2.45*1.53+2.5*1.53+2.73*1.23+0.98*3.28+1.1*1.02+1.08*1.02)*10.764</f>
        <v>710.87501160000011</v>
      </c>
      <c r="E593" s="42">
        <f>(2.95*1.22)*10.764</f>
        <v>38.739635999999997</v>
      </c>
      <c r="F593" s="42">
        <f>D593+E593</f>
        <v>749.61464760000013</v>
      </c>
      <c r="G593" s="42">
        <v>0</v>
      </c>
      <c r="H593" s="42">
        <f>F593*(($H$200)+1)+(IF(G593&lt;101,G593,IF(G593&lt;201,G593/2,IF(G593&lt;=301,G593/3,G593/4))))</f>
        <v>1124.4219714000001</v>
      </c>
      <c r="I593" s="68" t="s">
        <v>359</v>
      </c>
      <c r="T593" s="37"/>
    </row>
    <row r="594" spans="1:20" s="35" customFormat="1" hidden="1" x14ac:dyDescent="0.3">
      <c r="A594" s="82">
        <f t="shared" si="72"/>
        <v>8</v>
      </c>
      <c r="B594" s="83"/>
      <c r="C594" s="82" t="s">
        <v>325</v>
      </c>
      <c r="D594" s="95"/>
      <c r="E594" s="95"/>
      <c r="F594" s="95"/>
      <c r="G594" s="95"/>
      <c r="H594" s="83"/>
      <c r="T594" s="37"/>
    </row>
    <row r="595" spans="1:20" s="35" customFormat="1" hidden="1" x14ac:dyDescent="0.3">
      <c r="A595" s="106" t="s">
        <v>373</v>
      </c>
      <c r="B595" s="106"/>
      <c r="C595" s="106"/>
      <c r="D595" s="106"/>
      <c r="E595" s="106"/>
      <c r="F595" s="106"/>
      <c r="G595" s="106"/>
      <c r="H595" s="106"/>
    </row>
    <row r="596" spans="1:20" s="35" customFormat="1" hidden="1" x14ac:dyDescent="0.3">
      <c r="A596" s="85">
        <v>1</v>
      </c>
      <c r="B596" s="85"/>
      <c r="C596" s="42" t="s">
        <v>321</v>
      </c>
      <c r="D596" s="42">
        <f>(3.65*6.55+3.35*2.45+3.35*4.28+3.65*4.56+3.8*3.35+1.63*1.53+2.45*1.53+1.53*2.45+2.45*1.53+1.23*3.08+1.24*3.35+3.48*1.03+1*1.03+2.73*1.05+1.68*0.62+1.05*0.77)*10.764</f>
        <v>1150.0236072</v>
      </c>
      <c r="E596" s="42">
        <f>(3.65*1.43)*10.764</f>
        <v>56.182697999999995</v>
      </c>
      <c r="F596" s="42">
        <f t="shared" ref="F596:F603" si="73">D596+E596</f>
        <v>1206.2063052000001</v>
      </c>
      <c r="G596" s="42">
        <v>0</v>
      </c>
      <c r="H596" s="42">
        <f t="shared" ref="H596:H603" si="74">F596*(($H$200)+1)+(IF(G596&lt;101,G596,IF(G596&lt;201,G596/2,IF(G596&lt;=301,G596/3,G596/4))))</f>
        <v>1809.3094578</v>
      </c>
    </row>
    <row r="597" spans="1:20" s="35" customFormat="1" hidden="1" x14ac:dyDescent="0.3">
      <c r="A597" s="85">
        <f t="shared" ref="A597:A603" si="75">A596+1</f>
        <v>2</v>
      </c>
      <c r="B597" s="85"/>
      <c r="C597" s="42" t="s">
        <v>321</v>
      </c>
      <c r="D597" s="42">
        <f>(3.65*6.55+3.35*2.45+3.35*4.28+3.65*4.56+3.8*3.35+1.63*1.53+2.45*1.53+1.53*2.45+2.45*1.53+1.23*3.08+1.24*3.35+3.48*1.03+1*1.03+2.73*1.05+1.68*0.62+1.05*0.77)*10.764</f>
        <v>1150.0236072</v>
      </c>
      <c r="E597" s="42">
        <f>(3.65*1.43)*10.764</f>
        <v>56.182697999999995</v>
      </c>
      <c r="F597" s="42">
        <f t="shared" si="73"/>
        <v>1206.2063052000001</v>
      </c>
      <c r="G597" s="42">
        <v>0</v>
      </c>
      <c r="H597" s="42">
        <f t="shared" si="74"/>
        <v>1809.3094578</v>
      </c>
    </row>
    <row r="598" spans="1:20" s="35" customFormat="1" hidden="1" x14ac:dyDescent="0.3">
      <c r="A598" s="85">
        <f t="shared" si="75"/>
        <v>3</v>
      </c>
      <c r="B598" s="85"/>
      <c r="C598" s="42" t="s">
        <v>336</v>
      </c>
      <c r="D598" s="42">
        <f>(3.2*5.65+2.28*3.05+3.05*3.65+3.2*3.33+3*0.95+2.45*1.53+2.5*1.53+2.73*1.23+0.98*3.28+1.1*1.02+1.08*1.02)*10.764</f>
        <v>710.87501160000011</v>
      </c>
      <c r="E598" s="42">
        <f>(2.95*1.22)*10.764</f>
        <v>38.739635999999997</v>
      </c>
      <c r="F598" s="42">
        <f t="shared" si="73"/>
        <v>749.61464760000013</v>
      </c>
      <c r="G598" s="42">
        <v>0</v>
      </c>
      <c r="H598" s="42">
        <f t="shared" si="74"/>
        <v>1124.4219714000001</v>
      </c>
    </row>
    <row r="599" spans="1:20" s="35" customFormat="1" hidden="1" x14ac:dyDescent="0.3">
      <c r="A599" s="85">
        <f t="shared" si="75"/>
        <v>4</v>
      </c>
      <c r="B599" s="85"/>
      <c r="C599" s="42" t="s">
        <v>336</v>
      </c>
      <c r="D599" s="42">
        <f>(3.2*5.65+2.28*3.05+3.05*3.65+3.2*3.33+3*0.95+2.45*1.53+2.5*1.53+2.73*1.23+0.98*3.28+1.1*1.02+1.08*1.02)*10.764</f>
        <v>710.87501160000011</v>
      </c>
      <c r="E599" s="42">
        <f>(2.95*1.22)*10.764</f>
        <v>38.739635999999997</v>
      </c>
      <c r="F599" s="42">
        <f t="shared" si="73"/>
        <v>749.61464760000013</v>
      </c>
      <c r="G599" s="42">
        <v>0</v>
      </c>
      <c r="H599" s="42">
        <f t="shared" si="74"/>
        <v>1124.4219714000001</v>
      </c>
    </row>
    <row r="600" spans="1:20" s="35" customFormat="1" hidden="1" x14ac:dyDescent="0.3">
      <c r="A600" s="85">
        <f t="shared" si="75"/>
        <v>5</v>
      </c>
      <c r="B600" s="85"/>
      <c r="C600" s="42" t="s">
        <v>321</v>
      </c>
      <c r="D600" s="42">
        <f>(3.65*6.55+3.35*2.45+3.35*4.28+3.65*4.56+3.8*3.35+1.63*1.53+2.45*1.53+1.53*2.45+2.45*1.53+1.23*3.08+1.24*3.35+3.48*1.03+1*1.03+2.73*1.05+1.68*0.62+1.05*0.77)*10.764</f>
        <v>1150.0236072</v>
      </c>
      <c r="E600" s="42">
        <f>(3.65*1.43)*10.764</f>
        <v>56.182697999999995</v>
      </c>
      <c r="F600" s="42">
        <f t="shared" si="73"/>
        <v>1206.2063052000001</v>
      </c>
      <c r="G600" s="42">
        <v>0</v>
      </c>
      <c r="H600" s="42">
        <f t="shared" si="74"/>
        <v>1809.3094578</v>
      </c>
    </row>
    <row r="601" spans="1:20" s="35" customFormat="1" hidden="1" x14ac:dyDescent="0.3">
      <c r="A601" s="85">
        <f t="shared" si="75"/>
        <v>6</v>
      </c>
      <c r="B601" s="85"/>
      <c r="C601" s="42" t="s">
        <v>321</v>
      </c>
      <c r="D601" s="42">
        <f>(3.65*6.55+3.35*2.45+3.35*4.28+3.65*4.56+3.8*3.35+1.63*1.53+2.45*1.53+1.53*2.45+2.45*1.53+1.23*3.08+1.24*3.35+3.48*1.03+1*1.03+2.73*1.05+1.68*0.62+1.05*0.77)*10.764</f>
        <v>1150.0236072</v>
      </c>
      <c r="E601" s="42">
        <f>(3.65*1.43)*10.764</f>
        <v>56.182697999999995</v>
      </c>
      <c r="F601" s="42">
        <f t="shared" si="73"/>
        <v>1206.2063052000001</v>
      </c>
      <c r="G601" s="42">
        <v>0</v>
      </c>
      <c r="H601" s="42">
        <f t="shared" si="74"/>
        <v>1809.3094578</v>
      </c>
    </row>
    <row r="602" spans="1:20" s="35" customFormat="1" ht="68.25" hidden="1" customHeight="1" x14ac:dyDescent="0.3">
      <c r="A602" s="85">
        <f t="shared" si="75"/>
        <v>7</v>
      </c>
      <c r="B602" s="85"/>
      <c r="C602" s="42" t="s">
        <v>336</v>
      </c>
      <c r="D602" s="42">
        <f>(3.2*5.65+2.28*3.05+3.05*3.65+3.2*3.33+3*0.95+2.45*1.53+2.5*1.53+2.73*1.23+0.98*3.28+1.1*1.02+1.08*1.02)*10.764</f>
        <v>710.87501160000011</v>
      </c>
      <c r="E602" s="42">
        <f>(2.95*1.22)*10.764</f>
        <v>38.739635999999997</v>
      </c>
      <c r="F602" s="42">
        <f t="shared" si="73"/>
        <v>749.61464760000013</v>
      </c>
      <c r="G602" s="42">
        <v>0</v>
      </c>
      <c r="H602" s="42">
        <f t="shared" si="74"/>
        <v>1124.4219714000001</v>
      </c>
    </row>
    <row r="603" spans="1:20" s="35" customFormat="1" hidden="1" x14ac:dyDescent="0.3">
      <c r="A603" s="85">
        <f t="shared" si="75"/>
        <v>8</v>
      </c>
      <c r="B603" s="85"/>
      <c r="C603" s="42" t="s">
        <v>336</v>
      </c>
      <c r="D603" s="42">
        <f>(3.2*5.65+2.28*3.05+3.05*3.65+3.2*3.33+3*0.95+2.45*1.53+2.5*1.53+2.73*1.23+0.98*3.28+1.1*1.02+1.08*1.02)*10.764</f>
        <v>710.87501160000011</v>
      </c>
      <c r="E603" s="42">
        <f>(2.95*1.22)*10.764</f>
        <v>38.739635999999997</v>
      </c>
      <c r="F603" s="42">
        <f t="shared" si="73"/>
        <v>749.61464760000013</v>
      </c>
      <c r="G603" s="42">
        <v>0</v>
      </c>
      <c r="H603" s="42">
        <f t="shared" si="74"/>
        <v>1124.4219714000001</v>
      </c>
    </row>
    <row r="604" spans="1:20" s="35" customFormat="1" x14ac:dyDescent="0.3">
      <c r="A604" s="211" t="s">
        <v>63</v>
      </c>
      <c r="B604" s="211"/>
      <c r="C604" s="211"/>
      <c r="D604" s="211"/>
      <c r="E604" s="211"/>
      <c r="F604" s="211"/>
      <c r="G604" s="211"/>
      <c r="H604" s="211"/>
    </row>
    <row r="605" spans="1:20" s="35" customFormat="1" x14ac:dyDescent="0.3">
      <c r="A605" s="46" t="s">
        <v>148</v>
      </c>
      <c r="B605" s="259" t="s">
        <v>409</v>
      </c>
      <c r="C605" s="260"/>
      <c r="D605" s="260"/>
      <c r="E605" s="260"/>
      <c r="F605" s="260"/>
      <c r="G605" s="260"/>
      <c r="H605" s="261"/>
      <c r="I605" s="255" t="s">
        <v>405</v>
      </c>
      <c r="J605" s="256"/>
      <c r="K605" s="256"/>
      <c r="L605" s="256"/>
      <c r="M605" s="256"/>
      <c r="N605" s="256"/>
      <c r="O605" s="256"/>
    </row>
    <row r="606" spans="1:20" x14ac:dyDescent="0.3">
      <c r="A606" s="46" t="s">
        <v>148</v>
      </c>
      <c r="B606" s="76" t="str">
        <f>(IF(H199="Saleable area Loading :","We have considered Saleable area of Flats as per our Calculation.","We considered Saleable area of Flat as per Builder area Sheet."))</f>
        <v>We have considered Saleable area of Flats as per our Calculation.</v>
      </c>
      <c r="C606" s="77"/>
      <c r="D606" s="77"/>
      <c r="E606" s="77"/>
      <c r="F606" s="77"/>
      <c r="G606" s="77"/>
      <c r="H606" s="78"/>
      <c r="I606" s="257"/>
      <c r="J606" s="258"/>
      <c r="K606" s="258"/>
      <c r="L606" s="258"/>
      <c r="M606" s="258"/>
      <c r="N606" s="258"/>
      <c r="O606" s="258"/>
      <c r="T606" s="35"/>
    </row>
    <row r="607" spans="1:20" x14ac:dyDescent="0.3">
      <c r="A607" s="46" t="s">
        <v>148</v>
      </c>
      <c r="B607" s="76" t="str">
        <f>(IF(H191="Saleable area Loading :","We have considered Saleable area of Commercial as per our Calculation.","We considered Saleable area of Commercial as per Builder area Sheet."))</f>
        <v>We have considered Saleable area of Commercial as per our Calculation.</v>
      </c>
      <c r="C607" s="77"/>
      <c r="D607" s="77"/>
      <c r="E607" s="77"/>
      <c r="F607" s="77"/>
      <c r="G607" s="77"/>
      <c r="H607" s="78"/>
      <c r="I607" s="76" t="s">
        <v>381</v>
      </c>
      <c r="J607" s="77"/>
      <c r="K607" s="77"/>
      <c r="L607" s="77"/>
      <c r="M607" s="77"/>
      <c r="N607" s="77"/>
      <c r="O607" s="78"/>
      <c r="T607" s="35"/>
    </row>
    <row r="608" spans="1:20" ht="15.75" customHeight="1" x14ac:dyDescent="0.3">
      <c r="A608" s="46" t="s">
        <v>148</v>
      </c>
      <c r="B608" s="99" t="s">
        <v>118</v>
      </c>
      <c r="C608" s="100"/>
      <c r="D608" s="100"/>
      <c r="E608" s="100"/>
      <c r="F608" s="100"/>
      <c r="G608" s="100"/>
      <c r="H608" s="101"/>
      <c r="T608" s="35"/>
    </row>
    <row r="609" spans="1:8" x14ac:dyDescent="0.3">
      <c r="A609" s="46" t="s">
        <v>148</v>
      </c>
      <c r="B609" s="76" t="s">
        <v>355</v>
      </c>
      <c r="C609" s="77"/>
      <c r="D609" s="77"/>
      <c r="E609" s="77"/>
      <c r="F609" s="77"/>
      <c r="G609" s="77"/>
      <c r="H609" s="78"/>
    </row>
    <row r="610" spans="1:8" x14ac:dyDescent="0.3">
      <c r="A610" s="46" t="s">
        <v>148</v>
      </c>
      <c r="B610" s="99" t="s">
        <v>147</v>
      </c>
      <c r="C610" s="100"/>
      <c r="D610" s="100"/>
      <c r="E610" s="100"/>
      <c r="F610" s="100"/>
      <c r="G610" s="100"/>
      <c r="H610" s="101"/>
    </row>
    <row r="611" spans="1:8" ht="39.75" hidden="1" customHeight="1" x14ac:dyDescent="0.3">
      <c r="A611" s="46" t="s">
        <v>148</v>
      </c>
      <c r="B611" s="99" t="s">
        <v>119</v>
      </c>
      <c r="C611" s="100"/>
      <c r="D611" s="100"/>
      <c r="E611" s="100"/>
      <c r="F611" s="100"/>
      <c r="G611" s="100"/>
      <c r="H611" s="101"/>
    </row>
    <row r="612" spans="1:8" ht="33" hidden="1" customHeight="1" x14ac:dyDescent="0.3">
      <c r="A612" s="46" t="s">
        <v>148</v>
      </c>
      <c r="B612" s="99" t="s">
        <v>149</v>
      </c>
      <c r="C612" s="100"/>
      <c r="D612" s="100"/>
      <c r="E612" s="100"/>
      <c r="F612" s="100"/>
      <c r="G612" s="100"/>
      <c r="H612" s="101"/>
    </row>
    <row r="613" spans="1:8" x14ac:dyDescent="0.3">
      <c r="A613" s="46" t="s">
        <v>148</v>
      </c>
      <c r="B613" s="99" t="s">
        <v>120</v>
      </c>
      <c r="C613" s="100"/>
      <c r="D613" s="100"/>
      <c r="E613" s="100"/>
      <c r="F613" s="100"/>
      <c r="G613" s="100"/>
      <c r="H613" s="101"/>
    </row>
    <row r="614" spans="1:8" ht="32.25" hidden="1" customHeight="1" x14ac:dyDescent="0.3">
      <c r="A614" s="46" t="s">
        <v>148</v>
      </c>
      <c r="B614" s="102" t="s">
        <v>174</v>
      </c>
      <c r="C614" s="103"/>
      <c r="D614" s="103"/>
      <c r="E614" s="103"/>
      <c r="F614" s="103"/>
      <c r="G614" s="103"/>
      <c r="H614" s="104"/>
    </row>
    <row r="615" spans="1:8" x14ac:dyDescent="0.3">
      <c r="A615" s="46" t="s">
        <v>148</v>
      </c>
      <c r="B615" s="76" t="s">
        <v>347</v>
      </c>
      <c r="C615" s="77"/>
      <c r="D615" s="77"/>
      <c r="E615" s="77"/>
      <c r="F615" s="77"/>
      <c r="G615" s="77"/>
      <c r="H615" s="78"/>
    </row>
    <row r="616" spans="1:8" ht="35.25" customHeight="1" x14ac:dyDescent="0.3">
      <c r="A616" s="75" t="s">
        <v>148</v>
      </c>
      <c r="B616" s="96" t="s">
        <v>402</v>
      </c>
      <c r="C616" s="97"/>
      <c r="D616" s="97"/>
      <c r="E616" s="97"/>
      <c r="F616" s="97"/>
      <c r="G616" s="97"/>
      <c r="H616" s="98"/>
    </row>
    <row r="617" spans="1:8" ht="34.5" customHeight="1" x14ac:dyDescent="0.3">
      <c r="A617" s="46" t="s">
        <v>148</v>
      </c>
      <c r="B617" s="76" t="s">
        <v>376</v>
      </c>
      <c r="C617" s="77"/>
      <c r="D617" s="77"/>
      <c r="E617" s="77"/>
      <c r="F617" s="77"/>
      <c r="G617" s="77"/>
      <c r="H617" s="78"/>
    </row>
    <row r="618" spans="1:8" x14ac:dyDescent="0.3">
      <c r="A618" s="46" t="s">
        <v>148</v>
      </c>
      <c r="B618" s="76" t="s">
        <v>400</v>
      </c>
      <c r="C618" s="77"/>
      <c r="D618" s="77"/>
      <c r="E618" s="77"/>
      <c r="F618" s="77"/>
      <c r="G618" s="77"/>
      <c r="H618" s="78"/>
    </row>
    <row r="619" spans="1:8" x14ac:dyDescent="0.3">
      <c r="A619" s="210" t="s">
        <v>56</v>
      </c>
      <c r="B619" s="210"/>
      <c r="C619" s="210"/>
      <c r="D619" s="210"/>
      <c r="E619" s="210"/>
      <c r="F619" s="210"/>
      <c r="G619" s="210"/>
      <c r="H619" s="210"/>
    </row>
    <row r="620" spans="1:8" x14ac:dyDescent="0.3">
      <c r="A620" s="126" t="s">
        <v>57</v>
      </c>
      <c r="B620" s="126"/>
      <c r="C620" s="126"/>
      <c r="D620" s="126"/>
      <c r="E620" s="126"/>
      <c r="F620" s="126"/>
      <c r="G620" s="126"/>
      <c r="H620" s="126"/>
    </row>
    <row r="621" spans="1:8" ht="15" customHeight="1" x14ac:dyDescent="0.3">
      <c r="A621" s="212" t="s">
        <v>58</v>
      </c>
      <c r="B621" s="212"/>
      <c r="C621" s="212"/>
      <c r="D621" s="212"/>
      <c r="E621" s="212"/>
      <c r="F621" s="212"/>
      <c r="G621" s="212"/>
      <c r="H621" s="212"/>
    </row>
    <row r="622" spans="1:8" x14ac:dyDescent="0.3">
      <c r="A622" s="126" t="s">
        <v>59</v>
      </c>
      <c r="B622" s="126"/>
      <c r="C622" s="126"/>
      <c r="D622" s="126"/>
      <c r="E622" s="126"/>
      <c r="F622" s="126"/>
      <c r="G622" s="126"/>
      <c r="H622" s="126"/>
    </row>
    <row r="623" spans="1:8" x14ac:dyDescent="0.3">
      <c r="A623" s="126" t="s">
        <v>60</v>
      </c>
      <c r="B623" s="126"/>
      <c r="C623" s="126"/>
      <c r="D623" s="126"/>
      <c r="E623" s="126"/>
      <c r="F623" s="126"/>
      <c r="G623" s="126"/>
      <c r="H623" s="126"/>
    </row>
    <row r="624" spans="1:8" x14ac:dyDescent="0.3">
      <c r="A624" s="126" t="s">
        <v>121</v>
      </c>
      <c r="B624" s="126"/>
      <c r="C624" s="126"/>
      <c r="D624" s="126"/>
      <c r="E624" s="126"/>
      <c r="F624" s="126"/>
      <c r="G624" s="126"/>
      <c r="H624" s="126"/>
    </row>
    <row r="625" spans="1:8" x14ac:dyDescent="0.3">
      <c r="A625" s="161" t="s">
        <v>122</v>
      </c>
      <c r="B625" s="161"/>
      <c r="C625" s="161"/>
      <c r="D625" s="161"/>
      <c r="E625" s="161"/>
      <c r="F625" s="161"/>
      <c r="G625" s="161"/>
      <c r="H625" s="161"/>
    </row>
    <row r="626" spans="1:8" x14ac:dyDescent="0.3">
      <c r="A626" s="209" t="s">
        <v>72</v>
      </c>
      <c r="B626" s="209"/>
      <c r="C626" s="209" t="s">
        <v>407</v>
      </c>
      <c r="D626" s="209"/>
      <c r="E626" s="209" t="s">
        <v>100</v>
      </c>
      <c r="F626" s="209"/>
      <c r="G626" s="209" t="s">
        <v>403</v>
      </c>
      <c r="H626" s="209"/>
    </row>
    <row r="627" spans="1:8" x14ac:dyDescent="0.3">
      <c r="A627" s="208" t="s">
        <v>74</v>
      </c>
      <c r="B627" s="208"/>
      <c r="C627" s="208"/>
      <c r="D627" s="208"/>
      <c r="E627" s="208"/>
      <c r="F627" s="208"/>
      <c r="G627" s="208"/>
      <c r="H627" s="208"/>
    </row>
    <row r="628" spans="1:8" x14ac:dyDescent="0.3">
      <c r="A628" s="208"/>
      <c r="B628" s="208"/>
      <c r="C628" s="208"/>
      <c r="D628" s="208"/>
      <c r="E628" s="208"/>
      <c r="F628" s="208"/>
      <c r="G628" s="208"/>
      <c r="H628" s="208"/>
    </row>
    <row r="629" spans="1:8" x14ac:dyDescent="0.3">
      <c r="A629" s="208"/>
      <c r="B629" s="208"/>
      <c r="C629" s="208"/>
      <c r="D629" s="208"/>
      <c r="E629" s="208"/>
      <c r="F629" s="208"/>
      <c r="G629" s="208"/>
      <c r="H629" s="208"/>
    </row>
    <row r="630" spans="1:8" x14ac:dyDescent="0.3">
      <c r="A630" s="208"/>
      <c r="B630" s="208"/>
      <c r="C630" s="208"/>
      <c r="D630" s="208"/>
      <c r="E630" s="208"/>
      <c r="F630" s="208"/>
      <c r="G630" s="208"/>
      <c r="H630" s="208"/>
    </row>
    <row r="631" spans="1:8" x14ac:dyDescent="0.3">
      <c r="A631" s="38" t="s">
        <v>61</v>
      </c>
      <c r="B631" s="39"/>
      <c r="C631" s="39"/>
      <c r="D631" s="38" t="str">
        <f>E9</f>
        <v>Godrej Reserve Wing 1 to 5</v>
      </c>
      <c r="F631" s="39"/>
      <c r="G631" s="39"/>
      <c r="H631" s="39"/>
    </row>
    <row r="632" spans="1:8" x14ac:dyDescent="0.3">
      <c r="A632" s="39"/>
      <c r="B632" s="39"/>
      <c r="C632" s="39"/>
      <c r="D632" s="39"/>
      <c r="E632" s="39"/>
      <c r="F632" s="39"/>
      <c r="G632" s="39"/>
      <c r="H632" s="39"/>
    </row>
    <row r="633" spans="1:8" x14ac:dyDescent="0.3">
      <c r="A633" s="39"/>
      <c r="B633" s="39"/>
      <c r="C633" s="39"/>
      <c r="D633" s="39"/>
      <c r="E633" s="39"/>
      <c r="F633" s="39"/>
      <c r="G633" s="39"/>
      <c r="H633" s="39"/>
    </row>
    <row r="673" spans="1:9" x14ac:dyDescent="0.3">
      <c r="A673" s="41" t="s">
        <v>159</v>
      </c>
      <c r="B673" s="21"/>
      <c r="C673" s="21"/>
      <c r="D673" s="21"/>
      <c r="E673" s="21"/>
      <c r="F673" s="21"/>
      <c r="G673" s="21"/>
      <c r="H673" s="21"/>
    </row>
    <row r="675" spans="1:9" x14ac:dyDescent="0.3">
      <c r="I675"/>
    </row>
    <row r="715" spans="1:8" x14ac:dyDescent="0.3">
      <c r="A715" s="41" t="s">
        <v>62</v>
      </c>
      <c r="B715" s="21"/>
      <c r="C715" s="21"/>
      <c r="D715" s="21"/>
      <c r="E715" s="21"/>
      <c r="F715" s="21"/>
      <c r="G715" s="21"/>
      <c r="H715" s="21"/>
    </row>
  </sheetData>
  <mergeCells count="1031">
    <mergeCell ref="A144:B144"/>
    <mergeCell ref="A145:B145"/>
    <mergeCell ref="I605:O606"/>
    <mergeCell ref="A146:B146"/>
    <mergeCell ref="C146:H146"/>
    <mergeCell ref="A148:B148"/>
    <mergeCell ref="C148:H148"/>
    <mergeCell ref="A149:B149"/>
    <mergeCell ref="E149:F149"/>
    <mergeCell ref="G149:H149"/>
    <mergeCell ref="A150:B150"/>
    <mergeCell ref="E150:F159"/>
    <mergeCell ref="G150:H159"/>
    <mergeCell ref="A151:B151"/>
    <mergeCell ref="A152:B152"/>
    <mergeCell ref="A153:B153"/>
    <mergeCell ref="A154:B154"/>
    <mergeCell ref="A155:B155"/>
    <mergeCell ref="A156:B156"/>
    <mergeCell ref="A157:B157"/>
    <mergeCell ref="A158:B158"/>
    <mergeCell ref="A159:B159"/>
    <mergeCell ref="A132:B132"/>
    <mergeCell ref="C132:H132"/>
    <mergeCell ref="A134:B134"/>
    <mergeCell ref="I607:O607"/>
    <mergeCell ref="I166:L166"/>
    <mergeCell ref="I365:J365"/>
    <mergeCell ref="I366:J366"/>
    <mergeCell ref="A603:B603"/>
    <mergeCell ref="A595:H595"/>
    <mergeCell ref="A586:H586"/>
    <mergeCell ref="A587:B587"/>
    <mergeCell ref="C587:H589"/>
    <mergeCell ref="A577:H577"/>
    <mergeCell ref="A578:B578"/>
    <mergeCell ref="C578:H580"/>
    <mergeCell ref="A394:B394"/>
    <mergeCell ref="A565:H565"/>
    <mergeCell ref="A566:H566"/>
    <mergeCell ref="A567:H567"/>
    <mergeCell ref="A568:H568"/>
    <mergeCell ref="A569:B569"/>
    <mergeCell ref="C569:H571"/>
    <mergeCell ref="A555:B555"/>
    <mergeCell ref="C553:H553"/>
    <mergeCell ref="A525:B525"/>
    <mergeCell ref="C525:H526"/>
    <mergeCell ref="A526:B526"/>
    <mergeCell ref="A558:B558"/>
    <mergeCell ref="A534:B534"/>
    <mergeCell ref="C534:H535"/>
    <mergeCell ref="A535:B535"/>
    <mergeCell ref="A536:B536"/>
    <mergeCell ref="A537:B537"/>
    <mergeCell ref="A538:H538"/>
    <mergeCell ref="A512:B512"/>
    <mergeCell ref="A513:B513"/>
    <mergeCell ref="A514:B514"/>
    <mergeCell ref="A547:H547"/>
    <mergeCell ref="A596:B596"/>
    <mergeCell ref="A597:B597"/>
    <mergeCell ref="A598:B598"/>
    <mergeCell ref="A599:B599"/>
    <mergeCell ref="A600:B600"/>
    <mergeCell ref="A601:B601"/>
    <mergeCell ref="A602:B602"/>
    <mergeCell ref="A591:B591"/>
    <mergeCell ref="C591:H592"/>
    <mergeCell ref="A592:B592"/>
    <mergeCell ref="A593:B593"/>
    <mergeCell ref="A594:B594"/>
    <mergeCell ref="C594:H594"/>
    <mergeCell ref="A589:B589"/>
    <mergeCell ref="L577:M577"/>
    <mergeCell ref="A590:B590"/>
    <mergeCell ref="L578:M578"/>
    <mergeCell ref="A582:B582"/>
    <mergeCell ref="L583:M583"/>
    <mergeCell ref="A583:B583"/>
    <mergeCell ref="A584:B584"/>
    <mergeCell ref="A585:B585"/>
    <mergeCell ref="C585:H585"/>
    <mergeCell ref="A579:B579"/>
    <mergeCell ref="A580:B580"/>
    <mergeCell ref="A581:B581"/>
    <mergeCell ref="L569:M569"/>
    <mergeCell ref="A572:B572"/>
    <mergeCell ref="L579:M579"/>
    <mergeCell ref="L580:M580"/>
    <mergeCell ref="L581:M581"/>
    <mergeCell ref="L582:M582"/>
    <mergeCell ref="L575:M575"/>
    <mergeCell ref="A588:B588"/>
    <mergeCell ref="L576:M576"/>
    <mergeCell ref="L560:M560"/>
    <mergeCell ref="A573:B573"/>
    <mergeCell ref="C573:H574"/>
    <mergeCell ref="L561:M561"/>
    <mergeCell ref="A574:B574"/>
    <mergeCell ref="L562:M562"/>
    <mergeCell ref="A575:B575"/>
    <mergeCell ref="C575:H576"/>
    <mergeCell ref="L563:M563"/>
    <mergeCell ref="A576:B576"/>
    <mergeCell ref="L564:M564"/>
    <mergeCell ref="L570:M570"/>
    <mergeCell ref="L571:M571"/>
    <mergeCell ref="L572:M572"/>
    <mergeCell ref="A562:B562"/>
    <mergeCell ref="A560:B560"/>
    <mergeCell ref="L573:M573"/>
    <mergeCell ref="L566:M566"/>
    <mergeCell ref="L567:M567"/>
    <mergeCell ref="L568:M568"/>
    <mergeCell ref="L557:M557"/>
    <mergeCell ref="A570:B570"/>
    <mergeCell ref="L558:M558"/>
    <mergeCell ref="A571:B571"/>
    <mergeCell ref="L559:M559"/>
    <mergeCell ref="A386:H386"/>
    <mergeCell ref="L385:M385"/>
    <mergeCell ref="A387:B387"/>
    <mergeCell ref="A388:B388"/>
    <mergeCell ref="A389:B389"/>
    <mergeCell ref="A390:B390"/>
    <mergeCell ref="A391:B391"/>
    <mergeCell ref="A392:B392"/>
    <mergeCell ref="A393:B393"/>
    <mergeCell ref="A563:B563"/>
    <mergeCell ref="A551:B551"/>
    <mergeCell ref="A552:B552"/>
    <mergeCell ref="A553:B553"/>
    <mergeCell ref="A554:B554"/>
    <mergeCell ref="L508:M508"/>
    <mergeCell ref="A521:B521"/>
    <mergeCell ref="A522:B522"/>
    <mergeCell ref="A523:B523"/>
    <mergeCell ref="A524:B524"/>
    <mergeCell ref="L376:M376"/>
    <mergeCell ref="A378:B378"/>
    <mergeCell ref="A379:B379"/>
    <mergeCell ref="A380:B380"/>
    <mergeCell ref="A381:B381"/>
    <mergeCell ref="A382:B382"/>
    <mergeCell ref="A383:B383"/>
    <mergeCell ref="A384:B384"/>
    <mergeCell ref="A385:B385"/>
    <mergeCell ref="C383:H383"/>
    <mergeCell ref="A377:H377"/>
    <mergeCell ref="L367:M367"/>
    <mergeCell ref="A287:B287"/>
    <mergeCell ref="L287:M287"/>
    <mergeCell ref="A288:B288"/>
    <mergeCell ref="L288:M288"/>
    <mergeCell ref="A359:H359"/>
    <mergeCell ref="L358:M358"/>
    <mergeCell ref="A360:B360"/>
    <mergeCell ref="A361:B361"/>
    <mergeCell ref="A312:H312"/>
    <mergeCell ref="A313:H313"/>
    <mergeCell ref="A322:H322"/>
    <mergeCell ref="A315:B315"/>
    <mergeCell ref="A316:B316"/>
    <mergeCell ref="A314:B314"/>
    <mergeCell ref="C314:H315"/>
    <mergeCell ref="A320:B320"/>
    <mergeCell ref="A331:H331"/>
    <mergeCell ref="A332:B332"/>
    <mergeCell ref="C332:H333"/>
    <mergeCell ref="A362:B362"/>
    <mergeCell ref="A363:B363"/>
    <mergeCell ref="A364:B364"/>
    <mergeCell ref="C364:H365"/>
    <mergeCell ref="L333:M333"/>
    <mergeCell ref="A334:B334"/>
    <mergeCell ref="L273:M273"/>
    <mergeCell ref="A282:H282"/>
    <mergeCell ref="A283:B283"/>
    <mergeCell ref="L283:M283"/>
    <mergeCell ref="A284:B284"/>
    <mergeCell ref="L284:M284"/>
    <mergeCell ref="A285:B285"/>
    <mergeCell ref="L285:M285"/>
    <mergeCell ref="A286:B286"/>
    <mergeCell ref="L286:M286"/>
    <mergeCell ref="L334:M334"/>
    <mergeCell ref="L324:M324"/>
    <mergeCell ref="A324:B324"/>
    <mergeCell ref="L323:M323"/>
    <mergeCell ref="C323:H324"/>
    <mergeCell ref="A323:B323"/>
    <mergeCell ref="A329:B329"/>
    <mergeCell ref="L329:M329"/>
    <mergeCell ref="A330:B330"/>
    <mergeCell ref="C330:H330"/>
    <mergeCell ref="L317:M317"/>
    <mergeCell ref="L275:M275"/>
    <mergeCell ref="L269:M269"/>
    <mergeCell ref="A270:B270"/>
    <mergeCell ref="L270:M270"/>
    <mergeCell ref="A271:B271"/>
    <mergeCell ref="L271:M271"/>
    <mergeCell ref="A272:B272"/>
    <mergeCell ref="L272:M272"/>
    <mergeCell ref="L332:M332"/>
    <mergeCell ref="L330:M330"/>
    <mergeCell ref="A325:B325"/>
    <mergeCell ref="L325:M325"/>
    <mergeCell ref="A326:B326"/>
    <mergeCell ref="L326:M326"/>
    <mergeCell ref="A327:B327"/>
    <mergeCell ref="L327:M327"/>
    <mergeCell ref="A328:B328"/>
    <mergeCell ref="L328:M328"/>
    <mergeCell ref="C318:H321"/>
    <mergeCell ref="L314:M314"/>
    <mergeCell ref="L315:M315"/>
    <mergeCell ref="L316:M316"/>
    <mergeCell ref="A317:B317"/>
    <mergeCell ref="L320:M320"/>
    <mergeCell ref="L321:M321"/>
    <mergeCell ref="A78:B78"/>
    <mergeCell ref="C78:H78"/>
    <mergeCell ref="A79:B79"/>
    <mergeCell ref="E79:F79"/>
    <mergeCell ref="E43:H43"/>
    <mergeCell ref="A43:D43"/>
    <mergeCell ref="G59:H59"/>
    <mergeCell ref="G52:H52"/>
    <mergeCell ref="L268:M268"/>
    <mergeCell ref="A220:H220"/>
    <mergeCell ref="C59:E59"/>
    <mergeCell ref="C56:H56"/>
    <mergeCell ref="A170:E170"/>
    <mergeCell ref="F170:H170"/>
    <mergeCell ref="A263:H263"/>
    <mergeCell ref="A264:H264"/>
    <mergeCell ref="A265:H265"/>
    <mergeCell ref="A266:H266"/>
    <mergeCell ref="A267:H267"/>
    <mergeCell ref="A166:E166"/>
    <mergeCell ref="F166:H166"/>
    <mergeCell ref="E183:F183"/>
    <mergeCell ref="A203:H203"/>
    <mergeCell ref="A250:B250"/>
    <mergeCell ref="I11:L11"/>
    <mergeCell ref="G79:H79"/>
    <mergeCell ref="A80:B80"/>
    <mergeCell ref="E80:F89"/>
    <mergeCell ref="G80:H89"/>
    <mergeCell ref="A81:B81"/>
    <mergeCell ref="A82:B82"/>
    <mergeCell ref="A83:B83"/>
    <mergeCell ref="A84:B84"/>
    <mergeCell ref="A85:B85"/>
    <mergeCell ref="A86:B86"/>
    <mergeCell ref="A87:B87"/>
    <mergeCell ref="A88:B88"/>
    <mergeCell ref="A89:B89"/>
    <mergeCell ref="A76:B76"/>
    <mergeCell ref="C76:H76"/>
    <mergeCell ref="A53:B54"/>
    <mergeCell ref="A64:C64"/>
    <mergeCell ref="D64:H64"/>
    <mergeCell ref="C50:E50"/>
    <mergeCell ref="C54:E54"/>
    <mergeCell ref="G54:H54"/>
    <mergeCell ref="G50:H50"/>
    <mergeCell ref="G53:H53"/>
    <mergeCell ref="L544:M544"/>
    <mergeCell ref="A533:B533"/>
    <mergeCell ref="L517:M517"/>
    <mergeCell ref="A548:B548"/>
    <mergeCell ref="A549:B549"/>
    <mergeCell ref="A550:B550"/>
    <mergeCell ref="A539:B539"/>
    <mergeCell ref="A540:B540"/>
    <mergeCell ref="A541:B541"/>
    <mergeCell ref="A542:B542"/>
    <mergeCell ref="A543:B543"/>
    <mergeCell ref="A544:B544"/>
    <mergeCell ref="A545:B545"/>
    <mergeCell ref="A546:B546"/>
    <mergeCell ref="L526:M526"/>
    <mergeCell ref="A511:H511"/>
    <mergeCell ref="A515:B515"/>
    <mergeCell ref="A508:B508"/>
    <mergeCell ref="L535:M535"/>
    <mergeCell ref="L494:M494"/>
    <mergeCell ref="A506:B506"/>
    <mergeCell ref="C506:H507"/>
    <mergeCell ref="L495:M495"/>
    <mergeCell ref="A507:B507"/>
    <mergeCell ref="L496:M496"/>
    <mergeCell ref="A505:B505"/>
    <mergeCell ref="A509:B509"/>
    <mergeCell ref="A227:B227"/>
    <mergeCell ref="A235:H235"/>
    <mergeCell ref="A216:B216"/>
    <mergeCell ref="L488:M488"/>
    <mergeCell ref="A500:B500"/>
    <mergeCell ref="A268:B268"/>
    <mergeCell ref="A273:B273"/>
    <mergeCell ref="C273:H273"/>
    <mergeCell ref="A370:B370"/>
    <mergeCell ref="A371:B371"/>
    <mergeCell ref="A372:B372"/>
    <mergeCell ref="A373:B373"/>
    <mergeCell ref="A365:B365"/>
    <mergeCell ref="A366:B366"/>
    <mergeCell ref="A367:B367"/>
    <mergeCell ref="A368:H368"/>
    <mergeCell ref="A369:B369"/>
    <mergeCell ref="A374:B374"/>
    <mergeCell ref="A375:B375"/>
    <mergeCell ref="A376:B376"/>
    <mergeCell ref="L498:M498"/>
    <mergeCell ref="L485:M485"/>
    <mergeCell ref="L486:M486"/>
    <mergeCell ref="L479:M479"/>
    <mergeCell ref="A436:B436"/>
    <mergeCell ref="A437:B437"/>
    <mergeCell ref="A438:B438"/>
    <mergeCell ref="A439:B439"/>
    <mergeCell ref="A440:B440"/>
    <mergeCell ref="C440:H441"/>
    <mergeCell ref="A516:B516"/>
    <mergeCell ref="C509:H509"/>
    <mergeCell ref="A532:B532"/>
    <mergeCell ref="A531:B531"/>
    <mergeCell ref="A517:B517"/>
    <mergeCell ref="A518:B518"/>
    <mergeCell ref="A519:B519"/>
    <mergeCell ref="A520:H520"/>
    <mergeCell ref="A527:B527"/>
    <mergeCell ref="A528:B528"/>
    <mergeCell ref="A529:H529"/>
    <mergeCell ref="A510:H510"/>
    <mergeCell ref="A530:B530"/>
    <mergeCell ref="A501:H501"/>
    <mergeCell ref="A502:B502"/>
    <mergeCell ref="C502:H504"/>
    <mergeCell ref="A503:B503"/>
    <mergeCell ref="A504:B504"/>
    <mergeCell ref="A492:H492"/>
    <mergeCell ref="C493:H495"/>
    <mergeCell ref="C488:H489"/>
    <mergeCell ref="A489:B489"/>
    <mergeCell ref="L489:M489"/>
    <mergeCell ref="L491:M491"/>
    <mergeCell ref="L492:M492"/>
    <mergeCell ref="L493:M493"/>
    <mergeCell ref="C500:H500"/>
    <mergeCell ref="C490:H491"/>
    <mergeCell ref="A490:B490"/>
    <mergeCell ref="A491:B491"/>
    <mergeCell ref="A496:B496"/>
    <mergeCell ref="A497:B497"/>
    <mergeCell ref="L497:M497"/>
    <mergeCell ref="A498:B498"/>
    <mergeCell ref="L499:M499"/>
    <mergeCell ref="A499:B499"/>
    <mergeCell ref="A493:B493"/>
    <mergeCell ref="A494:B494"/>
    <mergeCell ref="A495:B495"/>
    <mergeCell ref="A449:B449"/>
    <mergeCell ref="A450:B450"/>
    <mergeCell ref="A453:H453"/>
    <mergeCell ref="A470:B470"/>
    <mergeCell ref="L487:M487"/>
    <mergeCell ref="A452:B452"/>
    <mergeCell ref="C449:H450"/>
    <mergeCell ref="L478:M478"/>
    <mergeCell ref="A487:B487"/>
    <mergeCell ref="A483:H483"/>
    <mergeCell ref="C484:H486"/>
    <mergeCell ref="L482:M482"/>
    <mergeCell ref="A472:B472"/>
    <mergeCell ref="L483:M483"/>
    <mergeCell ref="L484:M484"/>
    <mergeCell ref="A424:B424"/>
    <mergeCell ref="L414:M414"/>
    <mergeCell ref="C421:H422"/>
    <mergeCell ref="A419:B419"/>
    <mergeCell ref="A480:H480"/>
    <mergeCell ref="A481:H481"/>
    <mergeCell ref="A482:H482"/>
    <mergeCell ref="A462:H462"/>
    <mergeCell ref="A471:H471"/>
    <mergeCell ref="L433:M433"/>
    <mergeCell ref="A442:B442"/>
    <mergeCell ref="A443:B443"/>
    <mergeCell ref="A426:H426"/>
    <mergeCell ref="A427:B427"/>
    <mergeCell ref="L480:M480"/>
    <mergeCell ref="L424:M424"/>
    <mergeCell ref="A433:B433"/>
    <mergeCell ref="A434:B434"/>
    <mergeCell ref="A420:B420"/>
    <mergeCell ref="A469:B469"/>
    <mergeCell ref="A445:B445"/>
    <mergeCell ref="A446:B446"/>
    <mergeCell ref="A447:B447"/>
    <mergeCell ref="A448:B448"/>
    <mergeCell ref="A421:B421"/>
    <mergeCell ref="L411:M411"/>
    <mergeCell ref="A422:B422"/>
    <mergeCell ref="L412:M412"/>
    <mergeCell ref="A488:B488"/>
    <mergeCell ref="L473:M473"/>
    <mergeCell ref="L474:M474"/>
    <mergeCell ref="L475:M475"/>
    <mergeCell ref="L476:M476"/>
    <mergeCell ref="L477:M477"/>
    <mergeCell ref="A454:B454"/>
    <mergeCell ref="A455:B455"/>
    <mergeCell ref="A456:B456"/>
    <mergeCell ref="A457:B457"/>
    <mergeCell ref="A458:B458"/>
    <mergeCell ref="A459:B459"/>
    <mergeCell ref="A460:B460"/>
    <mergeCell ref="A461:B461"/>
    <mergeCell ref="A484:B484"/>
    <mergeCell ref="A485:B485"/>
    <mergeCell ref="A486:B486"/>
    <mergeCell ref="L442:M442"/>
    <mergeCell ref="A451:B451"/>
    <mergeCell ref="A423:B423"/>
    <mergeCell ref="L402:M402"/>
    <mergeCell ref="A413:B413"/>
    <mergeCell ref="L403:M403"/>
    <mergeCell ref="A416:H416"/>
    <mergeCell ref="A414:B414"/>
    <mergeCell ref="L404:M404"/>
    <mergeCell ref="A415:B415"/>
    <mergeCell ref="L405:M405"/>
    <mergeCell ref="L415:M415"/>
    <mergeCell ref="L409:M409"/>
    <mergeCell ref="C399:H402"/>
    <mergeCell ref="C403:H404"/>
    <mergeCell ref="C408:H410"/>
    <mergeCell ref="A403:B403"/>
    <mergeCell ref="L410:M410"/>
    <mergeCell ref="L413:M413"/>
    <mergeCell ref="L400:M400"/>
    <mergeCell ref="A406:B406"/>
    <mergeCell ref="L335:M335"/>
    <mergeCell ref="A346:B346"/>
    <mergeCell ref="A347:B347"/>
    <mergeCell ref="A349:B349"/>
    <mergeCell ref="A348:B348"/>
    <mergeCell ref="A337:B337"/>
    <mergeCell ref="L337:M337"/>
    <mergeCell ref="A341:H341"/>
    <mergeCell ref="L340:M340"/>
    <mergeCell ref="A342:B342"/>
    <mergeCell ref="A340:H340"/>
    <mergeCell ref="L336:M336"/>
    <mergeCell ref="L349:M349"/>
    <mergeCell ref="A395:H395"/>
    <mergeCell ref="A396:H396"/>
    <mergeCell ref="A335:B335"/>
    <mergeCell ref="A269:B269"/>
    <mergeCell ref="A333:B333"/>
    <mergeCell ref="C336:H337"/>
    <mergeCell ref="A336:B336"/>
    <mergeCell ref="A350:H350"/>
    <mergeCell ref="A351:B351"/>
    <mergeCell ref="A352:B352"/>
    <mergeCell ref="A353:B353"/>
    <mergeCell ref="A354:B354"/>
    <mergeCell ref="A321:B321"/>
    <mergeCell ref="C268:H270"/>
    <mergeCell ref="A274:H274"/>
    <mergeCell ref="A275:B275"/>
    <mergeCell ref="C275:H277"/>
    <mergeCell ref="A276:B276"/>
    <mergeCell ref="A281:H281"/>
    <mergeCell ref="A289:H289"/>
    <mergeCell ref="A290:B290"/>
    <mergeCell ref="A295:B295"/>
    <mergeCell ref="A300:B300"/>
    <mergeCell ref="C300:H301"/>
    <mergeCell ref="A251:B251"/>
    <mergeCell ref="A252:B252"/>
    <mergeCell ref="A253:B253"/>
    <mergeCell ref="A254:B254"/>
    <mergeCell ref="A258:B258"/>
    <mergeCell ref="A259:B259"/>
    <mergeCell ref="A260:B260"/>
    <mergeCell ref="A261:B261"/>
    <mergeCell ref="A262:B262"/>
    <mergeCell ref="A255:B255"/>
    <mergeCell ref="A256:H256"/>
    <mergeCell ref="C261:H261"/>
    <mergeCell ref="F172:H172"/>
    <mergeCell ref="F169:H169"/>
    <mergeCell ref="A190:H190"/>
    <mergeCell ref="G176:H176"/>
    <mergeCell ref="A171:E171"/>
    <mergeCell ref="A195:B195"/>
    <mergeCell ref="A61:B61"/>
    <mergeCell ref="C61:E61"/>
    <mergeCell ref="D63:H63"/>
    <mergeCell ref="F171:H171"/>
    <mergeCell ref="E176:F176"/>
    <mergeCell ref="A176:B176"/>
    <mergeCell ref="A178:B178"/>
    <mergeCell ref="C181:D181"/>
    <mergeCell ref="D73:H73"/>
    <mergeCell ref="A74:C74"/>
    <mergeCell ref="A169:E169"/>
    <mergeCell ref="F163:H163"/>
    <mergeCell ref="A168:E168"/>
    <mergeCell ref="A125:B125"/>
    <mergeCell ref="A126:B126"/>
    <mergeCell ref="E108:F117"/>
    <mergeCell ref="A115:B115"/>
    <mergeCell ref="A116:B116"/>
    <mergeCell ref="A52:B52"/>
    <mergeCell ref="A62:H62"/>
    <mergeCell ref="A63:C63"/>
    <mergeCell ref="A51:B51"/>
    <mergeCell ref="C51:E51"/>
    <mergeCell ref="G51:H51"/>
    <mergeCell ref="C60:E60"/>
    <mergeCell ref="G60:H60"/>
    <mergeCell ref="G61:H61"/>
    <mergeCell ref="A55:B56"/>
    <mergeCell ref="C55:E55"/>
    <mergeCell ref="G55:H55"/>
    <mergeCell ref="A57:B58"/>
    <mergeCell ref="C57:E57"/>
    <mergeCell ref="G57:H57"/>
    <mergeCell ref="A59:B60"/>
    <mergeCell ref="C52:E52"/>
    <mergeCell ref="A226:B226"/>
    <mergeCell ref="A223:B223"/>
    <mergeCell ref="A224:B224"/>
    <mergeCell ref="A400:B400"/>
    <mergeCell ref="D66:H66"/>
    <mergeCell ref="D67:H67"/>
    <mergeCell ref="A257:B257"/>
    <mergeCell ref="A242:H242"/>
    <mergeCell ref="A233:B233"/>
    <mergeCell ref="A234:B234"/>
    <mergeCell ref="A243:B243"/>
    <mergeCell ref="A244:B244"/>
    <mergeCell ref="A245:B245"/>
    <mergeCell ref="A246:B246"/>
    <mergeCell ref="A247:B247"/>
    <mergeCell ref="A248:B248"/>
    <mergeCell ref="A249:H249"/>
    <mergeCell ref="E107:F107"/>
    <mergeCell ref="G107:H107"/>
    <mergeCell ref="A167:E167"/>
    <mergeCell ref="F167:H167"/>
    <mergeCell ref="E121:F121"/>
    <mergeCell ref="E122:F131"/>
    <mergeCell ref="G108:H117"/>
    <mergeCell ref="A624:H624"/>
    <mergeCell ref="A621:H621"/>
    <mergeCell ref="A222:B222"/>
    <mergeCell ref="A181:B181"/>
    <mergeCell ref="D199:D200"/>
    <mergeCell ref="E199:E200"/>
    <mergeCell ref="A112:B112"/>
    <mergeCell ref="A113:B113"/>
    <mergeCell ref="A114:B114"/>
    <mergeCell ref="A128:B128"/>
    <mergeCell ref="F161:H161"/>
    <mergeCell ref="G177:H177"/>
    <mergeCell ref="A131:B131"/>
    <mergeCell ref="F168:H168"/>
    <mergeCell ref="C176:D176"/>
    <mergeCell ref="C187:D187"/>
    <mergeCell ref="A206:H206"/>
    <mergeCell ref="A241:B241"/>
    <mergeCell ref="C239:H240"/>
    <mergeCell ref="A237:B237"/>
    <mergeCell ref="A238:B238"/>
    <mergeCell ref="A239:B239"/>
    <mergeCell ref="A240:B240"/>
    <mergeCell ref="A124:B124"/>
    <mergeCell ref="A109:B109"/>
    <mergeCell ref="A110:B110"/>
    <mergeCell ref="A111:B111"/>
    <mergeCell ref="F162:H162"/>
    <mergeCell ref="A117:B117"/>
    <mergeCell ref="A122:B122"/>
    <mergeCell ref="C120:H120"/>
    <mergeCell ref="A121:B121"/>
    <mergeCell ref="A123:B123"/>
    <mergeCell ref="A130:B130"/>
    <mergeCell ref="C134:H134"/>
    <mergeCell ref="A135:B135"/>
    <mergeCell ref="E135:F135"/>
    <mergeCell ref="G135:H135"/>
    <mergeCell ref="A136:B136"/>
    <mergeCell ref="E136:F145"/>
    <mergeCell ref="G136:H145"/>
    <mergeCell ref="A137:B137"/>
    <mergeCell ref="A138:B138"/>
    <mergeCell ref="A139:B139"/>
    <mergeCell ref="A140:B140"/>
    <mergeCell ref="A141:B141"/>
    <mergeCell ref="A142:B142"/>
    <mergeCell ref="A143:B143"/>
    <mergeCell ref="A11:D11"/>
    <mergeCell ref="E11:H11"/>
    <mergeCell ref="F165:H165"/>
    <mergeCell ref="A165:E165"/>
    <mergeCell ref="E187:F187"/>
    <mergeCell ref="E188:F188"/>
    <mergeCell ref="A627:H630"/>
    <mergeCell ref="A626:B626"/>
    <mergeCell ref="E626:F626"/>
    <mergeCell ref="C626:D626"/>
    <mergeCell ref="G626:H626"/>
    <mergeCell ref="A622:H622"/>
    <mergeCell ref="A625:H625"/>
    <mergeCell ref="A623:H623"/>
    <mergeCell ref="A619:H619"/>
    <mergeCell ref="A620:H620"/>
    <mergeCell ref="A604:H604"/>
    <mergeCell ref="A556:H556"/>
    <mergeCell ref="B610:H610"/>
    <mergeCell ref="A564:B564"/>
    <mergeCell ref="A561:B561"/>
    <mergeCell ref="A557:B557"/>
    <mergeCell ref="A207:B207"/>
    <mergeCell ref="A197:B197"/>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3:D24"/>
    <mergeCell ref="E23:H24"/>
    <mergeCell ref="E15:H15"/>
    <mergeCell ref="A16:B16"/>
    <mergeCell ref="C16:H16"/>
    <mergeCell ref="C17:H17"/>
    <mergeCell ref="A18:B18"/>
    <mergeCell ref="C18:H18"/>
    <mergeCell ref="A13:D13"/>
    <mergeCell ref="E13:H13"/>
    <mergeCell ref="E14:H14"/>
    <mergeCell ref="A15:D15"/>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22:H131"/>
    <mergeCell ref="A42:D42"/>
    <mergeCell ref="E42:H42"/>
    <mergeCell ref="A41:H41"/>
    <mergeCell ref="A69:C69"/>
    <mergeCell ref="A70:C70"/>
    <mergeCell ref="D69:H69"/>
    <mergeCell ref="E94:F103"/>
    <mergeCell ref="G94:H103"/>
    <mergeCell ref="A102:B102"/>
    <mergeCell ref="A103:B103"/>
    <mergeCell ref="D70:H70"/>
    <mergeCell ref="A44:D44"/>
    <mergeCell ref="E44:H44"/>
    <mergeCell ref="E45:H45"/>
    <mergeCell ref="E46:H46"/>
    <mergeCell ref="A107:B107"/>
    <mergeCell ref="E47:H47"/>
    <mergeCell ref="C58:H58"/>
    <mergeCell ref="A106:B106"/>
    <mergeCell ref="A39:B39"/>
    <mergeCell ref="C39:H39"/>
    <mergeCell ref="A46:D46"/>
    <mergeCell ref="L197:M197"/>
    <mergeCell ref="L196:M196"/>
    <mergeCell ref="L195:M195"/>
    <mergeCell ref="L194:M194"/>
    <mergeCell ref="A101:B101"/>
    <mergeCell ref="C182:D182"/>
    <mergeCell ref="E182:F182"/>
    <mergeCell ref="G182:H182"/>
    <mergeCell ref="A161:E161"/>
    <mergeCell ref="A118:B118"/>
    <mergeCell ref="C118:H118"/>
    <mergeCell ref="A193:H193"/>
    <mergeCell ref="E191:E192"/>
    <mergeCell ref="A108:B108"/>
    <mergeCell ref="A47:D47"/>
    <mergeCell ref="A48:H48"/>
    <mergeCell ref="D65:H65"/>
    <mergeCell ref="A65:C65"/>
    <mergeCell ref="A100:B100"/>
    <mergeCell ref="C106:H106"/>
    <mergeCell ref="A45:D45"/>
    <mergeCell ref="C49:H49"/>
    <mergeCell ref="A93:B93"/>
    <mergeCell ref="A49:B49"/>
    <mergeCell ref="A92:B92"/>
    <mergeCell ref="A90:B90"/>
    <mergeCell ref="C90:H90"/>
    <mergeCell ref="A98:B98"/>
    <mergeCell ref="A71:C71"/>
    <mergeCell ref="D71:H71"/>
    <mergeCell ref="C92:H92"/>
    <mergeCell ref="A95:B95"/>
    <mergeCell ref="A97:B97"/>
    <mergeCell ref="E93:F93"/>
    <mergeCell ref="A72:C72"/>
    <mergeCell ref="D72:H72"/>
    <mergeCell ref="A75:C75"/>
    <mergeCell ref="D75:H75"/>
    <mergeCell ref="A73:C73"/>
    <mergeCell ref="D74:H74"/>
    <mergeCell ref="A94:B94"/>
    <mergeCell ref="G93:H93"/>
    <mergeCell ref="D68:H68"/>
    <mergeCell ref="C53:E53"/>
    <mergeCell ref="A66:C68"/>
    <mergeCell ref="A50:B50"/>
    <mergeCell ref="A40:B40"/>
    <mergeCell ref="C40:H40"/>
    <mergeCell ref="F191:F192"/>
    <mergeCell ref="C177:D177"/>
    <mergeCell ref="E177:F177"/>
    <mergeCell ref="B191:B192"/>
    <mergeCell ref="A191:A192"/>
    <mergeCell ref="A96:B96"/>
    <mergeCell ref="A175:H175"/>
    <mergeCell ref="A173:E173"/>
    <mergeCell ref="F173:H173"/>
    <mergeCell ref="A174:E174"/>
    <mergeCell ref="F174:H174"/>
    <mergeCell ref="A162:E162"/>
    <mergeCell ref="A164:E164"/>
    <mergeCell ref="A127:B127"/>
    <mergeCell ref="A129:B129"/>
    <mergeCell ref="A104:B104"/>
    <mergeCell ref="C104:H104"/>
    <mergeCell ref="A99:B99"/>
    <mergeCell ref="G121:H121"/>
    <mergeCell ref="G191:G192"/>
    <mergeCell ref="F160:H160"/>
    <mergeCell ref="C207:H208"/>
    <mergeCell ref="A213:H213"/>
    <mergeCell ref="A214:B214"/>
    <mergeCell ref="C212:H212"/>
    <mergeCell ref="L210:M210"/>
    <mergeCell ref="L207:M207"/>
    <mergeCell ref="A208:B208"/>
    <mergeCell ref="A212:B212"/>
    <mergeCell ref="L208:M208"/>
    <mergeCell ref="A209:B209"/>
    <mergeCell ref="L209:M209"/>
    <mergeCell ref="A210:B210"/>
    <mergeCell ref="A163:E163"/>
    <mergeCell ref="A160:E160"/>
    <mergeCell ref="F164:H164"/>
    <mergeCell ref="A120:B120"/>
    <mergeCell ref="A184:B184"/>
    <mergeCell ref="C184:D184"/>
    <mergeCell ref="E184:F184"/>
    <mergeCell ref="A310:H310"/>
    <mergeCell ref="A311:H311"/>
    <mergeCell ref="A172:E172"/>
    <mergeCell ref="G187:H187"/>
    <mergeCell ref="C178:D178"/>
    <mergeCell ref="E178:F178"/>
    <mergeCell ref="G178:H178"/>
    <mergeCell ref="A179:B179"/>
    <mergeCell ref="C179:D179"/>
    <mergeCell ref="E179:F179"/>
    <mergeCell ref="G179:H179"/>
    <mergeCell ref="A185:B185"/>
    <mergeCell ref="C185:D185"/>
    <mergeCell ref="E185:F185"/>
    <mergeCell ref="G185:H185"/>
    <mergeCell ref="G188:H188"/>
    <mergeCell ref="A201:H201"/>
    <mergeCell ref="A182:B182"/>
    <mergeCell ref="A188:B188"/>
    <mergeCell ref="C188:D188"/>
    <mergeCell ref="A177:B177"/>
    <mergeCell ref="A180:H180"/>
    <mergeCell ref="G181:H181"/>
    <mergeCell ref="C191:C192"/>
    <mergeCell ref="B199:B200"/>
    <mergeCell ref="D191:D192"/>
    <mergeCell ref="E181:F181"/>
    <mergeCell ref="A189:H189"/>
    <mergeCell ref="A199:A200"/>
    <mergeCell ref="F199:F200"/>
    <mergeCell ref="A186:B186"/>
    <mergeCell ref="C186:D186"/>
    <mergeCell ref="E186:F186"/>
    <mergeCell ref="G186:H186"/>
    <mergeCell ref="G183:H183"/>
    <mergeCell ref="A183:B183"/>
    <mergeCell ref="C183:D183"/>
    <mergeCell ref="A202:H202"/>
    <mergeCell ref="A205:H205"/>
    <mergeCell ref="A194:B194"/>
    <mergeCell ref="G184:H184"/>
    <mergeCell ref="C199:C200"/>
    <mergeCell ref="G199:G200"/>
    <mergeCell ref="A187:B187"/>
    <mergeCell ref="A196:B196"/>
    <mergeCell ref="A198:H198"/>
    <mergeCell ref="A204:H204"/>
    <mergeCell ref="B606:H606"/>
    <mergeCell ref="C217:H218"/>
    <mergeCell ref="A473:B473"/>
    <mergeCell ref="A474:B474"/>
    <mergeCell ref="A475:B475"/>
    <mergeCell ref="A476:B476"/>
    <mergeCell ref="A477:B477"/>
    <mergeCell ref="A478:B478"/>
    <mergeCell ref="C476:H476"/>
    <mergeCell ref="A463:B463"/>
    <mergeCell ref="A464:B464"/>
    <mergeCell ref="A465:B465"/>
    <mergeCell ref="A466:B466"/>
    <mergeCell ref="A467:B467"/>
    <mergeCell ref="A468:B468"/>
    <mergeCell ref="A217:B217"/>
    <mergeCell ref="A218:B218"/>
    <mergeCell ref="A219:B219"/>
    <mergeCell ref="C219:H219"/>
    <mergeCell ref="A236:B236"/>
    <mergeCell ref="A228:H228"/>
    <mergeCell ref="A229:B229"/>
    <mergeCell ref="A230:B230"/>
    <mergeCell ref="A231:B231"/>
    <mergeCell ref="A221:H221"/>
    <mergeCell ref="L212:M212"/>
    <mergeCell ref="L214:M214"/>
    <mergeCell ref="L215:M215"/>
    <mergeCell ref="L211:M211"/>
    <mergeCell ref="L216:M216"/>
    <mergeCell ref="C214:H215"/>
    <mergeCell ref="B605:H605"/>
    <mergeCell ref="L451:M451"/>
    <mergeCell ref="A215:B215"/>
    <mergeCell ref="A211:B211"/>
    <mergeCell ref="L256:M256"/>
    <mergeCell ref="L242:M242"/>
    <mergeCell ref="L249:M249"/>
    <mergeCell ref="L217:M217"/>
    <mergeCell ref="L218:M218"/>
    <mergeCell ref="L219:M219"/>
    <mergeCell ref="L235:M235"/>
    <mergeCell ref="L228:M228"/>
    <mergeCell ref="A232:B232"/>
    <mergeCell ref="C232:H233"/>
    <mergeCell ref="L221:M221"/>
    <mergeCell ref="A225:B225"/>
    <mergeCell ref="A399:B399"/>
    <mergeCell ref="L460:M460"/>
    <mergeCell ref="A404:B404"/>
    <mergeCell ref="A441:B441"/>
    <mergeCell ref="A444:H444"/>
    <mergeCell ref="A397:H397"/>
    <mergeCell ref="A407:H407"/>
    <mergeCell ref="A408:B408"/>
    <mergeCell ref="A428:B428"/>
    <mergeCell ref="A429:B429"/>
    <mergeCell ref="A430:B430"/>
    <mergeCell ref="A431:B431"/>
    <mergeCell ref="A432:B432"/>
    <mergeCell ref="A435:H435"/>
    <mergeCell ref="A425:H425"/>
    <mergeCell ref="A401:B401"/>
    <mergeCell ref="A402:B402"/>
    <mergeCell ref="A417:B417"/>
    <mergeCell ref="C417:H419"/>
    <mergeCell ref="L407:M407"/>
    <mergeCell ref="A418:B418"/>
    <mergeCell ref="L408:M408"/>
    <mergeCell ref="A411:B411"/>
    <mergeCell ref="L401:M401"/>
    <mergeCell ref="A412:B412"/>
    <mergeCell ref="A318:B318"/>
    <mergeCell ref="L318:M318"/>
    <mergeCell ref="A319:B319"/>
    <mergeCell ref="L319:M319"/>
    <mergeCell ref="B617:H617"/>
    <mergeCell ref="A479:B479"/>
    <mergeCell ref="B616:H616"/>
    <mergeCell ref="A355:B355"/>
    <mergeCell ref="A357:B357"/>
    <mergeCell ref="C355:H356"/>
    <mergeCell ref="A356:B356"/>
    <mergeCell ref="A358:B358"/>
    <mergeCell ref="B615:H615"/>
    <mergeCell ref="B612:H612"/>
    <mergeCell ref="B614:H614"/>
    <mergeCell ref="A559:B559"/>
    <mergeCell ref="B613:H613"/>
    <mergeCell ref="B611:H611"/>
    <mergeCell ref="B607:H607"/>
    <mergeCell ref="B608:H608"/>
    <mergeCell ref="B609:H609"/>
    <mergeCell ref="A343:B343"/>
    <mergeCell ref="A344:B344"/>
    <mergeCell ref="L396:M396"/>
    <mergeCell ref="L276:M276"/>
    <mergeCell ref="A277:B277"/>
    <mergeCell ref="L277:M277"/>
    <mergeCell ref="A278:B278"/>
    <mergeCell ref="L278:M278"/>
    <mergeCell ref="A279:B279"/>
    <mergeCell ref="L279:M279"/>
    <mergeCell ref="A280:B280"/>
    <mergeCell ref="C280:H280"/>
    <mergeCell ref="L280:M280"/>
    <mergeCell ref="C278:H279"/>
    <mergeCell ref="L290:M290"/>
    <mergeCell ref="A291:B291"/>
    <mergeCell ref="L291:M291"/>
    <mergeCell ref="A292:B292"/>
    <mergeCell ref="L292:M292"/>
    <mergeCell ref="A293:B293"/>
    <mergeCell ref="L293:M293"/>
    <mergeCell ref="A294:B294"/>
    <mergeCell ref="L294:M294"/>
    <mergeCell ref="L295:M295"/>
    <mergeCell ref="C293:H294"/>
    <mergeCell ref="A296:H296"/>
    <mergeCell ref="A297:B297"/>
    <mergeCell ref="L297:M297"/>
    <mergeCell ref="A298:B298"/>
    <mergeCell ref="L298:M298"/>
    <mergeCell ref="A299:B299"/>
    <mergeCell ref="L299:M299"/>
    <mergeCell ref="L300:M300"/>
    <mergeCell ref="A301:B301"/>
    <mergeCell ref="L301:M301"/>
    <mergeCell ref="A302:B302"/>
    <mergeCell ref="L302:M302"/>
    <mergeCell ref="A308:B308"/>
    <mergeCell ref="L308:M308"/>
    <mergeCell ref="A309:B309"/>
    <mergeCell ref="L309:M309"/>
    <mergeCell ref="B618:H618"/>
    <mergeCell ref="A303:H303"/>
    <mergeCell ref="A304:B304"/>
    <mergeCell ref="L304:M304"/>
    <mergeCell ref="A305:B305"/>
    <mergeCell ref="L305:M305"/>
    <mergeCell ref="A306:B306"/>
    <mergeCell ref="L306:M306"/>
    <mergeCell ref="A307:B307"/>
    <mergeCell ref="L307:M307"/>
    <mergeCell ref="A345:B345"/>
    <mergeCell ref="A338:B338"/>
    <mergeCell ref="L338:M338"/>
    <mergeCell ref="A339:B339"/>
    <mergeCell ref="C339:H339"/>
    <mergeCell ref="L339:M339"/>
    <mergeCell ref="L394:M394"/>
    <mergeCell ref="A405:B405"/>
    <mergeCell ref="L395:M395"/>
    <mergeCell ref="A398:H398"/>
    <mergeCell ref="L398:M398"/>
    <mergeCell ref="A409:B409"/>
    <mergeCell ref="L399:M399"/>
    <mergeCell ref="A410:B410"/>
  </mergeCells>
  <dataValidations disablePrompts="1" count="15">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91:E192" xr:uid="{00000000-0002-0000-0000-000003000000}">
      <formula1>"Attached Loft area,Attached Otla area,Attached Mezzanine area"</formula1>
    </dataValidation>
    <dataValidation type="list" allowBlank="1" showInputMessage="1" showErrorMessage="1" sqref="F160:H160" xr:uid="{00000000-0002-0000-0000-000004000000}">
      <formula1>"On Saleable Area,On Builtup Area,On Carpet Area,On Plot Area"</formula1>
    </dataValidation>
    <dataValidation type="list" allowBlank="1" showInputMessage="1" showErrorMessage="1" sqref="F173:H173" xr:uid="{00000000-0002-0000-0000-000005000000}">
      <formula1>OFFSET($S$160,1,MATCH($G20,$S$160:$W$160,0)-1,15,1)</formula1>
    </dataValidation>
    <dataValidation type="list" allowBlank="1" showInputMessage="1" showErrorMessage="1" sqref="B191:B192" xr:uid="{00000000-0002-0000-0000-000006000000}">
      <formula1>"Shop No. (Sale Plan),Sale / Rehab,Sale / Mhada"</formula1>
    </dataValidation>
    <dataValidation type="list" allowBlank="1" showInputMessage="1" showErrorMessage="1" sqref="B199:B200" xr:uid="{00000000-0002-0000-0000-000007000000}">
      <formula1>"Flat No. (Sale Plan),Sale / Rehab,Sale / Mhada"</formula1>
    </dataValidation>
    <dataValidation type="list" allowBlank="1" showInputMessage="1" showErrorMessage="1" sqref="C21:D21" xr:uid="{00000000-0002-0000-0000-000008000000}">
      <formula1>OFFSET($S$13,1,MATCH($G20,$S$13:$W$13,0)-1,15,1)</formula1>
    </dataValidation>
    <dataValidation type="list" allowBlank="1" showInputMessage="1" showErrorMessage="1" sqref="Y13" xr:uid="{00000000-0002-0000-0000-000009000000}">
      <formula1>$D$5:$H$5</formula1>
    </dataValidation>
    <dataValidation type="list" allowBlank="1" showInputMessage="1" showErrorMessage="1" sqref="E199:E200" xr:uid="{00000000-0002-0000-0000-00000A000000}">
      <formula1>"Deck + Utility,Fungible area,Balcony Area,Chajja Area,Cornice Area,AP Area,WS Area"</formula1>
    </dataValidation>
    <dataValidation type="list" allowBlank="1" showInputMessage="1" showErrorMessage="1" sqref="H192 H200"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C49:H49" xr:uid="{00000000-0002-0000-0000-00000D000000}">
      <formula1>OFFSET($S$49,1,MATCH($G20,$S$49:$W$49,0)-1,15,1)</formula1>
    </dataValidation>
    <dataValidation type="list" allowBlank="1" showInputMessage="1" showErrorMessage="1" sqref="G626:H626" xr:uid="{00000000-0002-0000-0000-00000E000000}">
      <formula1>"Kunal Kadam,Pranita Mhatre,Shruti Fule,Pooja Kawale,Gaurav Panchal,Shruti Tathare, Dipti Gothawade,Saurav Panse, Sachin Sawant"</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5" max="7" man="1"/>
    <brk id="188" max="7" man="1"/>
    <brk id="630" max="7" man="1"/>
    <brk id="672" max="7" man="1"/>
    <brk id="714"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54" t="s">
        <v>101</v>
      </c>
      <c r="C3" s="254"/>
      <c r="D3" s="254"/>
      <c r="E3" s="254"/>
      <c r="F3" s="254"/>
      <c r="G3" s="254"/>
      <c r="H3" s="254"/>
    </row>
    <row r="4" spans="1:9" x14ac:dyDescent="0.3">
      <c r="A4" s="2"/>
      <c r="B4" s="3" t="s">
        <v>102</v>
      </c>
      <c r="C4" s="3" t="s">
        <v>103</v>
      </c>
      <c r="D4" s="3" t="s">
        <v>64</v>
      </c>
      <c r="E4" s="3" t="s">
        <v>104</v>
      </c>
      <c r="F4" s="3" t="s">
        <v>110</v>
      </c>
      <c r="G4" s="3" t="s">
        <v>111</v>
      </c>
      <c r="H4" s="3" t="s">
        <v>105</v>
      </c>
    </row>
    <row r="5" spans="1:9" ht="15" customHeight="1" x14ac:dyDescent="0.3">
      <c r="A5" s="2"/>
      <c r="B5" s="5" t="s">
        <v>106</v>
      </c>
      <c r="C5" s="6"/>
      <c r="D5" s="5"/>
      <c r="E5" s="5"/>
      <c r="F5" s="7">
        <f>E5*1.6</f>
        <v>0</v>
      </c>
      <c r="G5" s="7" t="e">
        <f>H5/F5</f>
        <v>#DIV/0!</v>
      </c>
      <c r="H5" s="8"/>
    </row>
    <row r="6" spans="1:9" x14ac:dyDescent="0.3">
      <c r="A6" s="2"/>
      <c r="B6" s="5" t="s">
        <v>106</v>
      </c>
      <c r="C6" s="9"/>
      <c r="D6" s="5"/>
      <c r="E6" s="5"/>
      <c r="F6" s="7">
        <f t="shared" ref="F6:F11" si="0">E6*1.6</f>
        <v>0</v>
      </c>
      <c r="G6" s="7" t="e">
        <f t="shared" ref="G6:G11" si="1">H6/F6</f>
        <v>#DIV/0!</v>
      </c>
      <c r="H6" s="8"/>
    </row>
    <row r="7" spans="1:9" ht="15" customHeight="1" x14ac:dyDescent="0.3">
      <c r="A7" s="2"/>
      <c r="B7" s="5" t="s">
        <v>106</v>
      </c>
      <c r="C7" s="6"/>
      <c r="D7" s="5"/>
      <c r="E7" s="5"/>
      <c r="F7" s="7">
        <f t="shared" si="0"/>
        <v>0</v>
      </c>
      <c r="G7" s="7" t="e">
        <f t="shared" si="1"/>
        <v>#DIV/0!</v>
      </c>
      <c r="H7" s="8"/>
    </row>
    <row r="8" spans="1:9" x14ac:dyDescent="0.3">
      <c r="A8" s="2"/>
      <c r="B8" s="5" t="s">
        <v>106</v>
      </c>
      <c r="C8" s="9"/>
      <c r="D8" s="5"/>
      <c r="E8" s="5"/>
      <c r="F8" s="7">
        <f t="shared" si="0"/>
        <v>0</v>
      </c>
      <c r="G8" s="7" t="e">
        <f t="shared" si="1"/>
        <v>#DIV/0!</v>
      </c>
      <c r="H8" s="8"/>
    </row>
    <row r="9" spans="1:9" ht="15" customHeight="1" x14ac:dyDescent="0.3">
      <c r="A9" s="2"/>
      <c r="B9" s="5" t="s">
        <v>106</v>
      </c>
      <c r="C9" s="9"/>
      <c r="D9" s="5"/>
      <c r="E9" s="5"/>
      <c r="F9" s="7">
        <f t="shared" si="0"/>
        <v>0</v>
      </c>
      <c r="G9" s="7" t="e">
        <f t="shared" si="1"/>
        <v>#DIV/0!</v>
      </c>
      <c r="H9" s="8"/>
    </row>
    <row r="10" spans="1:9" ht="15" customHeight="1" x14ac:dyDescent="0.3">
      <c r="A10" s="2"/>
      <c r="B10" s="5" t="s">
        <v>107</v>
      </c>
      <c r="C10" s="6"/>
      <c r="D10" s="5"/>
      <c r="E10" s="5"/>
      <c r="F10" s="7">
        <f t="shared" si="0"/>
        <v>0</v>
      </c>
      <c r="G10" s="7" t="e">
        <f t="shared" si="1"/>
        <v>#DIV/0!</v>
      </c>
      <c r="H10" s="8"/>
    </row>
    <row r="11" spans="1:9" ht="15" customHeight="1" x14ac:dyDescent="0.3">
      <c r="A11" s="2"/>
      <c r="B11" s="5" t="s">
        <v>107</v>
      </c>
      <c r="C11" s="6"/>
      <c r="D11" s="5"/>
      <c r="E11" s="5"/>
      <c r="F11" s="7">
        <f t="shared" si="0"/>
        <v>0</v>
      </c>
      <c r="G11" s="7" t="e">
        <f t="shared" si="1"/>
        <v>#DIV/0!</v>
      </c>
      <c r="H11" s="8"/>
    </row>
    <row r="12" spans="1:9" ht="15" customHeight="1" x14ac:dyDescent="0.3">
      <c r="A12" s="2"/>
      <c r="B12" s="10" t="s">
        <v>108</v>
      </c>
      <c r="C12" s="5"/>
      <c r="D12" s="5"/>
      <c r="E12" s="5"/>
      <c r="F12" s="5"/>
      <c r="G12" s="11" t="e">
        <f>AVERAGE(G5:G11)</f>
        <v>#DIV/0!</v>
      </c>
      <c r="H12" s="5"/>
    </row>
    <row r="13" spans="1:9" ht="15" customHeight="1" x14ac:dyDescent="0.3">
      <c r="B13" s="10" t="s">
        <v>109</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4"/>
      <c r="C4" s="54" t="s">
        <v>11</v>
      </c>
      <c r="D4" s="55" t="s">
        <v>175</v>
      </c>
      <c r="E4" s="55" t="s">
        <v>185</v>
      </c>
      <c r="F4" s="55" t="s">
        <v>169</v>
      </c>
      <c r="G4" s="55" t="s">
        <v>190</v>
      </c>
      <c r="H4" s="55" t="s">
        <v>208</v>
      </c>
      <c r="J4" t="s">
        <v>190</v>
      </c>
      <c r="K4" t="s">
        <v>206</v>
      </c>
    </row>
    <row r="5" spans="2:11" x14ac:dyDescent="0.3">
      <c r="B5" s="54"/>
      <c r="C5" s="54"/>
      <c r="D5" s="55" t="s">
        <v>176</v>
      </c>
      <c r="E5" s="55" t="s">
        <v>183</v>
      </c>
      <c r="F5" s="55" t="s">
        <v>205</v>
      </c>
      <c r="G5" s="55" t="s">
        <v>191</v>
      </c>
      <c r="H5" s="55" t="s">
        <v>209</v>
      </c>
    </row>
    <row r="6" spans="2:11" x14ac:dyDescent="0.3">
      <c r="B6" s="54"/>
      <c r="C6" s="54"/>
      <c r="D6" s="55" t="s">
        <v>177</v>
      </c>
      <c r="E6" s="55" t="s">
        <v>184</v>
      </c>
      <c r="F6" s="55" t="s">
        <v>206</v>
      </c>
      <c r="G6" s="55" t="s">
        <v>192</v>
      </c>
      <c r="H6" s="55" t="s">
        <v>222</v>
      </c>
    </row>
    <row r="7" spans="2:11" x14ac:dyDescent="0.3">
      <c r="B7" s="54"/>
      <c r="C7" s="54"/>
      <c r="D7" s="55" t="s">
        <v>178</v>
      </c>
      <c r="E7" s="55" t="s">
        <v>186</v>
      </c>
      <c r="F7" s="55" t="s">
        <v>207</v>
      </c>
      <c r="G7" s="55" t="s">
        <v>193</v>
      </c>
      <c r="H7" s="55" t="s">
        <v>210</v>
      </c>
    </row>
    <row r="8" spans="2:11" x14ac:dyDescent="0.3">
      <c r="B8" s="54"/>
      <c r="C8" s="54"/>
      <c r="D8" s="55" t="s">
        <v>179</v>
      </c>
      <c r="E8" s="55" t="s">
        <v>187</v>
      </c>
      <c r="F8" s="55"/>
      <c r="G8" s="55" t="s">
        <v>194</v>
      </c>
      <c r="H8" s="55" t="s">
        <v>211</v>
      </c>
    </row>
    <row r="9" spans="2:11" x14ac:dyDescent="0.3">
      <c r="B9" s="54"/>
      <c r="C9" s="54"/>
      <c r="D9" s="55" t="s">
        <v>180</v>
      </c>
      <c r="E9" s="55" t="s">
        <v>185</v>
      </c>
      <c r="F9" s="55"/>
      <c r="G9" s="55" t="s">
        <v>195</v>
      </c>
      <c r="H9" s="55" t="s">
        <v>212</v>
      </c>
    </row>
    <row r="10" spans="2:11" x14ac:dyDescent="0.3">
      <c r="B10" s="54"/>
      <c r="C10" s="54"/>
      <c r="D10" s="55" t="s">
        <v>181</v>
      </c>
      <c r="E10" s="55" t="s">
        <v>188</v>
      </c>
      <c r="F10" s="55"/>
      <c r="G10" s="55" t="s">
        <v>196</v>
      </c>
      <c r="H10" s="55" t="s">
        <v>213</v>
      </c>
    </row>
    <row r="11" spans="2:11" x14ac:dyDescent="0.3">
      <c r="B11" s="54"/>
      <c r="C11" s="54"/>
      <c r="D11" s="55" t="s">
        <v>182</v>
      </c>
      <c r="E11" s="55" t="s">
        <v>189</v>
      </c>
      <c r="F11" s="55"/>
      <c r="G11" s="55" t="s">
        <v>197</v>
      </c>
      <c r="H11" s="55" t="s">
        <v>214</v>
      </c>
    </row>
    <row r="12" spans="2:11" x14ac:dyDescent="0.3">
      <c r="B12" s="54"/>
      <c r="C12" s="54"/>
      <c r="D12" s="55"/>
      <c r="E12" s="55"/>
      <c r="F12" s="55"/>
      <c r="G12" s="55" t="s">
        <v>198</v>
      </c>
      <c r="H12" s="55" t="s">
        <v>215</v>
      </c>
    </row>
    <row r="13" spans="2:11" x14ac:dyDescent="0.3">
      <c r="B13" s="54"/>
      <c r="C13" s="54"/>
      <c r="D13" s="55"/>
      <c r="E13" s="55"/>
      <c r="F13" s="55"/>
      <c r="G13" s="55" t="s">
        <v>199</v>
      </c>
      <c r="H13" s="55" t="s">
        <v>216</v>
      </c>
    </row>
    <row r="14" spans="2:11" x14ac:dyDescent="0.3">
      <c r="B14" s="54"/>
      <c r="C14" s="54"/>
      <c r="D14" s="55"/>
      <c r="E14" s="55"/>
      <c r="F14" s="55"/>
      <c r="G14" s="55" t="s">
        <v>200</v>
      </c>
      <c r="H14" s="55" t="s">
        <v>217</v>
      </c>
    </row>
    <row r="15" spans="2:11" x14ac:dyDescent="0.3">
      <c r="B15" s="54"/>
      <c r="C15" s="54"/>
      <c r="D15" s="55"/>
      <c r="E15" s="55"/>
      <c r="F15" s="55"/>
      <c r="G15" s="55" t="s">
        <v>201</v>
      </c>
      <c r="H15" s="55" t="s">
        <v>218</v>
      </c>
    </row>
    <row r="16" spans="2:11" x14ac:dyDescent="0.3">
      <c r="B16" s="54"/>
      <c r="C16" s="54"/>
      <c r="D16" s="55"/>
      <c r="E16" s="55"/>
      <c r="F16" s="55"/>
      <c r="G16" s="55" t="s">
        <v>202</v>
      </c>
      <c r="H16" s="55" t="s">
        <v>219</v>
      </c>
    </row>
    <row r="17" spans="2:8" x14ac:dyDescent="0.3">
      <c r="B17" s="54"/>
      <c r="C17" s="54"/>
      <c r="D17" s="55"/>
      <c r="E17" s="55"/>
      <c r="F17" s="55"/>
      <c r="G17" s="55" t="s">
        <v>203</v>
      </c>
      <c r="H17" s="55" t="s">
        <v>220</v>
      </c>
    </row>
    <row r="18" spans="2:8" x14ac:dyDescent="0.3">
      <c r="B18" s="54"/>
      <c r="C18" s="54"/>
      <c r="D18" s="55"/>
      <c r="E18" s="55"/>
      <c r="F18" s="55"/>
      <c r="G18" s="55" t="s">
        <v>204</v>
      </c>
      <c r="H18" s="55" t="s">
        <v>221</v>
      </c>
    </row>
    <row r="24" spans="2:8" x14ac:dyDescent="0.3">
      <c r="C24" t="s">
        <v>166</v>
      </c>
    </row>
    <row r="25" spans="2:8" x14ac:dyDescent="0.3">
      <c r="C25" t="s">
        <v>223</v>
      </c>
    </row>
    <row r="26" spans="2:8" x14ac:dyDescent="0.3">
      <c r="C26" t="s">
        <v>224</v>
      </c>
    </row>
    <row r="27" spans="2:8" x14ac:dyDescent="0.3">
      <c r="C27" t="s">
        <v>225</v>
      </c>
    </row>
    <row r="28" spans="2:8" x14ac:dyDescent="0.3">
      <c r="C28" t="s">
        <v>226</v>
      </c>
    </row>
    <row r="29" spans="2:8" x14ac:dyDescent="0.3">
      <c r="C29" t="s">
        <v>227</v>
      </c>
    </row>
    <row r="30" spans="2:8" x14ac:dyDescent="0.3">
      <c r="C30" t="s">
        <v>166</v>
      </c>
    </row>
    <row r="33" spans="3:11" x14ac:dyDescent="0.3">
      <c r="J33">
        <v>1</v>
      </c>
      <c r="K33">
        <v>2</v>
      </c>
    </row>
    <row r="34" spans="3:11" x14ac:dyDescent="0.3">
      <c r="C34" s="58" t="s">
        <v>232</v>
      </c>
      <c r="D34" s="55" t="s">
        <v>230</v>
      </c>
      <c r="E34" s="55" t="s">
        <v>235</v>
      </c>
      <c r="F34" s="55" t="s">
        <v>233</v>
      </c>
      <c r="G34" s="55" t="s">
        <v>234</v>
      </c>
      <c r="H34" s="55" t="s">
        <v>236</v>
      </c>
      <c r="J34" t="s">
        <v>190</v>
      </c>
      <c r="K34" t="s">
        <v>206</v>
      </c>
    </row>
    <row r="35" spans="3:11" x14ac:dyDescent="0.3">
      <c r="C35" s="54" t="s">
        <v>231</v>
      </c>
      <c r="D35" s="55" t="s">
        <v>167</v>
      </c>
      <c r="E35" s="55" t="s">
        <v>240</v>
      </c>
      <c r="F35" s="55" t="s">
        <v>242</v>
      </c>
      <c r="G35" s="55" t="s">
        <v>244</v>
      </c>
      <c r="H35" s="55"/>
    </row>
    <row r="36" spans="3:11" x14ac:dyDescent="0.3">
      <c r="C36" s="54"/>
      <c r="D36" s="55" t="s">
        <v>237</v>
      </c>
      <c r="E36" s="55" t="s">
        <v>241</v>
      </c>
      <c r="F36" s="55" t="s">
        <v>243</v>
      </c>
      <c r="G36" s="55" t="s">
        <v>245</v>
      </c>
      <c r="H36" s="55"/>
    </row>
    <row r="37" spans="3:11" x14ac:dyDescent="0.3">
      <c r="C37" s="54"/>
      <c r="D37" s="55" t="s">
        <v>238</v>
      </c>
      <c r="E37" s="55"/>
      <c r="F37" s="55"/>
      <c r="G37" s="55" t="s">
        <v>246</v>
      </c>
      <c r="H37" s="55"/>
    </row>
    <row r="38" spans="3:11" x14ac:dyDescent="0.3">
      <c r="C38" s="54"/>
      <c r="D38" s="55" t="s">
        <v>239</v>
      </c>
      <c r="E38" s="55"/>
      <c r="F38" s="55"/>
      <c r="G38" s="55" t="s">
        <v>246</v>
      </c>
      <c r="H38" s="55"/>
    </row>
    <row r="39" spans="3:11" x14ac:dyDescent="0.3">
      <c r="C39" s="54"/>
      <c r="D39" s="55"/>
      <c r="E39" s="55"/>
      <c r="F39" s="55"/>
      <c r="G39" s="55" t="s">
        <v>247</v>
      </c>
      <c r="H39" s="55"/>
    </row>
    <row r="40" spans="3:11" x14ac:dyDescent="0.3">
      <c r="C40" s="54"/>
      <c r="D40" s="55"/>
      <c r="E40" s="55"/>
      <c r="F40" s="55"/>
      <c r="G40" s="55" t="s">
        <v>248</v>
      </c>
      <c r="H40" s="55"/>
    </row>
    <row r="41" spans="3:11" x14ac:dyDescent="0.3">
      <c r="C41" s="54"/>
      <c r="D41" s="55"/>
      <c r="E41" s="55"/>
      <c r="F41" s="55"/>
      <c r="G41" s="55"/>
      <c r="H41" s="55"/>
    </row>
    <row r="43" spans="3:11" x14ac:dyDescent="0.3">
      <c r="C43" t="s">
        <v>249</v>
      </c>
    </row>
    <row r="44" spans="3:11" x14ac:dyDescent="0.3">
      <c r="C44" t="s">
        <v>169</v>
      </c>
      <c r="D44" t="s">
        <v>250</v>
      </c>
    </row>
    <row r="45" spans="3:11" x14ac:dyDescent="0.3">
      <c r="D45" t="s">
        <v>251</v>
      </c>
    </row>
    <row r="46" spans="3:11" x14ac:dyDescent="0.3">
      <c r="D46" t="s">
        <v>252</v>
      </c>
    </row>
    <row r="47" spans="3:11" x14ac:dyDescent="0.3">
      <c r="D47" t="s">
        <v>253</v>
      </c>
    </row>
    <row r="48" spans="3:11" x14ac:dyDescent="0.3">
      <c r="D48" t="s">
        <v>254</v>
      </c>
    </row>
    <row r="49" spans="3:4" x14ac:dyDescent="0.3">
      <c r="C49" t="s">
        <v>175</v>
      </c>
      <c r="D49" t="s">
        <v>255</v>
      </c>
    </row>
    <row r="50" spans="3:4" x14ac:dyDescent="0.3">
      <c r="D50" t="s">
        <v>256</v>
      </c>
    </row>
    <row r="51" spans="3:4" x14ac:dyDescent="0.3">
      <c r="D51" t="s">
        <v>257</v>
      </c>
    </row>
    <row r="52" spans="3:4" x14ac:dyDescent="0.3">
      <c r="D52" t="s">
        <v>260</v>
      </c>
    </row>
    <row r="53" spans="3:4" x14ac:dyDescent="0.3">
      <c r="D53" t="s">
        <v>258</v>
      </c>
    </row>
    <row r="54" spans="3:4" x14ac:dyDescent="0.3">
      <c r="D54" t="s">
        <v>259</v>
      </c>
    </row>
    <row r="55" spans="3:4" x14ac:dyDescent="0.3">
      <c r="D55" t="s">
        <v>261</v>
      </c>
    </row>
    <row r="56" spans="3:4" x14ac:dyDescent="0.3">
      <c r="D56" t="s">
        <v>262</v>
      </c>
    </row>
    <row r="57" spans="3:4" x14ac:dyDescent="0.3">
      <c r="D57" t="s">
        <v>263</v>
      </c>
    </row>
    <row r="58" spans="3:4" x14ac:dyDescent="0.3">
      <c r="D58" t="s">
        <v>265</v>
      </c>
    </row>
    <row r="59" spans="3:4" x14ac:dyDescent="0.3">
      <c r="D59" t="s">
        <v>274</v>
      </c>
    </row>
    <row r="60" spans="3:4" x14ac:dyDescent="0.3">
      <c r="C60" t="s">
        <v>190</v>
      </c>
      <c r="D60" t="s">
        <v>266</v>
      </c>
    </row>
    <row r="61" spans="3:4" x14ac:dyDescent="0.3">
      <c r="D61" t="s">
        <v>264</v>
      </c>
    </row>
    <row r="62" spans="3:4" x14ac:dyDescent="0.3">
      <c r="D62" t="s">
        <v>254</v>
      </c>
    </row>
    <row r="63" spans="3:4" x14ac:dyDescent="0.3">
      <c r="D63" t="s">
        <v>267</v>
      </c>
    </row>
    <row r="64" spans="3:4" x14ac:dyDescent="0.3">
      <c r="D64" t="s">
        <v>268</v>
      </c>
    </row>
    <row r="65" spans="3:4" x14ac:dyDescent="0.3">
      <c r="D65" t="s">
        <v>269</v>
      </c>
    </row>
    <row r="66" spans="3:4" x14ac:dyDescent="0.3">
      <c r="D66" t="s">
        <v>270</v>
      </c>
    </row>
    <row r="67" spans="3:4" x14ac:dyDescent="0.3">
      <c r="C67" t="s">
        <v>185</v>
      </c>
      <c r="D67" t="s">
        <v>271</v>
      </c>
    </row>
    <row r="68" spans="3:4" x14ac:dyDescent="0.3">
      <c r="D68" t="s">
        <v>272</v>
      </c>
    </row>
    <row r="69" spans="3:4" x14ac:dyDescent="0.3">
      <c r="D69" t="s">
        <v>273</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8"/>
  <sheetViews>
    <sheetView topLeftCell="A4" workbookViewId="0">
      <selection activeCell="C16" sqref="C16"/>
    </sheetView>
  </sheetViews>
  <sheetFormatPr defaultRowHeight="14.4" x14ac:dyDescent="0.3"/>
  <cols>
    <col min="2" max="2" width="3" bestFit="1" customWidth="1"/>
    <col min="3" max="3" width="167.109375" customWidth="1"/>
  </cols>
  <sheetData>
    <row r="2" spans="2:3" ht="15" customHeight="1" x14ac:dyDescent="0.3">
      <c r="B2" s="59">
        <v>1</v>
      </c>
      <c r="C2" s="61" t="s">
        <v>279</v>
      </c>
    </row>
    <row r="3" spans="2:3" x14ac:dyDescent="0.3">
      <c r="B3" s="59">
        <v>2</v>
      </c>
      <c r="C3" s="60" t="s">
        <v>280</v>
      </c>
    </row>
    <row r="4" spans="2:3" x14ac:dyDescent="0.3">
      <c r="B4" s="59">
        <v>3</v>
      </c>
      <c r="C4" s="59" t="s">
        <v>281</v>
      </c>
    </row>
    <row r="5" spans="2:3" x14ac:dyDescent="0.3">
      <c r="B5" s="59">
        <v>4</v>
      </c>
      <c r="C5" s="60" t="s">
        <v>282</v>
      </c>
    </row>
    <row r="6" spans="2:3" x14ac:dyDescent="0.3">
      <c r="B6" s="59">
        <v>5</v>
      </c>
      <c r="C6" s="59" t="s">
        <v>283</v>
      </c>
    </row>
    <row r="7" spans="2:3" x14ac:dyDescent="0.3">
      <c r="B7" s="59">
        <v>6</v>
      </c>
      <c r="C7" s="60" t="s">
        <v>284</v>
      </c>
    </row>
    <row r="8" spans="2:3" ht="72" x14ac:dyDescent="0.3">
      <c r="B8" s="59">
        <v>7</v>
      </c>
      <c r="C8" s="60" t="s">
        <v>285</v>
      </c>
    </row>
    <row r="9" spans="2:3" x14ac:dyDescent="0.3">
      <c r="B9" s="59">
        <v>8</v>
      </c>
      <c r="C9" s="59" t="s">
        <v>286</v>
      </c>
    </row>
    <row r="10" spans="2:3" x14ac:dyDescent="0.3">
      <c r="B10" s="59">
        <v>9</v>
      </c>
      <c r="C10" s="59" t="s">
        <v>287</v>
      </c>
    </row>
    <row r="11" spans="2:3" x14ac:dyDescent="0.3">
      <c r="B11" s="59">
        <v>10</v>
      </c>
      <c r="C11" s="59" t="s">
        <v>288</v>
      </c>
    </row>
    <row r="12" spans="2:3" x14ac:dyDescent="0.3">
      <c r="B12" s="59">
        <v>11</v>
      </c>
      <c r="C12" s="59" t="s">
        <v>289</v>
      </c>
    </row>
    <row r="13" spans="2:3" x14ac:dyDescent="0.3">
      <c r="B13" s="59">
        <v>12</v>
      </c>
      <c r="C13" s="59" t="s">
        <v>290</v>
      </c>
    </row>
    <row r="14" spans="2:3" x14ac:dyDescent="0.3">
      <c r="B14" s="59">
        <v>13</v>
      </c>
      <c r="C14" s="59" t="s">
        <v>291</v>
      </c>
    </row>
    <row r="15" spans="2:3" x14ac:dyDescent="0.3">
      <c r="B15" s="59">
        <v>14</v>
      </c>
      <c r="C15" s="59" t="s">
        <v>293</v>
      </c>
    </row>
    <row r="16" spans="2:3" x14ac:dyDescent="0.3">
      <c r="B16" s="59">
        <v>15</v>
      </c>
      <c r="C16" s="59" t="s">
        <v>294</v>
      </c>
    </row>
    <row r="17" spans="2:3" x14ac:dyDescent="0.3">
      <c r="B17" s="59">
        <v>16</v>
      </c>
      <c r="C17" s="59" t="s">
        <v>295</v>
      </c>
    </row>
    <row r="18" spans="2:3" x14ac:dyDescent="0.3">
      <c r="B18" s="59">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2025-09-12T07:53:56Z</cp:lastPrinted>
  <dcterms:created xsi:type="dcterms:W3CDTF">2019-07-16T09:29:46Z</dcterms:created>
  <dcterms:modified xsi:type="dcterms:W3CDTF">2025-09-12T08:16:54Z</dcterms:modified>
</cp:coreProperties>
</file>