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G11" i="5" s="1"/>
  <c r="F10" i="5"/>
  <c r="G10" i="5" s="1"/>
  <c r="F9" i="5"/>
  <c r="G9" i="5" s="1"/>
  <c r="F8" i="5"/>
  <c r="G8" i="5" s="1"/>
  <c r="F7" i="5"/>
  <c r="G7" i="5" s="1"/>
  <c r="F6" i="5"/>
  <c r="G6" i="5" s="1"/>
  <c r="F5" i="5"/>
  <c r="G5" i="5" s="1"/>
  <c r="G12" i="5" s="1"/>
  <c r="D239" i="1"/>
  <c r="B213" i="1"/>
  <c r="B212" i="1"/>
  <c r="D209" i="1"/>
  <c r="F209" i="1" s="1"/>
  <c r="H209" i="1" s="1"/>
  <c r="D208" i="1"/>
  <c r="F208" i="1" s="1"/>
  <c r="H208" i="1" s="1"/>
  <c r="D207" i="1"/>
  <c r="F207" i="1" s="1"/>
  <c r="H207" i="1" s="1"/>
  <c r="D206" i="1"/>
  <c r="F206" i="1" s="1"/>
  <c r="H206" i="1" s="1"/>
  <c r="D205" i="1"/>
  <c r="F205" i="1" s="1"/>
  <c r="H205" i="1" s="1"/>
  <c r="D204" i="1"/>
  <c r="F204" i="1" s="1"/>
  <c r="H204" i="1" s="1"/>
  <c r="A204" i="1"/>
  <c r="A205" i="1" s="1"/>
  <c r="A206" i="1" s="1"/>
  <c r="A207" i="1" s="1"/>
  <c r="A208" i="1" s="1"/>
  <c r="A209" i="1" s="1"/>
  <c r="D202" i="1"/>
  <c r="F202" i="1" s="1"/>
  <c r="H202" i="1" s="1"/>
  <c r="A202" i="1"/>
  <c r="D201" i="1"/>
  <c r="F201" i="1" s="1"/>
  <c r="H201" i="1" s="1"/>
  <c r="D199" i="1"/>
  <c r="F199" i="1" s="1"/>
  <c r="H199" i="1" s="1"/>
  <c r="D198" i="1"/>
  <c r="F198" i="1" s="1"/>
  <c r="H198" i="1" s="1"/>
  <c r="D197" i="1"/>
  <c r="F197" i="1" s="1"/>
  <c r="H197" i="1" s="1"/>
  <c r="D196" i="1"/>
  <c r="F196" i="1" s="1"/>
  <c r="H196" i="1" s="1"/>
  <c r="D195" i="1"/>
  <c r="F195" i="1" s="1"/>
  <c r="H195" i="1" s="1"/>
  <c r="A193" i="1"/>
  <c r="A194" i="1" s="1"/>
  <c r="A195" i="1" s="1"/>
  <c r="A196" i="1" s="1"/>
  <c r="A197" i="1" s="1"/>
  <c r="A198" i="1" s="1"/>
  <c r="A199" i="1" s="1"/>
  <c r="D192" i="1"/>
  <c r="F192" i="1" s="1"/>
  <c r="H192" i="1" s="1"/>
  <c r="D190" i="1"/>
  <c r="F190" i="1" s="1"/>
  <c r="H190" i="1" s="1"/>
  <c r="D189" i="1"/>
  <c r="F189" i="1" s="1"/>
  <c r="H189" i="1" s="1"/>
  <c r="F188" i="1"/>
  <c r="H188" i="1" s="1"/>
  <c r="D188" i="1"/>
  <c r="D187" i="1"/>
  <c r="F187" i="1" s="1"/>
  <c r="H187" i="1" s="1"/>
  <c r="H186" i="1"/>
  <c r="J186" i="1" s="1"/>
  <c r="F186" i="1"/>
  <c r="D186" i="1"/>
  <c r="D185" i="1"/>
  <c r="F185" i="1" s="1"/>
  <c r="H185" i="1" s="1"/>
  <c r="H184" i="1"/>
  <c r="F184" i="1"/>
  <c r="D184" i="1"/>
  <c r="A184" i="1"/>
  <c r="A185" i="1" s="1"/>
  <c r="A186" i="1" s="1"/>
  <c r="A187" i="1" s="1"/>
  <c r="A188" i="1" s="1"/>
  <c r="A189" i="1" s="1"/>
  <c r="A190" i="1" s="1"/>
  <c r="D183" i="1"/>
  <c r="F183" i="1" s="1"/>
  <c r="H183" i="1" s="1"/>
  <c r="I182" i="1"/>
  <c r="H181" i="1"/>
  <c r="F181" i="1"/>
  <c r="D181" i="1"/>
  <c r="D180" i="1"/>
  <c r="F180" i="1" s="1"/>
  <c r="H180" i="1" s="1"/>
  <c r="A176" i="1"/>
  <c r="A177" i="1" s="1"/>
  <c r="A178" i="1" s="1"/>
  <c r="A179" i="1" s="1"/>
  <c r="A180" i="1" s="1"/>
  <c r="A181" i="1" s="1"/>
  <c r="D175" i="1"/>
  <c r="F175" i="1" s="1"/>
  <c r="H175" i="1" s="1"/>
  <c r="A175" i="1"/>
  <c r="H174" i="1"/>
  <c r="F174" i="1"/>
  <c r="D174" i="1"/>
  <c r="D172" i="1"/>
  <c r="F172" i="1" s="1"/>
  <c r="H172" i="1" s="1"/>
  <c r="F171" i="1"/>
  <c r="H171" i="1" s="1"/>
  <c r="D171" i="1"/>
  <c r="A167" i="1"/>
  <c r="A168" i="1" s="1"/>
  <c r="A169" i="1" s="1"/>
  <c r="A170" i="1" s="1"/>
  <c r="A171" i="1" s="1"/>
  <c r="A172" i="1" s="1"/>
  <c r="F166" i="1"/>
  <c r="H166" i="1" s="1"/>
  <c r="D166" i="1"/>
  <c r="A166" i="1"/>
  <c r="D165" i="1"/>
  <c r="F165" i="1" s="1"/>
  <c r="H165" i="1" s="1"/>
  <c r="D163" i="1"/>
  <c r="F163" i="1" s="1"/>
  <c r="H163" i="1" s="1"/>
  <c r="D162" i="1"/>
  <c r="F162" i="1" s="1"/>
  <c r="H162" i="1" s="1"/>
  <c r="I157" i="1"/>
  <c r="D157" i="1"/>
  <c r="F157" i="1" s="1"/>
  <c r="A157" i="1"/>
  <c r="A158" i="1" s="1"/>
  <c r="A159" i="1" s="1"/>
  <c r="A160" i="1" s="1"/>
  <c r="A161" i="1" s="1"/>
  <c r="A162" i="1" s="1"/>
  <c r="A163" i="1" s="1"/>
  <c r="I156" i="1"/>
  <c r="H156" i="1"/>
  <c r="F156" i="1"/>
  <c r="D156" i="1"/>
  <c r="H149" i="1"/>
  <c r="F149" i="1"/>
  <c r="A149" i="1"/>
  <c r="H148" i="1"/>
  <c r="F148" i="1"/>
  <c r="A148" i="1"/>
  <c r="H147" i="1"/>
  <c r="F147" i="1"/>
  <c r="A147" i="1"/>
  <c r="H146" i="1"/>
  <c r="F146" i="1"/>
  <c r="G140" i="1"/>
  <c r="E140" i="1"/>
  <c r="C140" i="1"/>
  <c r="L129" i="1"/>
  <c r="F129" i="1"/>
  <c r="C103" i="1"/>
  <c r="B104" i="1" s="1"/>
  <c r="J99" i="1"/>
  <c r="J98" i="1"/>
  <c r="B90" i="1"/>
  <c r="J97" i="1" s="1"/>
  <c r="C89" i="1"/>
  <c r="D88" i="1"/>
  <c r="D87" i="1"/>
  <c r="J86" i="1"/>
  <c r="D86" i="1"/>
  <c r="D85" i="1"/>
  <c r="D84" i="1"/>
  <c r="D83" i="1"/>
  <c r="C82" i="1"/>
  <c r="D82" i="1" s="1"/>
  <c r="D81" i="1"/>
  <c r="J80" i="1"/>
  <c r="C79" i="1" s="1"/>
  <c r="J79" i="1"/>
  <c r="J78" i="1"/>
  <c r="B76" i="1"/>
  <c r="J85" i="1" s="1"/>
  <c r="J75" i="1"/>
  <c r="J77" i="1" s="1"/>
  <c r="C75" i="1"/>
  <c r="D69" i="1"/>
  <c r="D62" i="1"/>
  <c r="G58" i="1"/>
  <c r="C58" i="1"/>
  <c r="G56" i="1"/>
  <c r="C56" i="1"/>
  <c r="C54" i="1"/>
  <c r="G51" i="1"/>
  <c r="C51" i="1"/>
  <c r="E43" i="1"/>
  <c r="S33" i="1"/>
  <c r="E31" i="1"/>
  <c r="E28" i="1"/>
  <c r="E26" i="1"/>
  <c r="C16" i="1"/>
  <c r="I15" i="1"/>
  <c r="Z13" i="1"/>
  <c r="E8" i="1"/>
  <c r="E3" i="1"/>
  <c r="H104" i="1"/>
  <c r="H90" i="1"/>
  <c r="J113" i="1" l="1"/>
  <c r="J112" i="1"/>
  <c r="J114" i="1"/>
  <c r="J111" i="1"/>
  <c r="H157" i="1"/>
  <c r="G137" i="1" s="1"/>
  <c r="C137" i="1"/>
  <c r="E137" i="1"/>
  <c r="E45" i="1"/>
  <c r="D79" i="1"/>
  <c r="J87" i="1"/>
  <c r="J88" i="1" s="1"/>
  <c r="C80" i="1" s="1"/>
  <c r="J100" i="1"/>
  <c r="E44" i="1"/>
  <c r="J84" i="1"/>
  <c r="J83" i="1"/>
  <c r="J81" i="1"/>
  <c r="J82" i="1" s="1"/>
  <c r="D101" i="1"/>
  <c r="D97" i="1"/>
  <c r="E93" i="1"/>
  <c r="D100" i="1"/>
  <c r="D96" i="1"/>
  <c r="J95" i="1"/>
  <c r="J96" i="1" s="1"/>
  <c r="J101" i="1" s="1"/>
  <c r="J102" i="1" s="1"/>
  <c r="J94" i="1"/>
  <c r="C93" i="1" s="1"/>
  <c r="D93" i="1" s="1"/>
  <c r="D99" i="1"/>
  <c r="D95" i="1"/>
  <c r="J92" i="1"/>
  <c r="J89" i="1"/>
  <c r="J91" i="1" s="1"/>
  <c r="D102" i="1"/>
  <c r="D98" i="1"/>
  <c r="D94" i="1"/>
  <c r="J93" i="1"/>
  <c r="D113" i="1"/>
  <c r="C109" i="1"/>
  <c r="J103" i="1" s="1"/>
  <c r="J105" i="1" s="1"/>
  <c r="D116" i="1"/>
  <c r="D112" i="1"/>
  <c r="J108" i="1"/>
  <c r="C107" i="1" s="1"/>
  <c r="D107" i="1" s="1"/>
  <c r="J106" i="1"/>
  <c r="D115" i="1"/>
  <c r="D111" i="1"/>
  <c r="J107" i="1"/>
  <c r="D114" i="1"/>
  <c r="D110" i="1"/>
  <c r="J109" i="1"/>
  <c r="J110" i="1" s="1"/>
  <c r="J115" i="1" s="1"/>
  <c r="J116" i="1" s="1"/>
  <c r="C108" i="1" s="1"/>
  <c r="E79" i="1" l="1"/>
  <c r="D80" i="1"/>
  <c r="I76" i="1" s="1"/>
  <c r="I77" i="1" s="1"/>
  <c r="G79" i="1"/>
  <c r="D73" i="1" s="1"/>
  <c r="J76" i="1"/>
  <c r="E107" i="1"/>
  <c r="D108" i="1"/>
  <c r="I90" i="1"/>
  <c r="I91" i="1" s="1"/>
  <c r="D109" i="1"/>
  <c r="G107" i="1"/>
  <c r="J104" i="1"/>
  <c r="G93" i="1"/>
  <c r="J90" i="1"/>
  <c r="F74" i="1" l="1"/>
  <c r="D74" i="1"/>
  <c r="I75" i="1"/>
  <c r="C77" i="1" s="1"/>
  <c r="I104" i="1"/>
  <c r="I105" i="1" s="1"/>
  <c r="I103" i="1" s="1"/>
  <c r="C105" i="1" s="1"/>
  <c r="I89" i="1"/>
  <c r="C91" i="1" s="1"/>
</calcChain>
</file>

<file path=xl/comments1.xml><?xml version="1.0" encoding="utf-8"?>
<comments xmlns="http://schemas.openxmlformats.org/spreadsheetml/2006/main">
  <authors>
    <author>Sachin</author>
    <author>SACHIN</author>
  </authors>
  <commentList>
    <comment ref="E12" authorId="0" shapeId="0">
      <text>
        <r>
          <rPr>
            <b/>
            <sz val="9"/>
            <rFont val="Tahoma"/>
            <family val="2"/>
          </rPr>
          <t>Sachin:</t>
        </r>
        <r>
          <rPr>
            <sz val="9"/>
            <rFont val="Tahoma"/>
            <family val="2"/>
          </rPr>
          <t xml:space="preserve">
Building No. 
Tower No.
Wing 
Bunglow No., etc</t>
        </r>
      </text>
    </comment>
    <comment ref="E13" authorId="0" shapeId="0">
      <text>
        <r>
          <rPr>
            <b/>
            <sz val="9"/>
            <rFont val="Tahoma"/>
            <family val="2"/>
          </rPr>
          <t>Sachin:</t>
        </r>
        <r>
          <rPr>
            <sz val="9"/>
            <rFont val="Tahoma"/>
            <family val="2"/>
          </rPr>
          <t xml:space="preserve">
If exisiting Building is provided write it or else
NA</t>
        </r>
      </text>
    </comment>
    <comment ref="C55" authorId="1" shapeId="0">
      <text>
        <r>
          <rPr>
            <b/>
            <sz val="9"/>
            <rFont val="Tahoma"/>
            <family val="2"/>
          </rPr>
          <t>SACHIN:</t>
        </r>
        <r>
          <rPr>
            <sz val="9"/>
            <rFont val="Tahoma"/>
            <family val="2"/>
          </rPr>
          <t xml:space="preserve">
Floor with height</t>
        </r>
      </text>
    </comment>
    <comment ref="C57" authorId="1" shapeId="0">
      <text>
        <r>
          <rPr>
            <b/>
            <sz val="9"/>
            <rFont val="Tahoma"/>
            <family val="2"/>
          </rPr>
          <t>SACHIN:</t>
        </r>
        <r>
          <rPr>
            <sz val="9"/>
            <rFont val="Tahoma"/>
            <family val="2"/>
          </rPr>
          <t xml:space="preserve">
Survey Nos.</t>
        </r>
      </text>
    </comment>
    <comment ref="C59" authorId="1" shapeId="0">
      <text>
        <r>
          <rPr>
            <b/>
            <sz val="9"/>
            <rFont val="Tahoma"/>
            <family val="2"/>
          </rPr>
          <t>SACHIN:</t>
        </r>
        <r>
          <rPr>
            <sz val="9"/>
            <rFont val="Tahoma"/>
            <family val="2"/>
          </rPr>
          <t xml:space="preserve">
Height from AMSL</t>
        </r>
      </text>
    </comment>
    <comment ref="D62" authorId="0" shapeId="0">
      <text>
        <r>
          <rPr>
            <b/>
            <sz val="9"/>
            <rFont val="Tahoma"/>
            <family val="2"/>
          </rPr>
          <t>Sachin:</t>
        </r>
        <r>
          <rPr>
            <sz val="9"/>
            <rFont val="Tahoma"/>
            <family val="2"/>
          </rPr>
          <t xml:space="preserve">
If multiple building in project or complex just mention builtup of required building</t>
        </r>
      </text>
    </comment>
    <comment ref="F122" authorId="1" shapeId="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52" authorId="1" shapeId="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rFont val="Tahoma"/>
            <family val="2"/>
          </rPr>
          <t>SACHIN:</t>
        </r>
        <r>
          <rPr>
            <sz val="9"/>
            <rFont val="Tahoma"/>
            <family val="2"/>
          </rPr>
          <t xml:space="preserve">
If banker changes the rate</t>
        </r>
      </text>
    </comment>
    <comment ref="C10" authorId="0" shapeId="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<sst xmlns="http://schemas.openxmlformats.org/spreadsheetml/2006/main" count="668" uniqueCount="374">
  <si>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</si>
  <si>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</si>
  <si>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</si>
  <si>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</si>
  <si>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</si>
  <si>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</si>
  <si>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</si>
  <si>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</si>
  <si>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</si>
  <si>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</si>
  <si>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</si>
  <si>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</si>
  <si>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</si>
  <si>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</si>
  <si>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</si>
  <si>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</si>
  <si>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</si>
  <si>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</si>
  <si>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</si>
  <si>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</si>
  <si>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</si>
  <si>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Axis Sanpada</t>
  </si>
  <si>
    <t>IBHF Vashi</t>
  </si>
  <si>
    <t>Name of the builder group</t>
  </si>
  <si>
    <t>Shree Krishna Sai Development Corporation</t>
  </si>
  <si>
    <t>Axis Badlapur</t>
  </si>
  <si>
    <t>Name of the builder company</t>
  </si>
  <si>
    <t>IBHF Thane</t>
  </si>
  <si>
    <t>Name of the Project</t>
  </si>
  <si>
    <t>Khandelwal Luxor Wing B</t>
  </si>
  <si>
    <t>IBHF Andheri</t>
  </si>
  <si>
    <t>Provided Contact Details (Name &amp; Contact No.)</t>
  </si>
  <si>
    <t>Mr. Sadik Jafari 9987000099</t>
  </si>
  <si>
    <t>Site Person - Contact Details (Name &amp; Contact No.)</t>
  </si>
  <si>
    <t>Name / No of the Building</t>
  </si>
  <si>
    <t>Wing B</t>
  </si>
  <si>
    <t>Name / No of the Existing Building</t>
  </si>
  <si>
    <t>Gorai Shri Shiv Parvati C.H.S.L.</t>
  </si>
  <si>
    <t xml:space="preserve">Thane </t>
  </si>
  <si>
    <t>Palghar</t>
  </si>
  <si>
    <t>Mumbai</t>
  </si>
  <si>
    <t>Raigad</t>
  </si>
  <si>
    <t>Pune</t>
  </si>
  <si>
    <t>Documents Provided</t>
  </si>
  <si>
    <t>Commencement Certificate.</t>
  </si>
  <si>
    <t>Thane</t>
  </si>
  <si>
    <t>Mokhada</t>
  </si>
  <si>
    <t>Andheri</t>
  </si>
  <si>
    <t>Alibag</t>
  </si>
  <si>
    <t>Pune City</t>
  </si>
  <si>
    <t>RERA No.</t>
  </si>
  <si>
    <t>P51800045675</t>
  </si>
  <si>
    <t>Shahpur</t>
  </si>
  <si>
    <t>Talasari</t>
  </si>
  <si>
    <t>Borivali</t>
  </si>
  <si>
    <t>Panvel</t>
  </si>
  <si>
    <t>Haveli</t>
  </si>
  <si>
    <t xml:space="preserve">Project location details       </t>
  </si>
  <si>
    <t>Kalyan</t>
  </si>
  <si>
    <t>Vasai</t>
  </si>
  <si>
    <t>Kurla</t>
  </si>
  <si>
    <t>Uran</t>
  </si>
  <si>
    <t>Khed</t>
  </si>
  <si>
    <t>Plot No</t>
  </si>
  <si>
    <t>8, R.S.C. 3, Redevlopement of "Gorai Shri Shiv Parvati C.H.S.L."</t>
  </si>
  <si>
    <t>Bhiwandi</t>
  </si>
  <si>
    <t>Vikramgad</t>
  </si>
  <si>
    <t>Karjat</t>
  </si>
  <si>
    <t>Baramati</t>
  </si>
  <si>
    <t>Locality</t>
  </si>
  <si>
    <t>NA</t>
  </si>
  <si>
    <t>Ulhasnagar</t>
  </si>
  <si>
    <t>Khalapur</t>
  </si>
  <si>
    <t>Junnar</t>
  </si>
  <si>
    <t>Road</t>
  </si>
  <si>
    <t>Gorai Road</t>
  </si>
  <si>
    <t>Locality/Village</t>
  </si>
  <si>
    <t>Gorai III</t>
  </si>
  <si>
    <t>Ambernath</t>
  </si>
  <si>
    <t>Dahanu</t>
  </si>
  <si>
    <t>Pen</t>
  </si>
  <si>
    <t>Shirur</t>
  </si>
  <si>
    <t>City</t>
  </si>
  <si>
    <t>Borivali West</t>
  </si>
  <si>
    <t>District</t>
  </si>
  <si>
    <t>Murbad</t>
  </si>
  <si>
    <t>Wada</t>
  </si>
  <si>
    <t>Sudhagad</t>
  </si>
  <si>
    <t>Indapur</t>
  </si>
  <si>
    <t>Taluka</t>
  </si>
  <si>
    <t>Pin Code</t>
  </si>
  <si>
    <t>Mahad</t>
  </si>
  <si>
    <t>Daund</t>
  </si>
  <si>
    <t>Nearby Landmark</t>
  </si>
  <si>
    <t>Gorai Bus Depot</t>
  </si>
  <si>
    <t xml:space="preserve">Distance from city centre: </t>
  </si>
  <si>
    <t>3.40KM from Borivali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</si>
  <si>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</si>
  <si>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</si>
  <si>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</si>
  <si>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</si>
  <si>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</si>
  <si>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</si>
  <si>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</si>
  <si>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</si>
  <si>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</si>
  <si>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</si>
  <si>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</si>
  <si>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</si>
  <si>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</si>
  <si>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</si>
  <si>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</si>
  <si>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</si>
  <si>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</si>
  <si>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</si>
  <si>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</si>
  <si>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</si>
  <si>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</si>
  <si>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</si>
  <si>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</si>
  <si>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</si>
  <si>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</si>
  <si>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</si>
  <si>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</si>
  <si>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</si>
  <si>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</si>
  <si>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</si>
  <si>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</si>
  <si>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12.20 M. Wide Road</t>
  </si>
  <si>
    <t>Internal Road</t>
  </si>
  <si>
    <t>West</t>
  </si>
  <si>
    <t>College</t>
  </si>
  <si>
    <t>Open Plot</t>
  </si>
  <si>
    <t>North</t>
  </si>
  <si>
    <t>Plot No. 7</t>
  </si>
  <si>
    <t>Khandelwal Reserve Wing B</t>
  </si>
  <si>
    <t>South</t>
  </si>
  <si>
    <t>Plot No. 9</t>
  </si>
  <si>
    <t>Casa bellsimo Gorai Laxmi</t>
  </si>
  <si>
    <t>Does the boundaries at site match, as mentioned in the Documentation: NA</t>
  </si>
  <si>
    <t>Latitude, Longitude</t>
  </si>
  <si>
    <t>19.234339,72.831092</t>
  </si>
  <si>
    <t>Location Link</t>
  </si>
  <si>
    <t>https://maps.app.goo.gl/28VagwtoXzgPpfTb9</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</si>
  <si>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</si>
  <si>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</si>
  <si>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</si>
  <si>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</si>
  <si>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</si>
  <si>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</si>
  <si>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</si>
  <si>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01 Wing</t>
  </si>
  <si>
    <t xml:space="preserve">Approval Detail : Plan approval </t>
  </si>
  <si>
    <t>Name of Municipal Corporation/Authority</t>
  </si>
  <si>
    <t>Maharashtra Housing and Area Development Authority(MHADA)</t>
  </si>
  <si>
    <t>Authorites</t>
  </si>
  <si>
    <t xml:space="preserve">Layout Approval No     </t>
  </si>
  <si>
    <t>Mhada-72/1104/2022</t>
  </si>
  <si>
    <t>Dated</t>
  </si>
  <si>
    <t>20/04/2022.</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</si>
  <si>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</si>
  <si>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</si>
  <si>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</si>
  <si>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</si>
  <si>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</si>
  <si>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</si>
  <si>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</si>
  <si>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</si>
  <si>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</si>
  <si>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</si>
  <si>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MH/EE/(BP)/GM/MHADA-72/1104/2024/FCC/1/Amend</t>
  </si>
  <si>
    <t>01/02/2024.</t>
  </si>
  <si>
    <t>Kalyan Dombivli Municipal Corporation (KMDC)</t>
  </si>
  <si>
    <t>Maharashtra State Road Development Corporation Limited (MSRDC)</t>
  </si>
  <si>
    <t>Town Planner, Palghar</t>
  </si>
  <si>
    <t>This C.C. is further extended for work upto top of 22nd upper floor (i.e. ht. upto 69.60 m AGL) as per approved IOA dtd. 20.04.2022</t>
  </si>
  <si>
    <t>Valid Upto 
Date</t>
  </si>
  <si>
    <t>Mumbai Metropolitan Region Development Authority (MMRDA)</t>
  </si>
  <si>
    <t>Ambernath Municipal Council (AMC)</t>
  </si>
  <si>
    <t>Navi Mumbai Airport Influence Notified Area (NAINA)</t>
  </si>
  <si>
    <t xml:space="preserve">Fire Noc No
Valid Up to: </t>
  </si>
  <si>
    <t>Kulgoan Badlapur Municipal Council</t>
  </si>
  <si>
    <t>Pen Municipal Council</t>
  </si>
  <si>
    <t xml:space="preserve">Environmental Clearance Certificate (EC) No
Valid Up for: </t>
  </si>
  <si>
    <t>Town Planning Thane</t>
  </si>
  <si>
    <t>Raigad Zilha Parishad</t>
  </si>
  <si>
    <t>Ulhasnagar Municipal Corporation</t>
  </si>
  <si>
    <t>Roha Municipal Council</t>
  </si>
  <si>
    <t xml:space="preserve">Airport Noc No
Valid Up to: </t>
  </si>
  <si>
    <t>Nagar Rachana Ani Mulya Nirdharan Vibhag Thane</t>
  </si>
  <si>
    <t>Collector Of Raigad</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</si>
  <si>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</si>
  <si>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</si>
  <si>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</si>
  <si>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</si>
  <si>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</si>
  <si>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</si>
  <si>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</si>
  <si>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</si>
  <si>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Flats - 160</t>
  </si>
  <si>
    <t>Approved no of Floors</t>
  </si>
  <si>
    <t>Wing B = G + 1st to 22nd Floor</t>
  </si>
  <si>
    <t>Proposed no of Floors</t>
  </si>
  <si>
    <t>B Wing = 1B + G + 1st to 20th Floor</t>
  </si>
  <si>
    <t>C Wing = 1B + G + 1st to 20th Floor</t>
  </si>
  <si>
    <t>Expected Completion</t>
  </si>
  <si>
    <t>As per RERA - 31/12/2027</t>
  </si>
  <si>
    <t>Projected life of the structure</t>
  </si>
  <si>
    <t xml:space="preserve">Quality of construction: </t>
  </si>
  <si>
    <r>
      <rPr>
        <sz val="12"/>
        <rFont val="Times New Roman"/>
        <family val="1"/>
      </rPr>
      <t xml:space="preserve">Proposed Amenities :                                                                                                                                                                                                                         </t>
    </r>
    <r>
      <rPr>
        <b/>
        <sz val="12"/>
        <rFont val="Times New Roman"/>
        <family val="1"/>
      </rPr>
      <t xml:space="preserve">                                               </t>
    </r>
  </si>
  <si>
    <t>Terrace Garden, Kids Play Area, Banquet Mall, Sitout Area, Yoga, Gymnasium, etc.</t>
  </si>
  <si>
    <t>https://khandelwalluxor.in</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</si>
  <si>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</si>
  <si>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</si>
  <si>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</si>
  <si>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</si>
  <si>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</si>
  <si>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</si>
  <si>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</si>
  <si>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</si>
  <si>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</si>
  <si>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</si>
  <si>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</si>
  <si>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</si>
  <si>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</si>
  <si>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</si>
  <si>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</si>
  <si>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</si>
  <si>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</si>
  <si>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</si>
  <si>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</si>
  <si>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</si>
  <si>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</si>
  <si>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</si>
  <si>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</si>
  <si>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</si>
  <si>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</si>
  <si>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</si>
  <si>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</si>
  <si>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</si>
  <si>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</si>
  <si>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</si>
  <si>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</si>
  <si>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</si>
  <si>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</si>
  <si>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</si>
  <si>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</si>
  <si>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</si>
  <si>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</si>
  <si>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</si>
  <si>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</si>
  <si>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</si>
  <si>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 xml:space="preserve">the rate is kept same as Khandelwal Reserve Wing B </t>
  </si>
  <si>
    <t>Recommended rate of the Shop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</si>
  <si>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</si>
  <si>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</si>
  <si>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</si>
  <si>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</si>
  <si>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</si>
  <si>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</si>
  <si>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</si>
  <si>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</si>
  <si>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</si>
  <si>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</si>
  <si>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</si>
  <si>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</si>
  <si>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</si>
  <si>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</si>
  <si>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</si>
  <si>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Total</t>
  </si>
  <si>
    <t>Residential Area Details :</t>
  </si>
  <si>
    <t>Grand Total</t>
  </si>
  <si>
    <t>Building details Floor Wise</t>
  </si>
  <si>
    <t xml:space="preserve">Details of Residential in Building   </t>
  </si>
  <si>
    <r>
      <rPr>
        <b/>
        <sz val="12"/>
        <color indexed="8"/>
        <rFont val="Times New Roman"/>
        <family val="1"/>
      </rPr>
      <t xml:space="preserve">Shop No.
</t>
    </r>
    <r>
      <rPr>
        <b/>
        <sz val="11"/>
        <color rgb="FF000000"/>
        <rFont val="Times New Roman"/>
        <family val="1"/>
      </rPr>
      <t>(Approved Plan)</t>
    </r>
  </si>
  <si>
    <t>Shop No. (Sale Plan)</t>
  </si>
  <si>
    <t>Description</t>
  </si>
  <si>
    <t>Carpet area</t>
  </si>
  <si>
    <t>Attached Loft area</t>
  </si>
  <si>
    <t>Gross Carpet area</t>
  </si>
  <si>
    <t>Attached Terrace area</t>
  </si>
  <si>
    <t>Saleable area Loading :</t>
  </si>
  <si>
    <t>Ground Floor</t>
  </si>
  <si>
    <r>
      <rPr>
        <b/>
        <sz val="12"/>
        <color indexed="8"/>
        <rFont val="Times New Roman"/>
        <family val="1"/>
      </rPr>
      <t xml:space="preserve">Flat No.
</t>
    </r>
    <r>
      <rPr>
        <b/>
        <sz val="11"/>
        <color rgb="FF000000"/>
        <rFont val="Times New Roman"/>
        <family val="1"/>
      </rPr>
      <t>(Approved Plan)</t>
    </r>
  </si>
  <si>
    <t>Flat No. (Sale Plan)</t>
  </si>
  <si>
    <t>Fungible area</t>
  </si>
  <si>
    <t>Ground Floor For Entrance Lobby, Meter Room &amp; Puzzle Parking</t>
  </si>
  <si>
    <t>1st Floor For Residential (Part Puzzle Parking)</t>
  </si>
  <si>
    <t>1BHK</t>
  </si>
  <si>
    <t>1-22</t>
  </si>
  <si>
    <t>2BHK</t>
  </si>
  <si>
    <t>1-6, 8-13, 15-20, 22</t>
  </si>
  <si>
    <t>55.31</t>
  </si>
  <si>
    <t>Puzzle Parking</t>
  </si>
  <si>
    <t>4-6, 8-13, 15-22</t>
  </si>
  <si>
    <t>37.84</t>
  </si>
  <si>
    <t>4-22</t>
  </si>
  <si>
    <t>37.59</t>
  </si>
  <si>
    <t>37.97</t>
  </si>
  <si>
    <t>2nd Floor (Part Puzzle Parking)</t>
  </si>
  <si>
    <t>3rd Floor (E- Deck For Parking &amp; Fitness Centre)</t>
  </si>
  <si>
    <t>Parking &amp; Fitness Centre</t>
  </si>
  <si>
    <t>4th to 6th, 8th to 13th, 15th to 20th &amp; 22nd Floor</t>
  </si>
  <si>
    <t>7th &amp; 14th Floor (Part Refuge Area)</t>
  </si>
  <si>
    <t>Refuge Area</t>
  </si>
  <si>
    <t>21st Floor (Part Refuge Area)</t>
  </si>
  <si>
    <t>1RK</t>
  </si>
  <si>
    <t>-</t>
  </si>
  <si>
    <t xml:space="preserve">Remarks:  </t>
  </si>
  <si>
    <t>*</t>
  </si>
  <si>
    <t>We considered Carpet area as per Approved Plan.</t>
  </si>
  <si>
    <t>We considered Gross carpet area = Net carpet.</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</si>
  <si>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</si>
  <si>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</si>
  <si>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</si>
  <si>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</si>
  <si>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</si>
  <si>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Please check for Environment Clearance Certificate.
</t>
  </si>
  <si>
    <t>Provided C.C validity expired on 26/05/2023. Provide revised approved C.C.</t>
  </si>
  <si>
    <t>We have refered approved plans from MHADA site.</t>
  </si>
  <si>
    <t>The Gorai Dump Yard is near the project @230m approx on west side &amp; On east side Water Body is present.</t>
  </si>
  <si>
    <t>We have updated revised approved CC from Mhada site on 19/04/2024.</t>
  </si>
  <si>
    <t xml:space="preserve">Validity of CC is expired on 26/05/2024. Please provide revised CC.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</si>
  <si>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</si>
  <si>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</si>
  <si>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</si>
  <si>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</si>
  <si>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</si>
  <si>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</si>
  <si>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</si>
  <si>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</si>
  <si>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</si>
  <si>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</si>
  <si>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</si>
  <si>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</si>
  <si>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</si>
  <si>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</si>
  <si>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</si>
  <si>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</si>
  <si>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</si>
  <si>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</si>
  <si>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</si>
  <si>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</si>
  <si>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</si>
  <si>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</si>
  <si>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</si>
  <si>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</si>
  <si>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</si>
  <si>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</si>
  <si>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t>
  </si>
  <si>
    <t>Approved Plans, CC, Sale Plans</t>
  </si>
  <si>
    <t>Approved Plans, CC, Sale Plans, Builder Saleable Area</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</si>
  <si>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</si>
  <si>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</si>
  <si>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</si>
  <si>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</si>
  <si>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</si>
  <si>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</si>
  <si>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</si>
  <si>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</si>
  <si>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</si>
  <si>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</si>
  <si>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</si>
  <si>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</si>
  <si>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</si>
  <si>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</si>
  <si>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</si>
  <si>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</si>
  <si>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</si>
  <si>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</si>
  <si>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Construction work is in process at the time of Visit.(Internal photos was not allowed).</t>
  </si>
  <si>
    <t>Suraj Mali</t>
  </si>
  <si>
    <t>Pranita Mhatre</t>
  </si>
  <si>
    <t>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</si>
</sst>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_(* #,##0_);_(* \(#,##0\);_(* &quot;-&quot;??_);_(@_)"/>
    <numFmt numFmtId="166" formatCode="0.0"/>
    <numFmt numFmtId="167" formatCode="_ * #,##0_ ;_ * \-#,##0_ ;_ * &quot;-&quot;??_ ;_ @_ "/>
  </numFmts>
  <fonts count="29">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0"/>
      <color theme="1"/>
      <name val="Times New Roman"/>
      <family val="1"/>
    </font>
    <font>
      <sz val="11"/>
      <name val="Calibri"/>
      <family val="2"/>
    </font>
    <font>
      <sz val="11"/>
      <color theme="0"/>
      <name val="Calibri"/>
      <family val="2"/>
    </font>
    <font>
      <sz val="11"/>
      <color rgb="FF000000"/>
      <name val="Times New Roman"/>
      <family val="1"/>
    </font>
    <font>
      <b/>
      <sz val="12"/>
      <color theme="1"/>
      <name val="Times New Roman"/>
      <family val="1"/>
    </font>
    <font>
      <b/>
      <sz val="11"/>
      <color indexed="8"/>
      <name val="Times New Roman"/>
      <family val="1"/>
    </font>
    <font>
      <b/>
      <sz val="12"/>
      <color rgb="FFFF0000"/>
      <name val="Times New Roman"/>
      <family val="1"/>
    </font>
    <font>
      <sz val="11"/>
      <name val="Times New Roman"/>
      <family val="1"/>
    </font>
    <font>
      <sz val="10"/>
      <name val="Arial"/>
      <family val="2"/>
    </font>
    <font>
      <b/>
      <sz val="11"/>
      <color rgb="FF000000"/>
      <name val="Times New Roman"/>
      <family val="1"/>
    </font>
    <font>
      <b/>
      <sz val="11"/>
      <color rgb="FF000000"/>
      <name val="Calibri"/>
      <family val="2"/>
    </font>
    <font>
      <sz val="9"/>
      <name val="Tahoma"/>
      <family val="2"/>
    </font>
    <font>
      <b/>
      <sz val="9"/>
      <name val="Tahoma"/>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1">
    <xf numFmtId="0" fontId="0" fillId="0" borderId="0"/>
    <xf numFmtId="43" fontId="28" fillId="0" borderId="0" applyFont="0" applyFill="0" applyBorder="0" applyAlignment="0" applyProtection="0"/>
    <xf numFmtId="9" fontId="28" fillId="0" borderId="0" applyFon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23" fillId="0" borderId="0"/>
    <xf numFmtId="0" fontId="2" fillId="0" borderId="0"/>
  </cellStyleXfs>
  <cellXfs count="223">
    <xf numFmtId="0" fontId="0" fillId="0" borderId="0" xfId="0"/>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xf numFmtId="0" fontId="0" fillId="0" borderId="1" xfId="0" applyFill="1" applyBorder="1" applyAlignment="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1" fillId="0" borderId="0" xfId="6"/>
    <xf numFmtId="0" fontId="2" fillId="0" borderId="0" xfId="10"/>
    <xf numFmtId="0" fontId="3" fillId="0" borderId="1" xfId="10" applyFont="1" applyBorder="1" applyAlignment="1">
      <alignment horizontal="center" vertical="top" wrapText="1"/>
    </xf>
    <xf numFmtId="0" fontId="2" fillId="0" borderId="1" xfId="10" applyBorder="1" applyAlignment="1">
      <alignment horizontal="center" vertical="center"/>
    </xf>
    <xf numFmtId="0" fontId="2" fillId="0" borderId="1" xfId="10" applyBorder="1" applyAlignment="1">
      <alignment horizontal="left" vertical="center"/>
    </xf>
    <xf numFmtId="1" fontId="2" fillId="0" borderId="1" xfId="10" applyNumberFormat="1" applyBorder="1" applyAlignment="1">
      <alignment horizontal="center" vertical="center"/>
    </xf>
    <xf numFmtId="165" fontId="2" fillId="0" borderId="1" xfId="4" applyNumberFormat="1" applyFont="1" applyBorder="1" applyAlignment="1">
      <alignment horizontal="right" vertical="center"/>
    </xf>
    <xf numFmtId="0" fontId="2" fillId="0" borderId="1" xfId="10" applyBorder="1" applyAlignment="1">
      <alignment horizontal="left" vertical="center" wrapText="1"/>
    </xf>
    <xf numFmtId="0" fontId="3"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1"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12" fillId="0" borderId="1" xfId="8" applyFont="1" applyBorder="1" applyAlignment="1" applyProtection="1">
      <alignment vertical="top"/>
      <protection locked="0"/>
    </xf>
    <xf numFmtId="1" fontId="10" fillId="0" borderId="0" xfId="8" applyNumberFormat="1" applyFont="1"/>
    <xf numFmtId="0" fontId="7" fillId="0" borderId="20"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9" fillId="0" borderId="1" xfId="8" applyFont="1" applyBorder="1" applyAlignment="1" applyProtection="1">
      <alignment horizontal="center" vertical="top"/>
      <protection locked="0"/>
    </xf>
    <xf numFmtId="0" fontId="7" fillId="0" borderId="21" xfId="8" applyFont="1" applyBorder="1" applyAlignment="1" applyProtection="1">
      <alignment horizontal="center" vertical="top"/>
      <protection locked="0"/>
    </xf>
    <xf numFmtId="0" fontId="10" fillId="0" borderId="1" xfId="8" applyFont="1" applyBorder="1" applyAlignment="1" applyProtection="1">
      <alignment horizontal="center" vertical="top" wrapText="1"/>
      <protection locked="0"/>
    </xf>
    <xf numFmtId="9" fontId="10" fillId="0" borderId="1" xfId="2" applyFont="1" applyFill="1" applyBorder="1" applyAlignment="1" applyProtection="1">
      <alignment horizontal="center" vertical="top" wrapText="1"/>
      <protection locked="0"/>
    </xf>
    <xf numFmtId="1" fontId="10" fillId="0" borderId="1" xfId="8" applyNumberFormat="1" applyFont="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9" fontId="10" fillId="0" borderId="25" xfId="2" applyFont="1" applyFill="1" applyBorder="1" applyAlignment="1" applyProtection="1">
      <alignment horizontal="center" vertical="top" wrapText="1"/>
      <protection locked="0"/>
    </xf>
    <xf numFmtId="0" fontId="6" fillId="0" borderId="1" xfId="8" applyFont="1" applyBorder="1" applyAlignment="1" applyProtection="1">
      <alignment horizontal="center" vertical="top"/>
      <protection locked="0"/>
    </xf>
    <xf numFmtId="14" fontId="10" fillId="0" borderId="0" xfId="8" applyNumberFormat="1" applyFont="1"/>
    <xf numFmtId="0" fontId="10" fillId="0" borderId="0" xfId="8" applyFont="1" applyProtection="1">
      <protection hidden="1"/>
    </xf>
    <xf numFmtId="0" fontId="14" fillId="0" borderId="0" xfId="3"/>
    <xf numFmtId="0" fontId="15" fillId="0" borderId="0" xfId="8" applyFont="1"/>
    <xf numFmtId="0" fontId="16" fillId="2" borderId="29" xfId="0" applyFont="1" applyFill="1" applyBorder="1"/>
    <xf numFmtId="0" fontId="17" fillId="0" borderId="30" xfId="0" applyFont="1" applyBorder="1"/>
    <xf numFmtId="0" fontId="17" fillId="0" borderId="1" xfId="0" applyFont="1" applyBorder="1"/>
    <xf numFmtId="0" fontId="17" fillId="0" borderId="21" xfId="0" applyFont="1" applyBorder="1"/>
    <xf numFmtId="0" fontId="18" fillId="0" borderId="0" xfId="0" applyFont="1" applyProtection="1">
      <protection hidden="1"/>
    </xf>
    <xf numFmtId="0" fontId="10" fillId="0" borderId="23" xfId="8" applyFont="1" applyBorder="1"/>
    <xf numFmtId="0" fontId="18"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8" fillId="0" borderId="31" xfId="0" applyFont="1" applyBorder="1" applyProtection="1">
      <protection hidden="1"/>
    </xf>
    <xf numFmtId="1" fontId="0" fillId="0" borderId="28" xfId="0" applyNumberFormat="1" applyBorder="1"/>
    <xf numFmtId="1" fontId="9" fillId="0" borderId="1" xfId="0" applyNumberFormat="1" applyFont="1" applyBorder="1" applyAlignment="1" applyProtection="1">
      <alignment horizontal="center" vertical="center" wrapText="1"/>
      <protection locked="0"/>
    </xf>
    <xf numFmtId="1" fontId="12" fillId="0" borderId="10" xfId="8" applyNumberFormat="1" applyFont="1" applyBorder="1" applyAlignment="1" applyProtection="1">
      <alignment horizontal="center" vertical="top" wrapText="1"/>
      <protection locked="0"/>
    </xf>
    <xf numFmtId="9" fontId="21" fillId="0" borderId="14" xfId="2" applyFont="1" applyFill="1" applyBorder="1" applyAlignment="1" applyProtection="1">
      <alignment horizontal="center" vertical="top" wrapText="1"/>
      <protection locked="0"/>
    </xf>
    <xf numFmtId="1" fontId="9" fillId="0" borderId="1" xfId="8" applyNumberFormat="1" applyFont="1" applyBorder="1" applyAlignment="1" applyProtection="1">
      <alignment horizontal="center" vertical="center" wrapText="1"/>
      <protection locked="0"/>
    </xf>
    <xf numFmtId="9" fontId="13" fillId="0" borderId="14" xfId="2" applyFont="1" applyFill="1" applyBorder="1" applyAlignment="1" applyProtection="1">
      <alignment horizontal="center" vertical="top" wrapText="1"/>
      <protection locked="0"/>
    </xf>
    <xf numFmtId="1" fontId="10" fillId="0" borderId="0" xfId="8" applyNumberFormat="1" applyFont="1" applyAlignment="1">
      <alignment horizontal="center" vertical="center"/>
    </xf>
    <xf numFmtId="49" fontId="10" fillId="0" borderId="0" xfId="8" applyNumberFormat="1" applyFont="1" applyAlignment="1">
      <alignment horizontal="center" vertical="center"/>
    </xf>
    <xf numFmtId="0" fontId="12" fillId="0" borderId="0" xfId="8" applyFont="1" applyAlignment="1" applyProtection="1">
      <alignment vertical="top"/>
      <protection locked="0"/>
    </xf>
    <xf numFmtId="0" fontId="12" fillId="0" borderId="0" xfId="8" applyFont="1" applyAlignment="1" applyProtection="1">
      <alignment vertical="top" wrapText="1"/>
      <protection locked="0"/>
    </xf>
    <xf numFmtId="0" fontId="19" fillId="0" borderId="0" xfId="8" applyFont="1" applyProtection="1">
      <protection locked="0"/>
    </xf>
    <xf numFmtId="1" fontId="9" fillId="0" borderId="1" xfId="0" applyNumberFormat="1" applyFont="1" applyBorder="1" applyAlignment="1" applyProtection="1">
      <alignment horizontal="center" vertical="center" wrapText="1"/>
      <protection locked="0"/>
    </xf>
    <xf numFmtId="1" fontId="9" fillId="0" borderId="1" xfId="8" applyNumberFormat="1" applyFont="1" applyBorder="1" applyAlignment="1" applyProtection="1">
      <alignment horizontal="center" vertical="center" wrapText="1"/>
      <protection locked="0"/>
    </xf>
    <xf numFmtId="0" fontId="16" fillId="2" borderId="16" xfId="0" applyFont="1" applyFill="1" applyBorder="1"/>
    <xf numFmtId="0" fontId="17" fillId="0" borderId="4" xfId="0" applyFont="1" applyBorder="1"/>
    <xf numFmtId="0" fontId="11" fillId="0" borderId="1" xfId="8"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0" fontId="7" fillId="0" borderId="1" xfId="8" applyFont="1" applyBorder="1" applyAlignment="1" applyProtection="1">
      <alignment horizontal="left" vertical="top"/>
      <protection locked="0"/>
    </xf>
    <xf numFmtId="14" fontId="7" fillId="0" borderId="1" xfId="8" applyNumberFormat="1" applyFont="1" applyBorder="1" applyAlignment="1" applyProtection="1">
      <alignment horizontal="left" vertical="top"/>
      <protection locked="0"/>
    </xf>
    <xf numFmtId="0" fontId="13" fillId="0" borderId="1" xfId="8" applyFont="1" applyBorder="1" applyAlignment="1" applyProtection="1">
      <alignment horizontal="left" vertical="top" wrapText="1"/>
      <protection locked="0"/>
    </xf>
    <xf numFmtId="0" fontId="13" fillId="0" borderId="1" xfId="8" applyFont="1" applyBorder="1" applyAlignment="1" applyProtection="1">
      <alignment horizontal="left" vertical="top"/>
      <protection locked="0"/>
    </xf>
    <xf numFmtId="0" fontId="9" fillId="0" borderId="1" xfId="8" applyFont="1" applyBorder="1" applyAlignment="1" applyProtection="1">
      <alignment horizontal="left" vertical="top"/>
      <protection locked="0"/>
    </xf>
    <xf numFmtId="0" fontId="7" fillId="0" borderId="1" xfId="8" applyFont="1" applyBorder="1" applyAlignment="1" applyProtection="1">
      <alignment horizontal="left" vertical="top" wrapText="1"/>
      <protection locked="0"/>
    </xf>
    <xf numFmtId="0" fontId="10" fillId="0" borderId="11" xfId="8" applyFont="1" applyBorder="1" applyAlignment="1">
      <alignment horizontal="center"/>
    </xf>
    <xf numFmtId="0" fontId="10" fillId="0" borderId="0" xfId="8" applyFont="1" applyAlignment="1">
      <alignment horizontal="center"/>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protection locked="0"/>
    </xf>
    <xf numFmtId="0" fontId="13" fillId="0" borderId="1" xfId="8" applyFont="1" applyBorder="1" applyAlignment="1" applyProtection="1">
      <alignment horizontal="center"/>
      <protection locked="0"/>
    </xf>
    <xf numFmtId="0" fontId="13" fillId="0" borderId="1" xfId="8" applyFont="1" applyBorder="1" applyAlignment="1" applyProtection="1">
      <alignment horizontal="center" vertical="top"/>
      <protection locked="0"/>
    </xf>
    <xf numFmtId="0" fontId="7" fillId="0" borderId="1" xfId="8" applyFont="1" applyBorder="1" applyAlignment="1" applyProtection="1">
      <alignment horizontal="center"/>
      <protection locked="0"/>
    </xf>
    <xf numFmtId="0" fontId="7" fillId="0" borderId="1" xfId="8" applyFont="1" applyBorder="1" applyAlignment="1" applyProtection="1">
      <alignment horizontal="center" vertical="top"/>
      <protection locked="0"/>
    </xf>
    <xf numFmtId="0" fontId="12" fillId="0" borderId="1" xfId="8" applyFont="1" applyBorder="1" applyAlignment="1" applyProtection="1">
      <alignment horizontal="left" vertical="top"/>
      <protection locked="0"/>
    </xf>
    <xf numFmtId="0" fontId="14" fillId="0" borderId="1" xfId="3" applyFill="1" applyBorder="1" applyAlignment="1" applyProtection="1">
      <alignment horizontal="left" vertical="top" wrapText="1"/>
      <protection locked="0"/>
    </xf>
    <xf numFmtId="2" fontId="9" fillId="0" borderId="1" xfId="8" applyNumberFormat="1" applyFont="1" applyBorder="1" applyAlignment="1" applyProtection="1">
      <alignment horizontal="left" vertical="top" wrapText="1"/>
      <protection locked="0"/>
    </xf>
    <xf numFmtId="166"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9" fillId="0" borderId="2" xfId="8" applyFont="1" applyBorder="1" applyAlignment="1" applyProtection="1">
      <alignment horizontal="left" vertical="top" wrapText="1"/>
      <protection locked="0"/>
    </xf>
    <xf numFmtId="0" fontId="9" fillId="0" borderId="4" xfId="8" applyFont="1" applyBorder="1" applyAlignment="1" applyProtection="1">
      <alignment horizontal="left" vertical="top" wrapText="1"/>
      <protection locked="0"/>
    </xf>
    <xf numFmtId="0" fontId="13" fillId="0" borderId="2" xfId="8" applyFont="1" applyBorder="1" applyAlignment="1" applyProtection="1">
      <alignment horizontal="left" vertical="top"/>
      <protection locked="0"/>
    </xf>
    <xf numFmtId="0" fontId="13" fillId="0" borderId="3" xfId="8" applyFont="1" applyBorder="1" applyAlignment="1" applyProtection="1">
      <alignment horizontal="left" vertical="top"/>
      <protection locked="0"/>
    </xf>
    <xf numFmtId="0" fontId="13" fillId="0" borderId="4" xfId="8" applyFont="1" applyBorder="1" applyAlignment="1" applyProtection="1">
      <alignment horizontal="left" vertical="top"/>
      <protection locked="0"/>
    </xf>
    <xf numFmtId="0" fontId="9" fillId="0" borderId="3" xfId="8" applyFont="1" applyBorder="1" applyAlignment="1" applyProtection="1">
      <alignment horizontal="left" vertical="top" wrapText="1"/>
      <protection locked="0"/>
    </xf>
    <xf numFmtId="14" fontId="7" fillId="0" borderId="2" xfId="8" applyNumberFormat="1" applyFont="1" applyBorder="1" applyAlignment="1" applyProtection="1">
      <alignment horizontal="left" vertical="top" wrapText="1"/>
      <protection locked="0"/>
    </xf>
    <xf numFmtId="0" fontId="7" fillId="0" borderId="4" xfId="8" applyFont="1" applyBorder="1" applyAlignment="1" applyProtection="1">
      <alignment horizontal="left" vertical="top" wrapText="1"/>
      <protection locked="0"/>
    </xf>
    <xf numFmtId="14" fontId="9" fillId="0" borderId="2" xfId="8" applyNumberFormat="1" applyFont="1" applyBorder="1" applyAlignment="1" applyProtection="1">
      <alignment horizontal="left" vertical="top" wrapText="1"/>
      <protection locked="0"/>
    </xf>
    <xf numFmtId="0" fontId="9" fillId="0" borderId="2" xfId="8" applyFont="1" applyBorder="1" applyAlignment="1" applyProtection="1">
      <alignment vertical="top" wrapText="1"/>
      <protection locked="0"/>
    </xf>
    <xf numFmtId="0" fontId="9" fillId="0" borderId="3" xfId="8" applyFont="1" applyBorder="1" applyAlignment="1" applyProtection="1">
      <alignment vertical="top" wrapText="1"/>
      <protection locked="0"/>
    </xf>
    <xf numFmtId="0" fontId="9" fillId="0" borderId="4" xfId="8" applyFont="1" applyBorder="1" applyAlignment="1" applyProtection="1">
      <alignment vertical="top" wrapText="1"/>
      <protection locked="0"/>
    </xf>
    <xf numFmtId="0" fontId="12" fillId="0" borderId="2" xfId="8" applyFont="1" applyBorder="1" applyAlignment="1" applyProtection="1">
      <alignment horizontal="left" vertical="top" wrapText="1"/>
      <protection locked="0"/>
    </xf>
    <xf numFmtId="0" fontId="12" fillId="0" borderId="4" xfId="8" applyFont="1" applyBorder="1" applyAlignment="1" applyProtection="1">
      <alignment horizontal="left" vertical="top" wrapText="1"/>
      <protection locked="0"/>
    </xf>
    <xf numFmtId="0" fontId="12" fillId="0" borderId="3" xfId="8" applyFont="1" applyBorder="1" applyAlignment="1" applyProtection="1">
      <alignment horizontal="left" vertical="top" wrapText="1"/>
      <protection locked="0"/>
    </xf>
    <xf numFmtId="0" fontId="12" fillId="0" borderId="2" xfId="8" applyFont="1" applyBorder="1" applyAlignment="1" applyProtection="1">
      <alignment horizontal="left" vertical="top"/>
      <protection locked="0"/>
    </xf>
    <xf numFmtId="0" fontId="12" fillId="0" borderId="4" xfId="8" applyFont="1" applyBorder="1" applyAlignment="1" applyProtection="1">
      <alignment horizontal="left" vertical="top"/>
      <protection locked="0"/>
    </xf>
    <xf numFmtId="0" fontId="12" fillId="0" borderId="1" xfId="8" applyFont="1" applyBorder="1" applyAlignment="1" applyProtection="1">
      <alignment vertical="top"/>
      <protection locked="0"/>
    </xf>
    <xf numFmtId="0" fontId="7" fillId="0" borderId="5" xfId="8" applyFont="1" applyBorder="1" applyAlignment="1" applyProtection="1">
      <alignment horizontal="left" vertical="top" wrapText="1"/>
      <protection locked="0"/>
    </xf>
    <xf numFmtId="0" fontId="7" fillId="0" borderId="9" xfId="8" applyFont="1" applyBorder="1" applyAlignment="1" applyProtection="1">
      <alignment horizontal="left" vertical="top" wrapText="1"/>
      <protection locked="0"/>
    </xf>
    <xf numFmtId="0" fontId="7" fillId="0" borderId="6" xfId="8" applyFont="1" applyBorder="1" applyAlignment="1" applyProtection="1">
      <alignment horizontal="left" vertical="top" wrapText="1"/>
      <protection locked="0"/>
    </xf>
    <xf numFmtId="0" fontId="7" fillId="0" borderId="10" xfId="8" applyFont="1" applyBorder="1" applyAlignment="1" applyProtection="1">
      <alignment horizontal="left" vertical="top" wrapText="1"/>
      <protection locked="0"/>
    </xf>
    <xf numFmtId="0" fontId="7" fillId="0" borderId="10" xfId="8" applyFont="1" applyBorder="1" applyAlignment="1" applyProtection="1">
      <alignment horizontal="left" vertical="top"/>
      <protection locked="0"/>
    </xf>
    <xf numFmtId="0" fontId="7" fillId="0" borderId="2" xfId="8" applyFont="1" applyBorder="1" applyAlignment="1" applyProtection="1">
      <alignment horizontal="left" vertical="top"/>
      <protection locked="0"/>
    </xf>
    <xf numFmtId="0" fontId="7" fillId="0" borderId="3" xfId="8" applyFont="1" applyBorder="1" applyAlignment="1" applyProtection="1">
      <alignment horizontal="left" vertical="top"/>
      <protection locked="0"/>
    </xf>
    <xf numFmtId="0" fontId="7" fillId="0" borderId="4" xfId="8" applyFont="1" applyBorder="1" applyAlignment="1" applyProtection="1">
      <alignment horizontal="left" vertical="top"/>
      <protection locked="0"/>
    </xf>
    <xf numFmtId="0" fontId="6" fillId="0" borderId="11" xfId="8" applyFont="1" applyBorder="1" applyAlignment="1" applyProtection="1">
      <alignment horizontal="left" vertical="top"/>
      <protection locked="0"/>
    </xf>
    <xf numFmtId="0" fontId="6" fillId="0" borderId="0" xfId="8" applyFont="1" applyAlignment="1" applyProtection="1">
      <alignment horizontal="left" vertical="top"/>
      <protection locked="0"/>
    </xf>
    <xf numFmtId="0" fontId="6" fillId="0" borderId="12" xfId="8" applyFont="1" applyBorder="1" applyAlignment="1" applyProtection="1">
      <alignment horizontal="left" vertical="top"/>
      <protection locked="0"/>
    </xf>
    <xf numFmtId="0" fontId="6" fillId="0" borderId="7" xfId="8" applyFont="1" applyBorder="1" applyAlignment="1" applyProtection="1">
      <alignment horizontal="left" vertical="top"/>
      <protection locked="0"/>
    </xf>
    <xf numFmtId="0" fontId="6" fillId="0" borderId="13" xfId="8" applyFont="1" applyBorder="1" applyAlignment="1" applyProtection="1">
      <alignment horizontal="left" vertical="top"/>
      <protection locked="0"/>
    </xf>
    <xf numFmtId="0" fontId="6" fillId="0" borderId="8" xfId="8" applyFont="1" applyBorder="1" applyAlignment="1" applyProtection="1">
      <alignment horizontal="left" vertical="top"/>
      <protection locked="0"/>
    </xf>
    <xf numFmtId="0" fontId="9" fillId="0" borderId="14" xfId="8" applyFont="1" applyBorder="1" applyAlignment="1" applyProtection="1">
      <alignment horizontal="left" vertical="top" wrapText="1"/>
      <protection locked="0"/>
    </xf>
    <xf numFmtId="1" fontId="9" fillId="0" borderId="1" xfId="8" applyNumberFormat="1" applyFont="1" applyBorder="1" applyAlignment="1" applyProtection="1">
      <alignment horizontal="left" vertical="top" wrapText="1"/>
      <protection locked="0"/>
    </xf>
    <xf numFmtId="0" fontId="12" fillId="0" borderId="1" xfId="8" applyFont="1" applyBorder="1" applyAlignment="1" applyProtection="1">
      <alignment horizontal="left" vertical="top" wrapText="1"/>
      <protection locked="0"/>
    </xf>
    <xf numFmtId="0" fontId="13" fillId="0" borderId="20" xfId="8" applyFont="1" applyBorder="1" applyAlignment="1" applyProtection="1">
      <alignment horizontal="left" vertical="top"/>
      <protection locked="0"/>
    </xf>
    <xf numFmtId="0" fontId="13" fillId="0" borderId="21" xfId="8" applyFont="1" applyBorder="1" applyAlignment="1" applyProtection="1">
      <alignment horizontal="left" vertical="top" wrapText="1"/>
      <protection locked="0"/>
    </xf>
    <xf numFmtId="0" fontId="10" fillId="0" borderId="20" xfId="8" applyFont="1" applyBorder="1" applyAlignment="1" applyProtection="1">
      <alignment horizontal="center" vertical="top" wrapText="1"/>
      <protection locked="0"/>
    </xf>
    <xf numFmtId="0" fontId="10" fillId="0" borderId="1" xfId="8" applyFont="1" applyBorder="1" applyAlignment="1" applyProtection="1">
      <alignment horizontal="center" vertical="top" wrapText="1"/>
      <protection locked="0"/>
    </xf>
    <xf numFmtId="0" fontId="10" fillId="0" borderId="21" xfId="8" applyFont="1" applyBorder="1" applyAlignment="1" applyProtection="1">
      <alignment horizontal="center" vertical="top" wrapText="1"/>
      <protection locked="0"/>
    </xf>
    <xf numFmtId="0" fontId="10" fillId="0" borderId="24" xfId="8" applyFont="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0" fontId="12" fillId="0" borderId="15" xfId="8" applyFont="1" applyBorder="1" applyAlignment="1" applyProtection="1">
      <alignment horizontal="left" vertical="top" wrapText="1"/>
      <protection locked="0"/>
    </xf>
    <xf numFmtId="0" fontId="12" fillId="0" borderId="16" xfId="8" applyFont="1" applyBorder="1" applyAlignment="1" applyProtection="1">
      <alignment horizontal="left" vertical="top" wrapText="1"/>
      <protection locked="0"/>
    </xf>
    <xf numFmtId="0" fontId="12" fillId="0" borderId="17" xfId="8" applyFont="1" applyBorder="1" applyAlignment="1" applyProtection="1">
      <alignment horizontal="left" vertical="top" wrapText="1"/>
      <protection locked="0"/>
    </xf>
    <xf numFmtId="0" fontId="12" fillId="0" borderId="18" xfId="8" applyFont="1" applyBorder="1" applyAlignment="1" applyProtection="1">
      <alignment horizontal="left" vertical="top" wrapText="1"/>
      <protection locked="0"/>
    </xf>
    <xf numFmtId="0" fontId="12" fillId="0" borderId="19" xfId="8" applyFont="1" applyBorder="1" applyAlignment="1" applyProtection="1">
      <alignment horizontal="left" vertical="top" wrapText="1"/>
      <protection locked="0"/>
    </xf>
    <xf numFmtId="0" fontId="12" fillId="0" borderId="14" xfId="8" applyFont="1" applyBorder="1" applyAlignment="1" applyProtection="1">
      <alignment horizontal="left" vertical="top"/>
      <protection locked="0"/>
    </xf>
    <xf numFmtId="0" fontId="12" fillId="0" borderId="14" xfId="8" applyFont="1" applyBorder="1" applyAlignment="1" applyProtection="1">
      <alignment horizontal="center" vertical="top"/>
      <protection locked="0"/>
    </xf>
    <xf numFmtId="167" fontId="7" fillId="0" borderId="1" xfId="1" applyNumberFormat="1" applyFont="1" applyFill="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2" fillId="0" borderId="10" xfId="0" applyNumberFormat="1"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19" fillId="0" borderId="10" xfId="0" applyFont="1" applyBorder="1" applyAlignment="1" applyProtection="1">
      <alignment horizontal="center" vertical="top" wrapText="1"/>
      <protection locked="0"/>
    </xf>
    <xf numFmtId="1" fontId="12" fillId="0" borderId="10" xfId="0" applyNumberFormat="1" applyFont="1" applyBorder="1" applyAlignment="1" applyProtection="1">
      <alignment horizontal="center" vertical="top" wrapText="1"/>
      <protection locked="0"/>
    </xf>
    <xf numFmtId="1" fontId="12" fillId="0" borderId="32"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wrapText="1"/>
      <protection locked="0"/>
    </xf>
    <xf numFmtId="0" fontId="19" fillId="0" borderId="33" xfId="0" applyFont="1" applyBorder="1" applyAlignment="1" applyProtection="1">
      <alignment horizontal="center" vertical="center"/>
      <protection locked="0"/>
    </xf>
    <xf numFmtId="0" fontId="19" fillId="0" borderId="33" xfId="0" applyFont="1" applyBorder="1" applyAlignment="1" applyProtection="1">
      <alignment horizontal="center" vertical="top" wrapText="1"/>
      <protection locked="0"/>
    </xf>
    <xf numFmtId="1" fontId="12" fillId="0" borderId="33" xfId="0" applyNumberFormat="1" applyFont="1" applyBorder="1" applyAlignment="1" applyProtection="1">
      <alignment horizontal="center" vertical="top" wrapText="1"/>
      <protection locked="0"/>
    </xf>
    <xf numFmtId="1" fontId="12" fillId="0" borderId="34" xfId="0" applyNumberFormat="1" applyFont="1" applyBorder="1" applyAlignment="1" applyProtection="1">
      <alignment horizontal="center" vertical="top" wrapText="1"/>
      <protection locked="0"/>
    </xf>
    <xf numFmtId="1" fontId="12" fillId="0" borderId="2" xfId="8" applyNumberFormat="1" applyFont="1" applyBorder="1" applyAlignment="1" applyProtection="1">
      <alignment horizontal="center" vertical="center" wrapText="1"/>
      <protection locked="0"/>
    </xf>
    <xf numFmtId="1" fontId="12" fillId="0" borderId="3" xfId="8" applyNumberFormat="1" applyFont="1" applyBorder="1" applyAlignment="1" applyProtection="1">
      <alignment horizontal="center" vertical="center" wrapText="1"/>
      <protection locked="0"/>
    </xf>
    <xf numFmtId="1" fontId="12" fillId="0" borderId="4" xfId="8" applyNumberFormat="1" applyFont="1" applyBorder="1" applyAlignment="1" applyProtection="1">
      <alignment horizontal="center" vertical="center" wrapText="1"/>
      <protection locked="0"/>
    </xf>
    <xf numFmtId="1" fontId="9" fillId="0" borderId="2" xfId="8" applyNumberFormat="1" applyFont="1" applyBorder="1" applyAlignment="1" applyProtection="1">
      <alignment horizontal="center" vertical="center" wrapText="1"/>
      <protection locked="0"/>
    </xf>
    <xf numFmtId="1" fontId="9" fillId="0" borderId="4" xfId="8" applyNumberFormat="1" applyFont="1" applyBorder="1" applyAlignment="1" applyProtection="1">
      <alignment horizontal="center" vertical="center" wrapText="1"/>
      <protection locked="0"/>
    </xf>
    <xf numFmtId="0" fontId="10" fillId="0" borderId="0" xfId="8" applyFont="1" applyAlignment="1">
      <alignment horizontal="center" vertical="center"/>
    </xf>
    <xf numFmtId="1" fontId="12" fillId="0" borderId="10" xfId="8" applyNumberFormat="1" applyFont="1" applyBorder="1" applyAlignment="1" applyProtection="1">
      <alignment horizontal="center" vertical="top" wrapText="1"/>
      <protection locked="0"/>
    </xf>
    <xf numFmtId="1" fontId="12" fillId="0" borderId="14" xfId="8" applyNumberFormat="1" applyFont="1" applyBorder="1" applyAlignment="1" applyProtection="1">
      <alignment horizontal="center" vertical="top" wrapText="1"/>
      <protection locked="0"/>
    </xf>
    <xf numFmtId="1" fontId="20" fillId="0" borderId="10" xfId="8" applyNumberFormat="1" applyFont="1" applyBorder="1" applyAlignment="1" applyProtection="1">
      <alignment horizontal="center" vertical="top" wrapText="1"/>
      <protection locked="0"/>
    </xf>
    <xf numFmtId="1" fontId="20" fillId="0" borderId="14" xfId="8" applyNumberFormat="1" applyFont="1" applyBorder="1" applyAlignment="1" applyProtection="1">
      <alignment horizontal="center" vertical="top" wrapText="1"/>
      <protection locked="0"/>
    </xf>
    <xf numFmtId="1" fontId="9" fillId="0" borderId="3" xfId="8" applyNumberFormat="1" applyFont="1" applyBorder="1" applyAlignment="1" applyProtection="1">
      <alignment horizontal="center" vertical="center" wrapText="1"/>
      <protection locked="0"/>
    </xf>
    <xf numFmtId="49" fontId="10" fillId="0" borderId="0" xfId="8" applyNumberFormat="1" applyFont="1" applyAlignment="1">
      <alignment horizontal="center" vertical="center"/>
    </xf>
    <xf numFmtId="1" fontId="12" fillId="0" borderId="5" xfId="8" applyNumberFormat="1" applyFont="1" applyBorder="1" applyAlignment="1" applyProtection="1">
      <alignment horizontal="center" vertical="top" wrapText="1"/>
      <protection locked="0"/>
    </xf>
    <xf numFmtId="1" fontId="12" fillId="0" borderId="7" xfId="8" applyNumberFormat="1" applyFont="1" applyBorder="1" applyAlignment="1" applyProtection="1">
      <alignment horizontal="center" vertical="top" wrapText="1"/>
      <protection locked="0"/>
    </xf>
    <xf numFmtId="1" fontId="12" fillId="0" borderId="1" xfId="8" applyNumberFormat="1" applyFont="1" applyBorder="1" applyAlignment="1" applyProtection="1">
      <alignment horizontal="center" vertical="center" wrapText="1"/>
      <protection locked="0"/>
    </xf>
    <xf numFmtId="1" fontId="9" fillId="0" borderId="1" xfId="8" applyNumberFormat="1" applyFont="1" applyBorder="1" applyAlignment="1" applyProtection="1">
      <alignment horizontal="center" vertical="center" wrapText="1"/>
      <protection locked="0"/>
    </xf>
    <xf numFmtId="1" fontId="9" fillId="0" borderId="5" xfId="8" applyNumberFormat="1" applyFont="1" applyBorder="1" applyAlignment="1" applyProtection="1">
      <alignment horizontal="center" vertical="center" wrapText="1"/>
      <protection locked="0"/>
    </xf>
    <xf numFmtId="1" fontId="9" fillId="0" borderId="9" xfId="8" applyNumberFormat="1" applyFont="1" applyBorder="1" applyAlignment="1" applyProtection="1">
      <alignment horizontal="center" vertical="center" wrapText="1"/>
      <protection locked="0"/>
    </xf>
    <xf numFmtId="1" fontId="9" fillId="0" borderId="6" xfId="8" applyNumberFormat="1" applyFont="1" applyBorder="1" applyAlignment="1" applyProtection="1">
      <alignment horizontal="center" vertical="center" wrapText="1"/>
      <protection locked="0"/>
    </xf>
    <xf numFmtId="1" fontId="9" fillId="0" borderId="11" xfId="8" applyNumberFormat="1" applyFont="1" applyBorder="1" applyAlignment="1" applyProtection="1">
      <alignment horizontal="center" vertical="center" wrapText="1"/>
      <protection locked="0"/>
    </xf>
    <xf numFmtId="1" fontId="9" fillId="0" borderId="0" xfId="8" applyNumberFormat="1" applyFont="1" applyBorder="1" applyAlignment="1" applyProtection="1">
      <alignment horizontal="center" vertical="center" wrapText="1"/>
      <protection locked="0"/>
    </xf>
    <xf numFmtId="1" fontId="9" fillId="0" borderId="12" xfId="8" applyNumberFormat="1" applyFont="1" applyBorder="1" applyAlignment="1" applyProtection="1">
      <alignment horizontal="center" vertical="center" wrapText="1"/>
      <protection locked="0"/>
    </xf>
    <xf numFmtId="1" fontId="9" fillId="0" borderId="7" xfId="8" applyNumberFormat="1" applyFont="1" applyBorder="1" applyAlignment="1" applyProtection="1">
      <alignment horizontal="center" vertical="center" wrapText="1"/>
      <protection locked="0"/>
    </xf>
    <xf numFmtId="1" fontId="9" fillId="0" borderId="13" xfId="8" applyNumberFormat="1" applyFont="1" applyBorder="1" applyAlignment="1" applyProtection="1">
      <alignment horizontal="center" vertical="center" wrapText="1"/>
      <protection locked="0"/>
    </xf>
    <xf numFmtId="1" fontId="9" fillId="0" borderId="8" xfId="8"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vertical="top" wrapText="1"/>
      <protection locked="0"/>
    </xf>
    <xf numFmtId="1" fontId="13" fillId="0" borderId="2" xfId="0" applyNumberFormat="1" applyFont="1" applyBorder="1" applyAlignment="1" applyProtection="1">
      <alignment vertical="top" wrapText="1"/>
      <protection locked="0"/>
    </xf>
    <xf numFmtId="1" fontId="13" fillId="0" borderId="3"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2" fillId="0" borderId="2" xfId="0" applyNumberFormat="1" applyFont="1" applyBorder="1" applyAlignment="1" applyProtection="1">
      <alignment vertical="top" wrapText="1"/>
      <protection locked="0"/>
    </xf>
    <xf numFmtId="1" fontId="12" fillId="0" borderId="3"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0" fontId="22" fillId="0" borderId="1" xfId="8" applyFont="1" applyBorder="1" applyAlignment="1" applyProtection="1">
      <alignment horizontal="center" vertical="top" wrapText="1"/>
      <protection locked="0"/>
    </xf>
    <xf numFmtId="1" fontId="21" fillId="0" borderId="2" xfId="0" applyNumberFormat="1" applyFont="1" applyBorder="1" applyAlignment="1" applyProtection="1">
      <alignment vertical="top" wrapText="1"/>
      <protection locked="0"/>
    </xf>
    <xf numFmtId="1" fontId="21" fillId="0" borderId="3" xfId="0" applyNumberFormat="1" applyFont="1" applyBorder="1" applyAlignment="1" applyProtection="1">
      <alignment vertical="top" wrapText="1"/>
      <protection locked="0"/>
    </xf>
    <xf numFmtId="1" fontId="21" fillId="0" borderId="4" xfId="0" applyNumberFormat="1" applyFont="1" applyBorder="1" applyAlignment="1" applyProtection="1">
      <alignment vertical="top" wrapText="1"/>
      <protection locked="0"/>
    </xf>
    <xf numFmtId="9" fontId="10" fillId="0" borderId="5" xfId="2" applyFont="1" applyFill="1" applyBorder="1" applyAlignment="1" applyProtection="1">
      <alignment horizontal="center" vertical="center" wrapText="1"/>
      <protection locked="0"/>
    </xf>
    <xf numFmtId="9" fontId="10" fillId="0" borderId="6" xfId="2" applyFont="1" applyFill="1" applyBorder="1" applyAlignment="1" applyProtection="1">
      <alignment horizontal="center" vertical="center" wrapText="1"/>
      <protection locked="0"/>
    </xf>
    <xf numFmtId="9" fontId="10" fillId="0" borderId="11" xfId="2" applyFont="1" applyFill="1" applyBorder="1" applyAlignment="1" applyProtection="1">
      <alignment horizontal="center" vertical="center" wrapText="1"/>
      <protection locked="0"/>
    </xf>
    <xf numFmtId="9" fontId="10" fillId="0" borderId="12" xfId="2" applyFont="1" applyFill="1" applyBorder="1" applyAlignment="1" applyProtection="1">
      <alignment horizontal="center" vertical="center" wrapText="1"/>
      <protection locked="0"/>
    </xf>
    <xf numFmtId="9" fontId="10" fillId="0" borderId="26" xfId="2" applyFont="1" applyFill="1" applyBorder="1" applyAlignment="1" applyProtection="1">
      <alignment horizontal="center" vertical="center" wrapText="1"/>
      <protection locked="0"/>
    </xf>
    <xf numFmtId="9" fontId="10" fillId="0" borderId="27" xfId="2" applyFont="1" applyFill="1" applyBorder="1" applyAlignment="1" applyProtection="1">
      <alignment horizontal="center" vertical="center" wrapText="1"/>
      <protection locked="0"/>
    </xf>
    <xf numFmtId="9" fontId="10" fillId="0" borderId="22" xfId="2" applyFont="1" applyFill="1" applyBorder="1" applyAlignment="1" applyProtection="1">
      <alignment horizontal="center" vertical="center" wrapText="1"/>
      <protection locked="0"/>
    </xf>
    <xf numFmtId="9" fontId="10" fillId="0" borderId="23" xfId="2" applyFont="1" applyFill="1" applyBorder="1" applyAlignment="1" applyProtection="1">
      <alignment horizontal="center" vertical="center" wrapText="1"/>
      <protection locked="0"/>
    </xf>
    <xf numFmtId="9" fontId="10" fillId="0" borderId="28" xfId="2" applyFont="1" applyFill="1" applyBorder="1" applyAlignment="1" applyProtection="1">
      <alignment horizontal="center" vertical="center" wrapText="1"/>
      <protection locked="0"/>
    </xf>
    <xf numFmtId="0" fontId="13" fillId="0" borderId="1" xfId="8" applyFont="1" applyBorder="1" applyAlignment="1" applyProtection="1">
      <alignment horizontal="center" vertical="top" wrapText="1"/>
      <protection locked="0"/>
    </xf>
    <xf numFmtId="0" fontId="6" fillId="0" borderId="5" xfId="8" applyFont="1" applyBorder="1" applyAlignment="1" applyProtection="1">
      <alignment horizontal="left" vertical="top" wrapText="1"/>
      <protection locked="0"/>
    </xf>
    <xf numFmtId="0" fontId="6" fillId="0" borderId="6" xfId="8" applyFont="1" applyBorder="1" applyAlignment="1" applyProtection="1">
      <alignment horizontal="left" vertical="top" wrapText="1"/>
      <protection locked="0"/>
    </xf>
    <xf numFmtId="0" fontId="6" fillId="0" borderId="7" xfId="8" applyFont="1" applyBorder="1" applyAlignment="1" applyProtection="1">
      <alignment horizontal="left" vertical="top" wrapText="1"/>
      <protection locked="0"/>
    </xf>
    <xf numFmtId="0" fontId="6" fillId="0" borderId="8" xfId="8" applyFont="1" applyBorder="1" applyAlignment="1" applyProtection="1">
      <alignment horizontal="left" vertical="top" wrapText="1"/>
      <protection locked="0"/>
    </xf>
    <xf numFmtId="0" fontId="9" fillId="0" borderId="5"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7" fillId="0" borderId="11" xfId="8" applyFont="1" applyBorder="1" applyAlignment="1" applyProtection="1">
      <alignment horizontal="left" vertical="top" wrapText="1"/>
      <protection locked="0"/>
    </xf>
    <xf numFmtId="0" fontId="7" fillId="0" borderId="0" xfId="8" applyFont="1" applyAlignment="1" applyProtection="1">
      <alignment horizontal="left" vertical="top" wrapText="1"/>
      <protection locked="0"/>
    </xf>
    <xf numFmtId="0" fontId="7" fillId="0" borderId="7" xfId="8" applyFont="1" applyBorder="1" applyAlignment="1" applyProtection="1">
      <alignment horizontal="left" vertical="top" wrapText="1"/>
      <protection locked="0"/>
    </xf>
    <xf numFmtId="0" fontId="7" fillId="0" borderId="13" xfId="8" applyFont="1" applyBorder="1" applyAlignment="1" applyProtection="1">
      <alignment horizontal="left" vertical="top" wrapText="1"/>
      <protection locked="0"/>
    </xf>
    <xf numFmtId="0" fontId="9" fillId="0" borderId="1" xfId="8" applyFont="1" applyBorder="1" applyAlignment="1" applyProtection="1">
      <alignment vertical="top"/>
      <protection locked="0"/>
    </xf>
    <xf numFmtId="0" fontId="3" fillId="0" borderId="1" xfId="10" applyFont="1" applyBorder="1" applyAlignment="1">
      <alignment horizontal="left"/>
    </xf>
  </cellXfs>
  <cellStyles count="11">
    <cellStyle name="Comma" xfId="1" builtinId="3"/>
    <cellStyle name="Comma 2" xfId="4"/>
    <cellStyle name="Excel Built-in Normal" xfId="5"/>
    <cellStyle name="Excel Built-in Normal 2" xfId="6"/>
    <cellStyle name="Hyperlink" xfId="3" builtinId="8"/>
    <cellStyle name="Normal" xfId="0" builtinId="0"/>
    <cellStyle name="Normal 2" xfId="7"/>
    <cellStyle name="Normal 3" xfId="8"/>
    <cellStyle name="Normal 3 3" xfId="9"/>
    <cellStyle name="Normal 4" xf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752475</xdr:colOff>
      <xdr:row>12</xdr:row>
      <xdr:rowOff>171450</xdr:rowOff>
    </xdr:from>
    <xdr:to>
      <xdr:col>13</xdr:col>
      <xdr:colOff>333375</xdr:colOff>
      <xdr:row>22</xdr:row>
      <xdr:rowOff>18737</xdr:rowOff>
    </xdr:to>
    <xdr:pic>
      <xdr:nvPicPr>
        <xdr:cNvPr id="2" name="Picture 1"/>
        <xdr:cNvPicPr>
          <a:picLocks noChangeAspect="1"/>
        </xdr:cNvPicPr>
      </xdr:nvPicPr>
      <xdr:blipFill>
        <a:blip xmlns:r="http://schemas.openxmlformats.org/officeDocument/2006/relationships" r:embed="rId1" cstate="email"/>
        <a:srcRect/>
        <a:stretch>
          <a:fillRect/>
        </a:stretch>
      </xdr:blipFill>
      <xdr:spPr>
        <a:xfrm>
          <a:off x="7073900" y="2952750"/>
          <a:ext cx="3921125" cy="2504440"/>
        </a:xfrm>
        <a:prstGeom prst="rect">
          <a:avLst/>
        </a:prstGeom>
        <a:ln>
          <a:solidFill>
            <a:sysClr val="windowText" lastClr="000000"/>
          </a:solidFill>
        </a:ln>
      </xdr:spPr>
    </xdr:pic>
    <xdr:clientData/>
  </xdr:twoCellAnchor>
  <xdr:twoCellAnchor editAs="oneCell">
    <xdr:from>
      <xdr:col>1</xdr:col>
      <xdr:colOff>242775</xdr:colOff>
      <xdr:row>301</xdr:row>
      <xdr:rowOff>118413</xdr:rowOff>
    </xdr:from>
    <xdr:to>
      <xdr:col>6</xdr:col>
      <xdr:colOff>476550</xdr:colOff>
      <xdr:row>321</xdr:row>
      <xdr:rowOff>93718</xdr:rowOff>
    </xdr:to>
    <xdr:pic>
      <xdr:nvPicPr>
        <xdr:cNvPr id="9" name="Picture 8"/>
        <xdr:cNvPicPr>
          <a:picLocks noChangeAspect="1"/>
        </xdr:cNvPicPr>
      </xdr:nvPicPr>
      <xdr:blipFill>
        <a:blip xmlns:r="http://schemas.openxmlformats.org/officeDocument/2006/relationships" r:embed="rId2"/>
        <a:stretch>
          <a:fillRect/>
        </a:stretch>
      </xdr:blipFill>
      <xdr:spPr>
        <a:xfrm>
          <a:off x="1006475" y="51175285"/>
          <a:ext cx="4324350" cy="3975735"/>
        </a:xfrm>
        <a:prstGeom prst="rect">
          <a:avLst/>
        </a:prstGeom>
        <a:ln>
          <a:solidFill>
            <a:schemeClr val="tx1"/>
          </a:solidFill>
        </a:ln>
      </xdr:spPr>
    </xdr:pic>
    <xdr:clientData/>
  </xdr:twoCellAnchor>
  <xdr:twoCellAnchor editAs="oneCell">
    <xdr:from>
      <xdr:col>0</xdr:col>
      <xdr:colOff>104775</xdr:colOff>
      <xdr:row>283</xdr:row>
      <xdr:rowOff>28575</xdr:rowOff>
    </xdr:from>
    <xdr:to>
      <xdr:col>7</xdr:col>
      <xdr:colOff>643125</xdr:colOff>
      <xdr:row>300</xdr:row>
      <xdr:rowOff>189506</xdr:rowOff>
    </xdr:to>
    <xdr:pic>
      <xdr:nvPicPr>
        <xdr:cNvPr id="10" name="Picture 9"/>
        <xdr:cNvPicPr>
          <a:picLocks noChangeAspect="1"/>
        </xdr:cNvPicPr>
      </xdr:nvPicPr>
      <xdr:blipFill>
        <a:blip xmlns:r="http://schemas.openxmlformats.org/officeDocument/2006/relationships" r:embed="rId3"/>
        <a:stretch>
          <a:fillRect/>
        </a:stretch>
      </xdr:blipFill>
      <xdr:spPr>
        <a:xfrm rot="16200000">
          <a:off x="1386840" y="46202600"/>
          <a:ext cx="3561715" cy="6126480"/>
        </a:xfrm>
        <a:prstGeom prst="rect">
          <a:avLst/>
        </a:prstGeom>
        <a:ln>
          <a:solidFill>
            <a:schemeClr val="tx1"/>
          </a:solidFill>
        </a:ln>
      </xdr:spPr>
    </xdr:pic>
    <xdr:clientData/>
  </xdr:twoCellAnchor>
  <xdr:twoCellAnchor editAs="oneCell">
    <xdr:from>
      <xdr:col>0</xdr:col>
      <xdr:colOff>257175</xdr:colOff>
      <xdr:row>326</xdr:row>
      <xdr:rowOff>38100</xdr:rowOff>
    </xdr:from>
    <xdr:to>
      <xdr:col>7</xdr:col>
      <xdr:colOff>435525</xdr:colOff>
      <xdr:row>344</xdr:row>
      <xdr:rowOff>143016</xdr:rowOff>
    </xdr:to>
    <xdr:pic>
      <xdr:nvPicPr>
        <xdr:cNvPr id="15" name="Picture 14"/>
        <xdr:cNvPicPr>
          <a:picLocks noChangeAspect="1"/>
        </xdr:cNvPicPr>
      </xdr:nvPicPr>
      <xdr:blipFill>
        <a:blip xmlns:r="http://schemas.openxmlformats.org/officeDocument/2006/relationships" r:embed="rId4" cstate="screen"/>
        <a:srcRect/>
        <a:stretch>
          <a:fillRect/>
        </a:stretch>
      </xdr:blipFill>
      <xdr:spPr>
        <a:xfrm>
          <a:off x="257175" y="56095900"/>
          <a:ext cx="5765800" cy="3705225"/>
        </a:xfrm>
        <a:prstGeom prst="rect">
          <a:avLst/>
        </a:prstGeom>
        <a:ln>
          <a:solidFill>
            <a:schemeClr val="tx1"/>
          </a:solidFill>
        </a:ln>
      </xdr:spPr>
    </xdr:pic>
    <xdr:clientData/>
  </xdr:twoCellAnchor>
  <xdr:twoCellAnchor>
    <xdr:from>
      <xdr:col>0</xdr:col>
      <xdr:colOff>640155</xdr:colOff>
      <xdr:row>345</xdr:row>
      <xdr:rowOff>61232</xdr:rowOff>
    </xdr:from>
    <xdr:to>
      <xdr:col>7</xdr:col>
      <xdr:colOff>52548</xdr:colOff>
      <xdr:row>363</xdr:row>
      <xdr:rowOff>60782</xdr:rowOff>
    </xdr:to>
    <xdr:grpSp>
      <xdr:nvGrpSpPr>
        <xdr:cNvPr id="16" name="Group 15"/>
        <xdr:cNvGrpSpPr/>
      </xdr:nvGrpSpPr>
      <xdr:grpSpPr>
        <a:xfrm>
          <a:off x="640155" y="60315261"/>
          <a:ext cx="4992922" cy="3630256"/>
          <a:chOff x="931978" y="4362450"/>
          <a:chExt cx="4994043" cy="3600000"/>
        </a:xfrm>
      </xdr:grpSpPr>
      <xdr:pic>
        <xdr:nvPicPr>
          <xdr:cNvPr id="17" name="Picture 16"/>
          <xdr:cNvPicPr>
            <a:picLocks noChangeAspect="1"/>
          </xdr:cNvPicPr>
        </xdr:nvPicPr>
        <xdr:blipFill>
          <a:blip xmlns:r="http://schemas.openxmlformats.org/officeDocument/2006/relationships" r:embed="rId5" cstate="screen"/>
          <a:srcRect/>
          <a:stretch>
            <a:fillRect/>
          </a:stretch>
        </xdr:blipFill>
        <xdr:spPr>
          <a:xfrm>
            <a:off x="931978" y="4362450"/>
            <a:ext cx="4994043" cy="3600000"/>
          </a:xfrm>
          <a:prstGeom prst="rect">
            <a:avLst/>
          </a:prstGeom>
          <a:ln>
            <a:solidFill>
              <a:schemeClr val="tx1"/>
            </a:solidFill>
          </a:ln>
        </xdr:spPr>
      </xdr:pic>
      <xdr:sp macro="" textlink="">
        <xdr:nvSpPr>
          <xdr:cNvPr id="18" name="Rectangle 17"/>
          <xdr:cNvSpPr/>
        </xdr:nvSpPr>
        <xdr:spPr>
          <a:xfrm rot="670619">
            <a:off x="2766621" y="6086236"/>
            <a:ext cx="897546" cy="65918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1143000</xdr:colOff>
      <xdr:row>239</xdr:row>
      <xdr:rowOff>47625</xdr:rowOff>
    </xdr:from>
    <xdr:to>
      <xdr:col>16</xdr:col>
      <xdr:colOff>255749</xdr:colOff>
      <xdr:row>265</xdr:row>
      <xdr:rowOff>107835</xdr:rowOff>
    </xdr:to>
    <xdr:grpSp>
      <xdr:nvGrpSpPr>
        <xdr:cNvPr id="12" name="Group 11"/>
        <xdr:cNvGrpSpPr/>
      </xdr:nvGrpSpPr>
      <xdr:grpSpPr>
        <a:xfrm>
          <a:off x="7451912" y="38932037"/>
          <a:ext cx="5892308" cy="5293357"/>
          <a:chOff x="266700" y="38315900"/>
          <a:chExt cx="6158074" cy="5168785"/>
        </a:xfrm>
      </xdr:grpSpPr>
      <xdr:pic>
        <xdr:nvPicPr>
          <xdr:cNvPr id="23" name="Picture 2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29474" y="41324685"/>
            <a:ext cx="2865387"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7"/>
          <a:stretch>
            <a:fillRect/>
          </a:stretch>
        </xdr:blipFill>
        <xdr:spPr>
          <a:xfrm>
            <a:off x="2604258" y="38315900"/>
            <a:ext cx="3820516" cy="288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17012" y="41324685"/>
            <a:ext cx="2876000"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6700" y="38315900"/>
            <a:ext cx="2166025" cy="2880000"/>
          </a:xfrm>
          <a:prstGeom prst="rect">
            <a:avLst/>
          </a:prstGeom>
          <a:ln>
            <a:solidFill>
              <a:schemeClr val="tx1"/>
            </a:solidFill>
          </a:ln>
        </xdr:spPr>
      </xdr:pic>
    </xdr:grpSp>
    <xdr:clientData/>
  </xdr:twoCellAnchor>
  <xdr:twoCellAnchor>
    <xdr:from>
      <xdr:col>0</xdr:col>
      <xdr:colOff>304800</xdr:colOff>
      <xdr:row>239</xdr:row>
      <xdr:rowOff>114301</xdr:rowOff>
    </xdr:from>
    <xdr:to>
      <xdr:col>7</xdr:col>
      <xdr:colOff>323852</xdr:colOff>
      <xdr:row>270</xdr:row>
      <xdr:rowOff>19051</xdr:rowOff>
    </xdr:to>
    <xdr:grpSp>
      <xdr:nvGrpSpPr>
        <xdr:cNvPr id="20" name="Group 19"/>
        <xdr:cNvGrpSpPr/>
      </xdr:nvGrpSpPr>
      <xdr:grpSpPr>
        <a:xfrm>
          <a:off x="304800" y="38998713"/>
          <a:ext cx="5599581" cy="6146426"/>
          <a:chOff x="222827" y="391206"/>
          <a:chExt cx="6010439" cy="6253836"/>
        </a:xfrm>
      </xdr:grpSpPr>
      <xdr:pic>
        <xdr:nvPicPr>
          <xdr:cNvPr id="21" name="Picture 20" descr="https://vsjcllp.vsjadon.com/upload/insp-246825-21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42459" y="4485042"/>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6825-1350.jpg"/>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9663"/>
          <a:stretch/>
        </xdr:blipFill>
        <xdr:spPr bwMode="auto">
          <a:xfrm>
            <a:off x="222827" y="391206"/>
            <a:ext cx="2963090" cy="39507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xdr:cNvPicPr>
            <a:picLocks noChangeAspect="1"/>
          </xdr:cNvPicPr>
        </xdr:nvPicPr>
        <xdr:blipFill>
          <a:blip xmlns:r="http://schemas.openxmlformats.org/officeDocument/2006/relationships" r:embed="rId12"/>
          <a:stretch>
            <a:fillRect/>
          </a:stretch>
        </xdr:blipFill>
        <xdr:spPr>
          <a:xfrm>
            <a:off x="4217854" y="4485042"/>
            <a:ext cx="1620000"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3"/>
          <a:stretch>
            <a:fillRect/>
          </a:stretch>
        </xdr:blipFill>
        <xdr:spPr>
          <a:xfrm>
            <a:off x="646621" y="4476257"/>
            <a:ext cx="1620000" cy="2160000"/>
          </a:xfrm>
          <a:prstGeom prst="rect">
            <a:avLst/>
          </a:prstGeom>
          <a:ln>
            <a:solidFill>
              <a:schemeClr val="tx1"/>
            </a:solidFill>
          </a:ln>
        </xdr:spPr>
      </xdr:pic>
      <xdr:pic>
        <xdr:nvPicPr>
          <xdr:cNvPr id="29" name="Picture 28"/>
          <xdr:cNvPicPr>
            <a:picLocks noChangeAspect="1"/>
          </xdr:cNvPicPr>
        </xdr:nvPicPr>
        <xdr:blipFill rotWithShape="1">
          <a:blip xmlns:r="http://schemas.openxmlformats.org/officeDocument/2006/relationships" r:embed="rId14"/>
          <a:srcRect r="21733"/>
          <a:stretch/>
        </xdr:blipFill>
        <xdr:spPr>
          <a:xfrm>
            <a:off x="3331507" y="391206"/>
            <a:ext cx="2901759" cy="3950787"/>
          </a:xfrm>
          <a:prstGeom prst="rect">
            <a:avLst/>
          </a:prstGeom>
          <a:ln>
            <a:solidFill>
              <a:schemeClr val="tx1"/>
            </a:solidFill>
          </a:ln>
        </xdr:spPr>
      </xdr:pic>
    </xdr:grpSp>
    <xdr:clientData/>
  </xdr:twoCellAnchor>
  <xdr:twoCellAnchor editAs="oneCell">
    <xdr:from>
      <xdr:col>8</xdr:col>
      <xdr:colOff>785386</xdr:colOff>
      <xdr:row>41</xdr:row>
      <xdr:rowOff>61875</xdr:rowOff>
    </xdr:from>
    <xdr:to>
      <xdr:col>14</xdr:col>
      <xdr:colOff>341175</xdr:colOff>
      <xdr:row>68</xdr:row>
      <xdr:rowOff>121519</xdr:rowOff>
    </xdr:to>
    <xdr:pic>
      <xdr:nvPicPr>
        <xdr:cNvPr id="8" name="Picture 7"/>
        <xdr:cNvPicPr>
          <a:picLocks noChangeAspect="1"/>
        </xdr:cNvPicPr>
      </xdr:nvPicPr>
      <xdr:blipFill>
        <a:blip xmlns:r="http://schemas.openxmlformats.org/officeDocument/2006/relationships" r:embed="rId15"/>
        <a:stretch>
          <a:fillRect/>
        </a:stretch>
      </xdr:blipFill>
      <xdr:spPr>
        <a:xfrm>
          <a:off x="7105016" y="9255571"/>
          <a:ext cx="4732420" cy="4921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12350" y="358140"/>
          <a:ext cx="3250565" cy="4318635"/>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1660" y="2676525"/>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khandelwalluxor.in/" TargetMode="External"/><Relationship Id="rId1" Type="http://schemas.openxmlformats.org/officeDocument/2006/relationships/hyperlink" Target="https://maps.app.goo.gl/28VagwtoXzgPpfTb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5"/>
  <sheetViews>
    <sheetView tabSelected="1" view="pageBreakPreview" topLeftCell="A194" zoomScale="85" zoomScaleNormal="100" zoomScaleSheetLayoutView="85" zoomScalePageLayoutView="85" workbookViewId="0">
      <selection activeCell="J205" sqref="J205"/>
    </sheetView>
  </sheetViews>
  <sheetFormatPr defaultColWidth="9.140625" defaultRowHeight="15.75"/>
  <cols>
    <col min="1" max="1" width="11.42578125" style="27" customWidth="1"/>
    <col min="2" max="2" width="12" style="27" customWidth="1"/>
    <col min="3" max="3" width="12.7109375" style="27" customWidth="1"/>
    <col min="4" max="4" width="13.7109375" style="27" customWidth="1"/>
    <col min="5" max="5" width="11.7109375" style="27" customWidth="1"/>
    <col min="6" max="6" width="11.140625" style="27" customWidth="1"/>
    <col min="7" max="8" width="11" style="27" customWidth="1"/>
    <col min="9" max="9" width="17.42578125" style="28" customWidth="1"/>
    <col min="10" max="10" width="11.42578125" style="28" customWidth="1"/>
    <col min="11" max="11" width="10.5703125" style="28" customWidth="1"/>
    <col min="12" max="12" width="13.85546875" style="28" customWidth="1"/>
    <col min="13" max="13" width="11.85546875" style="28" customWidth="1"/>
    <col min="14" max="14" width="12.5703125" style="28" customWidth="1"/>
    <col min="15" max="15" width="12.140625" style="28" customWidth="1"/>
    <col min="16" max="16" width="11.7109375" style="28" customWidth="1"/>
    <col min="17" max="18" width="9.140625" style="28"/>
    <col min="19" max="19" width="10.85546875" style="28" customWidth="1"/>
    <col min="20" max="20" width="10.7109375" style="28" customWidth="1"/>
    <col min="21" max="247" width="9.140625" style="28"/>
    <col min="248" max="248" width="8.7109375" style="28" customWidth="1"/>
    <col min="249" max="249" width="9.85546875" style="28" customWidth="1"/>
    <col min="250" max="250" width="14.42578125" style="28" customWidth="1"/>
    <col min="251" max="251" width="7.28515625" style="28" customWidth="1"/>
    <col min="252" max="252" width="5.5703125" style="28" customWidth="1"/>
    <col min="253" max="253" width="9" style="28" customWidth="1"/>
    <col min="254" max="255" width="9.85546875" style="28" customWidth="1"/>
    <col min="256" max="256" width="11.140625" style="28" customWidth="1"/>
    <col min="257" max="257" width="2.85546875" style="28" customWidth="1"/>
    <col min="258" max="258" width="3.5703125" style="28" customWidth="1"/>
    <col min="259" max="503" width="9.140625" style="28"/>
    <col min="504" max="504" width="8.7109375" style="28" customWidth="1"/>
    <col min="505" max="505" width="9.85546875" style="28" customWidth="1"/>
    <col min="506" max="506" width="14.42578125" style="28" customWidth="1"/>
    <col min="507" max="507" width="7.28515625" style="28" customWidth="1"/>
    <col min="508" max="508" width="5.5703125" style="28" customWidth="1"/>
    <col min="509" max="509" width="9" style="28" customWidth="1"/>
    <col min="510" max="511" width="9.85546875" style="28" customWidth="1"/>
    <col min="512" max="512" width="11.140625" style="28" customWidth="1"/>
    <col min="513" max="513" width="2.85546875" style="28" customWidth="1"/>
    <col min="514" max="514" width="3.5703125" style="28" customWidth="1"/>
    <col min="515" max="759" width="9.140625" style="28"/>
    <col min="760" max="760" width="8.7109375" style="28" customWidth="1"/>
    <col min="761" max="761" width="9.85546875" style="28" customWidth="1"/>
    <col min="762" max="762" width="14.42578125" style="28" customWidth="1"/>
    <col min="763" max="763" width="7.28515625" style="28" customWidth="1"/>
    <col min="764" max="764" width="5.5703125" style="28" customWidth="1"/>
    <col min="765" max="765" width="9" style="28" customWidth="1"/>
    <col min="766" max="767" width="9.85546875" style="28" customWidth="1"/>
    <col min="768" max="768" width="11.140625" style="28" customWidth="1"/>
    <col min="769" max="769" width="2.85546875" style="28" customWidth="1"/>
    <col min="770" max="770" width="3.5703125" style="28" customWidth="1"/>
    <col min="771" max="1015" width="9.140625" style="28"/>
    <col min="1016" max="1016" width="8.7109375" style="28" customWidth="1"/>
    <col min="1017" max="1017" width="9.85546875" style="28" customWidth="1"/>
    <col min="1018" max="1018" width="14.42578125" style="28" customWidth="1"/>
    <col min="1019" max="1019" width="7.28515625" style="28" customWidth="1"/>
    <col min="1020" max="1020" width="5.5703125" style="28" customWidth="1"/>
    <col min="1021" max="1021" width="9" style="28" customWidth="1"/>
    <col min="1022" max="1023" width="9.85546875" style="28" customWidth="1"/>
    <col min="1024" max="1024" width="11.140625" style="28" customWidth="1"/>
    <col min="1025" max="1025" width="2.85546875" style="28" customWidth="1"/>
    <col min="1026" max="1026" width="3.5703125" style="28" customWidth="1"/>
    <col min="1027" max="1271" width="9.140625" style="28"/>
    <col min="1272" max="1272" width="8.7109375" style="28" customWidth="1"/>
    <col min="1273" max="1273" width="9.85546875" style="28" customWidth="1"/>
    <col min="1274" max="1274" width="14.42578125" style="28" customWidth="1"/>
    <col min="1275" max="1275" width="7.28515625" style="28" customWidth="1"/>
    <col min="1276" max="1276" width="5.5703125" style="28" customWidth="1"/>
    <col min="1277" max="1277" width="9" style="28" customWidth="1"/>
    <col min="1278" max="1279" width="9.85546875" style="28" customWidth="1"/>
    <col min="1280" max="1280" width="11.140625" style="28" customWidth="1"/>
    <col min="1281" max="1281" width="2.85546875" style="28" customWidth="1"/>
    <col min="1282" max="1282" width="3.5703125" style="28" customWidth="1"/>
    <col min="1283" max="1527" width="9.140625" style="28"/>
    <col min="1528" max="1528" width="8.7109375" style="28" customWidth="1"/>
    <col min="1529" max="1529" width="9.85546875" style="28" customWidth="1"/>
    <col min="1530" max="1530" width="14.42578125" style="28" customWidth="1"/>
    <col min="1531" max="1531" width="7.28515625" style="28" customWidth="1"/>
    <col min="1532" max="1532" width="5.5703125" style="28" customWidth="1"/>
    <col min="1533" max="1533" width="9" style="28" customWidth="1"/>
    <col min="1534" max="1535" width="9.85546875" style="28" customWidth="1"/>
    <col min="1536" max="1536" width="11.140625" style="28" customWidth="1"/>
    <col min="1537" max="1537" width="2.85546875" style="28" customWidth="1"/>
    <col min="1538" max="1538" width="3.5703125" style="28" customWidth="1"/>
    <col min="1539" max="1783" width="9.140625" style="28"/>
    <col min="1784" max="1784" width="8.7109375" style="28" customWidth="1"/>
    <col min="1785" max="1785" width="9.85546875" style="28" customWidth="1"/>
    <col min="1786" max="1786" width="14.42578125" style="28" customWidth="1"/>
    <col min="1787" max="1787" width="7.28515625" style="28" customWidth="1"/>
    <col min="1788" max="1788" width="5.5703125" style="28" customWidth="1"/>
    <col min="1789" max="1789" width="9" style="28" customWidth="1"/>
    <col min="1790" max="1791" width="9.85546875" style="28" customWidth="1"/>
    <col min="1792" max="1792" width="11.140625" style="28" customWidth="1"/>
    <col min="1793" max="1793" width="2.85546875" style="28" customWidth="1"/>
    <col min="1794" max="1794" width="3.5703125" style="28" customWidth="1"/>
    <col min="1795" max="2039" width="9.140625" style="28"/>
    <col min="2040" max="2040" width="8.7109375" style="28" customWidth="1"/>
    <col min="2041" max="2041" width="9.85546875" style="28" customWidth="1"/>
    <col min="2042" max="2042" width="14.42578125" style="28" customWidth="1"/>
    <col min="2043" max="2043" width="7.28515625" style="28" customWidth="1"/>
    <col min="2044" max="2044" width="5.5703125" style="28" customWidth="1"/>
    <col min="2045" max="2045" width="9" style="28" customWidth="1"/>
    <col min="2046" max="2047" width="9.85546875" style="28" customWidth="1"/>
    <col min="2048" max="2048" width="11.140625" style="28" customWidth="1"/>
    <col min="2049" max="2049" width="2.85546875" style="28" customWidth="1"/>
    <col min="2050" max="2050" width="3.5703125" style="28" customWidth="1"/>
    <col min="2051" max="2295" width="9.140625" style="28"/>
    <col min="2296" max="2296" width="8.7109375" style="28" customWidth="1"/>
    <col min="2297" max="2297" width="9.85546875" style="28" customWidth="1"/>
    <col min="2298" max="2298" width="14.42578125" style="28" customWidth="1"/>
    <col min="2299" max="2299" width="7.28515625" style="28" customWidth="1"/>
    <col min="2300" max="2300" width="5.5703125" style="28" customWidth="1"/>
    <col min="2301" max="2301" width="9" style="28" customWidth="1"/>
    <col min="2302" max="2303" width="9.85546875" style="28" customWidth="1"/>
    <col min="2304" max="2304" width="11.140625" style="28" customWidth="1"/>
    <col min="2305" max="2305" width="2.85546875" style="28" customWidth="1"/>
    <col min="2306" max="2306" width="3.5703125" style="28" customWidth="1"/>
    <col min="2307" max="2551" width="9.140625" style="28"/>
    <col min="2552" max="2552" width="8.7109375" style="28" customWidth="1"/>
    <col min="2553" max="2553" width="9.85546875" style="28" customWidth="1"/>
    <col min="2554" max="2554" width="14.42578125" style="28" customWidth="1"/>
    <col min="2555" max="2555" width="7.28515625" style="28" customWidth="1"/>
    <col min="2556" max="2556" width="5.5703125" style="28" customWidth="1"/>
    <col min="2557" max="2557" width="9" style="28" customWidth="1"/>
    <col min="2558" max="2559" width="9.85546875" style="28" customWidth="1"/>
    <col min="2560" max="2560" width="11.140625" style="28" customWidth="1"/>
    <col min="2561" max="2561" width="2.85546875" style="28" customWidth="1"/>
    <col min="2562" max="2562" width="3.5703125" style="28" customWidth="1"/>
    <col min="2563" max="2807" width="9.140625" style="28"/>
    <col min="2808" max="2808" width="8.7109375" style="28" customWidth="1"/>
    <col min="2809" max="2809" width="9.85546875" style="28" customWidth="1"/>
    <col min="2810" max="2810" width="14.42578125" style="28" customWidth="1"/>
    <col min="2811" max="2811" width="7.28515625" style="28" customWidth="1"/>
    <col min="2812" max="2812" width="5.5703125" style="28" customWidth="1"/>
    <col min="2813" max="2813" width="9" style="28" customWidth="1"/>
    <col min="2814" max="2815" width="9.85546875" style="28" customWidth="1"/>
    <col min="2816" max="2816" width="11.140625" style="28" customWidth="1"/>
    <col min="2817" max="2817" width="2.85546875" style="28" customWidth="1"/>
    <col min="2818" max="2818" width="3.5703125" style="28" customWidth="1"/>
    <col min="2819" max="3063" width="9.140625" style="28"/>
    <col min="3064" max="3064" width="8.7109375" style="28" customWidth="1"/>
    <col min="3065" max="3065" width="9.85546875" style="28" customWidth="1"/>
    <col min="3066" max="3066" width="14.42578125" style="28" customWidth="1"/>
    <col min="3067" max="3067" width="7.28515625" style="28" customWidth="1"/>
    <col min="3068" max="3068" width="5.5703125" style="28" customWidth="1"/>
    <col min="3069" max="3069" width="9" style="28" customWidth="1"/>
    <col min="3070" max="3071" width="9.85546875" style="28" customWidth="1"/>
    <col min="3072" max="3072" width="11.140625" style="28" customWidth="1"/>
    <col min="3073" max="3073" width="2.85546875" style="28" customWidth="1"/>
    <col min="3074" max="3074" width="3.5703125" style="28" customWidth="1"/>
    <col min="3075" max="3319" width="9.140625" style="28"/>
    <col min="3320" max="3320" width="8.7109375" style="28" customWidth="1"/>
    <col min="3321" max="3321" width="9.85546875" style="28" customWidth="1"/>
    <col min="3322" max="3322" width="14.42578125" style="28" customWidth="1"/>
    <col min="3323" max="3323" width="7.28515625" style="28" customWidth="1"/>
    <col min="3324" max="3324" width="5.5703125" style="28" customWidth="1"/>
    <col min="3325" max="3325" width="9" style="28" customWidth="1"/>
    <col min="3326" max="3327" width="9.85546875" style="28" customWidth="1"/>
    <col min="3328" max="3328" width="11.140625" style="28" customWidth="1"/>
    <col min="3329" max="3329" width="2.85546875" style="28" customWidth="1"/>
    <col min="3330" max="3330" width="3.5703125" style="28" customWidth="1"/>
    <col min="3331" max="3575" width="9.140625" style="28"/>
    <col min="3576" max="3576" width="8.7109375" style="28" customWidth="1"/>
    <col min="3577" max="3577" width="9.85546875" style="28" customWidth="1"/>
    <col min="3578" max="3578" width="14.42578125" style="28" customWidth="1"/>
    <col min="3579" max="3579" width="7.28515625" style="28" customWidth="1"/>
    <col min="3580" max="3580" width="5.5703125" style="28" customWidth="1"/>
    <col min="3581" max="3581" width="9" style="28" customWidth="1"/>
    <col min="3582" max="3583" width="9.85546875" style="28" customWidth="1"/>
    <col min="3584" max="3584" width="11.140625" style="28" customWidth="1"/>
    <col min="3585" max="3585" width="2.85546875" style="28" customWidth="1"/>
    <col min="3586" max="3586" width="3.5703125" style="28" customWidth="1"/>
    <col min="3587" max="3831" width="9.140625" style="28"/>
    <col min="3832" max="3832" width="8.7109375" style="28" customWidth="1"/>
    <col min="3833" max="3833" width="9.85546875" style="28" customWidth="1"/>
    <col min="3834" max="3834" width="14.42578125" style="28" customWidth="1"/>
    <col min="3835" max="3835" width="7.28515625" style="28" customWidth="1"/>
    <col min="3836" max="3836" width="5.5703125" style="28" customWidth="1"/>
    <col min="3837" max="3837" width="9" style="28" customWidth="1"/>
    <col min="3838" max="3839" width="9.85546875" style="28" customWidth="1"/>
    <col min="3840" max="3840" width="11.140625" style="28" customWidth="1"/>
    <col min="3841" max="3841" width="2.85546875" style="28" customWidth="1"/>
    <col min="3842" max="3842" width="3.5703125" style="28" customWidth="1"/>
    <col min="3843" max="4087" width="9.140625" style="28"/>
    <col min="4088" max="4088" width="8.7109375" style="28" customWidth="1"/>
    <col min="4089" max="4089" width="9.85546875" style="28" customWidth="1"/>
    <col min="4090" max="4090" width="14.42578125" style="28" customWidth="1"/>
    <col min="4091" max="4091" width="7.28515625" style="28" customWidth="1"/>
    <col min="4092" max="4092" width="5.5703125" style="28" customWidth="1"/>
    <col min="4093" max="4093" width="9" style="28" customWidth="1"/>
    <col min="4094" max="4095" width="9.85546875" style="28" customWidth="1"/>
    <col min="4096" max="4096" width="11.140625" style="28" customWidth="1"/>
    <col min="4097" max="4097" width="2.85546875" style="28" customWidth="1"/>
    <col min="4098" max="4098" width="3.5703125" style="28" customWidth="1"/>
    <col min="4099" max="4343" width="9.140625" style="28"/>
    <col min="4344" max="4344" width="8.7109375" style="28" customWidth="1"/>
    <col min="4345" max="4345" width="9.85546875" style="28" customWidth="1"/>
    <col min="4346" max="4346" width="14.42578125" style="28" customWidth="1"/>
    <col min="4347" max="4347" width="7.28515625" style="28" customWidth="1"/>
    <col min="4348" max="4348" width="5.5703125" style="28" customWidth="1"/>
    <col min="4349" max="4349" width="9" style="28" customWidth="1"/>
    <col min="4350" max="4351" width="9.85546875" style="28" customWidth="1"/>
    <col min="4352" max="4352" width="11.140625" style="28" customWidth="1"/>
    <col min="4353" max="4353" width="2.85546875" style="28" customWidth="1"/>
    <col min="4354" max="4354" width="3.5703125" style="28" customWidth="1"/>
    <col min="4355" max="4599" width="9.140625" style="28"/>
    <col min="4600" max="4600" width="8.7109375" style="28" customWidth="1"/>
    <col min="4601" max="4601" width="9.85546875" style="28" customWidth="1"/>
    <col min="4602" max="4602" width="14.42578125" style="28" customWidth="1"/>
    <col min="4603" max="4603" width="7.28515625" style="28" customWidth="1"/>
    <col min="4604" max="4604" width="5.5703125" style="28" customWidth="1"/>
    <col min="4605" max="4605" width="9" style="28" customWidth="1"/>
    <col min="4606" max="4607" width="9.85546875" style="28" customWidth="1"/>
    <col min="4608" max="4608" width="11.140625" style="28" customWidth="1"/>
    <col min="4609" max="4609" width="2.85546875" style="28" customWidth="1"/>
    <col min="4610" max="4610" width="3.5703125" style="28" customWidth="1"/>
    <col min="4611" max="4855" width="9.140625" style="28"/>
    <col min="4856" max="4856" width="8.7109375" style="28" customWidth="1"/>
    <col min="4857" max="4857" width="9.85546875" style="28" customWidth="1"/>
    <col min="4858" max="4858" width="14.42578125" style="28" customWidth="1"/>
    <col min="4859" max="4859" width="7.28515625" style="28" customWidth="1"/>
    <col min="4860" max="4860" width="5.5703125" style="28" customWidth="1"/>
    <col min="4861" max="4861" width="9" style="28" customWidth="1"/>
    <col min="4862" max="4863" width="9.85546875" style="28" customWidth="1"/>
    <col min="4864" max="4864" width="11.140625" style="28" customWidth="1"/>
    <col min="4865" max="4865" width="2.85546875" style="28" customWidth="1"/>
    <col min="4866" max="4866" width="3.5703125" style="28" customWidth="1"/>
    <col min="4867" max="5111" width="9.140625" style="28"/>
    <col min="5112" max="5112" width="8.7109375" style="28" customWidth="1"/>
    <col min="5113" max="5113" width="9.85546875" style="28" customWidth="1"/>
    <col min="5114" max="5114" width="14.42578125" style="28" customWidth="1"/>
    <col min="5115" max="5115" width="7.28515625" style="28" customWidth="1"/>
    <col min="5116" max="5116" width="5.5703125" style="28" customWidth="1"/>
    <col min="5117" max="5117" width="9" style="28" customWidth="1"/>
    <col min="5118" max="5119" width="9.85546875" style="28" customWidth="1"/>
    <col min="5120" max="5120" width="11.140625" style="28" customWidth="1"/>
    <col min="5121" max="5121" width="2.85546875" style="28" customWidth="1"/>
    <col min="5122" max="5122" width="3.5703125" style="28" customWidth="1"/>
    <col min="5123" max="5367" width="9.140625" style="28"/>
    <col min="5368" max="5368" width="8.7109375" style="28" customWidth="1"/>
    <col min="5369" max="5369" width="9.85546875" style="28" customWidth="1"/>
    <col min="5370" max="5370" width="14.42578125" style="28" customWidth="1"/>
    <col min="5371" max="5371" width="7.28515625" style="28" customWidth="1"/>
    <col min="5372" max="5372" width="5.5703125" style="28" customWidth="1"/>
    <col min="5373" max="5373" width="9" style="28" customWidth="1"/>
    <col min="5374" max="5375" width="9.85546875" style="28" customWidth="1"/>
    <col min="5376" max="5376" width="11.140625" style="28" customWidth="1"/>
    <col min="5377" max="5377" width="2.85546875" style="28" customWidth="1"/>
    <col min="5378" max="5378" width="3.5703125" style="28" customWidth="1"/>
    <col min="5379" max="5623" width="9.140625" style="28"/>
    <col min="5624" max="5624" width="8.7109375" style="28" customWidth="1"/>
    <col min="5625" max="5625" width="9.85546875" style="28" customWidth="1"/>
    <col min="5626" max="5626" width="14.42578125" style="28" customWidth="1"/>
    <col min="5627" max="5627" width="7.28515625" style="28" customWidth="1"/>
    <col min="5628" max="5628" width="5.5703125" style="28" customWidth="1"/>
    <col min="5629" max="5629" width="9" style="28" customWidth="1"/>
    <col min="5630" max="5631" width="9.85546875" style="28" customWidth="1"/>
    <col min="5632" max="5632" width="11.140625" style="28" customWidth="1"/>
    <col min="5633" max="5633" width="2.85546875" style="28" customWidth="1"/>
    <col min="5634" max="5634" width="3.5703125" style="28" customWidth="1"/>
    <col min="5635" max="5879" width="9.140625" style="28"/>
    <col min="5880" max="5880" width="8.7109375" style="28" customWidth="1"/>
    <col min="5881" max="5881" width="9.85546875" style="28" customWidth="1"/>
    <col min="5882" max="5882" width="14.42578125" style="28" customWidth="1"/>
    <col min="5883" max="5883" width="7.28515625" style="28" customWidth="1"/>
    <col min="5884" max="5884" width="5.5703125" style="28" customWidth="1"/>
    <col min="5885" max="5885" width="9" style="28" customWidth="1"/>
    <col min="5886" max="5887" width="9.85546875" style="28" customWidth="1"/>
    <col min="5888" max="5888" width="11.140625" style="28" customWidth="1"/>
    <col min="5889" max="5889" width="2.85546875" style="28" customWidth="1"/>
    <col min="5890" max="5890" width="3.5703125" style="28" customWidth="1"/>
    <col min="5891" max="6135" width="9.140625" style="28"/>
    <col min="6136" max="6136" width="8.7109375" style="28" customWidth="1"/>
    <col min="6137" max="6137" width="9.85546875" style="28" customWidth="1"/>
    <col min="6138" max="6138" width="14.42578125" style="28" customWidth="1"/>
    <col min="6139" max="6139" width="7.28515625" style="28" customWidth="1"/>
    <col min="6140" max="6140" width="5.5703125" style="28" customWidth="1"/>
    <col min="6141" max="6141" width="9" style="28" customWidth="1"/>
    <col min="6142" max="6143" width="9.85546875" style="28" customWidth="1"/>
    <col min="6144" max="6144" width="11.140625" style="28" customWidth="1"/>
    <col min="6145" max="6145" width="2.85546875" style="28" customWidth="1"/>
    <col min="6146" max="6146" width="3.5703125" style="28" customWidth="1"/>
    <col min="6147" max="6391" width="9.140625" style="28"/>
    <col min="6392" max="6392" width="8.7109375" style="28" customWidth="1"/>
    <col min="6393" max="6393" width="9.85546875" style="28" customWidth="1"/>
    <col min="6394" max="6394" width="14.42578125" style="28" customWidth="1"/>
    <col min="6395" max="6395" width="7.28515625" style="28" customWidth="1"/>
    <col min="6396" max="6396" width="5.5703125" style="28" customWidth="1"/>
    <col min="6397" max="6397" width="9" style="28" customWidth="1"/>
    <col min="6398" max="6399" width="9.85546875" style="28" customWidth="1"/>
    <col min="6400" max="6400" width="11.140625" style="28" customWidth="1"/>
    <col min="6401" max="6401" width="2.85546875" style="28" customWidth="1"/>
    <col min="6402" max="6402" width="3.5703125" style="28" customWidth="1"/>
    <col min="6403" max="6647" width="9.140625" style="28"/>
    <col min="6648" max="6648" width="8.7109375" style="28" customWidth="1"/>
    <col min="6649" max="6649" width="9.85546875" style="28" customWidth="1"/>
    <col min="6650" max="6650" width="14.42578125" style="28" customWidth="1"/>
    <col min="6651" max="6651" width="7.28515625" style="28" customWidth="1"/>
    <col min="6652" max="6652" width="5.5703125" style="28" customWidth="1"/>
    <col min="6653" max="6653" width="9" style="28" customWidth="1"/>
    <col min="6654" max="6655" width="9.85546875" style="28" customWidth="1"/>
    <col min="6656" max="6656" width="11.140625" style="28" customWidth="1"/>
    <col min="6657" max="6657" width="2.85546875" style="28" customWidth="1"/>
    <col min="6658" max="6658" width="3.5703125" style="28" customWidth="1"/>
    <col min="6659" max="6903" width="9.140625" style="28"/>
    <col min="6904" max="6904" width="8.7109375" style="28" customWidth="1"/>
    <col min="6905" max="6905" width="9.85546875" style="28" customWidth="1"/>
    <col min="6906" max="6906" width="14.42578125" style="28" customWidth="1"/>
    <col min="6907" max="6907" width="7.28515625" style="28" customWidth="1"/>
    <col min="6908" max="6908" width="5.5703125" style="28" customWidth="1"/>
    <col min="6909" max="6909" width="9" style="28" customWidth="1"/>
    <col min="6910" max="6911" width="9.85546875" style="28" customWidth="1"/>
    <col min="6912" max="6912" width="11.140625" style="28" customWidth="1"/>
    <col min="6913" max="6913" width="2.85546875" style="28" customWidth="1"/>
    <col min="6914" max="6914" width="3.5703125" style="28" customWidth="1"/>
    <col min="6915" max="7159" width="9.140625" style="28"/>
    <col min="7160" max="7160" width="8.7109375" style="28" customWidth="1"/>
    <col min="7161" max="7161" width="9.85546875" style="28" customWidth="1"/>
    <col min="7162" max="7162" width="14.42578125" style="28" customWidth="1"/>
    <col min="7163" max="7163" width="7.28515625" style="28" customWidth="1"/>
    <col min="7164" max="7164" width="5.5703125" style="28" customWidth="1"/>
    <col min="7165" max="7165" width="9" style="28" customWidth="1"/>
    <col min="7166" max="7167" width="9.85546875" style="28" customWidth="1"/>
    <col min="7168" max="7168" width="11.140625" style="28" customWidth="1"/>
    <col min="7169" max="7169" width="2.85546875" style="28" customWidth="1"/>
    <col min="7170" max="7170" width="3.5703125" style="28" customWidth="1"/>
    <col min="7171" max="7415" width="9.140625" style="28"/>
    <col min="7416" max="7416" width="8.7109375" style="28" customWidth="1"/>
    <col min="7417" max="7417" width="9.85546875" style="28" customWidth="1"/>
    <col min="7418" max="7418" width="14.42578125" style="28" customWidth="1"/>
    <col min="7419" max="7419" width="7.28515625" style="28" customWidth="1"/>
    <col min="7420" max="7420" width="5.5703125" style="28" customWidth="1"/>
    <col min="7421" max="7421" width="9" style="28" customWidth="1"/>
    <col min="7422" max="7423" width="9.85546875" style="28" customWidth="1"/>
    <col min="7424" max="7424" width="11.140625" style="28" customWidth="1"/>
    <col min="7425" max="7425" width="2.85546875" style="28" customWidth="1"/>
    <col min="7426" max="7426" width="3.5703125" style="28" customWidth="1"/>
    <col min="7427" max="7671" width="9.140625" style="28"/>
    <col min="7672" max="7672" width="8.7109375" style="28" customWidth="1"/>
    <col min="7673" max="7673" width="9.85546875" style="28" customWidth="1"/>
    <col min="7674" max="7674" width="14.42578125" style="28" customWidth="1"/>
    <col min="7675" max="7675" width="7.28515625" style="28" customWidth="1"/>
    <col min="7676" max="7676" width="5.5703125" style="28" customWidth="1"/>
    <col min="7677" max="7677" width="9" style="28" customWidth="1"/>
    <col min="7678" max="7679" width="9.85546875" style="28" customWidth="1"/>
    <col min="7680" max="7680" width="11.140625" style="28" customWidth="1"/>
    <col min="7681" max="7681" width="2.85546875" style="28" customWidth="1"/>
    <col min="7682" max="7682" width="3.5703125" style="28" customWidth="1"/>
    <col min="7683" max="7927" width="9.140625" style="28"/>
    <col min="7928" max="7928" width="8.7109375" style="28" customWidth="1"/>
    <col min="7929" max="7929" width="9.85546875" style="28" customWidth="1"/>
    <col min="7930" max="7930" width="14.42578125" style="28" customWidth="1"/>
    <col min="7931" max="7931" width="7.28515625" style="28" customWidth="1"/>
    <col min="7932" max="7932" width="5.5703125" style="28" customWidth="1"/>
    <col min="7933" max="7933" width="9" style="28" customWidth="1"/>
    <col min="7934" max="7935" width="9.85546875" style="28" customWidth="1"/>
    <col min="7936" max="7936" width="11.140625" style="28" customWidth="1"/>
    <col min="7937" max="7937" width="2.85546875" style="28" customWidth="1"/>
    <col min="7938" max="7938" width="3.5703125" style="28" customWidth="1"/>
    <col min="7939" max="8183" width="9.140625" style="28"/>
    <col min="8184" max="8184" width="8.7109375" style="28" customWidth="1"/>
    <col min="8185" max="8185" width="9.85546875" style="28" customWidth="1"/>
    <col min="8186" max="8186" width="14.42578125" style="28" customWidth="1"/>
    <col min="8187" max="8187" width="7.28515625" style="28" customWidth="1"/>
    <col min="8188" max="8188" width="5.5703125" style="28" customWidth="1"/>
    <col min="8189" max="8189" width="9" style="28" customWidth="1"/>
    <col min="8190" max="8191" width="9.85546875" style="28" customWidth="1"/>
    <col min="8192" max="8192" width="11.140625" style="28" customWidth="1"/>
    <col min="8193" max="8193" width="2.85546875" style="28" customWidth="1"/>
    <col min="8194" max="8194" width="3.5703125" style="28" customWidth="1"/>
    <col min="8195" max="8439" width="9.140625" style="28"/>
    <col min="8440" max="8440" width="8.7109375" style="28" customWidth="1"/>
    <col min="8441" max="8441" width="9.85546875" style="28" customWidth="1"/>
    <col min="8442" max="8442" width="14.42578125" style="28" customWidth="1"/>
    <col min="8443" max="8443" width="7.28515625" style="28" customWidth="1"/>
    <col min="8444" max="8444" width="5.5703125" style="28" customWidth="1"/>
    <col min="8445" max="8445" width="9" style="28" customWidth="1"/>
    <col min="8446" max="8447" width="9.85546875" style="28" customWidth="1"/>
    <col min="8448" max="8448" width="11.140625" style="28" customWidth="1"/>
    <col min="8449" max="8449" width="2.85546875" style="28" customWidth="1"/>
    <col min="8450" max="8450" width="3.5703125" style="28" customWidth="1"/>
    <col min="8451" max="8695" width="9.140625" style="28"/>
    <col min="8696" max="8696" width="8.7109375" style="28" customWidth="1"/>
    <col min="8697" max="8697" width="9.85546875" style="28" customWidth="1"/>
    <col min="8698" max="8698" width="14.42578125" style="28" customWidth="1"/>
    <col min="8699" max="8699" width="7.28515625" style="28" customWidth="1"/>
    <col min="8700" max="8700" width="5.5703125" style="28" customWidth="1"/>
    <col min="8701" max="8701" width="9" style="28" customWidth="1"/>
    <col min="8702" max="8703" width="9.85546875" style="28" customWidth="1"/>
    <col min="8704" max="8704" width="11.140625" style="28" customWidth="1"/>
    <col min="8705" max="8705" width="2.85546875" style="28" customWidth="1"/>
    <col min="8706" max="8706" width="3.5703125" style="28" customWidth="1"/>
    <col min="8707" max="8951" width="9.140625" style="28"/>
    <col min="8952" max="8952" width="8.7109375" style="28" customWidth="1"/>
    <col min="8953" max="8953" width="9.85546875" style="28" customWidth="1"/>
    <col min="8954" max="8954" width="14.42578125" style="28" customWidth="1"/>
    <col min="8955" max="8955" width="7.28515625" style="28" customWidth="1"/>
    <col min="8956" max="8956" width="5.5703125" style="28" customWidth="1"/>
    <col min="8957" max="8957" width="9" style="28" customWidth="1"/>
    <col min="8958" max="8959" width="9.85546875" style="28" customWidth="1"/>
    <col min="8960" max="8960" width="11.140625" style="28" customWidth="1"/>
    <col min="8961" max="8961" width="2.85546875" style="28" customWidth="1"/>
    <col min="8962" max="8962" width="3.5703125" style="28" customWidth="1"/>
    <col min="8963" max="9207" width="9.140625" style="28"/>
    <col min="9208" max="9208" width="8.7109375" style="28" customWidth="1"/>
    <col min="9209" max="9209" width="9.85546875" style="28" customWidth="1"/>
    <col min="9210" max="9210" width="14.42578125" style="28" customWidth="1"/>
    <col min="9211" max="9211" width="7.28515625" style="28" customWidth="1"/>
    <col min="9212" max="9212" width="5.5703125" style="28" customWidth="1"/>
    <col min="9213" max="9213" width="9" style="28" customWidth="1"/>
    <col min="9214" max="9215" width="9.85546875" style="28" customWidth="1"/>
    <col min="9216" max="9216" width="11.140625" style="28" customWidth="1"/>
    <col min="9217" max="9217" width="2.85546875" style="28" customWidth="1"/>
    <col min="9218" max="9218" width="3.5703125" style="28" customWidth="1"/>
    <col min="9219" max="9463" width="9.140625" style="28"/>
    <col min="9464" max="9464" width="8.7109375" style="28" customWidth="1"/>
    <col min="9465" max="9465" width="9.85546875" style="28" customWidth="1"/>
    <col min="9466" max="9466" width="14.42578125" style="28" customWidth="1"/>
    <col min="9467" max="9467" width="7.28515625" style="28" customWidth="1"/>
    <col min="9468" max="9468" width="5.5703125" style="28" customWidth="1"/>
    <col min="9469" max="9469" width="9" style="28" customWidth="1"/>
    <col min="9470" max="9471" width="9.85546875" style="28" customWidth="1"/>
    <col min="9472" max="9472" width="11.140625" style="28" customWidth="1"/>
    <col min="9473" max="9473" width="2.85546875" style="28" customWidth="1"/>
    <col min="9474" max="9474" width="3.5703125" style="28" customWidth="1"/>
    <col min="9475" max="9719" width="9.140625" style="28"/>
    <col min="9720" max="9720" width="8.7109375" style="28" customWidth="1"/>
    <col min="9721" max="9721" width="9.85546875" style="28" customWidth="1"/>
    <col min="9722" max="9722" width="14.42578125" style="28" customWidth="1"/>
    <col min="9723" max="9723" width="7.28515625" style="28" customWidth="1"/>
    <col min="9724" max="9724" width="5.5703125" style="28" customWidth="1"/>
    <col min="9725" max="9725" width="9" style="28" customWidth="1"/>
    <col min="9726" max="9727" width="9.85546875" style="28" customWidth="1"/>
    <col min="9728" max="9728" width="11.140625" style="28" customWidth="1"/>
    <col min="9729" max="9729" width="2.85546875" style="28" customWidth="1"/>
    <col min="9730" max="9730" width="3.5703125" style="28" customWidth="1"/>
    <col min="9731" max="9975" width="9.140625" style="28"/>
    <col min="9976" max="9976" width="8.7109375" style="28" customWidth="1"/>
    <col min="9977" max="9977" width="9.85546875" style="28" customWidth="1"/>
    <col min="9978" max="9978" width="14.42578125" style="28" customWidth="1"/>
    <col min="9979" max="9979" width="7.28515625" style="28" customWidth="1"/>
    <col min="9980" max="9980" width="5.5703125" style="28" customWidth="1"/>
    <col min="9981" max="9981" width="9" style="28" customWidth="1"/>
    <col min="9982" max="9983" width="9.85546875" style="28" customWidth="1"/>
    <col min="9984" max="9984" width="11.140625" style="28" customWidth="1"/>
    <col min="9985" max="9985" width="2.85546875" style="28" customWidth="1"/>
    <col min="9986" max="9986" width="3.5703125" style="28" customWidth="1"/>
    <col min="9987" max="10231" width="9.140625" style="28"/>
    <col min="10232" max="10232" width="8.7109375" style="28" customWidth="1"/>
    <col min="10233" max="10233" width="9.85546875" style="28" customWidth="1"/>
    <col min="10234" max="10234" width="14.42578125" style="28" customWidth="1"/>
    <col min="10235" max="10235" width="7.28515625" style="28" customWidth="1"/>
    <col min="10236" max="10236" width="5.5703125" style="28" customWidth="1"/>
    <col min="10237" max="10237" width="9" style="28" customWidth="1"/>
    <col min="10238" max="10239" width="9.85546875" style="28" customWidth="1"/>
    <col min="10240" max="10240" width="11.140625" style="28" customWidth="1"/>
    <col min="10241" max="10241" width="2.85546875" style="28" customWidth="1"/>
    <col min="10242" max="10242" width="3.5703125" style="28" customWidth="1"/>
    <col min="10243" max="10487" width="9.140625" style="28"/>
    <col min="10488" max="10488" width="8.7109375" style="28" customWidth="1"/>
    <col min="10489" max="10489" width="9.85546875" style="28" customWidth="1"/>
    <col min="10490" max="10490" width="14.42578125" style="28" customWidth="1"/>
    <col min="10491" max="10491" width="7.28515625" style="28" customWidth="1"/>
    <col min="10492" max="10492" width="5.5703125" style="28" customWidth="1"/>
    <col min="10493" max="10493" width="9" style="28" customWidth="1"/>
    <col min="10494" max="10495" width="9.85546875" style="28" customWidth="1"/>
    <col min="10496" max="10496" width="11.140625" style="28" customWidth="1"/>
    <col min="10497" max="10497" width="2.85546875" style="28" customWidth="1"/>
    <col min="10498" max="10498" width="3.5703125" style="28" customWidth="1"/>
    <col min="10499" max="10743" width="9.140625" style="28"/>
    <col min="10744" max="10744" width="8.7109375" style="28" customWidth="1"/>
    <col min="10745" max="10745" width="9.85546875" style="28" customWidth="1"/>
    <col min="10746" max="10746" width="14.42578125" style="28" customWidth="1"/>
    <col min="10747" max="10747" width="7.28515625" style="28" customWidth="1"/>
    <col min="10748" max="10748" width="5.5703125" style="28" customWidth="1"/>
    <col min="10749" max="10749" width="9" style="28" customWidth="1"/>
    <col min="10750" max="10751" width="9.85546875" style="28" customWidth="1"/>
    <col min="10752" max="10752" width="11.140625" style="28" customWidth="1"/>
    <col min="10753" max="10753" width="2.85546875" style="28" customWidth="1"/>
    <col min="10754" max="10754" width="3.5703125" style="28" customWidth="1"/>
    <col min="10755" max="10999" width="9.140625" style="28"/>
    <col min="11000" max="11000" width="8.7109375" style="28" customWidth="1"/>
    <col min="11001" max="11001" width="9.85546875" style="28" customWidth="1"/>
    <col min="11002" max="11002" width="14.42578125" style="28" customWidth="1"/>
    <col min="11003" max="11003" width="7.28515625" style="28" customWidth="1"/>
    <col min="11004" max="11004" width="5.5703125" style="28" customWidth="1"/>
    <col min="11005" max="11005" width="9" style="28" customWidth="1"/>
    <col min="11006" max="11007" width="9.85546875" style="28" customWidth="1"/>
    <col min="11008" max="11008" width="11.140625" style="28" customWidth="1"/>
    <col min="11009" max="11009" width="2.85546875" style="28" customWidth="1"/>
    <col min="11010" max="11010" width="3.5703125" style="28" customWidth="1"/>
    <col min="11011" max="11255" width="9.140625" style="28"/>
    <col min="11256" max="11256" width="8.7109375" style="28" customWidth="1"/>
    <col min="11257" max="11257" width="9.85546875" style="28" customWidth="1"/>
    <col min="11258" max="11258" width="14.42578125" style="28" customWidth="1"/>
    <col min="11259" max="11259" width="7.28515625" style="28" customWidth="1"/>
    <col min="11260" max="11260" width="5.5703125" style="28" customWidth="1"/>
    <col min="11261" max="11261" width="9" style="28" customWidth="1"/>
    <col min="11262" max="11263" width="9.85546875" style="28" customWidth="1"/>
    <col min="11264" max="11264" width="11.140625" style="28" customWidth="1"/>
    <col min="11265" max="11265" width="2.85546875" style="28" customWidth="1"/>
    <col min="11266" max="11266" width="3.5703125" style="28" customWidth="1"/>
    <col min="11267" max="11511" width="9.140625" style="28"/>
    <col min="11512" max="11512" width="8.7109375" style="28" customWidth="1"/>
    <col min="11513" max="11513" width="9.85546875" style="28" customWidth="1"/>
    <col min="11514" max="11514" width="14.42578125" style="28" customWidth="1"/>
    <col min="11515" max="11515" width="7.28515625" style="28" customWidth="1"/>
    <col min="11516" max="11516" width="5.5703125" style="28" customWidth="1"/>
    <col min="11517" max="11517" width="9" style="28" customWidth="1"/>
    <col min="11518" max="11519" width="9.85546875" style="28" customWidth="1"/>
    <col min="11520" max="11520" width="11.140625" style="28" customWidth="1"/>
    <col min="11521" max="11521" width="2.85546875" style="28" customWidth="1"/>
    <col min="11522" max="11522" width="3.5703125" style="28" customWidth="1"/>
    <col min="11523" max="11767" width="9.140625" style="28"/>
    <col min="11768" max="11768" width="8.7109375" style="28" customWidth="1"/>
    <col min="11769" max="11769" width="9.85546875" style="28" customWidth="1"/>
    <col min="11770" max="11770" width="14.42578125" style="28" customWidth="1"/>
    <col min="11771" max="11771" width="7.28515625" style="28" customWidth="1"/>
    <col min="11772" max="11772" width="5.5703125" style="28" customWidth="1"/>
    <col min="11773" max="11773" width="9" style="28" customWidth="1"/>
    <col min="11774" max="11775" width="9.85546875" style="28" customWidth="1"/>
    <col min="11776" max="11776" width="11.140625" style="28" customWidth="1"/>
    <col min="11777" max="11777" width="2.85546875" style="28" customWidth="1"/>
    <col min="11778" max="11778" width="3.5703125" style="28" customWidth="1"/>
    <col min="11779" max="12023" width="9.140625" style="28"/>
    <col min="12024" max="12024" width="8.7109375" style="28" customWidth="1"/>
    <col min="12025" max="12025" width="9.85546875" style="28" customWidth="1"/>
    <col min="12026" max="12026" width="14.42578125" style="28" customWidth="1"/>
    <col min="12027" max="12027" width="7.28515625" style="28" customWidth="1"/>
    <col min="12028" max="12028" width="5.5703125" style="28" customWidth="1"/>
    <col min="12029" max="12029" width="9" style="28" customWidth="1"/>
    <col min="12030" max="12031" width="9.85546875" style="28" customWidth="1"/>
    <col min="12032" max="12032" width="11.140625" style="28" customWidth="1"/>
    <col min="12033" max="12033" width="2.85546875" style="28" customWidth="1"/>
    <col min="12034" max="12034" width="3.5703125" style="28" customWidth="1"/>
    <col min="12035" max="12279" width="9.140625" style="28"/>
    <col min="12280" max="12280" width="8.7109375" style="28" customWidth="1"/>
    <col min="12281" max="12281" width="9.85546875" style="28" customWidth="1"/>
    <col min="12282" max="12282" width="14.42578125" style="28" customWidth="1"/>
    <col min="12283" max="12283" width="7.28515625" style="28" customWidth="1"/>
    <col min="12284" max="12284" width="5.5703125" style="28" customWidth="1"/>
    <col min="12285" max="12285" width="9" style="28" customWidth="1"/>
    <col min="12286" max="12287" width="9.85546875" style="28" customWidth="1"/>
    <col min="12288" max="12288" width="11.140625" style="28" customWidth="1"/>
    <col min="12289" max="12289" width="2.85546875" style="28" customWidth="1"/>
    <col min="12290" max="12290" width="3.5703125" style="28" customWidth="1"/>
    <col min="12291" max="12535" width="9.140625" style="28"/>
    <col min="12536" max="12536" width="8.7109375" style="28" customWidth="1"/>
    <col min="12537" max="12537" width="9.85546875" style="28" customWidth="1"/>
    <col min="12538" max="12538" width="14.42578125" style="28" customWidth="1"/>
    <col min="12539" max="12539" width="7.28515625" style="28" customWidth="1"/>
    <col min="12540" max="12540" width="5.5703125" style="28" customWidth="1"/>
    <col min="12541" max="12541" width="9" style="28" customWidth="1"/>
    <col min="12542" max="12543" width="9.85546875" style="28" customWidth="1"/>
    <col min="12544" max="12544" width="11.140625" style="28" customWidth="1"/>
    <col min="12545" max="12545" width="2.85546875" style="28" customWidth="1"/>
    <col min="12546" max="12546" width="3.5703125" style="28" customWidth="1"/>
    <col min="12547" max="12791" width="9.140625" style="28"/>
    <col min="12792" max="12792" width="8.7109375" style="28" customWidth="1"/>
    <col min="12793" max="12793" width="9.85546875" style="28" customWidth="1"/>
    <col min="12794" max="12794" width="14.42578125" style="28" customWidth="1"/>
    <col min="12795" max="12795" width="7.28515625" style="28" customWidth="1"/>
    <col min="12796" max="12796" width="5.5703125" style="28" customWidth="1"/>
    <col min="12797" max="12797" width="9" style="28" customWidth="1"/>
    <col min="12798" max="12799" width="9.85546875" style="28" customWidth="1"/>
    <col min="12800" max="12800" width="11.140625" style="28" customWidth="1"/>
    <col min="12801" max="12801" width="2.85546875" style="28" customWidth="1"/>
    <col min="12802" max="12802" width="3.5703125" style="28" customWidth="1"/>
    <col min="12803" max="13047" width="9.140625" style="28"/>
    <col min="13048" max="13048" width="8.7109375" style="28" customWidth="1"/>
    <col min="13049" max="13049" width="9.85546875" style="28" customWidth="1"/>
    <col min="13050" max="13050" width="14.42578125" style="28" customWidth="1"/>
    <col min="13051" max="13051" width="7.28515625" style="28" customWidth="1"/>
    <col min="13052" max="13052" width="5.5703125" style="28" customWidth="1"/>
    <col min="13053" max="13053" width="9" style="28" customWidth="1"/>
    <col min="13054" max="13055" width="9.85546875" style="28" customWidth="1"/>
    <col min="13056" max="13056" width="11.140625" style="28" customWidth="1"/>
    <col min="13057" max="13057" width="2.85546875" style="28" customWidth="1"/>
    <col min="13058" max="13058" width="3.5703125" style="28" customWidth="1"/>
    <col min="13059" max="13303" width="9.140625" style="28"/>
    <col min="13304" max="13304" width="8.7109375" style="28" customWidth="1"/>
    <col min="13305" max="13305" width="9.85546875" style="28" customWidth="1"/>
    <col min="13306" max="13306" width="14.42578125" style="28" customWidth="1"/>
    <col min="13307" max="13307" width="7.28515625" style="28" customWidth="1"/>
    <col min="13308" max="13308" width="5.5703125" style="28" customWidth="1"/>
    <col min="13309" max="13309" width="9" style="28" customWidth="1"/>
    <col min="13310" max="13311" width="9.85546875" style="28" customWidth="1"/>
    <col min="13312" max="13312" width="11.140625" style="28" customWidth="1"/>
    <col min="13313" max="13313" width="2.85546875" style="28" customWidth="1"/>
    <col min="13314" max="13314" width="3.5703125" style="28" customWidth="1"/>
    <col min="13315" max="13559" width="9.140625" style="28"/>
    <col min="13560" max="13560" width="8.7109375" style="28" customWidth="1"/>
    <col min="13561" max="13561" width="9.85546875" style="28" customWidth="1"/>
    <col min="13562" max="13562" width="14.42578125" style="28" customWidth="1"/>
    <col min="13563" max="13563" width="7.28515625" style="28" customWidth="1"/>
    <col min="13564" max="13564" width="5.5703125" style="28" customWidth="1"/>
    <col min="13565" max="13565" width="9" style="28" customWidth="1"/>
    <col min="13566" max="13567" width="9.85546875" style="28" customWidth="1"/>
    <col min="13568" max="13568" width="11.140625" style="28" customWidth="1"/>
    <col min="13569" max="13569" width="2.85546875" style="28" customWidth="1"/>
    <col min="13570" max="13570" width="3.5703125" style="28" customWidth="1"/>
    <col min="13571" max="13815" width="9.140625" style="28"/>
    <col min="13816" max="13816" width="8.7109375" style="28" customWidth="1"/>
    <col min="13817" max="13817" width="9.85546875" style="28" customWidth="1"/>
    <col min="13818" max="13818" width="14.42578125" style="28" customWidth="1"/>
    <col min="13819" max="13819" width="7.28515625" style="28" customWidth="1"/>
    <col min="13820" max="13820" width="5.5703125" style="28" customWidth="1"/>
    <col min="13821" max="13821" width="9" style="28" customWidth="1"/>
    <col min="13822" max="13823" width="9.85546875" style="28" customWidth="1"/>
    <col min="13824" max="13824" width="11.140625" style="28" customWidth="1"/>
    <col min="13825" max="13825" width="2.85546875" style="28" customWidth="1"/>
    <col min="13826" max="13826" width="3.5703125" style="28" customWidth="1"/>
    <col min="13827" max="14071" width="9.140625" style="28"/>
    <col min="14072" max="14072" width="8.7109375" style="28" customWidth="1"/>
    <col min="14073" max="14073" width="9.85546875" style="28" customWidth="1"/>
    <col min="14074" max="14074" width="14.42578125" style="28" customWidth="1"/>
    <col min="14075" max="14075" width="7.28515625" style="28" customWidth="1"/>
    <col min="14076" max="14076" width="5.5703125" style="28" customWidth="1"/>
    <col min="14077" max="14077" width="9" style="28" customWidth="1"/>
    <col min="14078" max="14079" width="9.85546875" style="28" customWidth="1"/>
    <col min="14080" max="14080" width="11.140625" style="28" customWidth="1"/>
    <col min="14081" max="14081" width="2.85546875" style="28" customWidth="1"/>
    <col min="14082" max="14082" width="3.5703125" style="28" customWidth="1"/>
    <col min="14083" max="14327" width="9.140625" style="28"/>
    <col min="14328" max="14328" width="8.7109375" style="28" customWidth="1"/>
    <col min="14329" max="14329" width="9.85546875" style="28" customWidth="1"/>
    <col min="14330" max="14330" width="14.42578125" style="28" customWidth="1"/>
    <col min="14331" max="14331" width="7.28515625" style="28" customWidth="1"/>
    <col min="14332" max="14332" width="5.5703125" style="28" customWidth="1"/>
    <col min="14333" max="14333" width="9" style="28" customWidth="1"/>
    <col min="14334" max="14335" width="9.85546875" style="28" customWidth="1"/>
    <col min="14336" max="14336" width="11.140625" style="28" customWidth="1"/>
    <col min="14337" max="14337" width="2.85546875" style="28" customWidth="1"/>
    <col min="14338" max="14338" width="3.5703125" style="28" customWidth="1"/>
    <col min="14339" max="14583" width="9.140625" style="28"/>
    <col min="14584" max="14584" width="8.7109375" style="28" customWidth="1"/>
    <col min="14585" max="14585" width="9.85546875" style="28" customWidth="1"/>
    <col min="14586" max="14586" width="14.42578125" style="28" customWidth="1"/>
    <col min="14587" max="14587" width="7.28515625" style="28" customWidth="1"/>
    <col min="14588" max="14588" width="5.5703125" style="28" customWidth="1"/>
    <col min="14589" max="14589" width="9" style="28" customWidth="1"/>
    <col min="14590" max="14591" width="9.85546875" style="28" customWidth="1"/>
    <col min="14592" max="14592" width="11.140625" style="28" customWidth="1"/>
    <col min="14593" max="14593" width="2.85546875" style="28" customWidth="1"/>
    <col min="14594" max="14594" width="3.5703125" style="28" customWidth="1"/>
    <col min="14595" max="14839" width="9.140625" style="28"/>
    <col min="14840" max="14840" width="8.7109375" style="28" customWidth="1"/>
    <col min="14841" max="14841" width="9.85546875" style="28" customWidth="1"/>
    <col min="14842" max="14842" width="14.42578125" style="28" customWidth="1"/>
    <col min="14843" max="14843" width="7.28515625" style="28" customWidth="1"/>
    <col min="14844" max="14844" width="5.5703125" style="28" customWidth="1"/>
    <col min="14845" max="14845" width="9" style="28" customWidth="1"/>
    <col min="14846" max="14847" width="9.85546875" style="28" customWidth="1"/>
    <col min="14848" max="14848" width="11.140625" style="28" customWidth="1"/>
    <col min="14849" max="14849" width="2.85546875" style="28" customWidth="1"/>
    <col min="14850" max="14850" width="3.5703125" style="28" customWidth="1"/>
    <col min="14851" max="15095" width="9.140625" style="28"/>
    <col min="15096" max="15096" width="8.7109375" style="28" customWidth="1"/>
    <col min="15097" max="15097" width="9.85546875" style="28" customWidth="1"/>
    <col min="15098" max="15098" width="14.42578125" style="28" customWidth="1"/>
    <col min="15099" max="15099" width="7.28515625" style="28" customWidth="1"/>
    <col min="15100" max="15100" width="5.5703125" style="28" customWidth="1"/>
    <col min="15101" max="15101" width="9" style="28" customWidth="1"/>
    <col min="15102" max="15103" width="9.85546875" style="28" customWidth="1"/>
    <col min="15104" max="15104" width="11.140625" style="28" customWidth="1"/>
    <col min="15105" max="15105" width="2.85546875" style="28" customWidth="1"/>
    <col min="15106" max="15106" width="3.5703125" style="28" customWidth="1"/>
    <col min="15107" max="15351" width="9.140625" style="28"/>
    <col min="15352" max="15352" width="8.7109375" style="28" customWidth="1"/>
    <col min="15353" max="15353" width="9.85546875" style="28" customWidth="1"/>
    <col min="15354" max="15354" width="14.42578125" style="28" customWidth="1"/>
    <col min="15355" max="15355" width="7.28515625" style="28" customWidth="1"/>
    <col min="15356" max="15356" width="5.5703125" style="28" customWidth="1"/>
    <col min="15357" max="15357" width="9" style="28" customWidth="1"/>
    <col min="15358" max="15359" width="9.85546875" style="28" customWidth="1"/>
    <col min="15360" max="15360" width="11.140625" style="28" customWidth="1"/>
    <col min="15361" max="15361" width="2.85546875" style="28" customWidth="1"/>
    <col min="15362" max="15362" width="3.5703125" style="28" customWidth="1"/>
    <col min="15363" max="15607" width="9.140625" style="28"/>
    <col min="15608" max="15608" width="8.7109375" style="28" customWidth="1"/>
    <col min="15609" max="15609" width="9.85546875" style="28" customWidth="1"/>
    <col min="15610" max="15610" width="14.42578125" style="28" customWidth="1"/>
    <col min="15611" max="15611" width="7.28515625" style="28" customWidth="1"/>
    <col min="15612" max="15612" width="5.5703125" style="28" customWidth="1"/>
    <col min="15613" max="15613" width="9" style="28" customWidth="1"/>
    <col min="15614" max="15615" width="9.85546875" style="28" customWidth="1"/>
    <col min="15616" max="15616" width="11.140625" style="28" customWidth="1"/>
    <col min="15617" max="15617" width="2.85546875" style="28" customWidth="1"/>
    <col min="15618" max="15618" width="3.5703125" style="28" customWidth="1"/>
    <col min="15619" max="15863" width="9.140625" style="28"/>
    <col min="15864" max="15864" width="8.7109375" style="28" customWidth="1"/>
    <col min="15865" max="15865" width="9.85546875" style="28" customWidth="1"/>
    <col min="15866" max="15866" width="14.42578125" style="28" customWidth="1"/>
    <col min="15867" max="15867" width="7.28515625" style="28" customWidth="1"/>
    <col min="15868" max="15868" width="5.5703125" style="28" customWidth="1"/>
    <col min="15869" max="15869" width="9" style="28" customWidth="1"/>
    <col min="15870" max="15871" width="9.85546875" style="28" customWidth="1"/>
    <col min="15872" max="15872" width="11.140625" style="28" customWidth="1"/>
    <col min="15873" max="15873" width="2.85546875" style="28" customWidth="1"/>
    <col min="15874" max="15874" width="3.5703125" style="28" customWidth="1"/>
    <col min="15875" max="16119" width="9.140625" style="28"/>
    <col min="16120" max="16120" width="8.7109375" style="28" customWidth="1"/>
    <col min="16121" max="16121" width="9.85546875" style="28" customWidth="1"/>
    <col min="16122" max="16122" width="14.42578125" style="28" customWidth="1"/>
    <col min="16123" max="16123" width="7.28515625" style="28" customWidth="1"/>
    <col min="16124" max="16124" width="5.5703125" style="28" customWidth="1"/>
    <col min="16125" max="16125" width="9" style="28" customWidth="1"/>
    <col min="16126" max="16127" width="9.85546875" style="28" customWidth="1"/>
    <col min="16128" max="16128" width="11.140625" style="28" customWidth="1"/>
    <col min="16129" max="16129" width="2.85546875" style="28" customWidth="1"/>
    <col min="16130" max="16130" width="3.5703125" style="28" customWidth="1"/>
    <col min="16131" max="16384" width="9.140625" style="28"/>
  </cols>
  <sheetData>
    <row r="1" spans="1:26" ht="46.5" customHeight="1">
      <c r="A1" s="71" t="s">
        <v>0</v>
      </c>
      <c r="B1" s="71"/>
      <c r="C1" s="71"/>
      <c r="D1" s="71"/>
      <c r="E1" s="71"/>
      <c r="F1" s="71"/>
      <c r="G1" s="71"/>
      <c r="H1" s="71"/>
    </row>
    <row r="2" spans="1:26" ht="16.5" customHeight="1">
      <c r="A2" s="72" t="s">
        <v>1</v>
      </c>
      <c r="B2" s="72"/>
      <c r="C2" s="72"/>
      <c r="D2" s="72"/>
      <c r="E2" s="72"/>
      <c r="F2" s="72"/>
      <c r="G2" s="72"/>
      <c r="H2" s="72"/>
    </row>
    <row r="3" spans="1:26">
      <c r="A3" s="73" t="s">
        <v>2</v>
      </c>
      <c r="B3" s="73"/>
      <c r="C3" s="73"/>
      <c r="D3" s="73"/>
      <c r="E3" s="73" t="str">
        <f ca="1">TEXT(TODAY(),"DD/MM/YYYY")</f>
        <v>11/09/2025</v>
      </c>
      <c r="F3" s="73"/>
      <c r="G3" s="73"/>
      <c r="H3" s="73"/>
      <c r="K3" s="8" t="s">
        <v>3</v>
      </c>
      <c r="L3" s="7" t="s">
        <v>4</v>
      </c>
      <c r="M3" s="7" t="s">
        <v>5</v>
      </c>
      <c r="N3" s="7" t="s">
        <v>6</v>
      </c>
      <c r="O3" s="7" t="s">
        <v>7</v>
      </c>
      <c r="P3" s="7" t="s">
        <v>8</v>
      </c>
    </row>
    <row r="4" spans="1:26" ht="15" customHeight="1">
      <c r="A4" s="73" t="s">
        <v>9</v>
      </c>
      <c r="B4" s="73"/>
      <c r="C4" s="73"/>
      <c r="D4" s="73"/>
      <c r="E4" s="73" t="s">
        <v>4</v>
      </c>
      <c r="F4" s="73"/>
      <c r="G4" s="73"/>
      <c r="H4" s="73"/>
      <c r="K4" s="6" t="s">
        <v>10</v>
      </c>
      <c r="L4" s="7" t="s">
        <v>11</v>
      </c>
      <c r="M4" s="7" t="s">
        <v>12</v>
      </c>
      <c r="N4" s="7" t="s">
        <v>13</v>
      </c>
      <c r="O4" s="7" t="s">
        <v>14</v>
      </c>
      <c r="P4" s="7"/>
    </row>
    <row r="5" spans="1:26" ht="15" customHeight="1">
      <c r="A5" s="73" t="s">
        <v>15</v>
      </c>
      <c r="B5" s="73"/>
      <c r="C5" s="73"/>
      <c r="D5" s="73"/>
      <c r="E5" s="73" t="s">
        <v>11</v>
      </c>
      <c r="F5" s="73"/>
      <c r="G5" s="73"/>
      <c r="H5" s="73"/>
      <c r="K5" s="6"/>
      <c r="L5" s="7" t="s">
        <v>16</v>
      </c>
      <c r="M5" s="7" t="s">
        <v>17</v>
      </c>
      <c r="N5" s="7" t="s">
        <v>18</v>
      </c>
      <c r="O5" s="7" t="s">
        <v>19</v>
      </c>
      <c r="P5" s="7"/>
    </row>
    <row r="6" spans="1:26">
      <c r="A6" s="73" t="s">
        <v>20</v>
      </c>
      <c r="B6" s="73"/>
      <c r="C6" s="73"/>
      <c r="D6" s="73"/>
      <c r="E6" s="74">
        <v>45908</v>
      </c>
      <c r="F6" s="73"/>
      <c r="G6" s="73"/>
      <c r="H6" s="73"/>
      <c r="K6" s="6"/>
      <c r="L6" s="7" t="s">
        <v>21</v>
      </c>
      <c r="M6" s="7"/>
      <c r="N6" s="7"/>
      <c r="O6" s="7" t="s">
        <v>22</v>
      </c>
      <c r="P6" s="7"/>
    </row>
    <row r="7" spans="1:26" ht="16.5" customHeight="1">
      <c r="A7" s="73" t="s">
        <v>23</v>
      </c>
      <c r="B7" s="73"/>
      <c r="C7" s="73"/>
      <c r="D7" s="73"/>
      <c r="E7" s="115" t="s">
        <v>24</v>
      </c>
      <c r="F7" s="116"/>
      <c r="G7" s="116"/>
      <c r="H7" s="117"/>
      <c r="K7" s="6"/>
      <c r="L7" s="7" t="s">
        <v>25</v>
      </c>
      <c r="M7" s="7"/>
      <c r="N7" s="7"/>
      <c r="O7" s="7" t="s">
        <v>22</v>
      </c>
      <c r="P7" s="7"/>
    </row>
    <row r="8" spans="1:26" ht="15" customHeight="1">
      <c r="A8" s="73" t="s">
        <v>26</v>
      </c>
      <c r="B8" s="73"/>
      <c r="C8" s="73"/>
      <c r="D8" s="73"/>
      <c r="E8" s="73" t="str">
        <f>E7</f>
        <v>Shree Krishna Sai Development Corporation</v>
      </c>
      <c r="F8" s="73"/>
      <c r="G8" s="73"/>
      <c r="H8" s="73"/>
      <c r="K8" s="6"/>
      <c r="L8" s="7"/>
      <c r="M8" s="7"/>
      <c r="N8" s="7"/>
      <c r="O8" s="7" t="s">
        <v>27</v>
      </c>
      <c r="P8" s="7"/>
    </row>
    <row r="9" spans="1:26">
      <c r="A9" s="73" t="s">
        <v>28</v>
      </c>
      <c r="B9" s="73"/>
      <c r="C9" s="73"/>
      <c r="D9" s="73"/>
      <c r="E9" s="75" t="s">
        <v>29</v>
      </c>
      <c r="F9" s="76"/>
      <c r="G9" s="76"/>
      <c r="H9" s="76"/>
      <c r="K9" s="6"/>
      <c r="L9" s="7"/>
      <c r="M9" s="7"/>
      <c r="N9" s="7"/>
      <c r="O9" s="7" t="s">
        <v>30</v>
      </c>
      <c r="P9" s="7"/>
    </row>
    <row r="10" spans="1:26">
      <c r="A10" s="73" t="s">
        <v>31</v>
      </c>
      <c r="B10" s="73"/>
      <c r="C10" s="73"/>
      <c r="D10" s="73"/>
      <c r="E10" s="73" t="s">
        <v>32</v>
      </c>
      <c r="F10" s="73"/>
      <c r="G10" s="73"/>
      <c r="H10" s="73"/>
      <c r="K10" s="6"/>
      <c r="L10" s="7"/>
      <c r="M10" s="7"/>
      <c r="N10" s="7"/>
      <c r="O10" s="7"/>
      <c r="P10" s="7"/>
    </row>
    <row r="11" spans="1:26">
      <c r="A11" s="73" t="s">
        <v>33</v>
      </c>
      <c r="B11" s="73"/>
      <c r="C11" s="73"/>
      <c r="D11" s="73"/>
      <c r="E11" s="73">
        <v>8655993118</v>
      </c>
      <c r="F11" s="73"/>
      <c r="G11" s="73"/>
      <c r="H11" s="73"/>
    </row>
    <row r="12" spans="1:26">
      <c r="A12" s="73" t="s">
        <v>34</v>
      </c>
      <c r="B12" s="73"/>
      <c r="C12" s="73"/>
      <c r="D12" s="73"/>
      <c r="E12" s="73" t="s">
        <v>35</v>
      </c>
      <c r="F12" s="73"/>
      <c r="G12" s="73"/>
      <c r="H12" s="73"/>
    </row>
    <row r="13" spans="1:26">
      <c r="A13" s="73" t="s">
        <v>36</v>
      </c>
      <c r="B13" s="73"/>
      <c r="C13" s="73"/>
      <c r="D13" s="73"/>
      <c r="E13" s="73" t="s">
        <v>37</v>
      </c>
      <c r="F13" s="73"/>
      <c r="G13" s="73"/>
      <c r="H13" s="73"/>
      <c r="S13" s="7" t="s">
        <v>38</v>
      </c>
      <c r="T13" s="7" t="s">
        <v>39</v>
      </c>
      <c r="U13" s="7" t="s">
        <v>40</v>
      </c>
      <c r="V13" s="7" t="s">
        <v>41</v>
      </c>
      <c r="W13" s="7" t="s">
        <v>42</v>
      </c>
      <c r="X13"/>
      <c r="Y13" t="s">
        <v>41</v>
      </c>
      <c r="Z13" t="e">
        <f ca="1">OFFSET($S$13,1,MATCH($G20,$S$13:$W$13,0)-1,15,1)</f>
        <v>#VALUE!</v>
      </c>
    </row>
    <row r="14" spans="1:26">
      <c r="A14" s="77" t="s">
        <v>43</v>
      </c>
      <c r="B14" s="77"/>
      <c r="C14" s="77"/>
      <c r="D14" s="77"/>
      <c r="E14" s="78" t="s">
        <v>44</v>
      </c>
      <c r="F14" s="78"/>
      <c r="G14" s="78"/>
      <c r="H14" s="78"/>
      <c r="S14" s="7" t="s">
        <v>45</v>
      </c>
      <c r="T14" s="7" t="s">
        <v>46</v>
      </c>
      <c r="U14" s="7" t="s">
        <v>47</v>
      </c>
      <c r="V14" s="7" t="s">
        <v>48</v>
      </c>
      <c r="W14" s="7" t="s">
        <v>49</v>
      </c>
      <c r="X14"/>
      <c r="Y14"/>
      <c r="Z14"/>
    </row>
    <row r="15" spans="1:26">
      <c r="A15" s="77" t="s">
        <v>50</v>
      </c>
      <c r="B15" s="77"/>
      <c r="C15" s="77"/>
      <c r="D15" s="77"/>
      <c r="E15" s="78" t="s">
        <v>51</v>
      </c>
      <c r="F15" s="73"/>
      <c r="G15" s="73"/>
      <c r="H15" s="73"/>
      <c r="I15" s="79" t="e">
        <f ca="1">OFFSET($D$5,1,MATCH($J13,$D$5:$H$5,0)-1,15,1)</f>
        <v>#N/A</v>
      </c>
      <c r="J15" s="80"/>
      <c r="K15" s="80"/>
      <c r="L15" s="80"/>
      <c r="M15" s="80"/>
      <c r="N15" s="80"/>
      <c r="O15" s="80"/>
      <c r="P15" s="80"/>
      <c r="S15" s="7" t="s">
        <v>52</v>
      </c>
      <c r="T15" s="7" t="s">
        <v>53</v>
      </c>
      <c r="U15" s="7" t="s">
        <v>54</v>
      </c>
      <c r="V15" s="7" t="s">
        <v>55</v>
      </c>
      <c r="W15" s="7" t="s">
        <v>56</v>
      </c>
      <c r="X15"/>
      <c r="Y15"/>
      <c r="Z15"/>
    </row>
    <row r="16" spans="1:26" ht="51" customHeight="1">
      <c r="A16" s="81" t="s">
        <v>57</v>
      </c>
      <c r="B16" s="81"/>
      <c r="C16" s="81" t="str">
        <f>CONCATENATE((IF(OR(E9="",E9="NA"),"",E9)),", ",(IF(OR(A17="",A17="NA"),"",A17)),".",(IF(OR(C17="",C17="NA"),"",C17)),", near ",(IF(OR(C22="",C22="NA"),"",C22)),", ",(IF(OR(C19="",C19="NA"),"",C19)),", ",(IF(OR(C18="",C18="NA"),"",C18)),", ",(IF(OR(G19="",G19="NA"),"",G19)),", ",(IF(OR(C20="",C20="NA"),"",C20)),", ",(IF(OR(C21="",C21="NA"),"",C21)),", ",(IF(OR(G20="",G20="NA"),"",G20))," - ",(IF(OR(G21="",G21="NA"),"",G21)),".")</f>
        <v>Khandelwal Luxor Wing B, Plot No.8, R.S.C. 3, Redevlopement of "Gorai Shri Shiv Parvati C.H.S.L.", near Gorai Bus Depot, Gorai Road, , Gorai III, Borivali West, Borivali, Mumbai - 400091.</v>
      </c>
      <c r="D16" s="81"/>
      <c r="E16" s="81"/>
      <c r="F16" s="81"/>
      <c r="G16" s="81"/>
      <c r="H16" s="81"/>
      <c r="S16" s="7" t="s">
        <v>58</v>
      </c>
      <c r="T16" s="7" t="s">
        <v>59</v>
      </c>
      <c r="U16" s="7" t="s">
        <v>60</v>
      </c>
      <c r="V16" s="7" t="s">
        <v>61</v>
      </c>
      <c r="W16" s="7" t="s">
        <v>62</v>
      </c>
      <c r="X16"/>
      <c r="Y16"/>
      <c r="Z16"/>
    </row>
    <row r="17" spans="1:26">
      <c r="A17" s="78" t="s">
        <v>63</v>
      </c>
      <c r="B17" s="78"/>
      <c r="C17" s="78" t="s">
        <v>64</v>
      </c>
      <c r="D17" s="78"/>
      <c r="E17" s="78"/>
      <c r="F17" s="78"/>
      <c r="G17" s="78"/>
      <c r="H17" s="78"/>
      <c r="S17" s="7" t="s">
        <v>65</v>
      </c>
      <c r="T17" s="7" t="s">
        <v>66</v>
      </c>
      <c r="U17" s="7" t="s">
        <v>40</v>
      </c>
      <c r="V17" s="7" t="s">
        <v>67</v>
      </c>
      <c r="W17" s="7" t="s">
        <v>68</v>
      </c>
      <c r="X17"/>
      <c r="Y17"/>
      <c r="Z17"/>
    </row>
    <row r="18" spans="1:26" ht="15.75" customHeight="1">
      <c r="A18" s="78" t="s">
        <v>69</v>
      </c>
      <c r="B18" s="78"/>
      <c r="C18" s="78" t="s">
        <v>70</v>
      </c>
      <c r="D18" s="78"/>
      <c r="E18" s="78"/>
      <c r="F18" s="78"/>
      <c r="G18" s="78"/>
      <c r="H18" s="78"/>
      <c r="S18" s="7" t="s">
        <v>71</v>
      </c>
      <c r="T18" s="7" t="s">
        <v>39</v>
      </c>
      <c r="U18" s="7"/>
      <c r="V18" s="7" t="s">
        <v>72</v>
      </c>
      <c r="W18" s="7" t="s">
        <v>73</v>
      </c>
      <c r="X18"/>
      <c r="Y18"/>
      <c r="Z18"/>
    </row>
    <row r="19" spans="1:26">
      <c r="A19" s="81" t="s">
        <v>74</v>
      </c>
      <c r="B19" s="81"/>
      <c r="C19" s="73" t="s">
        <v>75</v>
      </c>
      <c r="D19" s="73"/>
      <c r="E19" s="81" t="s">
        <v>76</v>
      </c>
      <c r="F19" s="81"/>
      <c r="G19" s="78" t="s">
        <v>77</v>
      </c>
      <c r="H19" s="78"/>
      <c r="S19" s="7" t="s">
        <v>78</v>
      </c>
      <c r="T19" s="7" t="s">
        <v>79</v>
      </c>
      <c r="U19" s="7"/>
      <c r="V19" s="7" t="s">
        <v>80</v>
      </c>
      <c r="W19" s="7" t="s">
        <v>81</v>
      </c>
      <c r="X19"/>
      <c r="Y19"/>
      <c r="Z19"/>
    </row>
    <row r="20" spans="1:26">
      <c r="A20" s="77" t="s">
        <v>82</v>
      </c>
      <c r="B20" s="77"/>
      <c r="C20" s="78" t="s">
        <v>83</v>
      </c>
      <c r="D20" s="78"/>
      <c r="E20" s="81" t="s">
        <v>84</v>
      </c>
      <c r="F20" s="81"/>
      <c r="G20" s="82" t="s">
        <v>40</v>
      </c>
      <c r="H20" s="82"/>
      <c r="S20" s="7" t="s">
        <v>85</v>
      </c>
      <c r="T20" s="7" t="s">
        <v>86</v>
      </c>
      <c r="U20" s="7"/>
      <c r="V20" s="7" t="s">
        <v>87</v>
      </c>
      <c r="W20" s="7" t="s">
        <v>88</v>
      </c>
      <c r="X20"/>
      <c r="Y20"/>
      <c r="Z20"/>
    </row>
    <row r="21" spans="1:26">
      <c r="A21" s="77" t="s">
        <v>89</v>
      </c>
      <c r="B21" s="77"/>
      <c r="C21" s="78" t="s">
        <v>54</v>
      </c>
      <c r="D21" s="78"/>
      <c r="E21" s="81" t="s">
        <v>90</v>
      </c>
      <c r="F21" s="81"/>
      <c r="G21" s="78">
        <v>400091</v>
      </c>
      <c r="H21" s="78"/>
      <c r="S21" s="7"/>
      <c r="T21" s="7"/>
      <c r="U21" s="7"/>
      <c r="V21" s="7" t="s">
        <v>91</v>
      </c>
      <c r="W21" s="7" t="s">
        <v>92</v>
      </c>
      <c r="X21"/>
      <c r="Y21"/>
      <c r="Z21"/>
    </row>
    <row r="22" spans="1:26" ht="32.25" customHeight="1">
      <c r="A22" s="77" t="s">
        <v>93</v>
      </c>
      <c r="B22" s="77"/>
      <c r="C22" s="78" t="s">
        <v>94</v>
      </c>
      <c r="D22" s="78"/>
      <c r="E22" s="81" t="s">
        <v>95</v>
      </c>
      <c r="F22" s="81"/>
      <c r="G22" s="78" t="s">
        <v>96</v>
      </c>
      <c r="H22" s="78"/>
      <c r="S22" s="7"/>
      <c r="T22" s="7"/>
      <c r="U22" s="7"/>
      <c r="V22" s="7" t="s">
        <v>97</v>
      </c>
      <c r="W22" s="7" t="s">
        <v>98</v>
      </c>
      <c r="X22"/>
      <c r="Y22"/>
      <c r="Z22"/>
    </row>
    <row r="23" spans="1:26" ht="15" customHeight="1">
      <c r="A23" s="81" t="s">
        <v>99</v>
      </c>
      <c r="B23" s="81"/>
      <c r="C23" s="81"/>
      <c r="D23" s="81"/>
      <c r="E23" s="73" t="s">
        <v>100</v>
      </c>
      <c r="F23" s="73"/>
      <c r="G23" s="73"/>
      <c r="H23" s="73"/>
      <c r="S23" s="7"/>
      <c r="T23" s="7"/>
      <c r="U23" s="7"/>
      <c r="V23" s="7" t="s">
        <v>101</v>
      </c>
      <c r="W23" s="7" t="s">
        <v>102</v>
      </c>
      <c r="X23"/>
      <c r="Y23"/>
      <c r="Z23"/>
    </row>
    <row r="24" spans="1:26" ht="18.75" customHeight="1">
      <c r="A24" s="81"/>
      <c r="B24" s="81"/>
      <c r="C24" s="81"/>
      <c r="D24" s="81"/>
      <c r="E24" s="73"/>
      <c r="F24" s="73"/>
      <c r="G24" s="73"/>
      <c r="H24" s="73"/>
      <c r="S24" s="7"/>
      <c r="T24" s="7"/>
      <c r="U24" s="7"/>
      <c r="V24" s="7" t="s">
        <v>103</v>
      </c>
      <c r="W24" s="7" t="s">
        <v>104</v>
      </c>
      <c r="X24"/>
      <c r="Y24"/>
      <c r="Z24"/>
    </row>
    <row r="25" spans="1:26" ht="15" customHeight="1">
      <c r="A25" s="81" t="s">
        <v>105</v>
      </c>
      <c r="B25" s="81"/>
      <c r="C25" s="81"/>
      <c r="D25" s="81"/>
      <c r="E25" s="78" t="s">
        <v>106</v>
      </c>
      <c r="F25" s="78"/>
      <c r="G25" s="78"/>
      <c r="H25" s="78"/>
      <c r="S25" s="7"/>
      <c r="T25" s="7"/>
      <c r="U25" s="7"/>
      <c r="V25" s="7" t="s">
        <v>107</v>
      </c>
      <c r="W25" s="7" t="s">
        <v>108</v>
      </c>
      <c r="X25"/>
      <c r="Y25"/>
      <c r="Z25"/>
    </row>
    <row r="26" spans="1:26" ht="15" customHeight="1">
      <c r="A26" s="77" t="s">
        <v>109</v>
      </c>
      <c r="B26" s="77"/>
      <c r="C26" s="77"/>
      <c r="D26" s="77"/>
      <c r="E26" s="78" t="str">
        <f>IF(AND(G20="Mumbai"),"Upper Class","Middle Class")</f>
        <v>Upper Class</v>
      </c>
      <c r="F26" s="78"/>
      <c r="G26" s="78"/>
      <c r="H26" s="78"/>
      <c r="S26" s="7"/>
      <c r="T26" s="7"/>
      <c r="U26" s="7"/>
      <c r="V26" s="7" t="s">
        <v>110</v>
      </c>
      <c r="W26" s="7" t="s">
        <v>111</v>
      </c>
      <c r="X26"/>
      <c r="Y26"/>
      <c r="Z26"/>
    </row>
    <row r="27" spans="1:26">
      <c r="A27" s="77" t="s">
        <v>112</v>
      </c>
      <c r="B27" s="77"/>
      <c r="C27" s="77"/>
      <c r="D27" s="77"/>
      <c r="E27" s="78" t="s">
        <v>113</v>
      </c>
      <c r="F27" s="78"/>
      <c r="G27" s="78"/>
      <c r="H27" s="78"/>
      <c r="S27" s="7"/>
      <c r="T27" s="7"/>
      <c r="U27" s="7"/>
      <c r="V27" s="7" t="s">
        <v>114</v>
      </c>
      <c r="W27" s="7" t="s">
        <v>115</v>
      </c>
      <c r="X27"/>
      <c r="Y27"/>
      <c r="Z27"/>
    </row>
    <row r="28" spans="1:26" ht="15.75" customHeight="1">
      <c r="A28" s="77" t="s">
        <v>116</v>
      </c>
      <c r="B28" s="77"/>
      <c r="C28" s="77"/>
      <c r="D28" s="77"/>
      <c r="E28" s="78" t="str">
        <f>IF(AND(G20="Mumbai"),"Developed","Developing")</f>
        <v>Developed</v>
      </c>
      <c r="F28" s="78"/>
      <c r="G28" s="78"/>
      <c r="H28" s="78"/>
    </row>
    <row r="29" spans="1:26">
      <c r="A29" s="77" t="s">
        <v>117</v>
      </c>
      <c r="B29" s="77"/>
      <c r="C29" s="77"/>
      <c r="D29" s="77"/>
      <c r="E29" s="78" t="s">
        <v>118</v>
      </c>
      <c r="F29" s="78"/>
      <c r="G29" s="78"/>
      <c r="H29" s="78"/>
    </row>
    <row r="30" spans="1:26" ht="15.75" customHeight="1">
      <c r="A30" s="77" t="s">
        <v>119</v>
      </c>
      <c r="B30" s="77"/>
      <c r="C30" s="77"/>
      <c r="D30" s="77"/>
      <c r="E30" s="78" t="s">
        <v>120</v>
      </c>
      <c r="F30" s="78"/>
      <c r="G30" s="78"/>
      <c r="H30" s="78"/>
    </row>
    <row r="31" spans="1:26" ht="15" customHeight="1">
      <c r="A31" s="77" t="s">
        <v>121</v>
      </c>
      <c r="B31" s="77"/>
      <c r="C31" s="77"/>
      <c r="D31" s="77"/>
      <c r="E31" s="7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78"/>
      <c r="G31" s="78"/>
      <c r="H31" s="78"/>
    </row>
    <row r="32" spans="1:26" ht="15.75" customHeight="1">
      <c r="A32" s="77" t="s">
        <v>122</v>
      </c>
      <c r="B32" s="77"/>
      <c r="C32" s="77"/>
      <c r="D32" s="77"/>
      <c r="E32" s="78" t="s">
        <v>123</v>
      </c>
      <c r="F32" s="78"/>
      <c r="G32" s="78"/>
      <c r="H32" s="78"/>
    </row>
    <row r="33" spans="1:19" s="21" customFormat="1">
      <c r="A33" s="83" t="s">
        <v>124</v>
      </c>
      <c r="B33" s="83"/>
      <c r="C33" s="84" t="s">
        <v>125</v>
      </c>
      <c r="D33" s="84"/>
      <c r="E33" s="84"/>
      <c r="F33" s="84" t="s">
        <v>126</v>
      </c>
      <c r="G33" s="84"/>
      <c r="H33" s="84"/>
      <c r="S33" s="21" t="e">
        <f ca="1">OFFSET($S$13,1,MATCH($G20,$S$13:$W$13,0)-1,15,1)</f>
        <v>#VALUE!</v>
      </c>
    </row>
    <row r="34" spans="1:19" s="21" customFormat="1">
      <c r="A34" s="85" t="s">
        <v>127</v>
      </c>
      <c r="B34" s="85" t="s">
        <v>70</v>
      </c>
      <c r="C34" s="86" t="s">
        <v>128</v>
      </c>
      <c r="D34" s="86"/>
      <c r="E34" s="86"/>
      <c r="F34" s="86" t="s">
        <v>129</v>
      </c>
      <c r="G34" s="86"/>
      <c r="H34" s="86"/>
    </row>
    <row r="35" spans="1:19">
      <c r="A35" s="85" t="s">
        <v>130</v>
      </c>
      <c r="B35" s="85" t="s">
        <v>70</v>
      </c>
      <c r="C35" s="86" t="s">
        <v>131</v>
      </c>
      <c r="D35" s="86"/>
      <c r="E35" s="86"/>
      <c r="F35" s="86" t="s">
        <v>132</v>
      </c>
      <c r="G35" s="86"/>
      <c r="H35" s="86"/>
    </row>
    <row r="36" spans="1:19" s="21" customFormat="1">
      <c r="A36" s="85" t="s">
        <v>133</v>
      </c>
      <c r="B36" s="85" t="s">
        <v>70</v>
      </c>
      <c r="C36" s="86" t="s">
        <v>134</v>
      </c>
      <c r="D36" s="86"/>
      <c r="E36" s="86"/>
      <c r="F36" s="86" t="s">
        <v>135</v>
      </c>
      <c r="G36" s="86"/>
      <c r="H36" s="86"/>
    </row>
    <row r="37" spans="1:19">
      <c r="A37" s="85" t="s">
        <v>136</v>
      </c>
      <c r="B37" s="85" t="s">
        <v>70</v>
      </c>
      <c r="C37" s="86" t="s">
        <v>137</v>
      </c>
      <c r="D37" s="86"/>
      <c r="E37" s="86"/>
      <c r="F37" s="86" t="s">
        <v>138</v>
      </c>
      <c r="G37" s="86"/>
      <c r="H37" s="86"/>
    </row>
    <row r="38" spans="1:19">
      <c r="A38" s="77" t="s">
        <v>139</v>
      </c>
      <c r="B38" s="77"/>
      <c r="C38" s="77"/>
      <c r="D38" s="77"/>
      <c r="E38" s="77"/>
      <c r="F38" s="77"/>
      <c r="G38" s="77"/>
      <c r="H38" s="77"/>
    </row>
    <row r="39" spans="1:19" ht="15.75" customHeight="1">
      <c r="A39" s="77" t="s">
        <v>140</v>
      </c>
      <c r="B39" s="77"/>
      <c r="C39" s="87" t="s">
        <v>141</v>
      </c>
      <c r="D39" s="87"/>
      <c r="E39" s="87"/>
      <c r="F39" s="87"/>
      <c r="G39" s="87"/>
      <c r="H39" s="87"/>
    </row>
    <row r="40" spans="1:19">
      <c r="A40" s="77" t="s">
        <v>142</v>
      </c>
      <c r="B40" s="77"/>
      <c r="C40" s="88" t="s">
        <v>143</v>
      </c>
      <c r="D40" s="78"/>
      <c r="E40" s="78"/>
      <c r="F40" s="78"/>
      <c r="G40" s="78"/>
      <c r="H40" s="78"/>
    </row>
    <row r="41" spans="1:19">
      <c r="A41" s="87" t="s">
        <v>144</v>
      </c>
      <c r="B41" s="87"/>
      <c r="C41" s="87"/>
      <c r="D41" s="87"/>
      <c r="E41" s="87"/>
      <c r="F41" s="87"/>
      <c r="G41" s="87"/>
      <c r="H41" s="87"/>
    </row>
    <row r="42" spans="1:19">
      <c r="A42" s="77" t="s">
        <v>145</v>
      </c>
      <c r="B42" s="77"/>
      <c r="C42" s="77"/>
      <c r="D42" s="77"/>
      <c r="E42" s="89">
        <v>2866.14</v>
      </c>
      <c r="F42" s="89"/>
      <c r="G42" s="89"/>
      <c r="H42" s="89"/>
    </row>
    <row r="43" spans="1:19">
      <c r="A43" s="77" t="s">
        <v>146</v>
      </c>
      <c r="B43" s="77"/>
      <c r="C43" s="77"/>
      <c r="D43" s="77"/>
      <c r="E43" s="90">
        <f>7165.35/E42</f>
        <v>2.5000000000000004</v>
      </c>
      <c r="F43" s="90"/>
      <c r="G43" s="90"/>
      <c r="H43" s="90"/>
    </row>
    <row r="44" spans="1:19">
      <c r="A44" s="77" t="s">
        <v>147</v>
      </c>
      <c r="B44" s="77"/>
      <c r="C44" s="77"/>
      <c r="D44" s="77"/>
      <c r="E44" s="90">
        <f>E46/E42-E43</f>
        <v>0.1377392590731783</v>
      </c>
      <c r="F44" s="90"/>
      <c r="G44" s="90"/>
      <c r="H44" s="90"/>
    </row>
    <row r="45" spans="1:19">
      <c r="A45" s="77" t="s">
        <v>148</v>
      </c>
      <c r="B45" s="77"/>
      <c r="C45" s="77"/>
      <c r="D45" s="77"/>
      <c r="E45" s="90">
        <f>E43+E44</f>
        <v>2.6377392590731787</v>
      </c>
      <c r="F45" s="90"/>
      <c r="G45" s="90"/>
      <c r="H45" s="90"/>
    </row>
    <row r="46" spans="1:19">
      <c r="A46" s="77" t="s">
        <v>149</v>
      </c>
      <c r="B46" s="77"/>
      <c r="C46" s="77"/>
      <c r="D46" s="77"/>
      <c r="E46" s="91">
        <v>7560.13</v>
      </c>
      <c r="F46" s="91"/>
      <c r="G46" s="91"/>
      <c r="H46" s="91"/>
    </row>
    <row r="47" spans="1:19">
      <c r="A47" s="73" t="s">
        <v>150</v>
      </c>
      <c r="B47" s="73"/>
      <c r="C47" s="73"/>
      <c r="D47" s="73"/>
      <c r="E47" s="73" t="s">
        <v>151</v>
      </c>
      <c r="F47" s="73"/>
      <c r="G47" s="73"/>
      <c r="H47" s="73"/>
    </row>
    <row r="48" spans="1:19">
      <c r="A48" s="87" t="s">
        <v>152</v>
      </c>
      <c r="B48" s="87"/>
      <c r="C48" s="87"/>
      <c r="D48" s="87"/>
      <c r="E48" s="87"/>
      <c r="F48" s="87"/>
      <c r="G48" s="87"/>
      <c r="H48" s="87"/>
    </row>
    <row r="49" spans="1:24" ht="33.75" customHeight="1">
      <c r="A49" s="92" t="s">
        <v>153</v>
      </c>
      <c r="B49" s="93"/>
      <c r="C49" s="94" t="s">
        <v>154</v>
      </c>
      <c r="D49" s="95"/>
      <c r="E49" s="95"/>
      <c r="F49" s="95"/>
      <c r="G49" s="95"/>
      <c r="H49" s="96"/>
      <c r="R49" t="s">
        <v>155</v>
      </c>
      <c r="S49" t="s">
        <v>40</v>
      </c>
      <c r="T49" t="s">
        <v>38</v>
      </c>
      <c r="U49" t="s">
        <v>41</v>
      </c>
      <c r="V49" t="s">
        <v>39</v>
      </c>
    </row>
    <row r="50" spans="1:24" ht="15.75" customHeight="1">
      <c r="A50" s="92" t="s">
        <v>156</v>
      </c>
      <c r="B50" s="93"/>
      <c r="C50" s="92" t="s">
        <v>157</v>
      </c>
      <c r="D50" s="97"/>
      <c r="E50" s="93"/>
      <c r="F50" s="29" t="s">
        <v>158</v>
      </c>
      <c r="G50" s="98" t="s">
        <v>159</v>
      </c>
      <c r="H50" s="99"/>
      <c r="R50"/>
      <c r="S50" t="s">
        <v>160</v>
      </c>
      <c r="T50" t="s">
        <v>161</v>
      </c>
      <c r="U50" t="s">
        <v>162</v>
      </c>
      <c r="V50" t="s">
        <v>163</v>
      </c>
    </row>
    <row r="51" spans="1:24" ht="15.75" customHeight="1">
      <c r="A51" s="92" t="s">
        <v>164</v>
      </c>
      <c r="B51" s="93"/>
      <c r="C51" s="92" t="str">
        <f>C50</f>
        <v>Mhada-72/1104/2022</v>
      </c>
      <c r="D51" s="97"/>
      <c r="E51" s="93"/>
      <c r="F51" s="29" t="s">
        <v>158</v>
      </c>
      <c r="G51" s="100" t="str">
        <f>G50</f>
        <v>20/04/2022.</v>
      </c>
      <c r="H51" s="93"/>
      <c r="R51"/>
      <c r="S51" t="s">
        <v>165</v>
      </c>
      <c r="T51" t="s">
        <v>166</v>
      </c>
      <c r="U51" t="s">
        <v>167</v>
      </c>
      <c r="V51" t="s">
        <v>168</v>
      </c>
    </row>
    <row r="52" spans="1:24" s="22" customFormat="1" ht="33.75" customHeight="1">
      <c r="A52" s="213" t="s">
        <v>169</v>
      </c>
      <c r="B52" s="214"/>
      <c r="C52" s="92" t="s">
        <v>170</v>
      </c>
      <c r="D52" s="97"/>
      <c r="E52" s="93"/>
      <c r="F52" s="29" t="s">
        <v>158</v>
      </c>
      <c r="G52" s="100" t="s">
        <v>171</v>
      </c>
      <c r="H52" s="93"/>
      <c r="R52"/>
      <c r="S52" t="s">
        <v>154</v>
      </c>
      <c r="T52" t="s">
        <v>172</v>
      </c>
      <c r="U52" t="s">
        <v>173</v>
      </c>
      <c r="V52" t="s">
        <v>174</v>
      </c>
    </row>
    <row r="53" spans="1:24" s="22" customFormat="1" ht="64.5" customHeight="1">
      <c r="A53" s="215"/>
      <c r="B53" s="216"/>
      <c r="C53" s="92" t="s">
        <v>175</v>
      </c>
      <c r="D53" s="97"/>
      <c r="E53" s="93"/>
      <c r="F53" s="29" t="s">
        <v>176</v>
      </c>
      <c r="G53" s="100" t="s">
        <v>373</v>
      </c>
      <c r="H53" s="93"/>
      <c r="R53"/>
      <c r="S53" t="s">
        <v>177</v>
      </c>
      <c r="T53" t="s">
        <v>178</v>
      </c>
      <c r="U53" t="s">
        <v>179</v>
      </c>
    </row>
    <row r="54" spans="1:24" s="22" customFormat="1" hidden="1">
      <c r="A54" s="209" t="s">
        <v>180</v>
      </c>
      <c r="B54" s="210"/>
      <c r="C54" s="92" t="str">
        <f>C53</f>
        <v>This C.C. is further extended for work upto top of 22nd upper floor (i.e. ht. upto 69.60 m AGL) as per approved IOA dtd. 20.04.2022</v>
      </c>
      <c r="D54" s="97"/>
      <c r="E54" s="93"/>
      <c r="F54" s="29" t="s">
        <v>158</v>
      </c>
      <c r="G54" s="92"/>
      <c r="H54" s="93"/>
      <c r="R54"/>
      <c r="S54" t="s">
        <v>154</v>
      </c>
      <c r="T54" t="s">
        <v>172</v>
      </c>
      <c r="U54" t="s">
        <v>173</v>
      </c>
      <c r="V54" t="s">
        <v>174</v>
      </c>
    </row>
    <row r="55" spans="1:24" s="22" customFormat="1" ht="32.25" hidden="1" customHeight="1">
      <c r="A55" s="211"/>
      <c r="B55" s="212"/>
      <c r="C55" s="101"/>
      <c r="D55" s="102"/>
      <c r="E55" s="102"/>
      <c r="F55" s="102"/>
      <c r="G55" s="102"/>
      <c r="H55" s="103"/>
      <c r="R55"/>
      <c r="S55" t="s">
        <v>173</v>
      </c>
      <c r="T55" t="s">
        <v>181</v>
      </c>
      <c r="U55" t="s">
        <v>182</v>
      </c>
      <c r="V55" s="28"/>
      <c r="W55" s="28"/>
      <c r="X55" s="28"/>
    </row>
    <row r="56" spans="1:24" s="22" customFormat="1" ht="34.5" hidden="1" customHeight="1">
      <c r="A56" s="209" t="s">
        <v>183</v>
      </c>
      <c r="B56" s="210"/>
      <c r="C56" s="92">
        <f>C55</f>
        <v>0</v>
      </c>
      <c r="D56" s="97"/>
      <c r="E56" s="93"/>
      <c r="F56" s="29" t="s">
        <v>158</v>
      </c>
      <c r="G56" s="92">
        <f>G55</f>
        <v>0</v>
      </c>
      <c r="H56" s="93"/>
      <c r="R56"/>
      <c r="S56" s="28"/>
      <c r="T56" t="s">
        <v>184</v>
      </c>
      <c r="U56" t="s">
        <v>185</v>
      </c>
      <c r="V56" s="28"/>
      <c r="W56" s="28"/>
      <c r="X56" s="28"/>
    </row>
    <row r="57" spans="1:24" s="22" customFormat="1" ht="41.25" hidden="1" customHeight="1">
      <c r="A57" s="211"/>
      <c r="B57" s="212"/>
      <c r="C57" s="92"/>
      <c r="D57" s="97"/>
      <c r="E57" s="97"/>
      <c r="F57" s="97"/>
      <c r="G57" s="97"/>
      <c r="H57" s="93"/>
      <c r="R57"/>
      <c r="S57" s="28"/>
      <c r="T57" t="s">
        <v>186</v>
      </c>
      <c r="U57" t="s">
        <v>187</v>
      </c>
      <c r="V57" s="28"/>
      <c r="W57" s="28"/>
      <c r="X57" s="28"/>
    </row>
    <row r="58" spans="1:24" s="22" customFormat="1" ht="15.75" hidden="1" customHeight="1">
      <c r="A58" s="209" t="s">
        <v>188</v>
      </c>
      <c r="B58" s="210"/>
      <c r="C58" s="92">
        <f>C57</f>
        <v>0</v>
      </c>
      <c r="D58" s="97"/>
      <c r="E58" s="93"/>
      <c r="F58" s="29" t="s">
        <v>158</v>
      </c>
      <c r="G58" s="92">
        <f>G57</f>
        <v>0</v>
      </c>
      <c r="H58" s="93"/>
      <c r="R58"/>
      <c r="S58" s="28"/>
      <c r="T58" t="s">
        <v>189</v>
      </c>
      <c r="U58" s="28" t="s">
        <v>190</v>
      </c>
      <c r="V58" s="28"/>
      <c r="W58" s="28"/>
      <c r="X58" s="28"/>
    </row>
    <row r="59" spans="1:24" s="22" customFormat="1" ht="33.75" hidden="1" customHeight="1">
      <c r="A59" s="211"/>
      <c r="B59" s="212"/>
      <c r="C59" s="92"/>
      <c r="D59" s="97"/>
      <c r="E59" s="97"/>
      <c r="F59" s="97"/>
      <c r="G59" s="97"/>
      <c r="H59" s="93"/>
      <c r="R59"/>
      <c r="S59" s="28"/>
      <c r="T59" t="s">
        <v>191</v>
      </c>
      <c r="U59" s="28"/>
      <c r="V59" s="28"/>
      <c r="W59" s="28"/>
      <c r="X59" s="28"/>
    </row>
    <row r="60" spans="1:24">
      <c r="A60" s="104" t="s">
        <v>192</v>
      </c>
      <c r="B60" s="105"/>
      <c r="C60" s="104" t="s">
        <v>193</v>
      </c>
      <c r="D60" s="106"/>
      <c r="E60" s="105"/>
      <c r="F60" s="30" t="s">
        <v>158</v>
      </c>
      <c r="G60" s="107" t="s">
        <v>70</v>
      </c>
      <c r="H60" s="108"/>
      <c r="R60"/>
      <c r="T60" t="s">
        <v>194</v>
      </c>
    </row>
    <row r="61" spans="1:24">
      <c r="A61" s="109" t="s">
        <v>195</v>
      </c>
      <c r="B61" s="109"/>
      <c r="C61" s="109"/>
      <c r="D61" s="109"/>
      <c r="E61" s="109"/>
      <c r="F61" s="109"/>
      <c r="G61" s="109"/>
      <c r="H61" s="109"/>
      <c r="T61" t="s">
        <v>196</v>
      </c>
    </row>
    <row r="62" spans="1:24">
      <c r="A62" s="81" t="s">
        <v>197</v>
      </c>
      <c r="B62" s="81"/>
      <c r="C62" s="81"/>
      <c r="D62" s="77">
        <f>E46</f>
        <v>7560.13</v>
      </c>
      <c r="E62" s="77"/>
      <c r="F62" s="77"/>
      <c r="G62" s="77"/>
      <c r="H62" s="77"/>
      <c r="R62"/>
    </row>
    <row r="63" spans="1:24">
      <c r="A63" s="78" t="s">
        <v>198</v>
      </c>
      <c r="B63" s="73"/>
      <c r="C63" s="73"/>
      <c r="D63" s="73" t="s">
        <v>199</v>
      </c>
      <c r="E63" s="73"/>
      <c r="F63" s="73"/>
      <c r="G63" s="73"/>
      <c r="H63" s="73"/>
      <c r="I63" s="31"/>
      <c r="R63"/>
    </row>
    <row r="64" spans="1:24">
      <c r="A64" s="110" t="s">
        <v>200</v>
      </c>
      <c r="B64" s="111"/>
      <c r="C64" s="112"/>
      <c r="D64" s="113" t="s">
        <v>201</v>
      </c>
      <c r="E64" s="114"/>
      <c r="F64" s="114"/>
      <c r="G64" s="114"/>
      <c r="H64" s="114"/>
      <c r="R64"/>
    </row>
    <row r="65" spans="1:19" ht="15.75" customHeight="1">
      <c r="A65" s="110" t="s">
        <v>202</v>
      </c>
      <c r="B65" s="111"/>
      <c r="C65" s="111"/>
      <c r="D65" s="115" t="s">
        <v>201</v>
      </c>
      <c r="E65" s="116"/>
      <c r="F65" s="116"/>
      <c r="G65" s="116"/>
      <c r="H65" s="117"/>
      <c r="R65"/>
    </row>
    <row r="66" spans="1:19" ht="15.75" hidden="1" customHeight="1">
      <c r="A66" s="217"/>
      <c r="B66" s="218"/>
      <c r="C66" s="218"/>
      <c r="D66" s="118" t="s">
        <v>203</v>
      </c>
      <c r="E66" s="119"/>
      <c r="F66" s="119"/>
      <c r="G66" s="119"/>
      <c r="H66" s="120"/>
      <c r="R66"/>
    </row>
    <row r="67" spans="1:19" ht="15.75" hidden="1" customHeight="1">
      <c r="A67" s="219"/>
      <c r="B67" s="220"/>
      <c r="C67" s="220"/>
      <c r="D67" s="121" t="s">
        <v>204</v>
      </c>
      <c r="E67" s="122"/>
      <c r="F67" s="122"/>
      <c r="G67" s="122"/>
      <c r="H67" s="123"/>
      <c r="S67"/>
    </row>
    <row r="68" spans="1:19" ht="15.75" customHeight="1">
      <c r="A68" s="77" t="s">
        <v>205</v>
      </c>
      <c r="B68" s="77"/>
      <c r="C68" s="77"/>
      <c r="D68" s="124" t="s">
        <v>206</v>
      </c>
      <c r="E68" s="124"/>
      <c r="F68" s="124"/>
      <c r="G68" s="124"/>
      <c r="H68" s="124"/>
      <c r="J68" s="42"/>
      <c r="K68" s="31"/>
      <c r="N68" s="31"/>
      <c r="S68"/>
    </row>
    <row r="69" spans="1:19" ht="15.75" customHeight="1">
      <c r="A69" s="77" t="s">
        <v>207</v>
      </c>
      <c r="B69" s="77"/>
      <c r="C69" s="77"/>
      <c r="D69" s="125" t="str">
        <f>(IF(G60="NA","60 Years After Completion",IF(G60&lt;&gt;"NA",""&amp;60-ROUNDDOWN((E3-G60)/360,0)&amp;" Years"," ")))</f>
        <v>60 Years After Completion</v>
      </c>
      <c r="E69" s="125"/>
      <c r="F69" s="125"/>
      <c r="G69" s="125"/>
      <c r="H69" s="125"/>
      <c r="N69" s="31"/>
      <c r="S69"/>
    </row>
    <row r="70" spans="1:19" ht="15.75" customHeight="1">
      <c r="A70" s="77" t="s">
        <v>208</v>
      </c>
      <c r="B70" s="77"/>
      <c r="C70" s="77"/>
      <c r="D70" s="81" t="s">
        <v>118</v>
      </c>
      <c r="E70" s="81"/>
      <c r="F70" s="81"/>
      <c r="G70" s="81"/>
      <c r="H70" s="81"/>
      <c r="J70" s="43"/>
      <c r="K70" s="43"/>
      <c r="S70"/>
    </row>
    <row r="71" spans="1:19" ht="31.5" customHeight="1">
      <c r="A71" s="73" t="s">
        <v>209</v>
      </c>
      <c r="B71" s="73"/>
      <c r="C71" s="73"/>
      <c r="D71" s="78" t="s">
        <v>210</v>
      </c>
      <c r="E71" s="81"/>
      <c r="F71" s="81"/>
      <c r="G71" s="81"/>
      <c r="H71" s="81"/>
      <c r="J71" s="44" t="s">
        <v>211</v>
      </c>
      <c r="S71"/>
    </row>
    <row r="72" spans="1:19">
      <c r="A72" s="81" t="s">
        <v>212</v>
      </c>
      <c r="B72" s="81"/>
      <c r="C72" s="81"/>
      <c r="D72" s="81" t="s">
        <v>70</v>
      </c>
      <c r="E72" s="81"/>
      <c r="F72" s="81"/>
      <c r="G72" s="81"/>
      <c r="H72" s="81"/>
      <c r="I72" s="45"/>
      <c r="J72" s="45"/>
      <c r="K72" s="45"/>
      <c r="L72" s="45"/>
      <c r="M72" s="45"/>
      <c r="N72" s="45"/>
    </row>
    <row r="73" spans="1:19" ht="15.75" customHeight="1">
      <c r="A73" s="77" t="s">
        <v>213</v>
      </c>
      <c r="B73" s="77"/>
      <c r="C73" s="77"/>
      <c r="D73" s="78" t="str">
        <f>(IF(G79&gt;95%,"Nothing",IF(G79&gt;0%,"Cement, Aggregate, Steel, etc",IF(G79=0%,"Work not yet Started"))))</f>
        <v>Cement, Aggregate, Steel, etc</v>
      </c>
      <c r="E73" s="78"/>
      <c r="F73" s="78"/>
      <c r="G73" s="78"/>
      <c r="H73" s="78"/>
      <c r="J73" s="43"/>
      <c r="S73"/>
    </row>
    <row r="74" spans="1:19" ht="33.75" customHeight="1">
      <c r="A74" s="81" t="s">
        <v>214</v>
      </c>
      <c r="B74" s="81"/>
      <c r="C74" s="81"/>
      <c r="D74" s="78" t="str">
        <f>(IF(D73="Nothing","Yes",IF(D73="Cement, Aggregate, Steel, etc","Under Construction",IF(D73="Work not yet Started","Work not yet Started"))))</f>
        <v>Under Construction</v>
      </c>
      <c r="E74" s="78"/>
      <c r="F74" s="78" t="str">
        <f>(IF(D73="Nothing","Yes",IF(D73="Cement, Aggregate, Steel, etc","Under Construction",IF(D73="Work not yet Started","Work not yet Started"))))</f>
        <v>Under Construction</v>
      </c>
      <c r="G74" s="78"/>
      <c r="H74" s="78"/>
      <c r="S74"/>
    </row>
    <row r="75" spans="1:19" ht="15.75" customHeight="1">
      <c r="A75" s="126" t="s">
        <v>215</v>
      </c>
      <c r="B75" s="126"/>
      <c r="C75" s="126" t="str">
        <f>D65</f>
        <v>Wing B = G + 1st to 22nd Floor</v>
      </c>
      <c r="D75" s="126"/>
      <c r="E75" s="126"/>
      <c r="F75" s="126"/>
      <c r="G75" s="126"/>
      <c r="H75" s="126"/>
      <c r="I75" s="69" t="str">
        <f>IF(D88=100%,"All work Completed. Possession granted to the Building.",IF(D87=100%,"All work Completed, Waiting for OC",I76&amp;""&amp;I77&amp;""&amp;J76&amp;""&amp;J75&amp;" "&amp;J77))</f>
        <v>Excavation, Plinth, RCC Slab, Brickwork, Internal Plaster, External Plaster Completed, Flooring upto 20 Floor, Painting upto 18 Floor, Finishing upto 8 Floor Completed</v>
      </c>
      <c r="J75" s="47" t="str">
        <f>(IF(C81=(D76+F76+H76),"",IF(C81&gt;0,",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20 Floor, Painting upto 18 Floor, Finishing upto 8 Floor</v>
      </c>
      <c r="S75"/>
    </row>
    <row r="76" spans="1:19">
      <c r="A76" s="33" t="s">
        <v>216</v>
      </c>
      <c r="B76" s="33">
        <f>IF(AND(ISNUMBER(SEARCH("1B",C75))),1,IF(AND(ISNUMBER(SEARCH("2B",C75))),2,IF(AND(ISNUMBER(SEARCH("3B",C75))),3,IF(AND(ISNUMBER(SEARCH("4B",C75))),4,IF(ISNUMBER(SEARCH("5B",C75)),5,0)))))</f>
        <v>0</v>
      </c>
      <c r="C76" s="33" t="s">
        <v>217</v>
      </c>
      <c r="D76" s="33">
        <v>1</v>
      </c>
      <c r="E76" s="33" t="s">
        <v>218</v>
      </c>
      <c r="F76" s="33">
        <v>0</v>
      </c>
      <c r="G76" s="34" t="s">
        <v>219</v>
      </c>
      <c r="H76" s="33">
        <v>22</v>
      </c>
      <c r="I76" s="70" t="str">
        <f>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49"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7.45" customHeight="1">
      <c r="A77" s="127" t="s">
        <v>220</v>
      </c>
      <c r="B77" s="76"/>
      <c r="C77" s="75" t="str">
        <f>I75</f>
        <v>Excavation, Plinth, RCC Slab, Brickwork, Internal Plaster, External Plaster Completed, Flooring upto 20 Floor, Painting upto 18 Floor, Finishing upto 8 Floor Completed</v>
      </c>
      <c r="D77" s="75"/>
      <c r="E77" s="75"/>
      <c r="F77" s="75"/>
      <c r="G77" s="75"/>
      <c r="H77" s="128"/>
      <c r="I77" s="48" t="str">
        <f>IF(I76&lt;&gt;""," Completed","")</f>
        <v xml:space="preserve"> Completed</v>
      </c>
      <c r="J77" s="49" t="str">
        <f>IF(J75&lt;&gt;"","Completed","")</f>
        <v>Completed</v>
      </c>
      <c r="S77"/>
    </row>
    <row r="78" spans="1:19" ht="15.75" customHeight="1">
      <c r="A78" s="129" t="s">
        <v>221</v>
      </c>
      <c r="B78" s="130"/>
      <c r="C78" s="36" t="s">
        <v>222</v>
      </c>
      <c r="D78" s="36" t="s">
        <v>223</v>
      </c>
      <c r="E78" s="130" t="s">
        <v>224</v>
      </c>
      <c r="F78" s="130"/>
      <c r="G78" s="130" t="s">
        <v>225</v>
      </c>
      <c r="H78" s="131"/>
      <c r="I78" s="50" t="s">
        <v>226</v>
      </c>
      <c r="J78" s="51">
        <f>H76*25%</f>
        <v>5.5</v>
      </c>
      <c r="S78"/>
    </row>
    <row r="79" spans="1:19">
      <c r="A79" s="129" t="s">
        <v>227</v>
      </c>
      <c r="B79" s="130"/>
      <c r="C79" s="36">
        <f>J80</f>
        <v>22</v>
      </c>
      <c r="D79" s="37">
        <f>((100/H76)*C79)/100</f>
        <v>1.0000000000000002</v>
      </c>
      <c r="E79" s="199">
        <f>(((C80/H76*10)+(40/(D76+F76+H76)*C81)+(7.5/(H76)*C82)+(7.5/(H76)*C83)+(10/H76*C84)+(10/H76*C85)+(5/H76*C86)+(5/H76*C87)+(5/H76*C88))/100)</f>
        <v>0.9</v>
      </c>
      <c r="F79" s="200"/>
      <c r="G79" s="199">
        <f>((((C79/H76)*20)+((C80/H76)*25)+(30/(H76+F76+D76)*C81)+(5/H76*C82)+(5/H76*C83)+(5/H76*C84)+(5/H76*C85)+(0/H76*C86)+(0/H76*C87)+(5/H76*C88))/100)</f>
        <v>0.94545454545454544</v>
      </c>
      <c r="H79" s="205"/>
      <c r="I79" s="50" t="s">
        <v>228</v>
      </c>
      <c r="J79" s="52">
        <f>H76*50%</f>
        <v>11</v>
      </c>
    </row>
    <row r="80" spans="1:19">
      <c r="A80" s="129" t="s">
        <v>229</v>
      </c>
      <c r="B80" s="130"/>
      <c r="C80" s="36">
        <f>J88</f>
        <v>22</v>
      </c>
      <c r="D80" s="37">
        <f>((100/H76)*C80)/100</f>
        <v>1.0000000000000002</v>
      </c>
      <c r="E80" s="201"/>
      <c r="F80" s="202"/>
      <c r="G80" s="201"/>
      <c r="H80" s="206"/>
      <c r="I80" s="50" t="s">
        <v>230</v>
      </c>
      <c r="J80" s="52">
        <f>H76</f>
        <v>22</v>
      </c>
      <c r="S80"/>
    </row>
    <row r="81" spans="1:19" ht="15.75" customHeight="1">
      <c r="A81" s="129" t="s">
        <v>231</v>
      </c>
      <c r="B81" s="130"/>
      <c r="C81" s="36">
        <v>23</v>
      </c>
      <c r="D81" s="37">
        <f>((100/(D76+F76+H76))*C81)/100</f>
        <v>1</v>
      </c>
      <c r="E81" s="201"/>
      <c r="F81" s="202"/>
      <c r="G81" s="201"/>
      <c r="H81" s="206"/>
      <c r="I81" s="50" t="s">
        <v>232</v>
      </c>
      <c r="J81" s="53">
        <f>(IF(B76&gt;1,(H76/(B76+2)),H76/4))</f>
        <v>5.5</v>
      </c>
      <c r="S81"/>
    </row>
    <row r="82" spans="1:19" ht="15.75" customHeight="1">
      <c r="A82" s="129" t="s">
        <v>233</v>
      </c>
      <c r="B82" s="130" t="s">
        <v>234</v>
      </c>
      <c r="C82" s="36">
        <f>C81-1</f>
        <v>22</v>
      </c>
      <c r="D82" s="37">
        <f>((100/H76)*C82)/100</f>
        <v>1.0000000000000002</v>
      </c>
      <c r="E82" s="201"/>
      <c r="F82" s="202"/>
      <c r="G82" s="201"/>
      <c r="H82" s="206"/>
      <c r="I82" s="50" t="s">
        <v>235</v>
      </c>
      <c r="J82" s="53">
        <f>(IF(B76&gt;1,(H76/(B76+2)+J81),H76/4+J81))</f>
        <v>11</v>
      </c>
    </row>
    <row r="83" spans="1:19" ht="15.75" customHeight="1">
      <c r="A83" s="129" t="s">
        <v>236</v>
      </c>
      <c r="B83" s="130" t="s">
        <v>234</v>
      </c>
      <c r="C83" s="38">
        <v>22</v>
      </c>
      <c r="D83" s="37">
        <f>((100/H76)*C83)/100</f>
        <v>1.0000000000000002</v>
      </c>
      <c r="E83" s="201"/>
      <c r="F83" s="202"/>
      <c r="G83" s="201"/>
      <c r="H83" s="206"/>
      <c r="I83" s="50" t="s">
        <v>237</v>
      </c>
      <c r="J83" s="53">
        <f>(IF(B76&gt;1,(H76/(B76+2)+J82),0))</f>
        <v>0</v>
      </c>
    </row>
    <row r="84" spans="1:19" ht="15" customHeight="1">
      <c r="A84" s="129" t="s">
        <v>238</v>
      </c>
      <c r="B84" s="130" t="s">
        <v>239</v>
      </c>
      <c r="C84" s="38">
        <v>22</v>
      </c>
      <c r="D84" s="37">
        <f>((100/(H76))*C84)/100</f>
        <v>1.0000000000000002</v>
      </c>
      <c r="E84" s="201"/>
      <c r="F84" s="202"/>
      <c r="G84" s="201"/>
      <c r="H84" s="206"/>
      <c r="I84" s="50" t="s">
        <v>240</v>
      </c>
      <c r="J84" s="53">
        <f>(IF(B76&gt;2,(H76/(B76+2)+J83),0))</f>
        <v>0</v>
      </c>
    </row>
    <row r="85" spans="1:19" ht="15.75" customHeight="1">
      <c r="A85" s="129" t="s">
        <v>241</v>
      </c>
      <c r="B85" s="130" t="s">
        <v>241</v>
      </c>
      <c r="C85" s="36">
        <v>20</v>
      </c>
      <c r="D85" s="37">
        <f>((100/H76)*C85)/100</f>
        <v>0.90909090909090917</v>
      </c>
      <c r="E85" s="201"/>
      <c r="F85" s="202"/>
      <c r="G85" s="201"/>
      <c r="H85" s="206"/>
      <c r="I85" s="50" t="s">
        <v>242</v>
      </c>
      <c r="J85" s="54">
        <f>(IF(B76&gt;3,(H76/(B76+2)+J84),0))</f>
        <v>0</v>
      </c>
    </row>
    <row r="86" spans="1:19" ht="15.75" customHeight="1">
      <c r="A86" s="129" t="s">
        <v>243</v>
      </c>
      <c r="B86" s="130"/>
      <c r="C86" s="36">
        <v>18</v>
      </c>
      <c r="D86" s="37">
        <f>((100/H76)*C86)/100</f>
        <v>0.81818181818181823</v>
      </c>
      <c r="E86" s="201"/>
      <c r="F86" s="202"/>
      <c r="G86" s="201"/>
      <c r="H86" s="206"/>
      <c r="I86" s="50" t="s">
        <v>244</v>
      </c>
      <c r="J86" s="53">
        <f>(IF(B76&gt;4,(H76/(B76+2)+J85),0))</f>
        <v>0</v>
      </c>
    </row>
    <row r="87" spans="1:19" ht="15.75" customHeight="1">
      <c r="A87" s="129" t="s">
        <v>245</v>
      </c>
      <c r="B87" s="130" t="s">
        <v>245</v>
      </c>
      <c r="C87" s="36">
        <v>8</v>
      </c>
      <c r="D87" s="37">
        <f>((100/(H76))*C87)/100</f>
        <v>0.36363636363636365</v>
      </c>
      <c r="E87" s="201"/>
      <c r="F87" s="202"/>
      <c r="G87" s="201"/>
      <c r="H87" s="206"/>
      <c r="I87" s="50" t="s">
        <v>246</v>
      </c>
      <c r="J87" s="53">
        <f>(IF(B76=1,(H76/(B76+3)+J82),IF(B76=0,(H76/4+J82),IF(B76&gt;1,0))))</f>
        <v>16.5</v>
      </c>
    </row>
    <row r="88" spans="1:19">
      <c r="A88" s="132" t="s">
        <v>247</v>
      </c>
      <c r="B88" s="133"/>
      <c r="C88" s="39">
        <v>0</v>
      </c>
      <c r="D88" s="40">
        <f>((100/(H76))*C88)/100</f>
        <v>0</v>
      </c>
      <c r="E88" s="203"/>
      <c r="F88" s="204"/>
      <c r="G88" s="203"/>
      <c r="H88" s="207"/>
      <c r="I88" s="55" t="s">
        <v>248</v>
      </c>
      <c r="J88" s="56">
        <f>(IF(B76&gt;1.5,(H76/(B76+2)+J82+MAX(0,J83-J82)+MAX(0,J84-J83)+MAX(0,J85-J84)+MAX(0,J86-J85)+MAX(0,J87-J86)),IF(B76=1,(H76/(B76+3)+J87),IF(B76=0,H76/4+J87))))</f>
        <v>22</v>
      </c>
    </row>
    <row r="89" spans="1:19" ht="15.75" hidden="1" customHeight="1">
      <c r="A89" s="134" t="s">
        <v>215</v>
      </c>
      <c r="B89" s="135"/>
      <c r="C89" s="136" t="str">
        <f>D66</f>
        <v>B Wing = 1B + G + 1st to 20th Floor</v>
      </c>
      <c r="D89" s="137"/>
      <c r="E89" s="137"/>
      <c r="F89" s="137"/>
      <c r="G89" s="137"/>
      <c r="H89" s="138"/>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c r="A90" s="32" t="s">
        <v>216</v>
      </c>
      <c r="B90" s="33">
        <f>IF(AND(ISNUMBER(SEARCH("1B",C89))),1,IF(AND(ISNUMBER(SEARCH("2B",C89))),2,IF(AND(ISNUMBER(SEARCH("3B",C89))),3,IF(AND(ISNUMBER(SEARCH("4B",C89))),4,IF(ISNUMBER(SEARCH("5B",C89)),5,0)))))</f>
        <v>1</v>
      </c>
      <c r="C90" s="33" t="s">
        <v>217</v>
      </c>
      <c r="D90" s="33">
        <v>1</v>
      </c>
      <c r="E90" s="33" t="s">
        <v>218</v>
      </c>
      <c r="F90" s="41">
        <v>0</v>
      </c>
      <c r="G90" s="34" t="s">
        <v>219</v>
      </c>
      <c r="H90" s="35">
        <f ca="1">--TRIM(RIGHT(SUBSTITUTE(LEFT(C89,_xlfn.AGGREGATE(16,6,FIND({0,1,2,3,4,5,6,7,8,9},C89,ROW(INDIRECT("1:"&amp;LEN(C89)))),1))," ",REPT(" ",LEN(C89))),LEN(C89)))</f>
        <v>20</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3.75" hidden="1" customHeight="1">
      <c r="A91" s="127" t="s">
        <v>220</v>
      </c>
      <c r="B91" s="76"/>
      <c r="C91" s="75" t="str">
        <f ca="1">(IF($G$60="NA",I89,"All work Completed. OC Received."))</f>
        <v xml:space="preserve">Excavation, Plinth Completed </v>
      </c>
      <c r="D91" s="75"/>
      <c r="E91" s="75"/>
      <c r="F91" s="75"/>
      <c r="G91" s="75"/>
      <c r="H91" s="128"/>
      <c r="I91" s="48" t="str">
        <f ca="1">IF(I90&lt;&gt;""," Completed","")</f>
        <v xml:space="preserve"> Completed</v>
      </c>
      <c r="J91" s="49" t="str">
        <f ca="1">IF(J89&lt;&gt;"","Completed","")</f>
        <v/>
      </c>
    </row>
    <row r="92" spans="1:19" ht="15.75" hidden="1" customHeight="1">
      <c r="A92" s="129" t="s">
        <v>221</v>
      </c>
      <c r="B92" s="130"/>
      <c r="C92" s="36" t="s">
        <v>222</v>
      </c>
      <c r="D92" s="36" t="s">
        <v>223</v>
      </c>
      <c r="E92" s="130" t="s">
        <v>224</v>
      </c>
      <c r="F92" s="130"/>
      <c r="G92" s="130" t="s">
        <v>225</v>
      </c>
      <c r="H92" s="131"/>
      <c r="I92" s="50" t="s">
        <v>226</v>
      </c>
      <c r="J92" s="51">
        <f ca="1">H90*25%</f>
        <v>5</v>
      </c>
    </row>
    <row r="93" spans="1:19" hidden="1">
      <c r="A93" s="129" t="s">
        <v>227</v>
      </c>
      <c r="B93" s="130"/>
      <c r="C93" s="36">
        <f ca="1">J94</f>
        <v>20</v>
      </c>
      <c r="D93" s="37">
        <f ca="1">((100/H90)*C93)/100</f>
        <v>1</v>
      </c>
      <c r="E93" s="199">
        <f ca="1">(((C94/H90*10)+(40/(D90+F90+H90)*C95)+(7.5/(H90)*C96)+(7.5/(H90)*C97)+(10/H90*C98)+(10/H90*C99)+(5/H90*C100)+(5/H90*C101)+(5/H90*C102))/100)</f>
        <v>0.1</v>
      </c>
      <c r="F93" s="200"/>
      <c r="G93" s="199">
        <f ca="1">((((C93/H90)*20)+((C94/H90)*25)+(30/(H90+F90+D90)*C95)+(5/H90*C96)+(5/H90*C97)+(5/H90*C98)+(5/H90*C99)+(0/H90*C100)+(0/H90*C101)+(5/H90*C102))/100)</f>
        <v>0.45</v>
      </c>
      <c r="H93" s="205"/>
      <c r="I93" s="50" t="s">
        <v>228</v>
      </c>
      <c r="J93" s="52">
        <f ca="1">H90*50%</f>
        <v>10</v>
      </c>
    </row>
    <row r="94" spans="1:19" hidden="1">
      <c r="A94" s="129" t="s">
        <v>229</v>
      </c>
      <c r="B94" s="130"/>
      <c r="C94" s="38">
        <v>20</v>
      </c>
      <c r="D94" s="37">
        <f ca="1">((100/H90)*C94)/100</f>
        <v>1</v>
      </c>
      <c r="E94" s="201"/>
      <c r="F94" s="202"/>
      <c r="G94" s="201"/>
      <c r="H94" s="206"/>
      <c r="I94" s="50" t="s">
        <v>230</v>
      </c>
      <c r="J94" s="52">
        <f ca="1">H90</f>
        <v>20</v>
      </c>
    </row>
    <row r="95" spans="1:19" ht="15.75" hidden="1" customHeight="1">
      <c r="A95" s="129" t="s">
        <v>231</v>
      </c>
      <c r="B95" s="130"/>
      <c r="C95" s="36">
        <v>0</v>
      </c>
      <c r="D95" s="37">
        <f ca="1">((100/(D90+F90+H90))*C95)/100</f>
        <v>0</v>
      </c>
      <c r="E95" s="201"/>
      <c r="F95" s="202"/>
      <c r="G95" s="201"/>
      <c r="H95" s="206"/>
      <c r="I95" s="50" t="s">
        <v>232</v>
      </c>
      <c r="J95" s="53">
        <f ca="1">(IF(B90&gt;1,(H90/(B90+2)),H90/4))</f>
        <v>5</v>
      </c>
    </row>
    <row r="96" spans="1:19" ht="15.75" hidden="1" customHeight="1">
      <c r="A96" s="129" t="s">
        <v>233</v>
      </c>
      <c r="B96" s="130" t="s">
        <v>234</v>
      </c>
      <c r="C96" s="36">
        <v>0</v>
      </c>
      <c r="D96" s="37">
        <f ca="1">((100/H90)*C96)/100</f>
        <v>0</v>
      </c>
      <c r="E96" s="201"/>
      <c r="F96" s="202"/>
      <c r="G96" s="201"/>
      <c r="H96" s="206"/>
      <c r="I96" s="50" t="s">
        <v>235</v>
      </c>
      <c r="J96" s="53">
        <f ca="1">(IF(B90&gt;1,(H90/(B90+2)+J95),H90/4+J95))</f>
        <v>10</v>
      </c>
    </row>
    <row r="97" spans="1:10" ht="15.75" hidden="1" customHeight="1">
      <c r="A97" s="129" t="s">
        <v>236</v>
      </c>
      <c r="B97" s="130" t="s">
        <v>234</v>
      </c>
      <c r="C97" s="36">
        <v>0</v>
      </c>
      <c r="D97" s="37">
        <f ca="1">((100/H90)*C97)/100</f>
        <v>0</v>
      </c>
      <c r="E97" s="201"/>
      <c r="F97" s="202"/>
      <c r="G97" s="201"/>
      <c r="H97" s="206"/>
      <c r="I97" s="50" t="s">
        <v>237</v>
      </c>
      <c r="J97" s="53">
        <f>(IF(B90&gt;1,(H90/(B90+2)+J96),0))</f>
        <v>0</v>
      </c>
    </row>
    <row r="98" spans="1:10" ht="15" hidden="1" customHeight="1">
      <c r="A98" s="129" t="s">
        <v>238</v>
      </c>
      <c r="B98" s="130" t="s">
        <v>239</v>
      </c>
      <c r="C98" s="36">
        <v>0</v>
      </c>
      <c r="D98" s="37">
        <f ca="1">((100/(H90))*C98)/100</f>
        <v>0</v>
      </c>
      <c r="E98" s="201"/>
      <c r="F98" s="202"/>
      <c r="G98" s="201"/>
      <c r="H98" s="206"/>
      <c r="I98" s="50" t="s">
        <v>240</v>
      </c>
      <c r="J98" s="53">
        <f>(IF(B90&gt;2,(H90/(B90+2)+J97),0))</f>
        <v>0</v>
      </c>
    </row>
    <row r="99" spans="1:10" ht="15.75" hidden="1" customHeight="1">
      <c r="A99" s="129" t="s">
        <v>241</v>
      </c>
      <c r="B99" s="130" t="s">
        <v>241</v>
      </c>
      <c r="C99" s="36">
        <v>0</v>
      </c>
      <c r="D99" s="37">
        <f ca="1">((100/H90)*C99)/100</f>
        <v>0</v>
      </c>
      <c r="E99" s="201"/>
      <c r="F99" s="202"/>
      <c r="G99" s="201"/>
      <c r="H99" s="206"/>
      <c r="I99" s="50" t="s">
        <v>242</v>
      </c>
      <c r="J99" s="54">
        <f>(IF(B90&gt;3,(H90/(B90+2)+J98),0))</f>
        <v>0</v>
      </c>
    </row>
    <row r="100" spans="1:10" ht="15.75" hidden="1" customHeight="1">
      <c r="A100" s="129" t="s">
        <v>243</v>
      </c>
      <c r="B100" s="130"/>
      <c r="C100" s="36">
        <v>0</v>
      </c>
      <c r="D100" s="37">
        <f ca="1">((100/H90)*C100)/100</f>
        <v>0</v>
      </c>
      <c r="E100" s="201"/>
      <c r="F100" s="202"/>
      <c r="G100" s="201"/>
      <c r="H100" s="206"/>
      <c r="I100" s="50" t="s">
        <v>244</v>
      </c>
      <c r="J100" s="53">
        <f>(IF(B90&gt;4,(H90/(B90+2)+J99),0))</f>
        <v>0</v>
      </c>
    </row>
    <row r="101" spans="1:10" ht="15.75" hidden="1" customHeight="1">
      <c r="A101" s="129" t="s">
        <v>245</v>
      </c>
      <c r="B101" s="130" t="s">
        <v>245</v>
      </c>
      <c r="C101" s="36">
        <v>0</v>
      </c>
      <c r="D101" s="37">
        <f ca="1">((100/(H90))*C101)/100</f>
        <v>0</v>
      </c>
      <c r="E101" s="201"/>
      <c r="F101" s="202"/>
      <c r="G101" s="201"/>
      <c r="H101" s="206"/>
      <c r="I101" s="50" t="s">
        <v>246</v>
      </c>
      <c r="J101" s="53">
        <f ca="1">(IF(B90=1,(H90/(B90+3)+J96),IF(B90=0,(H90/4+J96),IF(B90&gt;1,0))))</f>
        <v>15</v>
      </c>
    </row>
    <row r="102" spans="1:10" hidden="1">
      <c r="A102" s="132" t="s">
        <v>247</v>
      </c>
      <c r="B102" s="133"/>
      <c r="C102" s="39">
        <v>0</v>
      </c>
      <c r="D102" s="40">
        <f ca="1">((100/(H90))*C102)/100</f>
        <v>0</v>
      </c>
      <c r="E102" s="203"/>
      <c r="F102" s="204"/>
      <c r="G102" s="203"/>
      <c r="H102" s="207"/>
      <c r="I102" s="55" t="s">
        <v>248</v>
      </c>
      <c r="J102" s="56">
        <f ca="1">(IF(B90&gt;1.5,(H90/(B90+2)+J96+MAX(0,J97-J96)+MAX(0,J98-J97)+MAX(0,J99-J98)+MAX(0,J100-J99)+MAX(0,J101-J100)),IF(B90=1,(H90/(B90+3)+J101),IF(B90=0,H90/4+J101))))</f>
        <v>20</v>
      </c>
    </row>
    <row r="103" spans="1:10" ht="15.75" hidden="1" customHeight="1">
      <c r="A103" s="134" t="s">
        <v>215</v>
      </c>
      <c r="B103" s="135"/>
      <c r="C103" s="136" t="str">
        <f>D67</f>
        <v>C Wing = 1B + G + 1st to 20th Floor</v>
      </c>
      <c r="D103" s="137"/>
      <c r="E103" s="137"/>
      <c r="F103" s="137"/>
      <c r="G103" s="137"/>
      <c r="H103" s="138"/>
      <c r="I103" s="46" t="str">
        <f ca="1">IF(D116=100%,"All work Completed. Possession granted to the Building.",IF(D115=100%,"All work Completed, Waiting for OC",I104&amp;""&amp;I105&amp;""&amp;J104&amp;""&amp;J103&amp;" "&amp;J105))</f>
        <v xml:space="preserve">Excavation, Plinth, RCC Slab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c r="A104" s="32" t="s">
        <v>216</v>
      </c>
      <c r="B104" s="33">
        <f>IF(AND(ISNUMBER(SEARCH("1B",C103))),1,IF(AND(ISNUMBER(SEARCH("2B",C103))),2,IF(AND(ISNUMBER(SEARCH("3B",C103))),3,IF(AND(ISNUMBER(SEARCH("4B",C103))),4,IF(ISNUMBER(SEARCH("5B",C103)),5,0)))))</f>
        <v>1</v>
      </c>
      <c r="C104" s="33" t="s">
        <v>217</v>
      </c>
      <c r="D104" s="33">
        <v>1</v>
      </c>
      <c r="E104" s="33" t="s">
        <v>218</v>
      </c>
      <c r="F104" s="41">
        <v>0</v>
      </c>
      <c r="G104" s="34" t="s">
        <v>219</v>
      </c>
      <c r="H104" s="35">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 RCC Slab</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c r="A105" s="127" t="s">
        <v>220</v>
      </c>
      <c r="B105" s="76"/>
      <c r="C105" s="75" t="str">
        <f ca="1">(IF($G$60="NA",I103,"All work Completed. OC Received."))</f>
        <v xml:space="preserve">Excavation, Plinth, RCC Slab Completed </v>
      </c>
      <c r="D105" s="75"/>
      <c r="E105" s="75"/>
      <c r="F105" s="75"/>
      <c r="G105" s="75"/>
      <c r="H105" s="128"/>
      <c r="I105" s="48" t="str">
        <f ca="1">IF(I104&lt;&gt;""," Completed","")</f>
        <v xml:space="preserve"> Completed</v>
      </c>
      <c r="J105" s="49" t="str">
        <f ca="1">IF(J103&lt;&gt;"","Completed","")</f>
        <v/>
      </c>
    </row>
    <row r="106" spans="1:10" ht="15.75" hidden="1" customHeight="1">
      <c r="A106" s="129" t="s">
        <v>221</v>
      </c>
      <c r="B106" s="130"/>
      <c r="C106" s="36" t="s">
        <v>222</v>
      </c>
      <c r="D106" s="36" t="s">
        <v>223</v>
      </c>
      <c r="E106" s="130" t="s">
        <v>224</v>
      </c>
      <c r="F106" s="130"/>
      <c r="G106" s="130" t="s">
        <v>225</v>
      </c>
      <c r="H106" s="131"/>
      <c r="I106" s="50" t="s">
        <v>226</v>
      </c>
      <c r="J106" s="51">
        <f ca="1">H104*25%</f>
        <v>5</v>
      </c>
    </row>
    <row r="107" spans="1:10" hidden="1">
      <c r="A107" s="129" t="s">
        <v>227</v>
      </c>
      <c r="B107" s="130"/>
      <c r="C107" s="36">
        <f ca="1">J108</f>
        <v>20</v>
      </c>
      <c r="D107" s="37">
        <f ca="1">((100/H104)*C107)/100</f>
        <v>1</v>
      </c>
      <c r="E107" s="199">
        <f ca="1">(((C108/H104*10)+(40/(D104+F104+H104)*C109)+(7.5/(H104)*C110)+(7.5/(H104)*C111)+(10/H104*C112)+(10/H104*C113)+(5/H104*C114)+(5/H104*C115)+(5/H104*C116))/100)</f>
        <v>0.5</v>
      </c>
      <c r="F107" s="200"/>
      <c r="G107" s="199">
        <f ca="1">((((C107/H104)*20)+((C108/H104)*25)+(30/(H104+F104+D104)*C109)+(5/H104*C110)+(5/H104*C111)+(5/H104*C112)+(5/H104*C113)+(0/H104*C114)+(0/H104*C115)+(5/H104*C116))/100)</f>
        <v>0.75</v>
      </c>
      <c r="H107" s="205"/>
      <c r="I107" s="50" t="s">
        <v>228</v>
      </c>
      <c r="J107" s="52">
        <f ca="1">H104*50%</f>
        <v>10</v>
      </c>
    </row>
    <row r="108" spans="1:10" hidden="1">
      <c r="A108" s="129" t="s">
        <v>229</v>
      </c>
      <c r="B108" s="130"/>
      <c r="C108" s="36">
        <f ca="1">J116</f>
        <v>20</v>
      </c>
      <c r="D108" s="37">
        <f ca="1">((100/H104)*C108)/100</f>
        <v>1</v>
      </c>
      <c r="E108" s="201"/>
      <c r="F108" s="202"/>
      <c r="G108" s="201"/>
      <c r="H108" s="206"/>
      <c r="I108" s="50" t="s">
        <v>230</v>
      </c>
      <c r="J108" s="52">
        <f ca="1">H104</f>
        <v>20</v>
      </c>
    </row>
    <row r="109" spans="1:10" ht="15.75" hidden="1" customHeight="1">
      <c r="A109" s="129" t="s">
        <v>231</v>
      </c>
      <c r="B109" s="130"/>
      <c r="C109" s="36">
        <f ca="1">D104+H104</f>
        <v>21</v>
      </c>
      <c r="D109" s="37">
        <f ca="1">((100/(D104+F104+H104))*C109)/100</f>
        <v>1</v>
      </c>
      <c r="E109" s="201"/>
      <c r="F109" s="202"/>
      <c r="G109" s="201"/>
      <c r="H109" s="206"/>
      <c r="I109" s="50" t="s">
        <v>232</v>
      </c>
      <c r="J109" s="53">
        <f ca="1">(IF(B104&gt;1,(H104/(B104+2)),H104/4))</f>
        <v>5</v>
      </c>
    </row>
    <row r="110" spans="1:10" ht="15.75" hidden="1" customHeight="1">
      <c r="A110" s="129" t="s">
        <v>233</v>
      </c>
      <c r="B110" s="130" t="s">
        <v>234</v>
      </c>
      <c r="C110" s="36">
        <v>0</v>
      </c>
      <c r="D110" s="37">
        <f ca="1">((100/H104)*C110)/100</f>
        <v>0</v>
      </c>
      <c r="E110" s="201"/>
      <c r="F110" s="202"/>
      <c r="G110" s="201"/>
      <c r="H110" s="206"/>
      <c r="I110" s="50" t="s">
        <v>235</v>
      </c>
      <c r="J110" s="53">
        <f ca="1">(IF(B104&gt;1,(H104/(B104+2)+J109),H104/4+J109))</f>
        <v>10</v>
      </c>
    </row>
    <row r="111" spans="1:10" ht="15.75" hidden="1" customHeight="1">
      <c r="A111" s="129" t="s">
        <v>236</v>
      </c>
      <c r="B111" s="130" t="s">
        <v>234</v>
      </c>
      <c r="C111" s="36">
        <v>0</v>
      </c>
      <c r="D111" s="37">
        <f ca="1">((100/H104)*C111)/100</f>
        <v>0</v>
      </c>
      <c r="E111" s="201"/>
      <c r="F111" s="202"/>
      <c r="G111" s="201"/>
      <c r="H111" s="206"/>
      <c r="I111" s="50" t="s">
        <v>237</v>
      </c>
      <c r="J111" s="53">
        <f>(IF(B104&gt;1,(H104/(B104+2)+J110),0))</f>
        <v>0</v>
      </c>
    </row>
    <row r="112" spans="1:10" ht="15" hidden="1" customHeight="1">
      <c r="A112" s="129" t="s">
        <v>238</v>
      </c>
      <c r="B112" s="130" t="s">
        <v>239</v>
      </c>
      <c r="C112" s="36">
        <v>0</v>
      </c>
      <c r="D112" s="37">
        <f ca="1">((100/(H104))*C112)/100</f>
        <v>0</v>
      </c>
      <c r="E112" s="201"/>
      <c r="F112" s="202"/>
      <c r="G112" s="201"/>
      <c r="H112" s="206"/>
      <c r="I112" s="50" t="s">
        <v>240</v>
      </c>
      <c r="J112" s="53">
        <f>(IF(B104&gt;2,(H104/(B104+2)+J111),0))</f>
        <v>0</v>
      </c>
    </row>
    <row r="113" spans="1:22" ht="15.75" hidden="1" customHeight="1">
      <c r="A113" s="129" t="s">
        <v>241</v>
      </c>
      <c r="B113" s="130" t="s">
        <v>241</v>
      </c>
      <c r="C113" s="36">
        <v>0</v>
      </c>
      <c r="D113" s="37">
        <f ca="1">((100/H104)*C113)/100</f>
        <v>0</v>
      </c>
      <c r="E113" s="201"/>
      <c r="F113" s="202"/>
      <c r="G113" s="201"/>
      <c r="H113" s="206"/>
      <c r="I113" s="50" t="s">
        <v>242</v>
      </c>
      <c r="J113" s="54">
        <f>(IF(B104&gt;3,(H104/(B104+2)+J112),0))</f>
        <v>0</v>
      </c>
    </row>
    <row r="114" spans="1:22" ht="15.75" hidden="1" customHeight="1">
      <c r="A114" s="129" t="s">
        <v>243</v>
      </c>
      <c r="B114" s="130"/>
      <c r="C114" s="36">
        <v>0</v>
      </c>
      <c r="D114" s="37">
        <f ca="1">((100/H104)*C114)/100</f>
        <v>0</v>
      </c>
      <c r="E114" s="201"/>
      <c r="F114" s="202"/>
      <c r="G114" s="201"/>
      <c r="H114" s="206"/>
      <c r="I114" s="50" t="s">
        <v>244</v>
      </c>
      <c r="J114" s="53">
        <f>(IF(B104&gt;4,(H104/(B104+2)+J113),0))</f>
        <v>0</v>
      </c>
    </row>
    <row r="115" spans="1:22" ht="15.75" hidden="1" customHeight="1">
      <c r="A115" s="129" t="s">
        <v>245</v>
      </c>
      <c r="B115" s="130" t="s">
        <v>245</v>
      </c>
      <c r="C115" s="36">
        <v>0</v>
      </c>
      <c r="D115" s="37">
        <f ca="1">((100/(H104))*C115)/100</f>
        <v>0</v>
      </c>
      <c r="E115" s="201"/>
      <c r="F115" s="202"/>
      <c r="G115" s="201"/>
      <c r="H115" s="206"/>
      <c r="I115" s="50" t="s">
        <v>246</v>
      </c>
      <c r="J115" s="53">
        <f ca="1">(IF(B104=1,(H104/(B104+3)+J110),IF(B104=0,(H104/4+J110),IF(B104&gt;1,0))))</f>
        <v>15</v>
      </c>
    </row>
    <row r="116" spans="1:22" hidden="1">
      <c r="A116" s="132" t="s">
        <v>247</v>
      </c>
      <c r="B116" s="133"/>
      <c r="C116" s="39">
        <v>0</v>
      </c>
      <c r="D116" s="40">
        <f ca="1">((100/(H104))*C116)/100</f>
        <v>0</v>
      </c>
      <c r="E116" s="203"/>
      <c r="F116" s="204"/>
      <c r="G116" s="203"/>
      <c r="H116" s="207"/>
      <c r="I116" s="55" t="s">
        <v>248</v>
      </c>
      <c r="J116" s="56">
        <f ca="1">(IF(B104&gt;1.5,(H104/(B104+2)+J110+MAX(0,J111-J110)+MAX(0,J112-J111)+MAX(0,J113-J112)+MAX(0,J114-J113)+MAX(0,J115-J114)),IF(B104=1,(H104/(B104+3)+J115),IF(B104=0,H104/4+J115))))</f>
        <v>20</v>
      </c>
    </row>
    <row r="117" spans="1:22">
      <c r="A117" s="139" t="s">
        <v>249</v>
      </c>
      <c r="B117" s="139"/>
      <c r="C117" s="139"/>
      <c r="D117" s="139"/>
      <c r="E117" s="139"/>
      <c r="F117" s="140" t="s">
        <v>250</v>
      </c>
      <c r="G117" s="140"/>
      <c r="H117" s="140"/>
      <c r="R117" t="s">
        <v>155</v>
      </c>
      <c r="S117" t="s">
        <v>40</v>
      </c>
      <c r="T117" t="s">
        <v>38</v>
      </c>
      <c r="U117" t="s">
        <v>41</v>
      </c>
      <c r="V117" t="s">
        <v>39</v>
      </c>
    </row>
    <row r="118" spans="1:22">
      <c r="A118" s="77" t="s">
        <v>251</v>
      </c>
      <c r="B118" s="77"/>
      <c r="C118" s="77"/>
      <c r="D118" s="77"/>
      <c r="E118" s="77"/>
      <c r="F118" s="141">
        <v>15000</v>
      </c>
      <c r="G118" s="141"/>
      <c r="H118" s="141"/>
      <c r="J118" s="28" t="s">
        <v>252</v>
      </c>
      <c r="R118"/>
      <c r="S118">
        <v>700000</v>
      </c>
      <c r="T118">
        <v>300000</v>
      </c>
      <c r="U118">
        <v>100000</v>
      </c>
      <c r="V118">
        <v>100000</v>
      </c>
    </row>
    <row r="119" spans="1:22" hidden="1">
      <c r="A119" s="77" t="s">
        <v>253</v>
      </c>
      <c r="B119" s="77"/>
      <c r="C119" s="77"/>
      <c r="D119" s="77"/>
      <c r="E119" s="77"/>
      <c r="F119" s="141"/>
      <c r="G119" s="141"/>
      <c r="H119" s="141"/>
      <c r="R119"/>
      <c r="S119">
        <v>900000</v>
      </c>
      <c r="T119">
        <v>350000</v>
      </c>
      <c r="U119">
        <v>150000</v>
      </c>
      <c r="V119">
        <v>150000</v>
      </c>
    </row>
    <row r="120" spans="1:22" hidden="1">
      <c r="A120" s="77" t="s">
        <v>254</v>
      </c>
      <c r="B120" s="77"/>
      <c r="C120" s="77"/>
      <c r="D120" s="77"/>
      <c r="E120" s="77"/>
      <c r="F120" s="141"/>
      <c r="G120" s="141"/>
      <c r="H120" s="141"/>
      <c r="R120"/>
      <c r="S120">
        <v>1000000</v>
      </c>
      <c r="T120">
        <v>400000</v>
      </c>
      <c r="U120">
        <v>200000</v>
      </c>
      <c r="V120">
        <v>200000</v>
      </c>
    </row>
    <row r="121" spans="1:22" s="23" customFormat="1" hidden="1">
      <c r="A121" s="77" t="s">
        <v>255</v>
      </c>
      <c r="B121" s="77"/>
      <c r="C121" s="77"/>
      <c r="D121" s="77"/>
      <c r="E121" s="77"/>
      <c r="F121" s="141"/>
      <c r="G121" s="141"/>
      <c r="H121" s="141"/>
      <c r="R121"/>
      <c r="S121">
        <v>1100000</v>
      </c>
      <c r="T121">
        <v>500000</v>
      </c>
      <c r="U121">
        <v>250000</v>
      </c>
      <c r="V121" s="22">
        <v>250000</v>
      </c>
    </row>
    <row r="122" spans="1:22" s="23" customFormat="1" hidden="1">
      <c r="A122" s="77" t="s">
        <v>256</v>
      </c>
      <c r="B122" s="77"/>
      <c r="C122" s="77"/>
      <c r="D122" s="77"/>
      <c r="E122" s="77"/>
      <c r="F122" s="141"/>
      <c r="G122" s="141"/>
      <c r="H122" s="141"/>
      <c r="R122"/>
      <c r="S122">
        <v>1200000</v>
      </c>
      <c r="T122">
        <v>600000</v>
      </c>
      <c r="U122">
        <v>300000</v>
      </c>
      <c r="V122">
        <v>300000</v>
      </c>
    </row>
    <row r="123" spans="1:22" s="23" customFormat="1" hidden="1">
      <c r="A123" s="77" t="s">
        <v>257</v>
      </c>
      <c r="B123" s="77"/>
      <c r="C123" s="77"/>
      <c r="D123" s="77"/>
      <c r="E123" s="77"/>
      <c r="F123" s="141"/>
      <c r="G123" s="141"/>
      <c r="H123" s="141"/>
      <c r="R123"/>
      <c r="S123">
        <v>1300000</v>
      </c>
      <c r="T123">
        <v>700000</v>
      </c>
      <c r="U123">
        <v>350000</v>
      </c>
      <c r="V123" s="22">
        <v>400000</v>
      </c>
    </row>
    <row r="124" spans="1:22" s="23" customFormat="1" hidden="1">
      <c r="A124" s="77" t="s">
        <v>258</v>
      </c>
      <c r="B124" s="77"/>
      <c r="C124" s="77"/>
      <c r="D124" s="77"/>
      <c r="E124" s="77"/>
      <c r="F124" s="141"/>
      <c r="G124" s="141"/>
      <c r="H124" s="141"/>
      <c r="R124"/>
      <c r="S124">
        <v>1400000</v>
      </c>
      <c r="T124">
        <v>800000</v>
      </c>
      <c r="U124">
        <v>400000</v>
      </c>
      <c r="V124"/>
    </row>
    <row r="125" spans="1:22" s="23" customFormat="1" hidden="1">
      <c r="A125" s="77" t="s">
        <v>259</v>
      </c>
      <c r="B125" s="77"/>
      <c r="C125" s="77"/>
      <c r="D125" s="77"/>
      <c r="E125" s="77"/>
      <c r="F125" s="141"/>
      <c r="G125" s="141"/>
      <c r="H125" s="141"/>
      <c r="R125"/>
      <c r="S125">
        <v>1500000</v>
      </c>
      <c r="T125">
        <v>900000</v>
      </c>
      <c r="U125">
        <v>500000</v>
      </c>
      <c r="V125" s="22"/>
    </row>
    <row r="126" spans="1:22" s="23" customFormat="1" hidden="1">
      <c r="A126" s="77" t="s">
        <v>260</v>
      </c>
      <c r="B126" s="77"/>
      <c r="C126" s="77"/>
      <c r="D126" s="77"/>
      <c r="E126" s="77"/>
      <c r="F126" s="141"/>
      <c r="G126" s="141"/>
      <c r="H126" s="141"/>
      <c r="R126"/>
      <c r="S126">
        <v>1600000</v>
      </c>
      <c r="T126">
        <v>1000000</v>
      </c>
      <c r="U126">
        <v>600000</v>
      </c>
      <c r="V126"/>
    </row>
    <row r="127" spans="1:22" s="23" customFormat="1" hidden="1">
      <c r="A127" s="77" t="s">
        <v>261</v>
      </c>
      <c r="B127" s="77"/>
      <c r="C127" s="77"/>
      <c r="D127" s="77"/>
      <c r="E127" s="77"/>
      <c r="F127" s="141"/>
      <c r="G127" s="141"/>
      <c r="H127" s="141"/>
      <c r="R127"/>
      <c r="S127">
        <v>1700000</v>
      </c>
      <c r="T127"/>
      <c r="U127"/>
      <c r="V127" s="22"/>
    </row>
    <row r="128" spans="1:22">
      <c r="A128" s="77" t="s">
        <v>262</v>
      </c>
      <c r="B128" s="77"/>
      <c r="C128" s="77"/>
      <c r="D128" s="77"/>
      <c r="E128" s="77"/>
      <c r="F128" s="141">
        <v>700000</v>
      </c>
      <c r="G128" s="141"/>
      <c r="H128" s="141"/>
      <c r="R128"/>
      <c r="S128">
        <v>1800000</v>
      </c>
      <c r="T128"/>
      <c r="U128"/>
    </row>
    <row r="129" spans="1:22" s="24" customFormat="1">
      <c r="A129" s="87" t="s">
        <v>263</v>
      </c>
      <c r="B129" s="87"/>
      <c r="C129" s="87"/>
      <c r="D129" s="87"/>
      <c r="E129" s="87"/>
      <c r="F129" s="141">
        <f>F118*0.8</f>
        <v>12000</v>
      </c>
      <c r="G129" s="141"/>
      <c r="H129" s="141"/>
      <c r="L129" s="24">
        <f>21000/1.5</f>
        <v>14000</v>
      </c>
      <c r="R129" s="28"/>
      <c r="S129" s="28"/>
      <c r="T129"/>
      <c r="U129"/>
      <c r="V129" s="28"/>
    </row>
    <row r="130" spans="1:22" s="25" customFormat="1" ht="15.75" hidden="1" customHeight="1">
      <c r="A130" s="142" t="s">
        <v>264</v>
      </c>
      <c r="B130" s="142"/>
      <c r="C130" s="142"/>
      <c r="D130" s="142"/>
      <c r="E130" s="142"/>
      <c r="F130" s="142"/>
      <c r="G130" s="142"/>
      <c r="H130" s="142"/>
      <c r="R130"/>
      <c r="S130" s="28"/>
      <c r="T130"/>
      <c r="U130"/>
      <c r="V130" s="28"/>
    </row>
    <row r="131" spans="1:22" s="25" customFormat="1" ht="15.75" hidden="1" customHeight="1">
      <c r="A131" s="143" t="s">
        <v>265</v>
      </c>
      <c r="B131" s="143"/>
      <c r="C131" s="144" t="s">
        <v>266</v>
      </c>
      <c r="D131" s="144"/>
      <c r="E131" s="145" t="s">
        <v>267</v>
      </c>
      <c r="F131" s="145"/>
      <c r="G131" s="143" t="s">
        <v>268</v>
      </c>
      <c r="H131" s="143"/>
      <c r="R131"/>
      <c r="S131" s="28"/>
      <c r="T131"/>
      <c r="U131" s="28"/>
      <c r="V131" s="28"/>
    </row>
    <row r="132" spans="1:22" s="25" customFormat="1" hidden="1">
      <c r="A132" s="146"/>
      <c r="B132" s="146"/>
      <c r="C132" s="147"/>
      <c r="D132" s="147"/>
      <c r="E132" s="148"/>
      <c r="F132" s="148"/>
      <c r="G132" s="149"/>
      <c r="H132" s="149"/>
      <c r="R132"/>
      <c r="S132" s="28"/>
      <c r="T132"/>
      <c r="U132" s="28"/>
      <c r="V132" s="28"/>
    </row>
    <row r="133" spans="1:22" s="25" customFormat="1" hidden="1">
      <c r="A133" s="146"/>
      <c r="B133" s="146"/>
      <c r="C133" s="147"/>
      <c r="D133" s="147"/>
      <c r="E133" s="148"/>
      <c r="F133" s="148"/>
      <c r="G133" s="149"/>
      <c r="H133" s="149"/>
      <c r="R133"/>
      <c r="S133" s="28"/>
      <c r="T133"/>
      <c r="U133" s="28"/>
      <c r="V133" s="28"/>
    </row>
    <row r="134" spans="1:22" s="25" customFormat="1" hidden="1">
      <c r="A134" s="142" t="s">
        <v>269</v>
      </c>
      <c r="B134" s="142"/>
      <c r="C134" s="144"/>
      <c r="D134" s="144"/>
      <c r="E134" s="145"/>
      <c r="F134" s="145"/>
      <c r="G134" s="143"/>
      <c r="H134" s="143"/>
      <c r="R134"/>
      <c r="S134" s="28"/>
      <c r="T134"/>
      <c r="U134" s="28"/>
      <c r="V134" s="28"/>
    </row>
    <row r="135" spans="1:22" s="25" customFormat="1">
      <c r="A135" s="142" t="s">
        <v>270</v>
      </c>
      <c r="B135" s="142"/>
      <c r="C135" s="142"/>
      <c r="D135" s="142"/>
      <c r="E135" s="142"/>
      <c r="F135" s="142"/>
      <c r="G135" s="142"/>
      <c r="H135" s="142"/>
      <c r="T135"/>
    </row>
    <row r="136" spans="1:22" s="25" customFormat="1" ht="15.75" customHeight="1">
      <c r="A136" s="143" t="s">
        <v>265</v>
      </c>
      <c r="B136" s="143"/>
      <c r="C136" s="144" t="s">
        <v>266</v>
      </c>
      <c r="D136" s="144"/>
      <c r="E136" s="145" t="s">
        <v>267</v>
      </c>
      <c r="F136" s="145"/>
      <c r="G136" s="143" t="s">
        <v>268</v>
      </c>
      <c r="H136" s="143"/>
      <c r="T136"/>
    </row>
    <row r="137" spans="1:22" s="25" customFormat="1">
      <c r="A137" s="146" t="s">
        <v>35</v>
      </c>
      <c r="B137" s="146"/>
      <c r="C137" s="150">
        <f>COUNT(F156:F157,F162:F163)+COUNT(F165:F166,F171:F172)+COUNT(F174:F175,F180:F181)+COUNT(F183:F190)*16+COUNT(F192,F195:F199)*2+COUNT(F201:F202,F204:F209)</f>
        <v>160</v>
      </c>
      <c r="D137" s="150"/>
      <c r="E137" s="151">
        <f>SUM(F156:F157,F162:F163)+SUM(F165:F166,F171:F172)+SUM(F174:F175,F180:F181)+SUM(F183:F190)*16+SUM(F192,F195:F199)*2+SUM(F201:F202,F204:F209)</f>
        <v>72712.111680000002</v>
      </c>
      <c r="F137" s="151"/>
      <c r="G137" s="151">
        <f>SUM(H156:H157,H162:H163)+SUM(H165:H166,H171:H172)+SUM(H174:H175,H180:H181)+SUM(H183:H190)*16+SUM(H192,H195:H199)*2+SUM(H201:H202,H204:H209)</f>
        <v>109068.16752</v>
      </c>
      <c r="H137" s="151"/>
      <c r="T137"/>
    </row>
    <row r="138" spans="1:22" s="25" customFormat="1" hidden="1">
      <c r="A138" s="146"/>
      <c r="B138" s="146"/>
      <c r="C138" s="147"/>
      <c r="D138" s="147"/>
      <c r="E138" s="148"/>
      <c r="F138" s="148"/>
      <c r="G138" s="149"/>
      <c r="H138" s="149"/>
    </row>
    <row r="139" spans="1:22" s="25" customFormat="1" hidden="1">
      <c r="A139" s="152" t="s">
        <v>269</v>
      </c>
      <c r="B139" s="152"/>
      <c r="C139" s="153"/>
      <c r="D139" s="153"/>
      <c r="E139" s="154"/>
      <c r="F139" s="154"/>
      <c r="G139" s="155"/>
      <c r="H139" s="155"/>
    </row>
    <row r="140" spans="1:22" s="25" customFormat="1" hidden="1">
      <c r="A140" s="156" t="s">
        <v>271</v>
      </c>
      <c r="B140" s="157"/>
      <c r="C140" s="158">
        <f>C134+C139</f>
        <v>0</v>
      </c>
      <c r="D140" s="158"/>
      <c r="E140" s="159">
        <f>E134+E139</f>
        <v>0</v>
      </c>
      <c r="F140" s="159"/>
      <c r="G140" s="160">
        <f>G134+G139</f>
        <v>0</v>
      </c>
      <c r="H140" s="161"/>
    </row>
    <row r="141" spans="1:22" s="24" customFormat="1">
      <c r="A141" s="140" t="s">
        <v>272</v>
      </c>
      <c r="B141" s="140"/>
      <c r="C141" s="140"/>
      <c r="D141" s="140"/>
      <c r="E141" s="140"/>
      <c r="F141" s="140"/>
      <c r="G141" s="140"/>
      <c r="H141" s="140"/>
      <c r="T141" s="25"/>
    </row>
    <row r="142" spans="1:22">
      <c r="A142" s="84" t="s">
        <v>273</v>
      </c>
      <c r="B142" s="84"/>
      <c r="C142" s="84"/>
      <c r="D142" s="84"/>
      <c r="E142" s="84"/>
      <c r="F142" s="84"/>
      <c r="G142" s="84"/>
      <c r="H142" s="84"/>
      <c r="T142" s="25"/>
    </row>
    <row r="143" spans="1:22" ht="47.25" hidden="1" customHeight="1">
      <c r="A143" s="168" t="s">
        <v>274</v>
      </c>
      <c r="B143" s="168" t="s">
        <v>275</v>
      </c>
      <c r="C143" s="168" t="s">
        <v>276</v>
      </c>
      <c r="D143" s="168" t="s">
        <v>277</v>
      </c>
      <c r="E143" s="170" t="s">
        <v>278</v>
      </c>
      <c r="F143" s="168" t="s">
        <v>279</v>
      </c>
      <c r="G143" s="170" t="s">
        <v>280</v>
      </c>
      <c r="H143" s="58" t="s">
        <v>281</v>
      </c>
      <c r="T143" s="25"/>
    </row>
    <row r="144" spans="1:22" s="26" customFormat="1" hidden="1">
      <c r="A144" s="169"/>
      <c r="B144" s="169"/>
      <c r="C144" s="169"/>
      <c r="D144" s="169"/>
      <c r="E144" s="171"/>
      <c r="F144" s="169"/>
      <c r="G144" s="171"/>
      <c r="H144" s="59">
        <v>0.45</v>
      </c>
      <c r="T144" s="24"/>
    </row>
    <row r="145" spans="1:20" s="26" customFormat="1" hidden="1">
      <c r="A145" s="162" t="s">
        <v>282</v>
      </c>
      <c r="B145" s="163"/>
      <c r="C145" s="163"/>
      <c r="D145" s="163"/>
      <c r="E145" s="163"/>
      <c r="F145" s="163"/>
      <c r="G145" s="163"/>
      <c r="H145" s="164"/>
      <c r="J145" s="62"/>
      <c r="T145" s="28"/>
    </row>
    <row r="146" spans="1:20" s="26" customFormat="1" ht="15.75" hidden="1" customHeight="1">
      <c r="A146" s="165">
        <v>1</v>
      </c>
      <c r="B146" s="166"/>
      <c r="C146" s="60"/>
      <c r="D146" s="60"/>
      <c r="E146" s="60">
        <v>0</v>
      </c>
      <c r="F146" s="60">
        <f>D146+E146</f>
        <v>0</v>
      </c>
      <c r="G146" s="60">
        <v>0</v>
      </c>
      <c r="H146" s="60">
        <f>(D146+E146)*(($H$144)+1)</f>
        <v>0</v>
      </c>
      <c r="I146" s="62"/>
      <c r="L146" s="167"/>
      <c r="M146" s="167"/>
      <c r="N146" s="62"/>
      <c r="T146" s="28"/>
    </row>
    <row r="147" spans="1:20" s="26" customFormat="1" ht="15.75" hidden="1" customHeight="1">
      <c r="A147" s="165">
        <f>A146+1</f>
        <v>2</v>
      </c>
      <c r="B147" s="166"/>
      <c r="C147" s="60"/>
      <c r="D147" s="60"/>
      <c r="E147" s="60">
        <v>0</v>
      </c>
      <c r="F147" s="60">
        <f>D147+E147</f>
        <v>0</v>
      </c>
      <c r="G147" s="60">
        <v>0</v>
      </c>
      <c r="H147" s="60">
        <f>(D147+E147)*(($H$144)+1)</f>
        <v>0</v>
      </c>
      <c r="I147" s="62"/>
      <c r="L147" s="167"/>
      <c r="M147" s="167"/>
      <c r="N147" s="62"/>
    </row>
    <row r="148" spans="1:20" s="26" customFormat="1" ht="15.75" hidden="1" customHeight="1">
      <c r="A148" s="165">
        <f>A147+1</f>
        <v>3</v>
      </c>
      <c r="B148" s="166"/>
      <c r="C148" s="60"/>
      <c r="D148" s="60"/>
      <c r="E148" s="60">
        <v>0</v>
      </c>
      <c r="F148" s="60">
        <f>D148+E148</f>
        <v>0</v>
      </c>
      <c r="G148" s="60">
        <v>0</v>
      </c>
      <c r="H148" s="60">
        <f>(D148+E148)*(($H$144)+1)</f>
        <v>0</v>
      </c>
      <c r="I148" s="62"/>
      <c r="L148" s="167"/>
      <c r="M148" s="167"/>
      <c r="N148" s="62"/>
    </row>
    <row r="149" spans="1:20" s="26" customFormat="1" ht="15.75" hidden="1" customHeight="1">
      <c r="A149" s="165">
        <f>A148+1</f>
        <v>4</v>
      </c>
      <c r="B149" s="166"/>
      <c r="C149" s="60"/>
      <c r="D149" s="60"/>
      <c r="E149" s="60">
        <v>0</v>
      </c>
      <c r="F149" s="60">
        <f>D149+E149</f>
        <v>0</v>
      </c>
      <c r="G149" s="60">
        <v>0</v>
      </c>
      <c r="H149" s="60">
        <f>(D149+E149)*(($H$144)+1)</f>
        <v>0</v>
      </c>
      <c r="I149" s="62"/>
      <c r="L149" s="167"/>
      <c r="M149" s="167"/>
      <c r="N149" s="62"/>
    </row>
    <row r="150" spans="1:20" s="26" customFormat="1" hidden="1">
      <c r="A150" s="165"/>
      <c r="B150" s="172"/>
      <c r="C150" s="172"/>
      <c r="D150" s="172"/>
      <c r="E150" s="172"/>
      <c r="F150" s="172"/>
      <c r="G150" s="172"/>
      <c r="H150" s="166"/>
      <c r="I150" s="62"/>
      <c r="N150" s="62"/>
    </row>
    <row r="151" spans="1:20" ht="47.25" customHeight="1">
      <c r="A151" s="174" t="s">
        <v>283</v>
      </c>
      <c r="B151" s="168" t="s">
        <v>284</v>
      </c>
      <c r="C151" s="168" t="s">
        <v>276</v>
      </c>
      <c r="D151" s="168" t="s">
        <v>277</v>
      </c>
      <c r="E151" s="168" t="s">
        <v>285</v>
      </c>
      <c r="F151" s="168" t="s">
        <v>279</v>
      </c>
      <c r="G151" s="170" t="s">
        <v>280</v>
      </c>
      <c r="H151" s="58" t="s">
        <v>281</v>
      </c>
      <c r="I151" s="62"/>
      <c r="T151" s="26"/>
    </row>
    <row r="152" spans="1:20" s="26" customFormat="1">
      <c r="A152" s="175"/>
      <c r="B152" s="169"/>
      <c r="C152" s="169"/>
      <c r="D152" s="169"/>
      <c r="E152" s="169"/>
      <c r="F152" s="169"/>
      <c r="G152" s="171"/>
      <c r="H152" s="61">
        <v>0.5</v>
      </c>
      <c r="I152" s="60">
        <v>10.763999999999999</v>
      </c>
    </row>
    <row r="153" spans="1:20" s="26" customFormat="1">
      <c r="A153" s="162" t="s">
        <v>35</v>
      </c>
      <c r="B153" s="163"/>
      <c r="C153" s="163"/>
      <c r="D153" s="163"/>
      <c r="E153" s="163"/>
      <c r="F153" s="163"/>
      <c r="G153" s="163"/>
      <c r="H153" s="164"/>
      <c r="J153" s="62"/>
    </row>
    <row r="154" spans="1:20" s="26" customFormat="1">
      <c r="A154" s="162" t="s">
        <v>286</v>
      </c>
      <c r="B154" s="163"/>
      <c r="C154" s="163"/>
      <c r="D154" s="163"/>
      <c r="E154" s="163"/>
      <c r="F154" s="163"/>
      <c r="G154" s="163"/>
      <c r="H154" s="164"/>
      <c r="J154" s="62"/>
    </row>
    <row r="155" spans="1:20" s="26" customFormat="1">
      <c r="A155" s="162" t="s">
        <v>287</v>
      </c>
      <c r="B155" s="163"/>
      <c r="C155" s="163"/>
      <c r="D155" s="163"/>
      <c r="E155" s="163"/>
      <c r="F155" s="163"/>
      <c r="G155" s="163"/>
      <c r="H155" s="164"/>
      <c r="I155" s="26">
        <v>1</v>
      </c>
      <c r="J155" s="62"/>
    </row>
    <row r="156" spans="1:20" s="26" customFormat="1" ht="15.75" customHeight="1">
      <c r="A156" s="165">
        <v>1</v>
      </c>
      <c r="B156" s="166"/>
      <c r="C156" s="60" t="s">
        <v>288</v>
      </c>
      <c r="D156" s="60">
        <f>(37.97)*10.764</f>
        <v>408.70907999999997</v>
      </c>
      <c r="E156" s="60">
        <v>0</v>
      </c>
      <c r="F156" s="60">
        <f>D156+E156</f>
        <v>408.70907999999997</v>
      </c>
      <c r="G156" s="60">
        <v>0</v>
      </c>
      <c r="H156" s="60">
        <f>F156*(($H$152)+1)+(IF(G156&lt;101,G156,IF(G156&lt;201,G156/2,IF(G156&lt;=301,G156/3,G156/4))))</f>
        <v>613.0636199999999</v>
      </c>
      <c r="I156" s="62">
        <f>3.05*4.23+2.39*2.13+3.29*3.05+2.13*1.22+1.22*2.13+2.05*0.9+0.9*1.1+0.6*1.6</f>
        <v>37.018900000000002</v>
      </c>
      <c r="J156" s="26">
        <v>1</v>
      </c>
      <c r="K156" s="173" t="s">
        <v>289</v>
      </c>
      <c r="L156" s="173"/>
      <c r="M156" s="26">
        <v>37.97</v>
      </c>
      <c r="T156" s="28"/>
    </row>
    <row r="157" spans="1:20" s="26" customFormat="1" ht="15.75" customHeight="1">
      <c r="A157" s="165">
        <f>A156+1</f>
        <v>2</v>
      </c>
      <c r="B157" s="166"/>
      <c r="C157" s="60" t="s">
        <v>290</v>
      </c>
      <c r="D157" s="60">
        <f>(55.31)*10.764</f>
        <v>595.35684000000003</v>
      </c>
      <c r="E157" s="60">
        <v>0</v>
      </c>
      <c r="F157" s="60">
        <f>D157+E157</f>
        <v>595.35684000000003</v>
      </c>
      <c r="G157" s="60">
        <v>0</v>
      </c>
      <c r="H157" s="60">
        <f>F157*(($H$152)+1)+(IF(G157&lt;101,G157,IF(G157&lt;201,G157/2,IF(G157&lt;=301,G157/3,G157/4))))</f>
        <v>893.03526000000011</v>
      </c>
      <c r="I157" s="62">
        <f>3.2*5.12+2.13*3+3.17*3.05+4.12*3.05+2.18*1.22+2.18*1.22+1.25*2.48</f>
        <v>53.427699999999994</v>
      </c>
      <c r="J157" s="26">
        <v>2</v>
      </c>
      <c r="K157" s="173" t="s">
        <v>291</v>
      </c>
      <c r="L157" s="173"/>
      <c r="M157" s="63" t="s">
        <v>292</v>
      </c>
      <c r="N157" s="62">
        <v>21</v>
      </c>
      <c r="O157" s="26">
        <v>26.07</v>
      </c>
    </row>
    <row r="158" spans="1:20" s="26" customFormat="1" ht="15.75" customHeight="1">
      <c r="A158" s="165">
        <f>A157+1</f>
        <v>3</v>
      </c>
      <c r="B158" s="166"/>
      <c r="C158" s="178" t="s">
        <v>293</v>
      </c>
      <c r="D158" s="179"/>
      <c r="E158" s="179"/>
      <c r="F158" s="179"/>
      <c r="G158" s="179"/>
      <c r="H158" s="180"/>
      <c r="I158" s="62"/>
      <c r="J158" s="26">
        <v>3</v>
      </c>
      <c r="K158" s="173" t="s">
        <v>294</v>
      </c>
      <c r="L158" s="173"/>
      <c r="M158" s="63" t="s">
        <v>295</v>
      </c>
      <c r="N158" s="62"/>
    </row>
    <row r="159" spans="1:20" s="26" customFormat="1" ht="15.75" customHeight="1">
      <c r="A159" s="165">
        <f>A158+1</f>
        <v>4</v>
      </c>
      <c r="B159" s="166"/>
      <c r="C159" s="181"/>
      <c r="D159" s="182"/>
      <c r="E159" s="182"/>
      <c r="F159" s="182"/>
      <c r="G159" s="182"/>
      <c r="H159" s="183"/>
      <c r="I159" s="62"/>
      <c r="J159" s="26">
        <v>4</v>
      </c>
      <c r="K159" s="173" t="s">
        <v>296</v>
      </c>
      <c r="L159" s="173"/>
      <c r="M159" s="63" t="s">
        <v>297</v>
      </c>
      <c r="N159" s="62"/>
    </row>
    <row r="160" spans="1:20" s="26" customFormat="1" ht="15.75" customHeight="1">
      <c r="A160" s="165">
        <f t="shared" ref="A160:A163" si="0">A159+1</f>
        <v>5</v>
      </c>
      <c r="B160" s="166"/>
      <c r="C160" s="181"/>
      <c r="D160" s="182"/>
      <c r="E160" s="182"/>
      <c r="F160" s="182"/>
      <c r="G160" s="182"/>
      <c r="H160" s="183"/>
      <c r="I160" s="62"/>
      <c r="J160" s="26">
        <v>5</v>
      </c>
      <c r="K160" s="173" t="s">
        <v>296</v>
      </c>
      <c r="L160" s="173"/>
      <c r="M160" s="63" t="s">
        <v>297</v>
      </c>
      <c r="N160" s="62"/>
    </row>
    <row r="161" spans="1:14" s="26" customFormat="1" ht="15.75" customHeight="1">
      <c r="A161" s="165">
        <f t="shared" si="0"/>
        <v>6</v>
      </c>
      <c r="B161" s="166"/>
      <c r="C161" s="184"/>
      <c r="D161" s="185"/>
      <c r="E161" s="185"/>
      <c r="F161" s="185"/>
      <c r="G161" s="185"/>
      <c r="H161" s="186"/>
      <c r="I161" s="62"/>
      <c r="J161" s="26">
        <v>6</v>
      </c>
      <c r="K161" s="173" t="s">
        <v>296</v>
      </c>
      <c r="L161" s="173"/>
      <c r="M161" s="63" t="s">
        <v>295</v>
      </c>
      <c r="N161" s="62"/>
    </row>
    <row r="162" spans="1:14" s="26" customFormat="1" ht="15.75" customHeight="1">
      <c r="A162" s="165">
        <f t="shared" si="0"/>
        <v>7</v>
      </c>
      <c r="B162" s="166"/>
      <c r="C162" s="60" t="s">
        <v>290</v>
      </c>
      <c r="D162" s="60">
        <f>(55.31)*10.764</f>
        <v>595.35684000000003</v>
      </c>
      <c r="E162" s="60">
        <v>0</v>
      </c>
      <c r="F162" s="60">
        <f t="shared" ref="F162:F163" si="1">D162+E162</f>
        <v>595.35684000000003</v>
      </c>
      <c r="G162" s="60">
        <v>0</v>
      </c>
      <c r="H162" s="60">
        <f t="shared" ref="H162:H163" si="2">F162*(($H$152)+1)+(IF(G162&lt;101,G162,IF(G162&lt;201,G162/2,IF(G162&lt;=301,G162/3,G162/4))))</f>
        <v>893.03526000000011</v>
      </c>
      <c r="I162" s="62"/>
      <c r="J162" s="26">
        <v>7</v>
      </c>
      <c r="K162" s="173" t="s">
        <v>289</v>
      </c>
      <c r="L162" s="173"/>
      <c r="M162" s="63" t="s">
        <v>292</v>
      </c>
      <c r="N162" s="62"/>
    </row>
    <row r="163" spans="1:14" s="26" customFormat="1" ht="15.75" customHeight="1">
      <c r="A163" s="165">
        <f t="shared" si="0"/>
        <v>8</v>
      </c>
      <c r="B163" s="166"/>
      <c r="C163" s="60" t="s">
        <v>288</v>
      </c>
      <c r="D163" s="60">
        <f>(37.97)*10.764</f>
        <v>408.70907999999997</v>
      </c>
      <c r="E163" s="60">
        <v>0</v>
      </c>
      <c r="F163" s="60">
        <f t="shared" si="1"/>
        <v>408.70907999999997</v>
      </c>
      <c r="G163" s="60">
        <v>0</v>
      </c>
      <c r="H163" s="60">
        <f t="shared" si="2"/>
        <v>613.0636199999999</v>
      </c>
      <c r="I163" s="62"/>
      <c r="J163" s="26">
        <v>8</v>
      </c>
      <c r="K163" s="173" t="s">
        <v>289</v>
      </c>
      <c r="L163" s="173"/>
      <c r="M163" s="63" t="s">
        <v>298</v>
      </c>
      <c r="N163" s="62"/>
    </row>
    <row r="164" spans="1:14" s="26" customFormat="1">
      <c r="A164" s="176" t="s">
        <v>299</v>
      </c>
      <c r="B164" s="176"/>
      <c r="C164" s="176"/>
      <c r="D164" s="176"/>
      <c r="E164" s="176"/>
      <c r="F164" s="176"/>
      <c r="G164" s="176"/>
      <c r="H164" s="176"/>
      <c r="I164" s="62">
        <v>1</v>
      </c>
      <c r="L164" s="167"/>
      <c r="M164" s="167"/>
    </row>
    <row r="165" spans="1:14" s="26" customFormat="1">
      <c r="A165" s="177">
        <v>1</v>
      </c>
      <c r="B165" s="177"/>
      <c r="C165" s="68" t="s">
        <v>288</v>
      </c>
      <c r="D165" s="68">
        <f>(37.97)*10.764</f>
        <v>408.70907999999997</v>
      </c>
      <c r="E165" s="68">
        <v>0</v>
      </c>
      <c r="F165" s="68">
        <f>D165+E165</f>
        <v>408.70907999999997</v>
      </c>
      <c r="G165" s="68">
        <v>0</v>
      </c>
      <c r="H165" s="68">
        <f>F165*(($H$152)+1)+(IF(G165&lt;101,G165,IF(G165&lt;201,G165/2,IF(G165&lt;=301,G165/3,G165/4))))</f>
        <v>613.0636199999999</v>
      </c>
      <c r="I165" s="62"/>
      <c r="N165" s="62"/>
    </row>
    <row r="166" spans="1:14" s="26" customFormat="1">
      <c r="A166" s="177">
        <f>A165+1</f>
        <v>2</v>
      </c>
      <c r="B166" s="177"/>
      <c r="C166" s="68" t="s">
        <v>290</v>
      </c>
      <c r="D166" s="68">
        <f>(55.31)*10.764</f>
        <v>595.35684000000003</v>
      </c>
      <c r="E166" s="68">
        <v>0</v>
      </c>
      <c r="F166" s="68">
        <f>D166+E166</f>
        <v>595.35684000000003</v>
      </c>
      <c r="G166" s="68">
        <v>0</v>
      </c>
      <c r="H166" s="68">
        <f>F166*(($H$152)+1)+(IF(G166&lt;101,G166,IF(G166&lt;201,G166/2,IF(G166&lt;=301,G166/3,G166/4))))</f>
        <v>893.03526000000011</v>
      </c>
      <c r="I166" s="62"/>
      <c r="N166" s="62"/>
    </row>
    <row r="167" spans="1:14" s="26" customFormat="1" ht="15.75" customHeight="1">
      <c r="A167" s="177">
        <f>A166+1</f>
        <v>3</v>
      </c>
      <c r="B167" s="177"/>
      <c r="C167" s="177" t="s">
        <v>293</v>
      </c>
      <c r="D167" s="177"/>
      <c r="E167" s="177"/>
      <c r="F167" s="177"/>
      <c r="G167" s="177"/>
      <c r="H167" s="177"/>
      <c r="I167" s="62"/>
      <c r="N167" s="62"/>
    </row>
    <row r="168" spans="1:14" s="26" customFormat="1">
      <c r="A168" s="177">
        <f>A167+1</f>
        <v>4</v>
      </c>
      <c r="B168" s="177"/>
      <c r="C168" s="177"/>
      <c r="D168" s="177"/>
      <c r="E168" s="177"/>
      <c r="F168" s="177"/>
      <c r="G168" s="177"/>
      <c r="H168" s="177"/>
      <c r="I168" s="62"/>
      <c r="N168" s="62"/>
    </row>
    <row r="169" spans="1:14" s="26" customFormat="1">
      <c r="A169" s="177">
        <f>A168+1</f>
        <v>5</v>
      </c>
      <c r="B169" s="177"/>
      <c r="C169" s="177"/>
      <c r="D169" s="177"/>
      <c r="E169" s="177"/>
      <c r="F169" s="177"/>
      <c r="G169" s="177"/>
      <c r="H169" s="177"/>
      <c r="I169" s="62"/>
      <c r="N169" s="62"/>
    </row>
    <row r="170" spans="1:14" s="26" customFormat="1">
      <c r="A170" s="177">
        <f t="shared" ref="A170:A172" si="3">A169+1</f>
        <v>6</v>
      </c>
      <c r="B170" s="177"/>
      <c r="C170" s="177"/>
      <c r="D170" s="177"/>
      <c r="E170" s="177"/>
      <c r="F170" s="177"/>
      <c r="G170" s="177"/>
      <c r="H170" s="177"/>
      <c r="I170" s="62"/>
      <c r="N170" s="62"/>
    </row>
    <row r="171" spans="1:14" s="26" customFormat="1">
      <c r="A171" s="177">
        <f t="shared" si="3"/>
        <v>7</v>
      </c>
      <c r="B171" s="177"/>
      <c r="C171" s="68" t="s">
        <v>290</v>
      </c>
      <c r="D171" s="68">
        <f>(55.31)*10.764</f>
        <v>595.35684000000003</v>
      </c>
      <c r="E171" s="68">
        <v>0</v>
      </c>
      <c r="F171" s="68">
        <f t="shared" ref="F171:F172" si="4">D171+E171</f>
        <v>595.35684000000003</v>
      </c>
      <c r="G171" s="68">
        <v>0</v>
      </c>
      <c r="H171" s="68">
        <f t="shared" ref="H171:H172" si="5">F171*(($H$152)+1)+(IF(G171&lt;101,G171,IF(G171&lt;201,G171/2,IF(G171&lt;=301,G171/3,G171/4))))</f>
        <v>893.03526000000011</v>
      </c>
      <c r="I171" s="62"/>
      <c r="N171" s="62"/>
    </row>
    <row r="172" spans="1:14" s="26" customFormat="1">
      <c r="A172" s="177">
        <f t="shared" si="3"/>
        <v>8</v>
      </c>
      <c r="B172" s="177"/>
      <c r="C172" s="68" t="s">
        <v>288</v>
      </c>
      <c r="D172" s="68">
        <f>(37.97)*10.764</f>
        <v>408.70907999999997</v>
      </c>
      <c r="E172" s="68">
        <v>0</v>
      </c>
      <c r="F172" s="68">
        <f t="shared" si="4"/>
        <v>408.70907999999997</v>
      </c>
      <c r="G172" s="68">
        <v>0</v>
      </c>
      <c r="H172" s="68">
        <f t="shared" si="5"/>
        <v>613.0636199999999</v>
      </c>
      <c r="I172" s="62"/>
      <c r="N172" s="62"/>
    </row>
    <row r="173" spans="1:14" s="26" customFormat="1">
      <c r="A173" s="176" t="s">
        <v>300</v>
      </c>
      <c r="B173" s="176"/>
      <c r="C173" s="176"/>
      <c r="D173" s="176"/>
      <c r="E173" s="176"/>
      <c r="F173" s="176"/>
      <c r="G173" s="176"/>
      <c r="H173" s="176"/>
      <c r="I173" s="62">
        <v>1</v>
      </c>
      <c r="L173" s="167"/>
      <c r="M173" s="167"/>
    </row>
    <row r="174" spans="1:14" s="26" customFormat="1">
      <c r="A174" s="177">
        <v>1</v>
      </c>
      <c r="B174" s="177"/>
      <c r="C174" s="60" t="s">
        <v>288</v>
      </c>
      <c r="D174" s="60">
        <f>(37.97)*10.764</f>
        <v>408.70907999999997</v>
      </c>
      <c r="E174" s="60">
        <v>0</v>
      </c>
      <c r="F174" s="60">
        <f>D174+E174</f>
        <v>408.70907999999997</v>
      </c>
      <c r="G174" s="60">
        <v>0</v>
      </c>
      <c r="H174" s="60">
        <f>F174*(($H$152)+1)+(IF(G174&lt;101,G174,IF(G174&lt;201,G174/2,IF(G174&lt;=301,G174/3,G174/4))))</f>
        <v>613.0636199999999</v>
      </c>
      <c r="I174" s="62"/>
      <c r="N174" s="62"/>
    </row>
    <row r="175" spans="1:14" s="26" customFormat="1">
      <c r="A175" s="177">
        <f>A174+1</f>
        <v>2</v>
      </c>
      <c r="B175" s="177"/>
      <c r="C175" s="60" t="s">
        <v>290</v>
      </c>
      <c r="D175" s="60">
        <f>(55.31)*10.764</f>
        <v>595.35684000000003</v>
      </c>
      <c r="E175" s="60">
        <v>0</v>
      </c>
      <c r="F175" s="60">
        <f>D175+E175</f>
        <v>595.35684000000003</v>
      </c>
      <c r="G175" s="60">
        <v>0</v>
      </c>
      <c r="H175" s="60">
        <f>F175*(($H$152)+1)+(IF(G175&lt;101,G175,IF(G175&lt;201,G175/2,IF(G175&lt;=301,G175/3,G175/4))))</f>
        <v>893.03526000000011</v>
      </c>
      <c r="I175" s="62"/>
      <c r="N175" s="62"/>
    </row>
    <row r="176" spans="1:14" s="26" customFormat="1" ht="15.75" customHeight="1">
      <c r="A176" s="177">
        <f>A175+1</f>
        <v>3</v>
      </c>
      <c r="B176" s="177"/>
      <c r="C176" s="178" t="s">
        <v>301</v>
      </c>
      <c r="D176" s="179"/>
      <c r="E176" s="179"/>
      <c r="F176" s="179"/>
      <c r="G176" s="179"/>
      <c r="H176" s="180"/>
      <c r="I176" s="62"/>
      <c r="N176" s="62"/>
    </row>
    <row r="177" spans="1:14" s="26" customFormat="1">
      <c r="A177" s="177">
        <f>A176+1</f>
        <v>4</v>
      </c>
      <c r="B177" s="177"/>
      <c r="C177" s="181"/>
      <c r="D177" s="182"/>
      <c r="E177" s="182"/>
      <c r="F177" s="182"/>
      <c r="G177" s="182"/>
      <c r="H177" s="183"/>
      <c r="I177" s="62"/>
      <c r="N177" s="62"/>
    </row>
    <row r="178" spans="1:14" s="26" customFormat="1">
      <c r="A178" s="177">
        <f>A177+1</f>
        <v>5</v>
      </c>
      <c r="B178" s="177"/>
      <c r="C178" s="181"/>
      <c r="D178" s="182"/>
      <c r="E178" s="182"/>
      <c r="F178" s="182"/>
      <c r="G178" s="182"/>
      <c r="H178" s="183"/>
      <c r="I178" s="62"/>
      <c r="N178" s="62"/>
    </row>
    <row r="179" spans="1:14" s="26" customFormat="1">
      <c r="A179" s="177">
        <f t="shared" ref="A179:A181" si="6">A178+1</f>
        <v>6</v>
      </c>
      <c r="B179" s="177"/>
      <c r="C179" s="184"/>
      <c r="D179" s="185"/>
      <c r="E179" s="185"/>
      <c r="F179" s="185"/>
      <c r="G179" s="185"/>
      <c r="H179" s="186"/>
      <c r="I179" s="62"/>
      <c r="N179" s="62"/>
    </row>
    <row r="180" spans="1:14" s="26" customFormat="1">
      <c r="A180" s="177">
        <f t="shared" si="6"/>
        <v>7</v>
      </c>
      <c r="B180" s="177"/>
      <c r="C180" s="60" t="s">
        <v>290</v>
      </c>
      <c r="D180" s="60">
        <f>(55.31)*10.764</f>
        <v>595.35684000000003</v>
      </c>
      <c r="E180" s="60">
        <v>0</v>
      </c>
      <c r="F180" s="60">
        <f t="shared" ref="F180:F181" si="7">D180+E180</f>
        <v>595.35684000000003</v>
      </c>
      <c r="G180" s="60">
        <v>0</v>
      </c>
      <c r="H180" s="60">
        <f t="shared" ref="H180:H181" si="8">F180*(($H$152)+1)+(IF(G180&lt;101,G180,IF(G180&lt;201,G180/2,IF(G180&lt;=301,G180/3,G180/4))))</f>
        <v>893.03526000000011</v>
      </c>
      <c r="I180" s="62"/>
      <c r="N180" s="62"/>
    </row>
    <row r="181" spans="1:14" s="26" customFormat="1">
      <c r="A181" s="177">
        <f t="shared" si="6"/>
        <v>8</v>
      </c>
      <c r="B181" s="177"/>
      <c r="C181" s="60" t="s">
        <v>288</v>
      </c>
      <c r="D181" s="60">
        <f>(37.97)*10.764</f>
        <v>408.70907999999997</v>
      </c>
      <c r="E181" s="60">
        <v>0</v>
      </c>
      <c r="F181" s="60">
        <f t="shared" si="7"/>
        <v>408.70907999999997</v>
      </c>
      <c r="G181" s="60">
        <v>0</v>
      </c>
      <c r="H181" s="60">
        <f t="shared" si="8"/>
        <v>613.0636199999999</v>
      </c>
      <c r="I181" s="62"/>
      <c r="N181" s="62"/>
    </row>
    <row r="182" spans="1:14" s="26" customFormat="1">
      <c r="A182" s="176" t="s">
        <v>302</v>
      </c>
      <c r="B182" s="176"/>
      <c r="C182" s="176"/>
      <c r="D182" s="176"/>
      <c r="E182" s="176"/>
      <c r="F182" s="176"/>
      <c r="G182" s="176"/>
      <c r="H182" s="176"/>
      <c r="I182" s="62">
        <f>3+6+6+1</f>
        <v>16</v>
      </c>
      <c r="L182" s="167"/>
      <c r="M182" s="167"/>
    </row>
    <row r="183" spans="1:14" s="26" customFormat="1">
      <c r="A183" s="177">
        <v>1</v>
      </c>
      <c r="B183" s="177"/>
      <c r="C183" s="60" t="s">
        <v>288</v>
      </c>
      <c r="D183" s="60">
        <f>(37.97)*10.764</f>
        <v>408.70907999999997</v>
      </c>
      <c r="E183" s="60">
        <v>0</v>
      </c>
      <c r="F183" s="60">
        <f>D183+E183</f>
        <v>408.70907999999997</v>
      </c>
      <c r="G183" s="60">
        <v>0</v>
      </c>
      <c r="H183" s="60">
        <f>F183*(($H$152)+1)+(IF(G183&lt;101,G183,IF(G183&lt;201,G183/2,IF(G183&lt;=301,G183/3,G183/4))))</f>
        <v>613.0636199999999</v>
      </c>
      <c r="I183" s="62"/>
      <c r="K183" s="173"/>
      <c r="L183" s="173"/>
    </row>
    <row r="184" spans="1:14" s="26" customFormat="1">
      <c r="A184" s="177">
        <f>A183+1</f>
        <v>2</v>
      </c>
      <c r="B184" s="177"/>
      <c r="C184" s="60" t="s">
        <v>290</v>
      </c>
      <c r="D184" s="60">
        <f>(55.31)*10.764</f>
        <v>595.35684000000003</v>
      </c>
      <c r="E184" s="60">
        <v>0</v>
      </c>
      <c r="F184" s="60">
        <f>D184+E184</f>
        <v>595.35684000000003</v>
      </c>
      <c r="G184" s="60">
        <v>0</v>
      </c>
      <c r="H184" s="60">
        <f>F184*(($H$152)+1)+(IF(G184&lt;101,G184,IF(G184&lt;201,G184/2,IF(G184&lt;=301,G184/3,G184/4))))</f>
        <v>893.03526000000011</v>
      </c>
      <c r="I184" s="62"/>
      <c r="K184" s="173"/>
      <c r="L184" s="173"/>
      <c r="M184" s="63"/>
      <c r="N184" s="62"/>
    </row>
    <row r="185" spans="1:14" s="26" customFormat="1" ht="15.75" customHeight="1">
      <c r="A185" s="177">
        <f>A184+1</f>
        <v>3</v>
      </c>
      <c r="B185" s="177"/>
      <c r="C185" s="60" t="s">
        <v>288</v>
      </c>
      <c r="D185" s="60">
        <f>(37.84)*10.764</f>
        <v>407.30976000000004</v>
      </c>
      <c r="E185" s="60">
        <v>0</v>
      </c>
      <c r="F185" s="60">
        <f>D185+E185</f>
        <v>407.30976000000004</v>
      </c>
      <c r="G185" s="60">
        <v>0</v>
      </c>
      <c r="H185" s="60">
        <f>F185*(($H$152)+1)+(IF(G185&lt;101,G185,IF(G185&lt;201,G185/2,IF(G185&lt;=301,G185/3,G185/4))))</f>
        <v>610.96464000000003</v>
      </c>
      <c r="I185" s="62"/>
      <c r="K185" s="173"/>
      <c r="L185" s="173"/>
      <c r="M185" s="63"/>
      <c r="N185" s="62"/>
    </row>
    <row r="186" spans="1:14" s="26" customFormat="1">
      <c r="A186" s="177">
        <f>A185+1</f>
        <v>4</v>
      </c>
      <c r="B186" s="177"/>
      <c r="C186" s="60" t="s">
        <v>288</v>
      </c>
      <c r="D186" s="60">
        <f>(37.59)*10.764</f>
        <v>404.61876000000001</v>
      </c>
      <c r="E186" s="60">
        <v>0</v>
      </c>
      <c r="F186" s="60">
        <f>D186+E186</f>
        <v>404.61876000000001</v>
      </c>
      <c r="G186" s="60">
        <v>0</v>
      </c>
      <c r="H186" s="60">
        <f>F186*(($H$152)+1)+(IF(G186&lt;101,G186,IF(G186&lt;201,G186/2,IF(G186&lt;=301,G186/3,G186/4))))</f>
        <v>606.92813999999998</v>
      </c>
      <c r="I186" s="62"/>
      <c r="J186" s="26">
        <f>14400000/H186</f>
        <v>23726.037813965919</v>
      </c>
      <c r="K186" s="173"/>
      <c r="L186" s="173"/>
      <c r="M186" s="63"/>
      <c r="N186" s="62"/>
    </row>
    <row r="187" spans="1:14" s="26" customFormat="1">
      <c r="A187" s="177">
        <f>A186+1</f>
        <v>5</v>
      </c>
      <c r="B187" s="177"/>
      <c r="C187" s="60" t="s">
        <v>288</v>
      </c>
      <c r="D187" s="60">
        <f>(37.59)*10.764</f>
        <v>404.61876000000001</v>
      </c>
      <c r="E187" s="60">
        <v>0</v>
      </c>
      <c r="F187" s="60">
        <f>D187+E187</f>
        <v>404.61876000000001</v>
      </c>
      <c r="G187" s="60">
        <v>0</v>
      </c>
      <c r="H187" s="60">
        <f>F187*(($H$152)+1)+(IF(G187&lt;101,G187,IF(G187&lt;201,G187/2,IF(G187&lt;=301,G187/3,G187/4))))</f>
        <v>606.92813999999998</v>
      </c>
      <c r="I187" s="62"/>
      <c r="K187" s="173"/>
      <c r="L187" s="173"/>
      <c r="M187" s="63"/>
      <c r="N187" s="62"/>
    </row>
    <row r="188" spans="1:14" s="26" customFormat="1">
      <c r="A188" s="177">
        <f t="shared" ref="A188:A190" si="9">A187+1</f>
        <v>6</v>
      </c>
      <c r="B188" s="177"/>
      <c r="C188" s="60" t="s">
        <v>288</v>
      </c>
      <c r="D188" s="60">
        <f>(37.84)*10.764</f>
        <v>407.30976000000004</v>
      </c>
      <c r="E188" s="60">
        <v>0</v>
      </c>
      <c r="F188" s="60">
        <f t="shared" ref="F188:F190" si="10">D188+E188</f>
        <v>407.30976000000004</v>
      </c>
      <c r="G188" s="60">
        <v>0</v>
      </c>
      <c r="H188" s="60">
        <f t="shared" ref="H188:H190" si="11">F188*(($H$152)+1)+(IF(G188&lt;101,G188,IF(G188&lt;201,G188/2,IF(G188&lt;=301,G188/3,G188/4))))</f>
        <v>610.96464000000003</v>
      </c>
      <c r="I188" s="62"/>
      <c r="K188" s="173"/>
      <c r="L188" s="173"/>
      <c r="M188" s="63"/>
      <c r="N188" s="62"/>
    </row>
    <row r="189" spans="1:14" s="26" customFormat="1">
      <c r="A189" s="177">
        <f t="shared" si="9"/>
        <v>7</v>
      </c>
      <c r="B189" s="177"/>
      <c r="C189" s="60" t="s">
        <v>290</v>
      </c>
      <c r="D189" s="60">
        <f>(55.31)*10.764</f>
        <v>595.35684000000003</v>
      </c>
      <c r="E189" s="60">
        <v>0</v>
      </c>
      <c r="F189" s="60">
        <f t="shared" si="10"/>
        <v>595.35684000000003</v>
      </c>
      <c r="G189" s="60">
        <v>0</v>
      </c>
      <c r="H189" s="60">
        <f t="shared" si="11"/>
        <v>893.03526000000011</v>
      </c>
      <c r="I189" s="62"/>
      <c r="K189" s="173"/>
      <c r="L189" s="173"/>
      <c r="M189" s="63"/>
      <c r="N189" s="62"/>
    </row>
    <row r="190" spans="1:14" s="26" customFormat="1">
      <c r="A190" s="177">
        <f t="shared" si="9"/>
        <v>8</v>
      </c>
      <c r="B190" s="177"/>
      <c r="C190" s="60" t="s">
        <v>288</v>
      </c>
      <c r="D190" s="60">
        <f>(37.97)*10.764</f>
        <v>408.70907999999997</v>
      </c>
      <c r="E190" s="60">
        <v>0</v>
      </c>
      <c r="F190" s="60">
        <f t="shared" si="10"/>
        <v>408.70907999999997</v>
      </c>
      <c r="G190" s="60">
        <v>0</v>
      </c>
      <c r="H190" s="60">
        <f t="shared" si="11"/>
        <v>613.0636199999999</v>
      </c>
      <c r="I190" s="62"/>
      <c r="K190" s="173"/>
      <c r="L190" s="173"/>
      <c r="M190" s="63"/>
      <c r="N190" s="62"/>
    </row>
    <row r="191" spans="1:14" s="26" customFormat="1">
      <c r="A191" s="176" t="s">
        <v>303</v>
      </c>
      <c r="B191" s="176"/>
      <c r="C191" s="176"/>
      <c r="D191" s="176"/>
      <c r="E191" s="176"/>
      <c r="F191" s="176"/>
      <c r="G191" s="176"/>
      <c r="H191" s="176"/>
      <c r="I191" s="62">
        <v>2</v>
      </c>
      <c r="L191" s="167"/>
      <c r="M191" s="167"/>
    </row>
    <row r="192" spans="1:14" s="26" customFormat="1">
      <c r="A192" s="177">
        <v>1</v>
      </c>
      <c r="B192" s="177"/>
      <c r="C192" s="60" t="s">
        <v>288</v>
      </c>
      <c r="D192" s="60">
        <f>(37.97)*10.764</f>
        <v>408.70907999999997</v>
      </c>
      <c r="E192" s="60">
        <v>0</v>
      </c>
      <c r="F192" s="60">
        <f>D192+E192</f>
        <v>408.70907999999997</v>
      </c>
      <c r="G192" s="60">
        <v>0</v>
      </c>
      <c r="H192" s="60">
        <f>F192*(($H$152)+1)+(IF(G192&lt;101,G192,IF(G192&lt;201,G192/2,IF(G192&lt;=301,G192/3,G192/4))))</f>
        <v>613.0636199999999</v>
      </c>
      <c r="I192" s="62"/>
      <c r="K192" s="173"/>
      <c r="L192" s="173"/>
    </row>
    <row r="193" spans="1:14" s="26" customFormat="1">
      <c r="A193" s="177">
        <f>A192+1</f>
        <v>2</v>
      </c>
      <c r="B193" s="177"/>
      <c r="C193" s="178" t="s">
        <v>304</v>
      </c>
      <c r="D193" s="179"/>
      <c r="E193" s="179"/>
      <c r="F193" s="179"/>
      <c r="G193" s="179"/>
      <c r="H193" s="180"/>
      <c r="I193" s="62"/>
      <c r="K193" s="173"/>
      <c r="L193" s="173"/>
      <c r="M193" s="63"/>
      <c r="N193" s="62"/>
    </row>
    <row r="194" spans="1:14" s="26" customFormat="1" ht="15.75" customHeight="1">
      <c r="A194" s="177">
        <f>A193+1</f>
        <v>3</v>
      </c>
      <c r="B194" s="177"/>
      <c r="C194" s="184"/>
      <c r="D194" s="185"/>
      <c r="E194" s="185"/>
      <c r="F194" s="185"/>
      <c r="G194" s="185"/>
      <c r="H194" s="186"/>
      <c r="I194" s="62"/>
      <c r="K194" s="173"/>
      <c r="L194" s="173"/>
      <c r="M194" s="63"/>
      <c r="N194" s="62"/>
    </row>
    <row r="195" spans="1:14" s="26" customFormat="1">
      <c r="A195" s="177">
        <f>A194+1</f>
        <v>4</v>
      </c>
      <c r="B195" s="177"/>
      <c r="C195" s="60" t="s">
        <v>288</v>
      </c>
      <c r="D195" s="60">
        <f>(37.59)*10.764</f>
        <v>404.61876000000001</v>
      </c>
      <c r="E195" s="60">
        <v>0</v>
      </c>
      <c r="F195" s="60">
        <f>D195+E195</f>
        <v>404.61876000000001</v>
      </c>
      <c r="G195" s="60">
        <v>0</v>
      </c>
      <c r="H195" s="60">
        <f>F195*(($H$152)+1)+(IF(G195&lt;101,G195,IF(G195&lt;201,G195/2,IF(G195&lt;=301,G195/3,G195/4))))</f>
        <v>606.92813999999998</v>
      </c>
      <c r="I195" s="62"/>
      <c r="K195" s="173"/>
      <c r="L195" s="173"/>
      <c r="M195" s="63"/>
      <c r="N195" s="62"/>
    </row>
    <row r="196" spans="1:14" s="26" customFormat="1">
      <c r="A196" s="177">
        <f>A195+1</f>
        <v>5</v>
      </c>
      <c r="B196" s="177"/>
      <c r="C196" s="60" t="s">
        <v>288</v>
      </c>
      <c r="D196" s="60">
        <f>(37.59)*10.764</f>
        <v>404.61876000000001</v>
      </c>
      <c r="E196" s="60">
        <v>0</v>
      </c>
      <c r="F196" s="60">
        <f>D196+E196</f>
        <v>404.61876000000001</v>
      </c>
      <c r="G196" s="60">
        <v>0</v>
      </c>
      <c r="H196" s="60">
        <f>F196*(($H$152)+1)+(IF(G196&lt;101,G196,IF(G196&lt;201,G196/2,IF(G196&lt;=301,G196/3,G196/4))))</f>
        <v>606.92813999999998</v>
      </c>
      <c r="I196" s="62"/>
      <c r="K196" s="173"/>
      <c r="L196" s="173"/>
      <c r="M196" s="63"/>
      <c r="N196" s="62"/>
    </row>
    <row r="197" spans="1:14" s="26" customFormat="1">
      <c r="A197" s="177">
        <f t="shared" ref="A197:A199" si="12">A196+1</f>
        <v>6</v>
      </c>
      <c r="B197" s="177"/>
      <c r="C197" s="60" t="s">
        <v>288</v>
      </c>
      <c r="D197" s="60">
        <f>(37.84)*10.764</f>
        <v>407.30976000000004</v>
      </c>
      <c r="E197" s="60">
        <v>0</v>
      </c>
      <c r="F197" s="60">
        <f t="shared" ref="F197:F199" si="13">D197+E197</f>
        <v>407.30976000000004</v>
      </c>
      <c r="G197" s="60">
        <v>0</v>
      </c>
      <c r="H197" s="60">
        <f t="shared" ref="H197:H199" si="14">F197*(($H$152)+1)+(IF(G197&lt;101,G197,IF(G197&lt;201,G197/2,IF(G197&lt;=301,G197/3,G197/4))))</f>
        <v>610.96464000000003</v>
      </c>
      <c r="I197" s="62"/>
      <c r="K197" s="173"/>
      <c r="L197" s="173"/>
      <c r="M197" s="63"/>
      <c r="N197" s="62"/>
    </row>
    <row r="198" spans="1:14" s="26" customFormat="1">
      <c r="A198" s="177">
        <f t="shared" si="12"/>
        <v>7</v>
      </c>
      <c r="B198" s="177"/>
      <c r="C198" s="60" t="s">
        <v>290</v>
      </c>
      <c r="D198" s="60">
        <f>(55.31)*10.764</f>
        <v>595.35684000000003</v>
      </c>
      <c r="E198" s="60">
        <v>0</v>
      </c>
      <c r="F198" s="60">
        <f t="shared" si="13"/>
        <v>595.35684000000003</v>
      </c>
      <c r="G198" s="60">
        <v>0</v>
      </c>
      <c r="H198" s="60">
        <f t="shared" si="14"/>
        <v>893.03526000000011</v>
      </c>
      <c r="I198" s="62"/>
      <c r="K198" s="173"/>
      <c r="L198" s="173"/>
      <c r="M198" s="63"/>
      <c r="N198" s="62"/>
    </row>
    <row r="199" spans="1:14" s="26" customFormat="1">
      <c r="A199" s="177">
        <f t="shared" si="12"/>
        <v>8</v>
      </c>
      <c r="B199" s="177"/>
      <c r="C199" s="60" t="s">
        <v>288</v>
      </c>
      <c r="D199" s="60">
        <f>(37.97)*10.764</f>
        <v>408.70907999999997</v>
      </c>
      <c r="E199" s="60">
        <v>0</v>
      </c>
      <c r="F199" s="60">
        <f t="shared" si="13"/>
        <v>408.70907999999997</v>
      </c>
      <c r="G199" s="60">
        <v>0</v>
      </c>
      <c r="H199" s="60">
        <f t="shared" si="14"/>
        <v>613.0636199999999</v>
      </c>
      <c r="I199" s="62"/>
      <c r="K199" s="173"/>
      <c r="L199" s="173"/>
      <c r="M199" s="63"/>
      <c r="N199" s="62"/>
    </row>
    <row r="200" spans="1:14" s="26" customFormat="1">
      <c r="A200" s="176" t="s">
        <v>305</v>
      </c>
      <c r="B200" s="176"/>
      <c r="C200" s="176"/>
      <c r="D200" s="176"/>
      <c r="E200" s="176"/>
      <c r="F200" s="176"/>
      <c r="G200" s="176"/>
      <c r="H200" s="176"/>
      <c r="I200" s="62">
        <v>1</v>
      </c>
      <c r="L200" s="167"/>
      <c r="M200" s="167"/>
    </row>
    <row r="201" spans="1:14" s="26" customFormat="1">
      <c r="A201" s="177">
        <v>1</v>
      </c>
      <c r="B201" s="177"/>
      <c r="C201" s="68" t="s">
        <v>288</v>
      </c>
      <c r="D201" s="68">
        <f>(37.97)*10.764</f>
        <v>408.70907999999997</v>
      </c>
      <c r="E201" s="68">
        <v>0</v>
      </c>
      <c r="F201" s="68">
        <f>D201+E201</f>
        <v>408.70907999999997</v>
      </c>
      <c r="G201" s="68">
        <v>0</v>
      </c>
      <c r="H201" s="68">
        <f>F201*(($H$152)+1)+(IF(G201&lt;101,G201,IF(G201&lt;201,G201/2,IF(G201&lt;=301,G201/3,G201/4))))</f>
        <v>613.0636199999999</v>
      </c>
      <c r="I201" s="62"/>
      <c r="K201" s="173"/>
      <c r="L201" s="173"/>
    </row>
    <row r="202" spans="1:14" s="26" customFormat="1">
      <c r="A202" s="177">
        <f>A201+1</f>
        <v>2</v>
      </c>
      <c r="B202" s="177"/>
      <c r="C202" s="68" t="s">
        <v>306</v>
      </c>
      <c r="D202" s="68">
        <f>(26.07)*10.764</f>
        <v>280.61748</v>
      </c>
      <c r="E202" s="68">
        <v>0</v>
      </c>
      <c r="F202" s="68">
        <f>D202+E202</f>
        <v>280.61748</v>
      </c>
      <c r="G202" s="68">
        <v>0</v>
      </c>
      <c r="H202" s="68">
        <f>F202*(($H$152)+1)+(IF(G202&lt;101,G202,IF(G202&lt;201,G202/2,IF(G202&lt;=301,G202/3,G202/4))))</f>
        <v>420.92622</v>
      </c>
      <c r="I202" s="62"/>
      <c r="K202" s="173"/>
      <c r="L202" s="173"/>
      <c r="M202" s="63"/>
      <c r="N202" s="62"/>
    </row>
    <row r="203" spans="1:14" s="26" customFormat="1">
      <c r="A203" s="177" t="s">
        <v>307</v>
      </c>
      <c r="B203" s="177"/>
      <c r="C203" s="177" t="s">
        <v>304</v>
      </c>
      <c r="D203" s="177"/>
      <c r="E203" s="177"/>
      <c r="F203" s="177"/>
      <c r="G203" s="177"/>
      <c r="H203" s="177"/>
      <c r="I203" s="62"/>
      <c r="K203" s="173"/>
      <c r="L203" s="173"/>
      <c r="M203" s="63"/>
      <c r="N203" s="62"/>
    </row>
    <row r="204" spans="1:14" s="26" customFormat="1" ht="15.75" customHeight="1">
      <c r="A204" s="177">
        <f>A202+1</f>
        <v>3</v>
      </c>
      <c r="B204" s="177"/>
      <c r="C204" s="68" t="s">
        <v>288</v>
      </c>
      <c r="D204" s="68">
        <f>(37.84)*10.764</f>
        <v>407.30976000000004</v>
      </c>
      <c r="E204" s="68">
        <v>0</v>
      </c>
      <c r="F204" s="68">
        <f>D204+E204</f>
        <v>407.30976000000004</v>
      </c>
      <c r="G204" s="68">
        <v>0</v>
      </c>
      <c r="H204" s="68">
        <f>F204*(($H$152)+1)+(IF(G204&lt;101,G204,IF(G204&lt;201,G204/2,IF(G204&lt;=301,G204/3,G204/4))))</f>
        <v>610.96464000000003</v>
      </c>
      <c r="I204" s="62"/>
      <c r="K204" s="173"/>
      <c r="L204" s="173"/>
      <c r="M204" s="63"/>
      <c r="N204" s="62"/>
    </row>
    <row r="205" spans="1:14" s="26" customFormat="1">
      <c r="A205" s="177">
        <f>A204+1</f>
        <v>4</v>
      </c>
      <c r="B205" s="177"/>
      <c r="C205" s="68" t="s">
        <v>288</v>
      </c>
      <c r="D205" s="68">
        <f>(37.59)*10.764</f>
        <v>404.61876000000001</v>
      </c>
      <c r="E205" s="68">
        <v>0</v>
      </c>
      <c r="F205" s="68">
        <f>D205+E205</f>
        <v>404.61876000000001</v>
      </c>
      <c r="G205" s="68">
        <v>0</v>
      </c>
      <c r="H205" s="68">
        <f>F205*(($H$152)+1)+(IF(G205&lt;101,G205,IF(G205&lt;201,G205/2,IF(G205&lt;=301,G205/3,G205/4))))</f>
        <v>606.92813999999998</v>
      </c>
      <c r="I205" s="62"/>
      <c r="K205" s="173"/>
      <c r="L205" s="173"/>
      <c r="M205" s="63"/>
      <c r="N205" s="62"/>
    </row>
    <row r="206" spans="1:14" s="26" customFormat="1">
      <c r="A206" s="177">
        <f>A205+1</f>
        <v>5</v>
      </c>
      <c r="B206" s="177"/>
      <c r="C206" s="68" t="s">
        <v>288</v>
      </c>
      <c r="D206" s="68">
        <f>(37.59)*10.764</f>
        <v>404.61876000000001</v>
      </c>
      <c r="E206" s="68">
        <v>0</v>
      </c>
      <c r="F206" s="68">
        <f>D206+E206</f>
        <v>404.61876000000001</v>
      </c>
      <c r="G206" s="68">
        <v>0</v>
      </c>
      <c r="H206" s="68">
        <f>F206*(($H$152)+1)+(IF(G206&lt;101,G206,IF(G206&lt;201,G206/2,IF(G206&lt;=301,G206/3,G206/4))))</f>
        <v>606.92813999999998</v>
      </c>
      <c r="I206" s="62"/>
      <c r="K206" s="173"/>
      <c r="L206" s="173"/>
      <c r="M206" s="63"/>
      <c r="N206" s="62"/>
    </row>
    <row r="207" spans="1:14" s="26" customFormat="1">
      <c r="A207" s="177">
        <f t="shared" ref="A207:A209" si="15">A206+1</f>
        <v>6</v>
      </c>
      <c r="B207" s="177"/>
      <c r="C207" s="68" t="s">
        <v>288</v>
      </c>
      <c r="D207" s="68">
        <f>(37.84)*10.764</f>
        <v>407.30976000000004</v>
      </c>
      <c r="E207" s="68">
        <v>0</v>
      </c>
      <c r="F207" s="68">
        <f t="shared" ref="F207:F209" si="16">D207+E207</f>
        <v>407.30976000000004</v>
      </c>
      <c r="G207" s="68">
        <v>0</v>
      </c>
      <c r="H207" s="68">
        <f t="shared" ref="H207:H209" si="17">F207*(($H$152)+1)+(IF(G207&lt;101,G207,IF(G207&lt;201,G207/2,IF(G207&lt;=301,G207/3,G207/4))))</f>
        <v>610.96464000000003</v>
      </c>
      <c r="I207" s="62"/>
      <c r="K207" s="173"/>
      <c r="L207" s="173"/>
      <c r="M207" s="63"/>
      <c r="N207" s="62"/>
    </row>
    <row r="208" spans="1:14" s="26" customFormat="1">
      <c r="A208" s="177">
        <f t="shared" si="15"/>
        <v>7</v>
      </c>
      <c r="B208" s="177"/>
      <c r="C208" s="68" t="s">
        <v>290</v>
      </c>
      <c r="D208" s="68">
        <f>(55.31)*10.764</f>
        <v>595.35684000000003</v>
      </c>
      <c r="E208" s="68">
        <v>0</v>
      </c>
      <c r="F208" s="68">
        <f t="shared" si="16"/>
        <v>595.35684000000003</v>
      </c>
      <c r="G208" s="68">
        <v>0</v>
      </c>
      <c r="H208" s="68">
        <f t="shared" si="17"/>
        <v>893.03526000000011</v>
      </c>
      <c r="I208" s="62"/>
      <c r="K208" s="173"/>
      <c r="L208" s="173"/>
      <c r="M208" s="63"/>
      <c r="N208" s="62"/>
    </row>
    <row r="209" spans="1:20" s="26" customFormat="1">
      <c r="A209" s="177">
        <f t="shared" si="15"/>
        <v>8</v>
      </c>
      <c r="B209" s="177"/>
      <c r="C209" s="68" t="s">
        <v>288</v>
      </c>
      <c r="D209" s="68">
        <f>(37.97)*10.764</f>
        <v>408.70907999999997</v>
      </c>
      <c r="E209" s="68">
        <v>0</v>
      </c>
      <c r="F209" s="68">
        <f t="shared" si="16"/>
        <v>408.70907999999997</v>
      </c>
      <c r="G209" s="68">
        <v>0</v>
      </c>
      <c r="H209" s="68">
        <f t="shared" si="17"/>
        <v>613.0636199999999</v>
      </c>
      <c r="I209" s="62"/>
      <c r="K209" s="173"/>
      <c r="L209" s="173"/>
      <c r="M209" s="63"/>
      <c r="N209" s="62"/>
    </row>
    <row r="210" spans="1:20" s="25" customFormat="1">
      <c r="A210" s="187" t="s">
        <v>308</v>
      </c>
      <c r="B210" s="187"/>
      <c r="C210" s="187"/>
      <c r="D210" s="187"/>
      <c r="E210" s="187"/>
      <c r="F210" s="187"/>
      <c r="G210" s="187"/>
      <c r="H210" s="187"/>
      <c r="T210" s="26"/>
    </row>
    <row r="211" spans="1:20" s="25" customFormat="1">
      <c r="A211" s="67" t="s">
        <v>309</v>
      </c>
      <c r="B211" s="188" t="s">
        <v>370</v>
      </c>
      <c r="C211" s="188"/>
      <c r="D211" s="188"/>
      <c r="E211" s="188"/>
      <c r="F211" s="188"/>
      <c r="G211" s="188"/>
      <c r="H211" s="188"/>
      <c r="T211" s="26"/>
    </row>
    <row r="212" spans="1:20" s="25" customFormat="1">
      <c r="A212" s="67" t="s">
        <v>309</v>
      </c>
      <c r="B212" s="188" t="str">
        <f>(IF(H151="Saleable area Loading :","We have considered Saleable area of Flats as per our Calculation.","We considered Saleable area of Flat as per Builder area Sheet."))</f>
        <v>We have considered Saleable area of Flats as per our Calculation.</v>
      </c>
      <c r="C212" s="188"/>
      <c r="D212" s="188"/>
      <c r="E212" s="188"/>
      <c r="F212" s="188"/>
      <c r="G212" s="188"/>
      <c r="H212" s="188"/>
      <c r="T212" s="26"/>
    </row>
    <row r="213" spans="1:20" s="25" customFormat="1" hidden="1">
      <c r="A213" s="57" t="s">
        <v>309</v>
      </c>
      <c r="B213" s="189" t="str">
        <f>(IF(H143="Saleable area Loading :","We have considered Saleable area of Commercial as per our Calculation.","We considered Saleable area of Commercial as per Builder area Sheet."))</f>
        <v>We have considered Saleable area of Commercial as per our Calculation.</v>
      </c>
      <c r="C213" s="190"/>
      <c r="D213" s="190"/>
      <c r="E213" s="190"/>
      <c r="F213" s="190"/>
      <c r="G213" s="190"/>
      <c r="H213" s="191"/>
    </row>
    <row r="214" spans="1:20" s="25" customFormat="1">
      <c r="A214" s="57" t="s">
        <v>309</v>
      </c>
      <c r="B214" s="192" t="s">
        <v>310</v>
      </c>
      <c r="C214" s="193"/>
      <c r="D214" s="193"/>
      <c r="E214" s="193"/>
      <c r="F214" s="193"/>
      <c r="G214" s="193"/>
      <c r="H214" s="194"/>
    </row>
    <row r="215" spans="1:20" s="25" customFormat="1">
      <c r="A215" s="57" t="s">
        <v>309</v>
      </c>
      <c r="B215" s="192" t="s">
        <v>311</v>
      </c>
      <c r="C215" s="193"/>
      <c r="D215" s="193"/>
      <c r="E215" s="193"/>
      <c r="F215" s="193"/>
      <c r="G215" s="193"/>
      <c r="H215" s="194"/>
    </row>
    <row r="216" spans="1:20" s="25" customFormat="1">
      <c r="A216" s="57" t="s">
        <v>309</v>
      </c>
      <c r="B216" s="192" t="s">
        <v>312</v>
      </c>
      <c r="C216" s="193"/>
      <c r="D216" s="193"/>
      <c r="E216" s="193"/>
      <c r="F216" s="193"/>
      <c r="G216" s="193"/>
      <c r="H216" s="194"/>
    </row>
    <row r="217" spans="1:20" s="25" customFormat="1">
      <c r="A217" s="57" t="s">
        <v>309</v>
      </c>
      <c r="B217" s="192" t="s">
        <v>313</v>
      </c>
      <c r="C217" s="193"/>
      <c r="D217" s="193"/>
      <c r="E217" s="193"/>
      <c r="F217" s="193"/>
      <c r="G217" s="193"/>
      <c r="H217" s="194"/>
    </row>
    <row r="218" spans="1:20" s="25" customFormat="1" ht="34.5" customHeight="1">
      <c r="A218" s="57" t="s">
        <v>309</v>
      </c>
      <c r="B218" s="192" t="s">
        <v>314</v>
      </c>
      <c r="C218" s="193"/>
      <c r="D218" s="193"/>
      <c r="E218" s="193"/>
      <c r="F218" s="193"/>
      <c r="G218" s="193"/>
      <c r="H218" s="194"/>
    </row>
    <row r="219" spans="1:20" s="25" customFormat="1">
      <c r="A219" s="57" t="s">
        <v>309</v>
      </c>
      <c r="B219" s="192" t="s">
        <v>315</v>
      </c>
      <c r="C219" s="193"/>
      <c r="D219" s="193"/>
      <c r="E219" s="193"/>
      <c r="F219" s="193"/>
      <c r="G219" s="193"/>
      <c r="H219" s="194"/>
    </row>
    <row r="220" spans="1:20" s="25" customFormat="1" ht="32.25" hidden="1" customHeight="1">
      <c r="A220" s="57" t="s">
        <v>309</v>
      </c>
      <c r="B220" s="196" t="s">
        <v>316</v>
      </c>
      <c r="C220" s="197"/>
      <c r="D220" s="197"/>
      <c r="E220" s="197"/>
      <c r="F220" s="197"/>
      <c r="G220" s="197"/>
      <c r="H220" s="198"/>
    </row>
    <row r="221" spans="1:20" s="25" customFormat="1" hidden="1">
      <c r="A221" s="57" t="s">
        <v>309</v>
      </c>
      <c r="B221" s="196" t="s">
        <v>317</v>
      </c>
      <c r="C221" s="197"/>
      <c r="D221" s="197"/>
      <c r="E221" s="197"/>
      <c r="F221" s="197"/>
      <c r="G221" s="197"/>
      <c r="H221" s="198"/>
    </row>
    <row r="222" spans="1:20" s="25" customFormat="1" hidden="1">
      <c r="A222" s="57" t="s">
        <v>309</v>
      </c>
      <c r="B222" s="192" t="s">
        <v>318</v>
      </c>
      <c r="C222" s="193"/>
      <c r="D222" s="193"/>
      <c r="E222" s="193"/>
      <c r="F222" s="193"/>
      <c r="G222" s="193"/>
      <c r="H222" s="194"/>
    </row>
    <row r="223" spans="1:20" s="25" customFormat="1">
      <c r="A223" s="57" t="s">
        <v>309</v>
      </c>
      <c r="B223" s="192" t="s">
        <v>319</v>
      </c>
      <c r="C223" s="193"/>
      <c r="D223" s="193"/>
      <c r="E223" s="193"/>
      <c r="F223" s="193"/>
      <c r="G223" s="193"/>
      <c r="H223" s="194"/>
    </row>
    <row r="224" spans="1:20" s="25" customFormat="1" ht="32.25" customHeight="1">
      <c r="A224" s="57" t="s">
        <v>309</v>
      </c>
      <c r="B224" s="189" t="s">
        <v>320</v>
      </c>
      <c r="C224" s="190"/>
      <c r="D224" s="190"/>
      <c r="E224" s="190"/>
      <c r="F224" s="190"/>
      <c r="G224" s="190"/>
      <c r="H224" s="191"/>
    </row>
    <row r="225" spans="1:20" s="25" customFormat="1">
      <c r="A225" s="57" t="s">
        <v>309</v>
      </c>
      <c r="B225" s="189" t="s">
        <v>321</v>
      </c>
      <c r="C225" s="190"/>
      <c r="D225" s="190"/>
      <c r="E225" s="190"/>
      <c r="F225" s="190"/>
      <c r="G225" s="190"/>
      <c r="H225" s="191"/>
    </row>
    <row r="226" spans="1:20" s="25" customFormat="1" hidden="1">
      <c r="A226" s="57" t="s">
        <v>309</v>
      </c>
      <c r="B226" s="189" t="s">
        <v>322</v>
      </c>
      <c r="C226" s="190"/>
      <c r="D226" s="190"/>
      <c r="E226" s="190"/>
      <c r="F226" s="190"/>
      <c r="G226" s="190"/>
      <c r="H226" s="191"/>
    </row>
    <row r="227" spans="1:20">
      <c r="A227" s="109" t="s">
        <v>323</v>
      </c>
      <c r="B227" s="109"/>
      <c r="C227" s="109"/>
      <c r="D227" s="109"/>
      <c r="E227" s="109"/>
      <c r="F227" s="109"/>
      <c r="G227" s="109"/>
      <c r="H227" s="109"/>
      <c r="T227" s="25"/>
    </row>
    <row r="228" spans="1:20">
      <c r="A228" s="77" t="s">
        <v>324</v>
      </c>
      <c r="B228" s="77"/>
      <c r="C228" s="77"/>
      <c r="D228" s="77"/>
      <c r="E228" s="77"/>
      <c r="F228" s="77"/>
      <c r="G228" s="77"/>
      <c r="H228" s="77"/>
      <c r="T228" s="25"/>
    </row>
    <row r="229" spans="1:20" ht="15.75" customHeight="1">
      <c r="A229" s="221" t="s">
        <v>325</v>
      </c>
      <c r="B229" s="221"/>
      <c r="C229" s="221"/>
      <c r="D229" s="221"/>
      <c r="E229" s="221"/>
      <c r="F229" s="221"/>
      <c r="G229" s="221"/>
      <c r="H229" s="221"/>
      <c r="T229" s="25"/>
    </row>
    <row r="230" spans="1:20">
      <c r="A230" s="77" t="s">
        <v>326</v>
      </c>
      <c r="B230" s="77"/>
      <c r="C230" s="77"/>
      <c r="D230" s="77"/>
      <c r="E230" s="77"/>
      <c r="F230" s="77"/>
      <c r="G230" s="77"/>
      <c r="H230" s="77"/>
    </row>
    <row r="231" spans="1:20">
      <c r="A231" s="77" t="s">
        <v>327</v>
      </c>
      <c r="B231" s="77"/>
      <c r="C231" s="77"/>
      <c r="D231" s="77"/>
      <c r="E231" s="77"/>
      <c r="F231" s="77"/>
      <c r="G231" s="77"/>
      <c r="H231" s="77"/>
    </row>
    <row r="232" spans="1:20">
      <c r="A232" s="77" t="s">
        <v>328</v>
      </c>
      <c r="B232" s="77"/>
      <c r="C232" s="77"/>
      <c r="D232" s="77"/>
      <c r="E232" s="77"/>
      <c r="F232" s="77"/>
      <c r="G232" s="77"/>
      <c r="H232" s="77"/>
    </row>
    <row r="233" spans="1:20" ht="33.950000000000003" customHeight="1">
      <c r="A233" s="81" t="s">
        <v>329</v>
      </c>
      <c r="B233" s="81"/>
      <c r="C233" s="81"/>
      <c r="D233" s="81"/>
      <c r="E233" s="81"/>
      <c r="F233" s="81"/>
      <c r="G233" s="81"/>
      <c r="H233" s="81"/>
    </row>
    <row r="234" spans="1:20">
      <c r="A234" s="195" t="s">
        <v>330</v>
      </c>
      <c r="B234" s="195"/>
      <c r="C234" s="195" t="s">
        <v>371</v>
      </c>
      <c r="D234" s="195"/>
      <c r="E234" s="195" t="s">
        <v>331</v>
      </c>
      <c r="F234" s="195"/>
      <c r="G234" s="195" t="s">
        <v>372</v>
      </c>
      <c r="H234" s="195"/>
    </row>
    <row r="235" spans="1:20">
      <c r="A235" s="208" t="s">
        <v>332</v>
      </c>
      <c r="B235" s="208"/>
      <c r="C235" s="208"/>
      <c r="D235" s="208"/>
      <c r="E235" s="208"/>
      <c r="F235" s="208"/>
      <c r="G235" s="208"/>
      <c r="H235" s="208"/>
    </row>
    <row r="236" spans="1:20">
      <c r="A236" s="208"/>
      <c r="B236" s="208"/>
      <c r="C236" s="208"/>
      <c r="D236" s="208"/>
      <c r="E236" s="208"/>
      <c r="F236" s="208"/>
      <c r="G236" s="208"/>
      <c r="H236" s="208"/>
    </row>
    <row r="237" spans="1:20">
      <c r="A237" s="208"/>
      <c r="B237" s="208"/>
      <c r="C237" s="208"/>
      <c r="D237" s="208"/>
      <c r="E237" s="208"/>
      <c r="F237" s="208"/>
      <c r="G237" s="208"/>
      <c r="H237" s="208"/>
    </row>
    <row r="238" spans="1:20">
      <c r="A238" s="208"/>
      <c r="B238" s="208"/>
      <c r="C238" s="208"/>
      <c r="D238" s="208"/>
      <c r="E238" s="208"/>
      <c r="F238" s="208"/>
      <c r="G238" s="208"/>
      <c r="H238" s="208"/>
    </row>
    <row r="239" spans="1:20">
      <c r="A239" s="64" t="s">
        <v>333</v>
      </c>
      <c r="B239" s="65"/>
      <c r="C239" s="65"/>
      <c r="D239" s="64" t="str">
        <f>E9</f>
        <v>Khandelwal Luxor Wing B</v>
      </c>
      <c r="F239" s="65"/>
      <c r="G239" s="65"/>
      <c r="H239" s="65"/>
    </row>
    <row r="240" spans="1:20">
      <c r="A240" s="65"/>
      <c r="B240" s="65"/>
      <c r="C240" s="65"/>
      <c r="D240" s="65"/>
      <c r="E240" s="65"/>
      <c r="F240" s="65"/>
      <c r="G240" s="65"/>
      <c r="H240" s="65"/>
    </row>
    <row r="241" spans="1:8">
      <c r="A241" s="65"/>
      <c r="B241" s="65"/>
      <c r="C241" s="65"/>
      <c r="D241" s="65"/>
      <c r="E241" s="65"/>
      <c r="F241" s="65"/>
      <c r="G241" s="65"/>
      <c r="H241" s="65"/>
    </row>
    <row r="242" spans="1:8" ht="15" customHeight="1"/>
    <row r="282" spans="1:1">
      <c r="A282" s="66" t="s">
        <v>334</v>
      </c>
    </row>
    <row r="325" spans="1:1">
      <c r="A325" s="66" t="s">
        <v>335</v>
      </c>
    </row>
  </sheetData>
  <mergeCells count="432">
    <mergeCell ref="A23:D24"/>
    <mergeCell ref="E23:H24"/>
    <mergeCell ref="E79:F88"/>
    <mergeCell ref="G79:H88"/>
    <mergeCell ref="A235:H238"/>
    <mergeCell ref="A54:B55"/>
    <mergeCell ref="A56:B57"/>
    <mergeCell ref="A58:B59"/>
    <mergeCell ref="A52:B53"/>
    <mergeCell ref="A65:C67"/>
    <mergeCell ref="C158:H161"/>
    <mergeCell ref="E93:F102"/>
    <mergeCell ref="G93:H102"/>
    <mergeCell ref="E107:F116"/>
    <mergeCell ref="G107:H116"/>
    <mergeCell ref="B226:H226"/>
    <mergeCell ref="A227:H227"/>
    <mergeCell ref="A228:H228"/>
    <mergeCell ref="A229:H229"/>
    <mergeCell ref="A230:H230"/>
    <mergeCell ref="A231:H231"/>
    <mergeCell ref="A232:H232"/>
    <mergeCell ref="A233:H233"/>
    <mergeCell ref="A234:B234"/>
    <mergeCell ref="C234:D234"/>
    <mergeCell ref="E234:F234"/>
    <mergeCell ref="G234:H234"/>
    <mergeCell ref="B217:H217"/>
    <mergeCell ref="B218:H218"/>
    <mergeCell ref="B219:H219"/>
    <mergeCell ref="B220:H220"/>
    <mergeCell ref="B221:H221"/>
    <mergeCell ref="B222:H222"/>
    <mergeCell ref="B223:H223"/>
    <mergeCell ref="B224:H224"/>
    <mergeCell ref="B225:H225"/>
    <mergeCell ref="A209:B209"/>
    <mergeCell ref="K209:L209"/>
    <mergeCell ref="A210:H210"/>
    <mergeCell ref="B211:H211"/>
    <mergeCell ref="B212:H212"/>
    <mergeCell ref="B213:H213"/>
    <mergeCell ref="B214:H214"/>
    <mergeCell ref="B215:H215"/>
    <mergeCell ref="B216:H216"/>
    <mergeCell ref="A204:B204"/>
    <mergeCell ref="K204:L204"/>
    <mergeCell ref="A205:B205"/>
    <mergeCell ref="K205:L205"/>
    <mergeCell ref="A206:B206"/>
    <mergeCell ref="K206:L206"/>
    <mergeCell ref="A207:B207"/>
    <mergeCell ref="K207:L207"/>
    <mergeCell ref="A208:B208"/>
    <mergeCell ref="K208:L208"/>
    <mergeCell ref="A200:H200"/>
    <mergeCell ref="L200:M200"/>
    <mergeCell ref="A201:B201"/>
    <mergeCell ref="K201:L201"/>
    <mergeCell ref="A202:B202"/>
    <mergeCell ref="K202:L202"/>
    <mergeCell ref="A203:B203"/>
    <mergeCell ref="C203:H203"/>
    <mergeCell ref="K203:L203"/>
    <mergeCell ref="A195:B195"/>
    <mergeCell ref="K195:L195"/>
    <mergeCell ref="A196:B196"/>
    <mergeCell ref="K196:L196"/>
    <mergeCell ref="A197:B197"/>
    <mergeCell ref="K197:L197"/>
    <mergeCell ref="A198:B198"/>
    <mergeCell ref="K198:L198"/>
    <mergeCell ref="A199:B199"/>
    <mergeCell ref="K199:L199"/>
    <mergeCell ref="A190:B190"/>
    <mergeCell ref="K190:L190"/>
    <mergeCell ref="A191:H191"/>
    <mergeCell ref="L191:M191"/>
    <mergeCell ref="A192:B192"/>
    <mergeCell ref="K192:L192"/>
    <mergeCell ref="A193:B193"/>
    <mergeCell ref="K193:L193"/>
    <mergeCell ref="A194:B194"/>
    <mergeCell ref="K194:L194"/>
    <mergeCell ref="C193:H194"/>
    <mergeCell ref="A185:B185"/>
    <mergeCell ref="K185:L185"/>
    <mergeCell ref="A186:B186"/>
    <mergeCell ref="K186:L186"/>
    <mergeCell ref="A187:B187"/>
    <mergeCell ref="K187:L187"/>
    <mergeCell ref="A188:B188"/>
    <mergeCell ref="K188:L188"/>
    <mergeCell ref="A189:B189"/>
    <mergeCell ref="K189:L189"/>
    <mergeCell ref="A178:B178"/>
    <mergeCell ref="A179:B179"/>
    <mergeCell ref="A180:B180"/>
    <mergeCell ref="A181:B181"/>
    <mergeCell ref="A182:H182"/>
    <mergeCell ref="L182:M182"/>
    <mergeCell ref="A183:B183"/>
    <mergeCell ref="K183:L183"/>
    <mergeCell ref="A184:B184"/>
    <mergeCell ref="K184:L184"/>
    <mergeCell ref="C176:H179"/>
    <mergeCell ref="A170:B170"/>
    <mergeCell ref="A171:B171"/>
    <mergeCell ref="A172:B172"/>
    <mergeCell ref="A173:H173"/>
    <mergeCell ref="L173:M173"/>
    <mergeCell ref="A174:B174"/>
    <mergeCell ref="A175:B175"/>
    <mergeCell ref="A176:B176"/>
    <mergeCell ref="A177:B177"/>
    <mergeCell ref="C167:H170"/>
    <mergeCell ref="A163:B163"/>
    <mergeCell ref="K163:L163"/>
    <mergeCell ref="A164:H164"/>
    <mergeCell ref="L164:M164"/>
    <mergeCell ref="A165:B165"/>
    <mergeCell ref="A166:B166"/>
    <mergeCell ref="A167:B167"/>
    <mergeCell ref="A168:B168"/>
    <mergeCell ref="A169:B169"/>
    <mergeCell ref="A158:B158"/>
    <mergeCell ref="K158:L158"/>
    <mergeCell ref="A159:B159"/>
    <mergeCell ref="K159:L159"/>
    <mergeCell ref="A160:B160"/>
    <mergeCell ref="K160:L160"/>
    <mergeCell ref="A161:B161"/>
    <mergeCell ref="K161:L161"/>
    <mergeCell ref="A162:B162"/>
    <mergeCell ref="K162:L162"/>
    <mergeCell ref="A149:B149"/>
    <mergeCell ref="L149:M149"/>
    <mergeCell ref="A150:H150"/>
    <mergeCell ref="A153:H153"/>
    <mergeCell ref="A154:H154"/>
    <mergeCell ref="A155:H155"/>
    <mergeCell ref="A156:B156"/>
    <mergeCell ref="K156:L156"/>
    <mergeCell ref="A157:B157"/>
    <mergeCell ref="K157:L157"/>
    <mergeCell ref="A151:A152"/>
    <mergeCell ref="B151:B152"/>
    <mergeCell ref="C151:C152"/>
    <mergeCell ref="D151:D152"/>
    <mergeCell ref="E151:E152"/>
    <mergeCell ref="F151:F152"/>
    <mergeCell ref="G151:G152"/>
    <mergeCell ref="A141:H141"/>
    <mergeCell ref="A142:H142"/>
    <mergeCell ref="A145:H145"/>
    <mergeCell ref="A146:B146"/>
    <mergeCell ref="L146:M146"/>
    <mergeCell ref="A147:B147"/>
    <mergeCell ref="L147:M147"/>
    <mergeCell ref="A148:B148"/>
    <mergeCell ref="L148:M148"/>
    <mergeCell ref="A143:A144"/>
    <mergeCell ref="B143:B144"/>
    <mergeCell ref="C143:C144"/>
    <mergeCell ref="D143:D144"/>
    <mergeCell ref="E143:E144"/>
    <mergeCell ref="F143:F144"/>
    <mergeCell ref="G143:G144"/>
    <mergeCell ref="A138:B138"/>
    <mergeCell ref="C138:D138"/>
    <mergeCell ref="E138:F138"/>
    <mergeCell ref="G138:H138"/>
    <mergeCell ref="A139:B139"/>
    <mergeCell ref="C139:D139"/>
    <mergeCell ref="E139:F139"/>
    <mergeCell ref="G139:H139"/>
    <mergeCell ref="A140:B140"/>
    <mergeCell ref="C140:D140"/>
    <mergeCell ref="E140:F140"/>
    <mergeCell ref="G140:H140"/>
    <mergeCell ref="A135:H135"/>
    <mergeCell ref="A136:B136"/>
    <mergeCell ref="C136:D136"/>
    <mergeCell ref="E136:F136"/>
    <mergeCell ref="G136:H136"/>
    <mergeCell ref="A137:B137"/>
    <mergeCell ref="C137:D137"/>
    <mergeCell ref="E137:F137"/>
    <mergeCell ref="G137:H137"/>
    <mergeCell ref="A132:B132"/>
    <mergeCell ref="C132:D132"/>
    <mergeCell ref="E132:F132"/>
    <mergeCell ref="G132:H132"/>
    <mergeCell ref="A133:B133"/>
    <mergeCell ref="C133:D133"/>
    <mergeCell ref="E133:F133"/>
    <mergeCell ref="G133:H133"/>
    <mergeCell ref="A134:B134"/>
    <mergeCell ref="C134:D134"/>
    <mergeCell ref="E134:F134"/>
    <mergeCell ref="G134:H134"/>
    <mergeCell ref="A127:E127"/>
    <mergeCell ref="F127:H127"/>
    <mergeCell ref="A128:E128"/>
    <mergeCell ref="F128:H128"/>
    <mergeCell ref="A129:E129"/>
    <mergeCell ref="F129:H129"/>
    <mergeCell ref="A130:H130"/>
    <mergeCell ref="A131:B131"/>
    <mergeCell ref="C131:D131"/>
    <mergeCell ref="E131:F131"/>
    <mergeCell ref="G131:H131"/>
    <mergeCell ref="A122:E122"/>
    <mergeCell ref="F122:H122"/>
    <mergeCell ref="A123:E123"/>
    <mergeCell ref="F123:H123"/>
    <mergeCell ref="A124:E124"/>
    <mergeCell ref="F124:H124"/>
    <mergeCell ref="A125:E125"/>
    <mergeCell ref="F125:H125"/>
    <mergeCell ref="A126:E126"/>
    <mergeCell ref="F126:H126"/>
    <mergeCell ref="F117:H117"/>
    <mergeCell ref="A118:E118"/>
    <mergeCell ref="F118:H118"/>
    <mergeCell ref="A119:E119"/>
    <mergeCell ref="F119:H119"/>
    <mergeCell ref="A120:E120"/>
    <mergeCell ref="F120:H120"/>
    <mergeCell ref="A121:E121"/>
    <mergeCell ref="F121:H121"/>
    <mergeCell ref="A109:B109"/>
    <mergeCell ref="A110:B110"/>
    <mergeCell ref="A111:B111"/>
    <mergeCell ref="A112:B112"/>
    <mergeCell ref="A113:B113"/>
    <mergeCell ref="A114:B114"/>
    <mergeCell ref="A115:B115"/>
    <mergeCell ref="A116:B116"/>
    <mergeCell ref="A117:E117"/>
    <mergeCell ref="A103:B103"/>
    <mergeCell ref="C103:H103"/>
    <mergeCell ref="A105:B105"/>
    <mergeCell ref="C105:H105"/>
    <mergeCell ref="A106:B106"/>
    <mergeCell ref="E106:F106"/>
    <mergeCell ref="G106:H106"/>
    <mergeCell ref="A107:B107"/>
    <mergeCell ref="A108:B108"/>
    <mergeCell ref="A94:B94"/>
    <mergeCell ref="A95:B95"/>
    <mergeCell ref="A96:B96"/>
    <mergeCell ref="A97:B97"/>
    <mergeCell ref="A98:B98"/>
    <mergeCell ref="A99:B99"/>
    <mergeCell ref="A100:B100"/>
    <mergeCell ref="A101:B101"/>
    <mergeCell ref="A102:B102"/>
    <mergeCell ref="A88:B88"/>
    <mergeCell ref="A89:B89"/>
    <mergeCell ref="C89:H89"/>
    <mergeCell ref="A91:B91"/>
    <mergeCell ref="C91:H91"/>
    <mergeCell ref="A92:B92"/>
    <mergeCell ref="E92:F92"/>
    <mergeCell ref="G92:H92"/>
    <mergeCell ref="A93:B93"/>
    <mergeCell ref="A79:B79"/>
    <mergeCell ref="A80:B80"/>
    <mergeCell ref="A81:B81"/>
    <mergeCell ref="A82:B82"/>
    <mergeCell ref="A83:B83"/>
    <mergeCell ref="A84:B84"/>
    <mergeCell ref="A85:B85"/>
    <mergeCell ref="A86:B86"/>
    <mergeCell ref="A87:B87"/>
    <mergeCell ref="A74:C74"/>
    <mergeCell ref="D74:H74"/>
    <mergeCell ref="A75:B75"/>
    <mergeCell ref="C75:H75"/>
    <mergeCell ref="A77:B77"/>
    <mergeCell ref="C77:H77"/>
    <mergeCell ref="A78:B78"/>
    <mergeCell ref="E78:F78"/>
    <mergeCell ref="G78:H78"/>
    <mergeCell ref="A69:C69"/>
    <mergeCell ref="D69:H69"/>
    <mergeCell ref="A70:C70"/>
    <mergeCell ref="D70:H70"/>
    <mergeCell ref="A71:C71"/>
    <mergeCell ref="D71:H71"/>
    <mergeCell ref="A72:C72"/>
    <mergeCell ref="D72:H72"/>
    <mergeCell ref="A73:C73"/>
    <mergeCell ref="D73:H73"/>
    <mergeCell ref="A63:C63"/>
    <mergeCell ref="D63:H63"/>
    <mergeCell ref="A64:C64"/>
    <mergeCell ref="D64:H64"/>
    <mergeCell ref="D65:H65"/>
    <mergeCell ref="D66:H66"/>
    <mergeCell ref="D67:H67"/>
    <mergeCell ref="A68:C68"/>
    <mergeCell ref="D68:H68"/>
    <mergeCell ref="C57:H57"/>
    <mergeCell ref="C58:E58"/>
    <mergeCell ref="G58:H58"/>
    <mergeCell ref="C59:H59"/>
    <mergeCell ref="A60:B60"/>
    <mergeCell ref="C60:E60"/>
    <mergeCell ref="G60:H60"/>
    <mergeCell ref="A61:H61"/>
    <mergeCell ref="A62:C62"/>
    <mergeCell ref="D62:H62"/>
    <mergeCell ref="C52:E52"/>
    <mergeCell ref="G52:H52"/>
    <mergeCell ref="C53:E53"/>
    <mergeCell ref="G53:H53"/>
    <mergeCell ref="C54:E54"/>
    <mergeCell ref="G54:H54"/>
    <mergeCell ref="C55:H55"/>
    <mergeCell ref="C56:E56"/>
    <mergeCell ref="G56:H56"/>
    <mergeCell ref="A47:D47"/>
    <mergeCell ref="E47:H47"/>
    <mergeCell ref="A48:H48"/>
    <mergeCell ref="A49:B49"/>
    <mergeCell ref="C49:H49"/>
    <mergeCell ref="A50:B50"/>
    <mergeCell ref="C50:E50"/>
    <mergeCell ref="G50:H50"/>
    <mergeCell ref="A51:B51"/>
    <mergeCell ref="C51:E51"/>
    <mergeCell ref="G51:H51"/>
    <mergeCell ref="A42:D42"/>
    <mergeCell ref="E42:H42"/>
    <mergeCell ref="A43:D43"/>
    <mergeCell ref="E43:H43"/>
    <mergeCell ref="A44:D44"/>
    <mergeCell ref="E44:H44"/>
    <mergeCell ref="A45:D45"/>
    <mergeCell ref="E45:H45"/>
    <mergeCell ref="A46:D46"/>
    <mergeCell ref="E46:H46"/>
    <mergeCell ref="A37:B37"/>
    <mergeCell ref="C37:E37"/>
    <mergeCell ref="F37:H37"/>
    <mergeCell ref="A38:H38"/>
    <mergeCell ref="A39:B39"/>
    <mergeCell ref="C39:H39"/>
    <mergeCell ref="A40:B40"/>
    <mergeCell ref="C40:H40"/>
    <mergeCell ref="A41:H41"/>
    <mergeCell ref="A34:B34"/>
    <mergeCell ref="C34:E34"/>
    <mergeCell ref="F34:H34"/>
    <mergeCell ref="A35:B35"/>
    <mergeCell ref="C35:E35"/>
    <mergeCell ref="F35:H35"/>
    <mergeCell ref="A36:B36"/>
    <mergeCell ref="C36:E36"/>
    <mergeCell ref="F36:H36"/>
    <mergeCell ref="A30:D30"/>
    <mergeCell ref="E30:H30"/>
    <mergeCell ref="A31:D31"/>
    <mergeCell ref="E31:H31"/>
    <mergeCell ref="A32:D32"/>
    <mergeCell ref="E32:H32"/>
    <mergeCell ref="A33:B33"/>
    <mergeCell ref="C33:E33"/>
    <mergeCell ref="F33:H33"/>
    <mergeCell ref="A25:D25"/>
    <mergeCell ref="E25:H25"/>
    <mergeCell ref="A26:D26"/>
    <mergeCell ref="E26:H26"/>
    <mergeCell ref="A27:D27"/>
    <mergeCell ref="E27:H27"/>
    <mergeCell ref="A28:D28"/>
    <mergeCell ref="E28:H28"/>
    <mergeCell ref="A29:D29"/>
    <mergeCell ref="E29:H29"/>
    <mergeCell ref="A20:B20"/>
    <mergeCell ref="C20:D20"/>
    <mergeCell ref="E20:F20"/>
    <mergeCell ref="G20:H20"/>
    <mergeCell ref="A21:B21"/>
    <mergeCell ref="C21:D21"/>
    <mergeCell ref="E21:F21"/>
    <mergeCell ref="G21:H21"/>
    <mergeCell ref="A22:B22"/>
    <mergeCell ref="C22:D22"/>
    <mergeCell ref="E22:F22"/>
    <mergeCell ref="G22:H22"/>
    <mergeCell ref="A16:B16"/>
    <mergeCell ref="C16:H16"/>
    <mergeCell ref="A17:B17"/>
    <mergeCell ref="C17:H17"/>
    <mergeCell ref="A18:B18"/>
    <mergeCell ref="C18:H18"/>
    <mergeCell ref="A19:B19"/>
    <mergeCell ref="C19:D19"/>
    <mergeCell ref="E19:F19"/>
    <mergeCell ref="G19:H19"/>
    <mergeCell ref="A12:D12"/>
    <mergeCell ref="E12:H12"/>
    <mergeCell ref="A13:D13"/>
    <mergeCell ref="E13:H13"/>
    <mergeCell ref="A14:D14"/>
    <mergeCell ref="E14:H14"/>
    <mergeCell ref="A15:D15"/>
    <mergeCell ref="E15:H15"/>
    <mergeCell ref="I15:P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dataValidations count="15">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list" allowBlank="1" showInputMessage="1" showErrorMessage="1" sqref="C49:H49">
      <formula1>OFFSET($S$49,1,MATCH($G20,$S$49:$W$49,0)-1,15,1)</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H144 H152">
      <formula1>".45,.50,.55,.60"</formula1>
    </dataValidation>
    <dataValidation type="list" allowBlank="1" showInputMessage="1" showErrorMessage="1" sqref="G234:H234">
      <formula1>"Kunal Kadam,Shruti Tathare,Pranita Mhatre,Shruti Fule,Pooja Kawale,Mansee Mohite,Anjali Kamble, Hitakshi Mhatre, Sachin Sawant"</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E143:E144">
      <formula1>"Attached Loft area,Attached Otla area,Attached Mezzanine area"</formula1>
    </dataValidation>
    <dataValidation type="list" allowBlank="1" showInputMessage="1" showErrorMessage="1" sqref="E151:E152">
      <formula1>"Fungible area,Balcony Area,Chajja Area,Cornice Area,AP Area,WS Area"</formula1>
    </dataValidation>
  </dataValidations>
  <hyperlinks>
    <hyperlink ref="C40" r:id="rId1"/>
    <hyperlink ref="J71" r:id="rId2"/>
  </hyperlinks>
  <printOptions horizontalCentered="1"/>
  <pageMargins left="0.39370078740157499" right="0.39370078740157499" top="0.82677165354330695" bottom="0.78740157480314998" header="0.15748031496063" footer="0.196850393700787"/>
  <pageSetup paperSize="2" orientation="portrait" r:id="rId3"/>
  <headerFooter>
    <oddHeader>&amp;C&amp;G</oddHeader>
    <oddFooter>&amp;L&amp;"Times New Roman,Bold"&amp;12Ref No: &amp;F&amp;C&amp;G&amp;R&amp;"Times New Roman,Bold"&amp;12&amp;P</oddFooter>
  </headerFooter>
  <rowBreaks count="6" manualBreakCount="6">
    <brk id="38" max="7" man="1"/>
    <brk id="74" max="16383" man="1"/>
    <brk id="209" max="16383" man="1"/>
    <brk id="238" max="16383" man="1"/>
    <brk id="281" max="16383" man="1"/>
    <brk id="324"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cols>
    <col min="1" max="1" width="8.7109375" style="9"/>
    <col min="2" max="2" width="22.140625" style="9" customWidth="1"/>
    <col min="3" max="3" width="37" style="9" customWidth="1"/>
    <col min="4" max="5" width="11.42578125" style="9" customWidth="1"/>
    <col min="6" max="6" width="14" style="9" customWidth="1"/>
    <col min="7" max="7" width="20" style="9" customWidth="1"/>
    <col min="8" max="8" width="16.42578125" style="9" customWidth="1"/>
    <col min="9" max="16384" width="8.7109375" style="9"/>
  </cols>
  <sheetData>
    <row r="1" spans="1:9" ht="15" customHeight="1"/>
    <row r="2" spans="1:9" ht="15" customHeight="1">
      <c r="A2" s="10"/>
      <c r="B2" s="10"/>
      <c r="C2" s="10"/>
      <c r="D2" s="10"/>
      <c r="E2" s="10"/>
      <c r="F2" s="10"/>
      <c r="G2" s="10"/>
      <c r="H2" s="10"/>
    </row>
    <row r="3" spans="1:9" ht="15.75" customHeight="1">
      <c r="A3" s="10"/>
      <c r="B3" s="222" t="s">
        <v>336</v>
      </c>
      <c r="C3" s="222"/>
      <c r="D3" s="222"/>
      <c r="E3" s="222"/>
      <c r="F3" s="222"/>
      <c r="G3" s="222"/>
      <c r="H3" s="222"/>
    </row>
    <row r="4" spans="1:9">
      <c r="A4" s="10"/>
      <c r="B4" s="11" t="s">
        <v>337</v>
      </c>
      <c r="C4" s="11" t="s">
        <v>338</v>
      </c>
      <c r="D4" s="11" t="s">
        <v>339</v>
      </c>
      <c r="E4" s="11" t="s">
        <v>340</v>
      </c>
      <c r="F4" s="11" t="s">
        <v>341</v>
      </c>
      <c r="G4" s="11" t="s">
        <v>342</v>
      </c>
      <c r="H4" s="11" t="s">
        <v>343</v>
      </c>
    </row>
    <row r="5" spans="1:9" ht="15" customHeight="1">
      <c r="A5" s="10"/>
      <c r="B5" s="12" t="s">
        <v>344</v>
      </c>
      <c r="C5" s="13"/>
      <c r="D5" s="12"/>
      <c r="E5" s="12"/>
      <c r="F5" s="14">
        <f>E5*1.6</f>
        <v>0</v>
      </c>
      <c r="G5" s="14" t="e">
        <f>H5/F5</f>
        <v>#DIV/0!</v>
      </c>
      <c r="H5" s="15"/>
    </row>
    <row r="6" spans="1:9">
      <c r="A6" s="10"/>
      <c r="B6" s="12" t="s">
        <v>344</v>
      </c>
      <c r="C6" s="16"/>
      <c r="D6" s="12"/>
      <c r="E6" s="12"/>
      <c r="F6" s="14">
        <f t="shared" ref="F6:F11" si="0">E6*1.6</f>
        <v>0</v>
      </c>
      <c r="G6" s="14" t="e">
        <f t="shared" ref="G6:G11" si="1">H6/F6</f>
        <v>#DIV/0!</v>
      </c>
      <c r="H6" s="15"/>
    </row>
    <row r="7" spans="1:9" ht="15" customHeight="1">
      <c r="A7" s="10"/>
      <c r="B7" s="12" t="s">
        <v>344</v>
      </c>
      <c r="C7" s="13"/>
      <c r="D7" s="12"/>
      <c r="E7" s="12"/>
      <c r="F7" s="14">
        <f t="shared" si="0"/>
        <v>0</v>
      </c>
      <c r="G7" s="14" t="e">
        <f t="shared" si="1"/>
        <v>#DIV/0!</v>
      </c>
      <c r="H7" s="15"/>
    </row>
    <row r="8" spans="1:9">
      <c r="A8" s="10"/>
      <c r="B8" s="12" t="s">
        <v>344</v>
      </c>
      <c r="C8" s="16"/>
      <c r="D8" s="12"/>
      <c r="E8" s="12"/>
      <c r="F8" s="14">
        <f t="shared" si="0"/>
        <v>0</v>
      </c>
      <c r="G8" s="14" t="e">
        <f t="shared" si="1"/>
        <v>#DIV/0!</v>
      </c>
      <c r="H8" s="15"/>
    </row>
    <row r="9" spans="1:9" ht="15" customHeight="1">
      <c r="A9" s="10"/>
      <c r="B9" s="12" t="s">
        <v>344</v>
      </c>
      <c r="C9" s="16"/>
      <c r="D9" s="12"/>
      <c r="E9" s="12"/>
      <c r="F9" s="14">
        <f t="shared" si="0"/>
        <v>0</v>
      </c>
      <c r="G9" s="14" t="e">
        <f t="shared" si="1"/>
        <v>#DIV/0!</v>
      </c>
      <c r="H9" s="15"/>
    </row>
    <row r="10" spans="1:9" ht="15" customHeight="1">
      <c r="A10" s="10"/>
      <c r="B10" s="12" t="s">
        <v>345</v>
      </c>
      <c r="C10" s="13"/>
      <c r="D10" s="12"/>
      <c r="E10" s="12"/>
      <c r="F10" s="14">
        <f t="shared" si="0"/>
        <v>0</v>
      </c>
      <c r="G10" s="14" t="e">
        <f t="shared" si="1"/>
        <v>#DIV/0!</v>
      </c>
      <c r="H10" s="15"/>
    </row>
    <row r="11" spans="1:9" ht="15" customHeight="1">
      <c r="A11" s="10"/>
      <c r="B11" s="12" t="s">
        <v>345</v>
      </c>
      <c r="C11" s="13"/>
      <c r="D11" s="12"/>
      <c r="E11" s="12"/>
      <c r="F11" s="14">
        <f t="shared" si="0"/>
        <v>0</v>
      </c>
      <c r="G11" s="14" t="e">
        <f t="shared" si="1"/>
        <v>#DIV/0!</v>
      </c>
      <c r="H11" s="15"/>
    </row>
    <row r="12" spans="1:9" ht="15" customHeight="1">
      <c r="A12" s="10"/>
      <c r="B12" s="17" t="s">
        <v>346</v>
      </c>
      <c r="C12" s="12"/>
      <c r="D12" s="12"/>
      <c r="E12" s="12"/>
      <c r="F12" s="12"/>
      <c r="G12" s="18" t="e">
        <f>AVERAGE(G5:G11)</f>
        <v>#DIV/0!</v>
      </c>
      <c r="H12" s="12"/>
    </row>
    <row r="13" spans="1:9" ht="15" customHeight="1">
      <c r="B13" s="17" t="s">
        <v>347</v>
      </c>
      <c r="C13" s="12"/>
      <c r="D13" s="12"/>
      <c r="E13" s="12"/>
      <c r="F13" s="19"/>
      <c r="G13" s="17"/>
      <c r="H13" s="17"/>
      <c r="I13" s="20"/>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ColWidth="9" defaultRowHeight="15"/>
  <cols>
    <col min="4" max="4" width="13.85546875" customWidth="1"/>
    <col min="5" max="5" width="10.42578125" customWidth="1"/>
    <col min="6" max="6" width="12.42578125" customWidth="1"/>
    <col min="7" max="7" width="18.140625" customWidth="1"/>
    <col min="8" max="8" width="10.5703125" customWidth="1"/>
  </cols>
  <sheetData>
    <row r="3" spans="2:11">
      <c r="J3">
        <v>1</v>
      </c>
      <c r="K3">
        <v>2</v>
      </c>
    </row>
    <row r="4" spans="2:11">
      <c r="B4" s="6"/>
      <c r="C4" s="6" t="s">
        <v>84</v>
      </c>
      <c r="D4" s="7" t="s">
        <v>38</v>
      </c>
      <c r="E4" s="7" t="s">
        <v>39</v>
      </c>
      <c r="F4" s="7" t="s">
        <v>40</v>
      </c>
      <c r="G4" s="7" t="s">
        <v>41</v>
      </c>
      <c r="H4" s="7" t="s">
        <v>42</v>
      </c>
      <c r="J4" t="s">
        <v>41</v>
      </c>
      <c r="K4" t="s">
        <v>54</v>
      </c>
    </row>
    <row r="5" spans="2:11">
      <c r="B5" s="6"/>
      <c r="C5" s="6"/>
      <c r="D5" s="7" t="s">
        <v>45</v>
      </c>
      <c r="E5" s="7" t="s">
        <v>46</v>
      </c>
      <c r="F5" s="7" t="s">
        <v>47</v>
      </c>
      <c r="G5" s="7" t="s">
        <v>48</v>
      </c>
      <c r="H5" s="7" t="s">
        <v>49</v>
      </c>
    </row>
    <row r="6" spans="2:11">
      <c r="B6" s="6"/>
      <c r="C6" s="6"/>
      <c r="D6" s="7" t="s">
        <v>52</v>
      </c>
      <c r="E6" s="7" t="s">
        <v>53</v>
      </c>
      <c r="F6" s="7" t="s">
        <v>54</v>
      </c>
      <c r="G6" s="7" t="s">
        <v>55</v>
      </c>
      <c r="H6" s="7" t="s">
        <v>56</v>
      </c>
    </row>
    <row r="7" spans="2:11">
      <c r="B7" s="6"/>
      <c r="C7" s="6"/>
      <c r="D7" s="7" t="s">
        <v>58</v>
      </c>
      <c r="E7" s="7" t="s">
        <v>59</v>
      </c>
      <c r="F7" s="7" t="s">
        <v>60</v>
      </c>
      <c r="G7" s="7" t="s">
        <v>61</v>
      </c>
      <c r="H7" s="7" t="s">
        <v>62</v>
      </c>
    </row>
    <row r="8" spans="2:11">
      <c r="B8" s="6"/>
      <c r="C8" s="6"/>
      <c r="D8" s="7" t="s">
        <v>65</v>
      </c>
      <c r="E8" s="7" t="s">
        <v>66</v>
      </c>
      <c r="F8" s="7"/>
      <c r="G8" s="7" t="s">
        <v>67</v>
      </c>
      <c r="H8" s="7" t="s">
        <v>68</v>
      </c>
    </row>
    <row r="9" spans="2:11">
      <c r="B9" s="6"/>
      <c r="C9" s="6"/>
      <c r="D9" s="7" t="s">
        <v>71</v>
      </c>
      <c r="E9" s="7" t="s">
        <v>39</v>
      </c>
      <c r="F9" s="7"/>
      <c r="G9" s="7" t="s">
        <v>72</v>
      </c>
      <c r="H9" s="7" t="s">
        <v>73</v>
      </c>
    </row>
    <row r="10" spans="2:11">
      <c r="B10" s="6"/>
      <c r="C10" s="6"/>
      <c r="D10" s="7" t="s">
        <v>78</v>
      </c>
      <c r="E10" s="7" t="s">
        <v>79</v>
      </c>
      <c r="F10" s="7"/>
      <c r="G10" s="7" t="s">
        <v>80</v>
      </c>
      <c r="H10" s="7" t="s">
        <v>81</v>
      </c>
    </row>
    <row r="11" spans="2:11">
      <c r="B11" s="6"/>
      <c r="C11" s="6"/>
      <c r="D11" s="7" t="s">
        <v>85</v>
      </c>
      <c r="E11" s="7" t="s">
        <v>86</v>
      </c>
      <c r="F11" s="7"/>
      <c r="G11" s="7" t="s">
        <v>87</v>
      </c>
      <c r="H11" s="7" t="s">
        <v>88</v>
      </c>
    </row>
    <row r="12" spans="2:11">
      <c r="B12" s="6"/>
      <c r="C12" s="6"/>
      <c r="D12" s="7"/>
      <c r="E12" s="7"/>
      <c r="F12" s="7"/>
      <c r="G12" s="7" t="s">
        <v>91</v>
      </c>
      <c r="H12" s="7" t="s">
        <v>92</v>
      </c>
    </row>
    <row r="13" spans="2:11">
      <c r="B13" s="6"/>
      <c r="C13" s="6"/>
      <c r="D13" s="7"/>
      <c r="E13" s="7"/>
      <c r="F13" s="7"/>
      <c r="G13" s="7" t="s">
        <v>97</v>
      </c>
      <c r="H13" s="7" t="s">
        <v>98</v>
      </c>
    </row>
    <row r="14" spans="2:11">
      <c r="B14" s="6"/>
      <c r="C14" s="6"/>
      <c r="D14" s="7"/>
      <c r="E14" s="7"/>
      <c r="F14" s="7"/>
      <c r="G14" s="7" t="s">
        <v>101</v>
      </c>
      <c r="H14" s="7" t="s">
        <v>102</v>
      </c>
    </row>
    <row r="15" spans="2:11">
      <c r="B15" s="6"/>
      <c r="C15" s="6"/>
      <c r="D15" s="7"/>
      <c r="E15" s="7"/>
      <c r="F15" s="7"/>
      <c r="G15" s="7" t="s">
        <v>103</v>
      </c>
      <c r="H15" s="7" t="s">
        <v>104</v>
      </c>
    </row>
    <row r="16" spans="2:11">
      <c r="B16" s="6"/>
      <c r="C16" s="6"/>
      <c r="D16" s="7"/>
      <c r="E16" s="7"/>
      <c r="F16" s="7"/>
      <c r="G16" s="7" t="s">
        <v>107</v>
      </c>
      <c r="H16" s="7" t="s">
        <v>108</v>
      </c>
    </row>
    <row r="17" spans="2:8">
      <c r="B17" s="6"/>
      <c r="C17" s="6"/>
      <c r="D17" s="7"/>
      <c r="E17" s="7"/>
      <c r="F17" s="7"/>
      <c r="G17" s="7" t="s">
        <v>110</v>
      </c>
      <c r="H17" s="7" t="s">
        <v>111</v>
      </c>
    </row>
    <row r="18" spans="2:8">
      <c r="B18" s="6"/>
      <c r="C18" s="6"/>
      <c r="D18" s="7"/>
      <c r="E18" s="7"/>
      <c r="F18" s="7"/>
      <c r="G18" s="7" t="s">
        <v>114</v>
      </c>
      <c r="H18" s="7" t="s">
        <v>115</v>
      </c>
    </row>
    <row r="24" spans="2:8">
      <c r="C24" t="s">
        <v>348</v>
      </c>
    </row>
    <row r="25" spans="2:8">
      <c r="C25" t="s">
        <v>349</v>
      </c>
    </row>
    <row r="26" spans="2:8">
      <c r="C26" t="s">
        <v>350</v>
      </c>
    </row>
    <row r="27" spans="2:8">
      <c r="C27" t="s">
        <v>351</v>
      </c>
    </row>
    <row r="28" spans="2:8">
      <c r="C28" t="s">
        <v>352</v>
      </c>
    </row>
    <row r="29" spans="2:8">
      <c r="C29" t="s">
        <v>353</v>
      </c>
    </row>
    <row r="30" spans="2:8">
      <c r="C30" t="s">
        <v>348</v>
      </c>
    </row>
    <row r="33" spans="3:11">
      <c r="J33">
        <v>1</v>
      </c>
      <c r="K33">
        <v>2</v>
      </c>
    </row>
    <row r="34" spans="3:11">
      <c r="C34" s="8" t="s">
        <v>3</v>
      </c>
      <c r="D34" s="7" t="s">
        <v>4</v>
      </c>
      <c r="E34" s="7" t="s">
        <v>5</v>
      </c>
      <c r="F34" s="7" t="s">
        <v>6</v>
      </c>
      <c r="G34" s="7" t="s">
        <v>7</v>
      </c>
      <c r="H34" s="7" t="s">
        <v>8</v>
      </c>
      <c r="J34" t="s">
        <v>41</v>
      </c>
      <c r="K34" t="s">
        <v>54</v>
      </c>
    </row>
    <row r="35" spans="3:11">
      <c r="C35" s="6" t="s">
        <v>10</v>
      </c>
      <c r="D35" s="7" t="s">
        <v>11</v>
      </c>
      <c r="E35" s="7" t="s">
        <v>12</v>
      </c>
      <c r="F35" s="7" t="s">
        <v>13</v>
      </c>
      <c r="G35" s="7" t="s">
        <v>14</v>
      </c>
      <c r="H35" s="7"/>
    </row>
    <row r="36" spans="3:11">
      <c r="C36" s="6"/>
      <c r="D36" s="7" t="s">
        <v>16</v>
      </c>
      <c r="E36" s="7" t="s">
        <v>17</v>
      </c>
      <c r="F36" s="7" t="s">
        <v>18</v>
      </c>
      <c r="G36" s="7" t="s">
        <v>19</v>
      </c>
      <c r="H36" s="7"/>
    </row>
    <row r="37" spans="3:11">
      <c r="C37" s="6"/>
      <c r="D37" s="7" t="s">
        <v>21</v>
      </c>
      <c r="E37" s="7"/>
      <c r="F37" s="7"/>
      <c r="G37" s="7" t="s">
        <v>22</v>
      </c>
      <c r="H37" s="7"/>
    </row>
    <row r="38" spans="3:11">
      <c r="C38" s="6"/>
      <c r="D38" s="7" t="s">
        <v>25</v>
      </c>
      <c r="E38" s="7"/>
      <c r="F38" s="7"/>
      <c r="G38" s="7" t="s">
        <v>22</v>
      </c>
      <c r="H38" s="7"/>
    </row>
    <row r="39" spans="3:11">
      <c r="C39" s="6"/>
      <c r="D39" s="7"/>
      <c r="E39" s="7"/>
      <c r="F39" s="7"/>
      <c r="G39" s="7" t="s">
        <v>27</v>
      </c>
      <c r="H39" s="7"/>
    </row>
    <row r="40" spans="3:11">
      <c r="C40" s="6"/>
      <c r="D40" s="7"/>
      <c r="E40" s="7"/>
      <c r="F40" s="7"/>
      <c r="G40" s="7" t="s">
        <v>30</v>
      </c>
      <c r="H40" s="7"/>
    </row>
    <row r="41" spans="3:11">
      <c r="C41" s="6"/>
      <c r="D41" s="7"/>
      <c r="E41" s="7"/>
      <c r="F41" s="7"/>
      <c r="G41" s="7"/>
      <c r="H41" s="7"/>
    </row>
    <row r="43" spans="3:11">
      <c r="C43" t="s">
        <v>155</v>
      </c>
    </row>
    <row r="44" spans="3:11">
      <c r="C44" t="s">
        <v>40</v>
      </c>
      <c r="D44" t="s">
        <v>160</v>
      </c>
    </row>
    <row r="45" spans="3:11">
      <c r="D45" t="s">
        <v>165</v>
      </c>
    </row>
    <row r="46" spans="3:11">
      <c r="D46" t="s">
        <v>154</v>
      </c>
    </row>
    <row r="47" spans="3:11">
      <c r="D47" t="s">
        <v>177</v>
      </c>
    </row>
    <row r="48" spans="3:11">
      <c r="D48" t="s">
        <v>173</v>
      </c>
    </row>
    <row r="49" spans="3:4">
      <c r="C49" t="s">
        <v>38</v>
      </c>
      <c r="D49" t="s">
        <v>161</v>
      </c>
    </row>
    <row r="50" spans="3:4">
      <c r="D50" t="s">
        <v>166</v>
      </c>
    </row>
    <row r="51" spans="3:4">
      <c r="D51" t="s">
        <v>172</v>
      </c>
    </row>
    <row r="52" spans="3:4">
      <c r="D52" t="s">
        <v>178</v>
      </c>
    </row>
    <row r="53" spans="3:4">
      <c r="D53" t="s">
        <v>181</v>
      </c>
    </row>
    <row r="54" spans="3:4">
      <c r="D54" t="s">
        <v>184</v>
      </c>
    </row>
    <row r="55" spans="3:4">
      <c r="D55" t="s">
        <v>186</v>
      </c>
    </row>
    <row r="56" spans="3:4">
      <c r="D56" t="s">
        <v>189</v>
      </c>
    </row>
    <row r="57" spans="3:4">
      <c r="D57" t="s">
        <v>191</v>
      </c>
    </row>
    <row r="58" spans="3:4">
      <c r="D58" t="s">
        <v>194</v>
      </c>
    </row>
    <row r="59" spans="3:4">
      <c r="D59" t="s">
        <v>196</v>
      </c>
    </row>
    <row r="60" spans="3:4">
      <c r="C60" t="s">
        <v>41</v>
      </c>
      <c r="D60" t="s">
        <v>162</v>
      </c>
    </row>
    <row r="61" spans="3:4">
      <c r="D61" t="s">
        <v>167</v>
      </c>
    </row>
    <row r="62" spans="3:4">
      <c r="D62" t="s">
        <v>173</v>
      </c>
    </row>
    <row r="63" spans="3:4">
      <c r="D63" t="s">
        <v>179</v>
      </c>
    </row>
    <row r="64" spans="3:4">
      <c r="D64" t="s">
        <v>182</v>
      </c>
    </row>
    <row r="65" spans="3:4">
      <c r="D65" t="s">
        <v>185</v>
      </c>
    </row>
    <row r="66" spans="3:4">
      <c r="D66" t="s">
        <v>187</v>
      </c>
    </row>
    <row r="67" spans="3:4">
      <c r="C67" t="s">
        <v>39</v>
      </c>
      <c r="D67" t="s">
        <v>163</v>
      </c>
    </row>
    <row r="68" spans="3:4">
      <c r="D68" t="s">
        <v>168</v>
      </c>
    </row>
    <row r="69" spans="3:4">
      <c r="D69" t="s">
        <v>174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4" sqref="C14"/>
    </sheetView>
  </sheetViews>
  <sheetFormatPr defaultColWidth="9" defaultRowHeight="15"/>
  <cols>
    <col min="2" max="2" width="3" customWidth="1"/>
    <col min="3" max="3" width="167.140625" customWidth="1"/>
  </cols>
  <sheetData>
    <row r="2" spans="2:3" ht="15" customHeight="1">
      <c r="B2" s="1">
        <v>1</v>
      </c>
      <c r="C2" s="2" t="s">
        <v>354</v>
      </c>
    </row>
    <row r="3" spans="2:3">
      <c r="B3" s="1">
        <v>2</v>
      </c>
      <c r="C3" s="3" t="s">
        <v>355</v>
      </c>
    </row>
    <row r="4" spans="2:3">
      <c r="B4" s="1">
        <v>3</v>
      </c>
      <c r="C4" s="4" t="s">
        <v>356</v>
      </c>
    </row>
    <row r="5" spans="2:3">
      <c r="B5" s="1">
        <v>4</v>
      </c>
      <c r="C5" s="3" t="s">
        <v>357</v>
      </c>
    </row>
    <row r="6" spans="2:3">
      <c r="B6" s="1">
        <v>5</v>
      </c>
      <c r="C6" s="4" t="s">
        <v>358</v>
      </c>
    </row>
    <row r="7" spans="2:3" ht="30">
      <c r="B7" s="1">
        <v>6</v>
      </c>
      <c r="C7" s="3" t="s">
        <v>359</v>
      </c>
    </row>
    <row r="8" spans="2:3" ht="75">
      <c r="B8" s="1">
        <v>7</v>
      </c>
      <c r="C8" s="3" t="s">
        <v>360</v>
      </c>
    </row>
    <row r="9" spans="2:3">
      <c r="B9" s="1">
        <v>8</v>
      </c>
      <c r="C9" s="4" t="s">
        <v>361</v>
      </c>
    </row>
    <row r="10" spans="2:3">
      <c r="B10" s="1">
        <v>9</v>
      </c>
      <c r="C10" s="4" t="s">
        <v>362</v>
      </c>
    </row>
    <row r="11" spans="2:3">
      <c r="B11" s="1">
        <v>10</v>
      </c>
      <c r="C11" s="4" t="s">
        <v>363</v>
      </c>
    </row>
    <row r="12" spans="2:3">
      <c r="B12" s="1">
        <v>11</v>
      </c>
      <c r="C12" s="4" t="s">
        <v>364</v>
      </c>
    </row>
    <row r="13" spans="2:3">
      <c r="B13" s="1">
        <v>12</v>
      </c>
      <c r="C13" s="4" t="s">
        <v>365</v>
      </c>
    </row>
    <row r="14" spans="2:3">
      <c r="B14" s="1">
        <v>13</v>
      </c>
      <c r="C14" s="4" t="s">
        <v>366</v>
      </c>
    </row>
    <row r="15" spans="2:3">
      <c r="B15" s="1">
        <v>14</v>
      </c>
      <c r="C15" s="4" t="s">
        <v>367</v>
      </c>
    </row>
    <row r="16" spans="2:3">
      <c r="B16" s="1">
        <v>15</v>
      </c>
      <c r="C16" s="4" t="s">
        <v>368</v>
      </c>
    </row>
    <row r="17" spans="2:3">
      <c r="B17" s="1">
        <v>16</v>
      </c>
      <c r="C17" s="5" t="s">
        <v>369</v>
      </c>
    </row>
    <row r="18" spans="2:3">
      <c r="B18" s="1">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2025-09-11T07:50:50Z</cp:lastPrinted>
  <dcterms:created xsi:type="dcterms:W3CDTF">2019-07-16T09:29:00Z</dcterms:created>
  <dcterms:modified xsi:type="dcterms:W3CDTF">2025-09-11T07:53:34Z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55C4CD3D26E24FE4AE6FACF5272542BB_12</vt:lpwstr>
  </property>
  <property fmtid="{D5CDD505-2E9C-101B-9397-08002B2CF9AE}" pid="3" name="KSOProductBuildVer">
    <vt:lpwstr>1033-12.2.0.17562</vt:lpwstr>
  </property>
</Properties>
</file>