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_FilterDatabase" localSheetId="0" hidden="1">Report!$C$126:$C$214</definedName>
    <definedName name="_xlnm.Print_Area" localSheetId="0">Report!$A$1:$H$342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J151" i="1" s="1"/>
  <c r="D150" i="1"/>
  <c r="J150" i="1" s="1"/>
  <c r="D149" i="1"/>
  <c r="J149" i="1" s="1"/>
  <c r="D148" i="1"/>
  <c r="J148" i="1" s="1"/>
  <c r="J147" i="1"/>
  <c r="D147" i="1"/>
  <c r="D146" i="1"/>
  <c r="J146" i="1" s="1"/>
  <c r="A146" i="1"/>
  <c r="A147" i="1" s="1"/>
  <c r="A148" i="1" s="1"/>
  <c r="A149" i="1" s="1"/>
  <c r="A150" i="1" s="1"/>
  <c r="A151" i="1" s="1"/>
  <c r="M145" i="1"/>
  <c r="J145" i="1"/>
  <c r="I145" i="1"/>
  <c r="D145" i="1"/>
  <c r="A145" i="1"/>
  <c r="L144" i="1"/>
  <c r="I144" i="1"/>
  <c r="G144" i="1"/>
  <c r="D144" i="1"/>
  <c r="J144" i="1" s="1"/>
  <c r="I143" i="1"/>
  <c r="M127" i="1" l="1"/>
  <c r="L126" i="1"/>
  <c r="M98" i="1"/>
  <c r="J179" i="1"/>
  <c r="J161" i="1"/>
  <c r="J170" i="1"/>
  <c r="K172" i="1"/>
  <c r="D187" i="1"/>
  <c r="F187" i="1" s="1"/>
  <c r="J187" i="1" s="1"/>
  <c r="D186" i="1"/>
  <c r="F186" i="1" s="1"/>
  <c r="J186" i="1" s="1"/>
  <c r="D185" i="1"/>
  <c r="F185" i="1" s="1"/>
  <c r="J185" i="1" s="1"/>
  <c r="D184" i="1"/>
  <c r="F184" i="1" s="1"/>
  <c r="J184" i="1" s="1"/>
  <c r="D183" i="1"/>
  <c r="F183" i="1" s="1"/>
  <c r="J183" i="1" s="1"/>
  <c r="D182" i="1"/>
  <c r="F182" i="1" s="1"/>
  <c r="J182" i="1" s="1"/>
  <c r="D181" i="1"/>
  <c r="F181" i="1" s="1"/>
  <c r="J181" i="1" s="1"/>
  <c r="D180" i="1"/>
  <c r="F180" i="1" s="1"/>
  <c r="J180" i="1" s="1"/>
  <c r="D178" i="1"/>
  <c r="F178" i="1" s="1"/>
  <c r="J178" i="1" s="1"/>
  <c r="D171" i="1"/>
  <c r="F171" i="1" s="1"/>
  <c r="D174" i="1"/>
  <c r="F174" i="1" s="1"/>
  <c r="J174" i="1" s="1"/>
  <c r="D160" i="1"/>
  <c r="J160" i="1" s="1"/>
  <c r="D159" i="1"/>
  <c r="J159" i="1" s="1"/>
  <c r="D158" i="1"/>
  <c r="J158" i="1" s="1"/>
  <c r="D157" i="1"/>
  <c r="J157" i="1" s="1"/>
  <c r="D156" i="1"/>
  <c r="J156" i="1" s="1"/>
  <c r="D155" i="1"/>
  <c r="J155" i="1" s="1"/>
  <c r="I154" i="1"/>
  <c r="D154" i="1"/>
  <c r="J154" i="1" s="1"/>
  <c r="A154" i="1"/>
  <c r="A155" i="1" s="1"/>
  <c r="A156" i="1" s="1"/>
  <c r="A157" i="1" s="1"/>
  <c r="A158" i="1" s="1"/>
  <c r="A159" i="1" s="1"/>
  <c r="A160" i="1" s="1"/>
  <c r="I153" i="1"/>
  <c r="G153" i="1"/>
  <c r="D153" i="1"/>
  <c r="J153" i="1" s="1"/>
  <c r="I152" i="1"/>
  <c r="I111" i="1"/>
  <c r="I103" i="1"/>
  <c r="I50" i="1"/>
  <c r="I43" i="1"/>
  <c r="J171" i="1" l="1"/>
  <c r="I125" i="1"/>
  <c r="A181" i="1"/>
  <c r="A182" i="1" s="1"/>
  <c r="A183" i="1" s="1"/>
  <c r="A184" i="1" s="1"/>
  <c r="A185" i="1" s="1"/>
  <c r="A186" i="1" s="1"/>
  <c r="A187" i="1" s="1"/>
  <c r="G180" i="1"/>
  <c r="G181" i="1" s="1"/>
  <c r="G182" i="1" s="1"/>
  <c r="G183" i="1" s="1"/>
  <c r="G184" i="1" s="1"/>
  <c r="G185" i="1" s="1"/>
  <c r="G186" i="1" s="1"/>
  <c r="G187" i="1" s="1"/>
  <c r="D172" i="1"/>
  <c r="F172" i="1" s="1"/>
  <c r="J172" i="1" s="1"/>
  <c r="D173" i="1"/>
  <c r="F173" i="1" s="1"/>
  <c r="J173" i="1" s="1"/>
  <c r="D175" i="1"/>
  <c r="F175" i="1" s="1"/>
  <c r="J175" i="1" s="1"/>
  <c r="D176" i="1"/>
  <c r="F176" i="1" s="1"/>
  <c r="J176" i="1" s="1"/>
  <c r="D177" i="1"/>
  <c r="F177" i="1" s="1"/>
  <c r="J177" i="1" s="1"/>
  <c r="D126" i="1"/>
  <c r="D133" i="1"/>
  <c r="J133" i="1" s="1"/>
  <c r="D169" i="1"/>
  <c r="J169" i="1" s="1"/>
  <c r="D162" i="1"/>
  <c r="J162" i="1" s="1"/>
  <c r="A172" i="1"/>
  <c r="A173" i="1" s="1"/>
  <c r="A174" i="1" s="1"/>
  <c r="A175" i="1" s="1"/>
  <c r="A176" i="1" s="1"/>
  <c r="A177" i="1" s="1"/>
  <c r="A178" i="1" s="1"/>
  <c r="G171" i="1"/>
  <c r="G172" i="1" s="1"/>
  <c r="G173" i="1" s="1"/>
  <c r="G174" i="1" s="1"/>
  <c r="G175" i="1" s="1"/>
  <c r="G176" i="1" s="1"/>
  <c r="G177" i="1" s="1"/>
  <c r="G178" i="1" s="1"/>
  <c r="I127" i="1"/>
  <c r="D168" i="1"/>
  <c r="J168" i="1" s="1"/>
  <c r="D167" i="1"/>
  <c r="J167" i="1" s="1"/>
  <c r="D166" i="1"/>
  <c r="J166" i="1" s="1"/>
  <c r="D165" i="1"/>
  <c r="J165" i="1" s="1"/>
  <c r="D164" i="1"/>
  <c r="J164" i="1" s="1"/>
  <c r="D163" i="1"/>
  <c r="J163" i="1" s="1"/>
  <c r="A163" i="1"/>
  <c r="A164" i="1" s="1"/>
  <c r="A165" i="1" s="1"/>
  <c r="A166" i="1" s="1"/>
  <c r="A167" i="1" s="1"/>
  <c r="A168" i="1" s="1"/>
  <c r="A169" i="1" s="1"/>
  <c r="G162" i="1"/>
  <c r="G163" i="1" s="1"/>
  <c r="G164" i="1" s="1"/>
  <c r="G165" i="1" s="1"/>
  <c r="G166" i="1" s="1"/>
  <c r="G167" i="1" s="1"/>
  <c r="G168" i="1" s="1"/>
  <c r="G169" i="1" s="1"/>
  <c r="A136" i="1"/>
  <c r="A137" i="1" s="1"/>
  <c r="A138" i="1" s="1"/>
  <c r="A139" i="1" s="1"/>
  <c r="A140" i="1" s="1"/>
  <c r="A141" i="1" s="1"/>
  <c r="A142" i="1" s="1"/>
  <c r="A127" i="1"/>
  <c r="A128" i="1" s="1"/>
  <c r="A129" i="1" s="1"/>
  <c r="A130" i="1" s="1"/>
  <c r="A131" i="1" s="1"/>
  <c r="A132" i="1" s="1"/>
  <c r="A133" i="1" s="1"/>
  <c r="I126" i="1"/>
  <c r="I121" i="1"/>
  <c r="E110" i="1"/>
  <c r="E109" i="1"/>
  <c r="E107" i="1"/>
  <c r="E104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E40" i="1"/>
  <c r="G96" i="1" l="1"/>
  <c r="E93" i="1"/>
  <c r="J126" i="1"/>
  <c r="D142" i="1"/>
  <c r="D141" i="1"/>
  <c r="D140" i="1"/>
  <c r="D139" i="1"/>
  <c r="D138" i="1"/>
  <c r="D137" i="1"/>
  <c r="D136" i="1"/>
  <c r="D135" i="1"/>
  <c r="D127" i="1"/>
  <c r="J127" i="1" s="1"/>
  <c r="D132" i="1"/>
  <c r="J132" i="1" s="1"/>
  <c r="D131" i="1"/>
  <c r="J131" i="1" s="1"/>
  <c r="D130" i="1"/>
  <c r="J130" i="1" s="1"/>
  <c r="D129" i="1"/>
  <c r="J129" i="1" s="1"/>
  <c r="D128" i="1"/>
  <c r="J128" i="1" s="1"/>
  <c r="G135" i="1"/>
  <c r="G136" i="1" s="1"/>
  <c r="G137" i="1" s="1"/>
  <c r="G138" i="1" s="1"/>
  <c r="G139" i="1" s="1"/>
  <c r="G140" i="1" s="1"/>
  <c r="G141" i="1" s="1"/>
  <c r="G142" i="1" s="1"/>
  <c r="E121" i="1"/>
  <c r="E112" i="1"/>
  <c r="E113" i="1"/>
  <c r="E114" i="1"/>
  <c r="E115" i="1"/>
  <c r="E116" i="1"/>
  <c r="E117" i="1"/>
  <c r="E118" i="1"/>
  <c r="E119" i="1"/>
  <c r="E120" i="1"/>
  <c r="E111" i="1"/>
  <c r="E108" i="1"/>
  <c r="E106" i="1"/>
  <c r="E105" i="1"/>
  <c r="E103" i="1"/>
  <c r="C93" i="1"/>
  <c r="K103" i="1"/>
  <c r="J103" i="1"/>
  <c r="C96" i="1" l="1"/>
  <c r="E96" i="1"/>
  <c r="E97" i="1" s="1"/>
  <c r="C97" i="1"/>
  <c r="F110" i="1"/>
  <c r="F118" i="1"/>
  <c r="F114" i="1"/>
  <c r="F120" i="1"/>
  <c r="F116" i="1"/>
  <c r="F112" i="1"/>
  <c r="F117" i="1"/>
  <c r="F113" i="1"/>
  <c r="F115" i="1"/>
  <c r="F119" i="1"/>
  <c r="F121" i="1"/>
  <c r="F111" i="1"/>
  <c r="K93" i="1" l="1"/>
  <c r="B190" i="1"/>
  <c r="C14" i="1" l="1"/>
  <c r="E28" i="1" l="1"/>
  <c r="F104" i="1" l="1"/>
  <c r="F105" i="1"/>
  <c r="F106" i="1"/>
  <c r="F107" i="1"/>
  <c r="F108" i="1"/>
  <c r="F109" i="1"/>
  <c r="F103" i="1"/>
  <c r="G93" i="1" l="1"/>
  <c r="G97" i="1" s="1"/>
  <c r="B191" i="1"/>
  <c r="J93" i="1" l="1"/>
  <c r="F11" i="5"/>
  <c r="G11" i="5" s="1"/>
  <c r="F10" i="5"/>
  <c r="G10" i="5" s="1"/>
  <c r="F9" i="5"/>
  <c r="G9" i="5" s="1"/>
  <c r="G8" i="5"/>
  <c r="F8" i="5"/>
  <c r="F7" i="5"/>
  <c r="G7" i="5" s="1"/>
  <c r="F6" i="5"/>
  <c r="G6" i="5" s="1"/>
  <c r="F5" i="5"/>
  <c r="G5" i="5" s="1"/>
  <c r="G12" i="5" s="1"/>
  <c r="D214" i="1"/>
  <c r="G126" i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G103" i="1"/>
  <c r="F90" i="1"/>
  <c r="J75" i="1"/>
  <c r="J74" i="1"/>
  <c r="J73" i="1"/>
  <c r="J72" i="1"/>
  <c r="C64" i="1"/>
  <c r="D53" i="1"/>
  <c r="G48" i="1"/>
  <c r="C48" i="1"/>
  <c r="E41" i="1"/>
  <c r="E42" i="1" s="1"/>
  <c r="E25" i="1"/>
  <c r="E23" i="1"/>
  <c r="E7" i="1"/>
  <c r="E3" i="1"/>
  <c r="D58" i="1" s="1"/>
  <c r="H65" i="1"/>
  <c r="D70" i="1" l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D76" i="1"/>
  <c r="D72" i="1"/>
  <c r="D74" i="1"/>
  <c r="E68" i="1" l="1"/>
  <c r="I64" i="1" s="1"/>
  <c r="D69" i="1"/>
  <c r="G68" i="1"/>
  <c r="D62" i="1" s="1"/>
  <c r="C66" i="1" l="1"/>
  <c r="F63" i="1"/>
  <c r="D63" i="1"/>
</calcChain>
</file>

<file path=xl/sharedStrings.xml><?xml version="1.0" encoding="utf-8"?>
<sst xmlns="http://schemas.openxmlformats.org/spreadsheetml/2006/main" count="345" uniqueCount="231">
  <si>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</si>
  <si>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</si>
  <si>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</si>
  <si>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</si>
  <si>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</si>
  <si>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</si>
  <si>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</si>
  <si>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</si>
  <si>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</si>
  <si>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</si>
  <si>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</si>
  <si>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</si>
  <si>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</si>
  <si>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</si>
  <si>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</si>
  <si>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</si>
  <si>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</si>
  <si>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</si>
  <si>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</si>
  <si>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</si>
  <si>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</si>
  <si>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</si>
  <si>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</si>
  <si>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</si>
  <si>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</si>
  <si>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</si>
  <si>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</si>
  <si>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</si>
  <si>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</si>
  <si>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</si>
  <si>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</si>
  <si>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</si>
  <si>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</si>
  <si>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</si>
  <si>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</si>
  <si>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</si>
  <si>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</si>
  <si>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</si>
  <si>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</si>
  <si>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</si>
  <si>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</si>
  <si>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</si>
  <si>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</si>
  <si>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</si>
  <si>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</si>
  <si>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</si>
  <si>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</si>
  <si>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</si>
  <si>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</si>
  <si>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</si>
  <si>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</si>
  <si>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</si>
  <si>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</si>
  <si>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</si>
  <si>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</si>
  <si>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</si>
  <si>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</si>
  <si>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</si>
  <si>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</si>
  <si>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</si>
  <si>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</si>
  <si>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</si>
  <si>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</si>
  <si>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</si>
  <si>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</si>
  <si>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</si>
  <si>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</si>
  <si>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</si>
  <si>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</si>
  <si>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</si>
  <si>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</si>
  <si>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</si>
  <si>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</si>
  <si>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</si>
  <si>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</si>
  <si>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</si>
  <si>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</si>
  <si>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</si>
  <si>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</si>
  <si>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</si>
  <si>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</si>
  <si>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</si>
  <si>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</si>
  <si>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</si>
  <si>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</si>
  <si>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</si>
  <si>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</si>
  <si>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</si>
  <si>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</si>
  <si>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</si>
  <si>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</si>
  <si>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</si>
  <si>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</si>
  <si>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</si>
  <si>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</si>
  <si>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</si>
  <si>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</si>
  <si>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</si>
  <si>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</si>
  <si>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</si>
  <si>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</si>
  <si>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</si>
  <si>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</si>
  <si>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</si>
  <si>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</si>
  <si>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</si>
  <si>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</si>
  <si>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</si>
  <si>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</si>
  <si>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</si>
  <si>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</si>
  <si>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</si>
  <si>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</si>
  <si>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</si>
  <si>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</si>
  <si>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</si>
  <si>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</si>
  <si>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</si>
  <si>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</si>
  <si>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</si>
  <si>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</si>
  <si>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</si>
  <si>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</si>
  <si>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</si>
  <si>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</si>
  <si>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</si>
  <si>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</si>
  <si>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</si>
  <si>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</si>
  <si>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</si>
  <si>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</si>
  <si>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</si>
  <si>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</si>
  <si>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</si>
  <si>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</si>
  <si>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</si>
  <si>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</si>
  <si>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</si>
  <si>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</si>
  <si>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</si>
  <si>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</si>
  <si>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</si>
  <si>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</si>
  <si>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</si>
  <si>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</si>
  <si>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</si>
  <si>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</si>
  <si>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</si>
  <si>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</si>
  <si>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</si>
  <si>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</si>
  <si>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</si>
  <si>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</si>
  <si>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</si>
  <si>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</si>
  <si>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</si>
  <si>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</si>
  <si>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</si>
  <si>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</si>
  <si>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</si>
  <si>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</si>
  <si>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</si>
  <si>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</si>
  <si>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</si>
  <si>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</si>
  <si>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</si>
  <si>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should be considered as all inclusive rate if other charges are not mentioned. (Excluding GST &amp; other government Taxes)</t>
  </si>
  <si>
    <t>Axis Sanpada</t>
  </si>
  <si>
    <t>M/s. Cemcon Developers</t>
  </si>
  <si>
    <t>Innovative Icon</t>
  </si>
  <si>
    <t>1 Building</t>
  </si>
  <si>
    <t>P52000022661</t>
  </si>
  <si>
    <t>Plot No</t>
  </si>
  <si>
    <t>21 &amp; 22-A, Sector No.18</t>
  </si>
  <si>
    <t>Taloja</t>
  </si>
  <si>
    <t>Raigad</t>
  </si>
  <si>
    <t>Panvel</t>
  </si>
  <si>
    <t>Internal Road</t>
  </si>
  <si>
    <t>Kalpavruksha Valley</t>
  </si>
  <si>
    <t>As per RERA -  30/12/2028</t>
  </si>
  <si>
    <t>Shop</t>
  </si>
  <si>
    <t>1BHK</t>
  </si>
  <si>
    <t>2BHK</t>
  </si>
  <si>
    <t>Attached Loft area</t>
  </si>
  <si>
    <t>Flats</t>
  </si>
  <si>
    <t>Project Lay Near Metro Railway Track. Please provide RAILWAY NOC.</t>
  </si>
  <si>
    <t>Builder Saleable area</t>
  </si>
  <si>
    <t>30/- from 4th Floor</t>
  </si>
  <si>
    <t xml:space="preserve">we have asked for Metro NOC, but as per akash sir request we have removed remark </t>
  </si>
  <si>
    <t>Location Link</t>
  </si>
  <si>
    <t>On Site, we meet Mr. Tanvir : 8566968566.</t>
  </si>
  <si>
    <t>Site Person - Contact Details ( Name &amp; Contact No.)</t>
  </si>
  <si>
    <t>Mr. Rohidas 8108809181</t>
  </si>
  <si>
    <t>01 Building</t>
  </si>
  <si>
    <t>CIDCO/BP-16823/TPO(NM &amp; K)/2019/12120</t>
  </si>
  <si>
    <t>Gr/St + 1st to 21st Floor</t>
  </si>
  <si>
    <t>Gr/St + 1st to 21st Floor (Amended BUA = 4558.85)</t>
  </si>
  <si>
    <t xml:space="preserve">Commencement Certificate No.
Valid Up to:  </t>
  </si>
  <si>
    <t>Latitude,Longitude</t>
  </si>
  <si>
    <t>19.071927,73.097586</t>
  </si>
  <si>
    <t>https://maps.app.goo.gl/wQB44aZPA5QiE7kG8</t>
  </si>
  <si>
    <t>Other Plot</t>
  </si>
  <si>
    <t>Prism Heights</t>
  </si>
  <si>
    <t>Open Plot</t>
  </si>
  <si>
    <t>15.00 M. Wide Road</t>
  </si>
  <si>
    <t>20.00 m. Wide Road</t>
  </si>
  <si>
    <t>Pendhar Metro Station/Taloja Metro Road</t>
  </si>
  <si>
    <t>Office No. 1031, Wing J, Akshar Business Park, Plot No. 03 Sector 25, Near APMC Market, 
Vashi, Navi Mumbai, Maharashtra 400703 TEL: 022-46090378/79/80                                                                                             E mail : vsjcapf@gmail.com. Web site : www.vsjadon.com</t>
  </si>
  <si>
    <t>City and Industrial Development Corporation of Maharashtra (CIDCO)</t>
  </si>
  <si>
    <t>1st &amp; 2nd Floor for Parking</t>
  </si>
  <si>
    <t>3rd Floor for FitnessCentre, Jogging Track, Basket Ball, Childrens Play Area, Society Office, Senior Citizen Area &amp;  Party Lawn</t>
  </si>
  <si>
    <t>FitnessCentre, Jogging Track, Basket Ball, Childrens Play Area, Senior Citizen Area &amp;  Party Lawn</t>
  </si>
  <si>
    <t>Approved plan</t>
  </si>
  <si>
    <t>5th Floor</t>
  </si>
  <si>
    <t>7th, 9th, 11th, 13th, 15th Floor (Refuge Balcony at Mid landing of Stairecase)</t>
  </si>
  <si>
    <t>16th, 18th &amp; 20th Floor (Refuge Balcony at Mid landing of Stairecase)</t>
  </si>
  <si>
    <t>17th, 19th &amp; 21st Floor</t>
  </si>
  <si>
    <t>We considered Gross carpet area = Net carpet + Balcony + Varandah + Chajja Area.</t>
  </si>
  <si>
    <t>Carpet area + Balcony + Varandah + Chajja</t>
  </si>
  <si>
    <t>We have updated approved plan &amp; C.C (On 09/03/2024).</t>
  </si>
  <si>
    <t xml:space="preserve">Toal </t>
  </si>
  <si>
    <t>Flats - 144, Shops - 19</t>
  </si>
  <si>
    <t xml:space="preserve">Layout : </t>
  </si>
  <si>
    <t>5M from Pendhar Railway Station</t>
  </si>
  <si>
    <t>Ground Floor for Commercial, Entrance Lobby, Meter Room, Pump Room, Driver Room &amp; Parking</t>
  </si>
  <si>
    <t>4th, 6th, 8th, 10th &amp; 14th Floor for Residential</t>
  </si>
  <si>
    <t>12th Floor</t>
  </si>
  <si>
    <t>Recommended Other charges of the Property have been revised on 24/03/2025.</t>
  </si>
  <si>
    <t>Construction work is in process at the time of Visit. (Internal visit was not allowed.)</t>
  </si>
  <si>
    <t>Pranita Mhatre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</si>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</sst>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  <numFmt numFmtId="169" formatCode="0.000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Protection="1">
      <protection hidden="1"/>
    </xf>
    <xf numFmtId="0" fontId="7" fillId="0" borderId="7" xfId="1" applyFont="1" applyBorder="1" applyProtection="1">
      <protection hidden="1"/>
    </xf>
    <xf numFmtId="0" fontId="7" fillId="0" borderId="7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0" applyNumberFormat="1" applyFont="1" applyBorder="1" applyProtection="1">
      <protection hidden="1"/>
    </xf>
    <xf numFmtId="0" fontId="7" fillId="0" borderId="5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8" xfId="0" applyFont="1" applyFill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3" fillId="0" borderId="0" xfId="1" applyFont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1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12" fillId="2" borderId="0" xfId="1" applyNumberFormat="1" applyFont="1" applyFill="1"/>
    <xf numFmtId="0" fontId="12" fillId="2" borderId="1" xfId="1" applyFont="1" applyFill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center" wrapText="1"/>
      <protection locked="0"/>
    </xf>
    <xf numFmtId="1" fontId="12" fillId="2" borderId="1" xfId="1" applyNumberFormat="1" applyFont="1" applyFill="1" applyBorder="1" applyAlignment="1" applyProtection="1">
      <alignment horizontal="center" wrapText="1"/>
      <protection locked="0"/>
    </xf>
    <xf numFmtId="2" fontId="7" fillId="0" borderId="0" xfId="1" applyNumberFormat="1" applyFont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1" applyNumberFormat="1" applyFont="1" applyAlignment="1">
      <alignment horizontal="center" vertical="center"/>
    </xf>
    <xf numFmtId="0" fontId="7" fillId="3" borderId="17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Fill="1" applyBorder="1" applyAlignment="1" applyProtection="1">
      <alignment vertical="top" wrapText="1"/>
      <protection locked="0"/>
    </xf>
    <xf numFmtId="1" fontId="8" fillId="0" borderId="15" xfId="0" applyNumberFormat="1" applyFont="1" applyFill="1" applyBorder="1" applyAlignment="1" applyProtection="1">
      <alignment vertical="top" wrapText="1"/>
      <protection locked="0"/>
    </xf>
    <xf numFmtId="1" fontId="8" fillId="0" borderId="4" xfId="0" applyNumberFormat="1" applyFont="1" applyFill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64" fontId="12" fillId="2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1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2" xfId="1" applyNumberFormat="1" applyFont="1" applyFill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0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0" xfId="1" applyNumberFormat="1" applyFont="1" applyFill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3" xfId="0" applyNumberFormat="1" applyFont="1" applyFill="1" applyBorder="1" applyAlignment="1" applyProtection="1">
      <alignment vertical="top" wrapText="1"/>
      <protection locked="0"/>
    </xf>
    <xf numFmtId="1" fontId="13" fillId="0" borderId="15" xfId="0" applyNumberFormat="1" applyFont="1" applyFill="1" applyBorder="1" applyAlignment="1" applyProtection="1">
      <alignment vertical="top" wrapText="1"/>
      <protection locked="0"/>
    </xf>
    <xf numFmtId="1" fontId="13" fillId="0" borderId="4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43" fontId="12" fillId="2" borderId="1" xfId="9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8" fillId="2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167" fontId="13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3" xfId="1" applyFont="1" applyFill="1" applyBorder="1" applyAlignment="1" applyProtection="1">
      <alignment horizontal="left" vertical="top" wrapText="1"/>
      <protection locked="0"/>
    </xf>
    <xf numFmtId="0" fontId="12" fillId="2" borderId="15" xfId="1" applyFont="1" applyFill="1" applyBorder="1" applyAlignment="1" applyProtection="1">
      <alignment horizontal="left" vertical="top" wrapText="1"/>
      <protection locked="0"/>
    </xf>
    <xf numFmtId="0" fontId="12" fillId="2" borderId="4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2" fillId="2" borderId="1" xfId="1" applyNumberFormat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0" fontId="12" fillId="2" borderId="1" xfId="1" applyFont="1" applyFill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2" xfId="1" applyFont="1" applyFill="1" applyBorder="1" applyAlignment="1" applyProtection="1">
      <alignment horizontal="left" vertical="top" wrapText="1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24" fillId="0" borderId="1" xfId="10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6" fillId="2" borderId="3" xfId="1" applyFont="1" applyFill="1" applyBorder="1" applyAlignment="1" applyProtection="1">
      <alignment horizontal="left" vertical="top" wrapText="1"/>
      <protection locked="0"/>
    </xf>
    <xf numFmtId="0" fontId="6" fillId="2" borderId="4" xfId="1" applyFont="1" applyFill="1" applyBorder="1" applyAlignment="1" applyProtection="1">
      <alignment horizontal="left" vertical="top" wrapText="1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13" fillId="2" borderId="15" xfId="1" applyFont="1" applyFill="1" applyBorder="1" applyAlignment="1" applyProtection="1">
      <alignment horizontal="left" vertical="top"/>
      <protection locked="0"/>
    </xf>
    <xf numFmtId="0" fontId="13" fillId="2" borderId="4" xfId="1" applyFont="1" applyFill="1" applyBorder="1" applyAlignment="1" applyProtection="1">
      <alignment horizontal="left" vertical="top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0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righ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339000</xdr:colOff>
      <xdr:row>280</xdr:row>
      <xdr:rowOff>114301</xdr:rowOff>
    </xdr:from>
    <xdr:to>
      <xdr:col>6</xdr:col>
      <xdr:colOff>501618</xdr:colOff>
      <xdr:row>296</xdr:row>
      <xdr:rowOff>183849</xdr:rowOff>
    </xdr:to>
    <xdr:pic>
      <xdr:nvPicPr>
        <xdr:cNvPr id="22" name="Picture 2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000" y="54373183"/>
          <a:ext cx="4320000" cy="32968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381000</xdr:colOff>
      <xdr:row>259</xdr:row>
      <xdr:rowOff>44824</xdr:rowOff>
    </xdr:from>
    <xdr:to>
      <xdr:col>7</xdr:col>
      <xdr:colOff>437206</xdr:colOff>
      <xdr:row>279</xdr:row>
      <xdr:rowOff>151772</xdr:rowOff>
    </xdr:to>
    <xdr:grpSp>
      <xdr:nvGrpSpPr>
        <xdr:cNvPr id="23" name="Group 22"/>
        <xdr:cNvGrpSpPr/>
      </xdr:nvGrpSpPr>
      <xdr:grpSpPr>
        <a:xfrm>
          <a:off x="381000" y="53439253"/>
          <a:ext cx="5730385" cy="4189090"/>
          <a:chOff x="549000" y="361950"/>
          <a:chExt cx="5760000" cy="4141065"/>
        </a:xfrm>
      </xdr:grpSpPr>
      <xdr:pic>
        <xdr:nvPicPr>
          <xdr:cNvPr id="24" name="Picture 2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9000" y="361950"/>
            <a:ext cx="5760000" cy="414106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5" name="Down Arrow 24"/>
          <xdr:cNvSpPr/>
        </xdr:nvSpPr>
        <xdr:spPr>
          <a:xfrm>
            <a:off x="5974556" y="4021931"/>
            <a:ext cx="91725" cy="187832"/>
          </a:xfrm>
          <a:prstGeom prst="down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 sz="1400">
              <a:solidFill>
                <a:srgbClr val="FF0000"/>
              </a:solidFill>
            </a:endParaRPr>
          </a:p>
        </xdr:txBody>
      </xdr:sp>
      <xdr:sp macro="" textlink="">
        <xdr:nvSpPr>
          <xdr:cNvPr id="26" name="TextBox 12"/>
          <xdr:cNvSpPr txBox="1"/>
        </xdr:nvSpPr>
        <xdr:spPr>
          <a:xfrm>
            <a:off x="5870215" y="4164807"/>
            <a:ext cx="30008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FF0000"/>
                </a:solidFill>
              </a:rPr>
              <a:t>N</a:t>
            </a:r>
            <a:endParaRPr lang="en-IN" sz="14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212911</xdr:colOff>
      <xdr:row>301</xdr:row>
      <xdr:rowOff>33618</xdr:rowOff>
    </xdr:from>
    <xdr:to>
      <xdr:col>7</xdr:col>
      <xdr:colOff>605117</xdr:colOff>
      <xdr:row>319</xdr:row>
      <xdr:rowOff>193863</xdr:rowOff>
    </xdr:to>
    <xdr:pic>
      <xdr:nvPicPr>
        <xdr:cNvPr id="27" name="Picture 26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2911" y="58931736"/>
          <a:ext cx="6096000" cy="3790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555811</xdr:colOff>
      <xdr:row>321</xdr:row>
      <xdr:rowOff>19051</xdr:rowOff>
    </xdr:from>
    <xdr:to>
      <xdr:col>7</xdr:col>
      <xdr:colOff>262217</xdr:colOff>
      <xdr:row>338</xdr:row>
      <xdr:rowOff>133351</xdr:rowOff>
    </xdr:to>
    <xdr:grpSp>
      <xdr:nvGrpSpPr>
        <xdr:cNvPr id="28" name="Group 27"/>
        <xdr:cNvGrpSpPr/>
      </xdr:nvGrpSpPr>
      <xdr:grpSpPr>
        <a:xfrm>
          <a:off x="555811" y="66068122"/>
          <a:ext cx="5380585" cy="3584122"/>
          <a:chOff x="666750" y="4400550"/>
          <a:chExt cx="5410200" cy="3543300"/>
        </a:xfrm>
      </xdr:grpSpPr>
      <xdr:pic>
        <xdr:nvPicPr>
          <xdr:cNvPr id="29" name="Picture 28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66750" y="4400550"/>
            <a:ext cx="5410200" cy="35433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0" name="Rectangle 29"/>
          <xdr:cNvSpPr/>
        </xdr:nvSpPr>
        <xdr:spPr>
          <a:xfrm rot="2104785">
            <a:off x="2461943" y="5418788"/>
            <a:ext cx="1819816" cy="1133525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>
    <xdr:from>
      <xdr:col>8</xdr:col>
      <xdr:colOff>542925</xdr:colOff>
      <xdr:row>214</xdr:row>
      <xdr:rowOff>57149</xdr:rowOff>
    </xdr:from>
    <xdr:to>
      <xdr:col>16</xdr:col>
      <xdr:colOff>70776</xdr:colOff>
      <xdr:row>255</xdr:row>
      <xdr:rowOff>131292</xdr:rowOff>
    </xdr:to>
    <xdr:grpSp>
      <xdr:nvGrpSpPr>
        <xdr:cNvPr id="3" name="Group 2"/>
        <xdr:cNvGrpSpPr/>
      </xdr:nvGrpSpPr>
      <xdr:grpSpPr>
        <a:xfrm>
          <a:off x="7047139" y="44280363"/>
          <a:ext cx="5923208" cy="8428929"/>
          <a:chOff x="257175" y="43605449"/>
          <a:chExt cx="5928651" cy="8265643"/>
        </a:xfrm>
      </xdr:grpSpPr>
      <xdr:pic>
        <xdr:nvPicPr>
          <xdr:cNvPr id="21" name="Picture 20" descr="https://vsjcllp.vsjadon.com/upload/insp-23636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81276" y="50129379"/>
            <a:ext cx="1304924" cy="17417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6364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7175" y="43605449"/>
            <a:ext cx="2918751" cy="3895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6364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7075" y="43605449"/>
            <a:ext cx="2918751" cy="3895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636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6000" y="47586900"/>
            <a:ext cx="1841168" cy="2457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6364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2425" y="47586900"/>
            <a:ext cx="1841168" cy="2457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6364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19575" y="47586900"/>
            <a:ext cx="1841168" cy="2457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314325</xdr:colOff>
      <xdr:row>214</xdr:row>
      <xdr:rowOff>66675</xdr:rowOff>
    </xdr:from>
    <xdr:to>
      <xdr:col>7</xdr:col>
      <xdr:colOff>706975</xdr:colOff>
      <xdr:row>250</xdr:row>
      <xdr:rowOff>123603</xdr:rowOff>
    </xdr:to>
    <xdr:grpSp>
      <xdr:nvGrpSpPr>
        <xdr:cNvPr id="18" name="Group 17"/>
        <xdr:cNvGrpSpPr/>
      </xdr:nvGrpSpPr>
      <xdr:grpSpPr>
        <a:xfrm>
          <a:off x="314325" y="44289889"/>
          <a:ext cx="6066829" cy="7391178"/>
          <a:chOff x="230016" y="1461354"/>
          <a:chExt cx="6088600" cy="7248303"/>
        </a:xfrm>
      </xdr:grpSpPr>
      <xdr:pic>
        <xdr:nvPicPr>
          <xdr:cNvPr id="19" name="Picture 18" descr="https://vsjcllp.vsjadon.com/upload/insp-24682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37798" y="6874302"/>
            <a:ext cx="1380818" cy="18353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6826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3244" y="1461354"/>
            <a:ext cx="1949172" cy="25907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826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18552" y="6874302"/>
            <a:ext cx="1380818" cy="18353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826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577" y="6874302"/>
            <a:ext cx="1380818" cy="18353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826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3244" y="4152900"/>
            <a:ext cx="1949172" cy="25907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826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0016" y="1461354"/>
            <a:ext cx="3974140" cy="52823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6826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32720" y="6874302"/>
            <a:ext cx="1375083" cy="18353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wQB44aZPA5QiE7kG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00"/>
  <sheetViews>
    <sheetView tabSelected="1" showWhiteSpace="0" view="pageBreakPreview" zoomScale="70" zoomScaleNormal="100" zoomScaleSheetLayoutView="70" workbookViewId="0">
      <selection activeCell="M11" sqref="M11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2.42578125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158" t="s">
        <v>207</v>
      </c>
      <c r="B1" s="158"/>
      <c r="C1" s="158"/>
      <c r="D1" s="158"/>
      <c r="E1" s="158"/>
      <c r="F1" s="158"/>
      <c r="G1" s="158"/>
      <c r="H1" s="158"/>
    </row>
    <row r="2" spans="1:8" ht="16.5" customHeight="1" x14ac:dyDescent="0.25">
      <c r="A2" s="159" t="s">
        <v>0</v>
      </c>
      <c r="B2" s="159"/>
      <c r="C2" s="159"/>
      <c r="D2" s="159"/>
      <c r="E2" s="159"/>
      <c r="F2" s="159"/>
      <c r="G2" s="159"/>
      <c r="H2" s="159"/>
    </row>
    <row r="3" spans="1:8" x14ac:dyDescent="0.25">
      <c r="A3" s="93" t="s">
        <v>1</v>
      </c>
      <c r="B3" s="93"/>
      <c r="C3" s="93"/>
      <c r="D3" s="93"/>
      <c r="E3" s="160" t="str">
        <f ca="1">TEXT(TODAY(),"DD/MM/YYYY")</f>
        <v>17/09/2025</v>
      </c>
      <c r="F3" s="160"/>
      <c r="G3" s="160"/>
      <c r="H3" s="160"/>
    </row>
    <row r="4" spans="1:8" ht="15" customHeight="1" x14ac:dyDescent="0.25">
      <c r="A4" s="93" t="s">
        <v>2</v>
      </c>
      <c r="B4" s="93"/>
      <c r="C4" s="93"/>
      <c r="D4" s="93"/>
      <c r="E4" s="161" t="s">
        <v>167</v>
      </c>
      <c r="F4" s="161"/>
      <c r="G4" s="161"/>
      <c r="H4" s="161"/>
    </row>
    <row r="5" spans="1:8" x14ac:dyDescent="0.25">
      <c r="A5" s="93" t="s">
        <v>3</v>
      </c>
      <c r="B5" s="93"/>
      <c r="C5" s="93"/>
      <c r="D5" s="93"/>
      <c r="E5" s="160">
        <v>45911</v>
      </c>
      <c r="F5" s="160"/>
      <c r="G5" s="160"/>
      <c r="H5" s="160"/>
    </row>
    <row r="6" spans="1:8" ht="16.5" customHeight="1" x14ac:dyDescent="0.25">
      <c r="A6" s="93" t="s">
        <v>4</v>
      </c>
      <c r="B6" s="93"/>
      <c r="C6" s="93"/>
      <c r="D6" s="93"/>
      <c r="E6" s="98" t="s">
        <v>168</v>
      </c>
      <c r="F6" s="98"/>
      <c r="G6" s="98"/>
      <c r="H6" s="98"/>
    </row>
    <row r="7" spans="1:8" ht="15" customHeight="1" x14ac:dyDescent="0.25">
      <c r="A7" s="93" t="s">
        <v>5</v>
      </c>
      <c r="B7" s="93"/>
      <c r="C7" s="93"/>
      <c r="D7" s="93"/>
      <c r="E7" s="98" t="str">
        <f>E6</f>
        <v>M/s. Cemcon Developers</v>
      </c>
      <c r="F7" s="98"/>
      <c r="G7" s="98"/>
      <c r="H7" s="98"/>
    </row>
    <row r="8" spans="1:8" x14ac:dyDescent="0.25">
      <c r="A8" s="93" t="s">
        <v>6</v>
      </c>
      <c r="B8" s="93"/>
      <c r="C8" s="93"/>
      <c r="D8" s="93"/>
      <c r="E8" s="104" t="s">
        <v>169</v>
      </c>
      <c r="F8" s="104"/>
      <c r="G8" s="104"/>
      <c r="H8" s="104"/>
    </row>
    <row r="9" spans="1:8" x14ac:dyDescent="0.25">
      <c r="A9" s="93" t="s">
        <v>132</v>
      </c>
      <c r="B9" s="93"/>
      <c r="C9" s="93"/>
      <c r="D9" s="93"/>
      <c r="E9" s="94">
        <v>8566968566</v>
      </c>
      <c r="F9" s="94"/>
      <c r="G9" s="94"/>
      <c r="H9" s="94"/>
    </row>
    <row r="10" spans="1:8" hidden="1" x14ac:dyDescent="0.25">
      <c r="A10" s="93" t="s">
        <v>191</v>
      </c>
      <c r="B10" s="93"/>
      <c r="C10" s="93"/>
      <c r="D10" s="93"/>
      <c r="E10" s="94" t="s">
        <v>192</v>
      </c>
      <c r="F10" s="94"/>
      <c r="G10" s="94"/>
      <c r="H10" s="94"/>
    </row>
    <row r="11" spans="1:8" x14ac:dyDescent="0.25">
      <c r="A11" s="147" t="s">
        <v>7</v>
      </c>
      <c r="B11" s="147"/>
      <c r="C11" s="147"/>
      <c r="D11" s="147"/>
      <c r="E11" s="94" t="s">
        <v>193</v>
      </c>
      <c r="F11" s="94"/>
      <c r="G11" s="94"/>
      <c r="H11" s="94"/>
    </row>
    <row r="12" spans="1:8" ht="32.25" customHeight="1" x14ac:dyDescent="0.25">
      <c r="A12" s="93" t="s">
        <v>8</v>
      </c>
      <c r="B12" s="93"/>
      <c r="C12" s="93"/>
      <c r="D12" s="93"/>
      <c r="E12" s="98" t="s">
        <v>113</v>
      </c>
      <c r="F12" s="98"/>
      <c r="G12" s="98"/>
      <c r="H12" s="98"/>
    </row>
    <row r="13" spans="1:8" x14ac:dyDescent="0.25">
      <c r="A13" s="93" t="s">
        <v>9</v>
      </c>
      <c r="B13" s="93"/>
      <c r="C13" s="93"/>
      <c r="D13" s="93"/>
      <c r="E13" s="98" t="s">
        <v>171</v>
      </c>
      <c r="F13" s="94"/>
      <c r="G13" s="94"/>
      <c r="H13" s="94"/>
    </row>
    <row r="14" spans="1:8" ht="33.75" customHeight="1" x14ac:dyDescent="0.25">
      <c r="A14" s="97" t="s">
        <v>10</v>
      </c>
      <c r="B14" s="97"/>
      <c r="C14" s="9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Innovative Icon, Plot No.21 &amp; 22-A, Sector No.18, near Kalpavruksha Valley, Internal Road, Taloja, Taloja, Panvel, Raigad - 410208.</v>
      </c>
      <c r="D14" s="97"/>
      <c r="E14" s="97"/>
      <c r="F14" s="97"/>
      <c r="G14" s="97"/>
      <c r="H14" s="97"/>
    </row>
    <row r="15" spans="1:8" x14ac:dyDescent="0.25">
      <c r="A15" s="98" t="s">
        <v>172</v>
      </c>
      <c r="B15" s="98"/>
      <c r="C15" s="98" t="s">
        <v>173</v>
      </c>
      <c r="D15" s="98"/>
      <c r="E15" s="98"/>
      <c r="F15" s="98"/>
      <c r="G15" s="98"/>
      <c r="H15" s="98"/>
    </row>
    <row r="16" spans="1:8" ht="15.75" customHeight="1" x14ac:dyDescent="0.25">
      <c r="A16" s="97" t="s">
        <v>11</v>
      </c>
      <c r="B16" s="97"/>
      <c r="C16" s="94" t="s">
        <v>177</v>
      </c>
      <c r="D16" s="94"/>
      <c r="E16" s="97" t="s">
        <v>77</v>
      </c>
      <c r="F16" s="97"/>
      <c r="G16" s="98" t="s">
        <v>174</v>
      </c>
      <c r="H16" s="98"/>
    </row>
    <row r="17" spans="1:8" x14ac:dyDescent="0.25">
      <c r="A17" s="148" t="s">
        <v>13</v>
      </c>
      <c r="B17" s="148"/>
      <c r="C17" s="98" t="s">
        <v>174</v>
      </c>
      <c r="D17" s="98"/>
      <c r="E17" s="97" t="s">
        <v>12</v>
      </c>
      <c r="F17" s="97"/>
      <c r="G17" s="162" t="s">
        <v>175</v>
      </c>
      <c r="H17" s="162"/>
    </row>
    <row r="18" spans="1:8" x14ac:dyDescent="0.25">
      <c r="A18" s="148" t="s">
        <v>78</v>
      </c>
      <c r="B18" s="148"/>
      <c r="C18" s="98" t="s">
        <v>176</v>
      </c>
      <c r="D18" s="98"/>
      <c r="E18" s="97" t="s">
        <v>14</v>
      </c>
      <c r="F18" s="97"/>
      <c r="G18" s="98">
        <v>410208</v>
      </c>
      <c r="H18" s="98"/>
    </row>
    <row r="19" spans="1:8" ht="32.25" customHeight="1" x14ac:dyDescent="0.25">
      <c r="A19" s="148" t="s">
        <v>133</v>
      </c>
      <c r="B19" s="148"/>
      <c r="C19" s="97" t="s">
        <v>178</v>
      </c>
      <c r="D19" s="97"/>
      <c r="E19" s="97" t="s">
        <v>15</v>
      </c>
      <c r="F19" s="97"/>
      <c r="G19" s="98" t="s">
        <v>223</v>
      </c>
      <c r="H19" s="98"/>
    </row>
    <row r="20" spans="1:8" ht="15" customHeight="1" x14ac:dyDescent="0.25">
      <c r="A20" s="150" t="s">
        <v>81</v>
      </c>
      <c r="B20" s="150"/>
      <c r="C20" s="150"/>
      <c r="D20" s="150"/>
      <c r="E20" s="151" t="s">
        <v>16</v>
      </c>
      <c r="F20" s="151"/>
      <c r="G20" s="151"/>
      <c r="H20" s="151"/>
    </row>
    <row r="21" spans="1:8" ht="18.75" customHeight="1" x14ac:dyDescent="0.25">
      <c r="A21" s="150"/>
      <c r="B21" s="150"/>
      <c r="C21" s="150"/>
      <c r="D21" s="150"/>
      <c r="E21" s="151"/>
      <c r="F21" s="151"/>
      <c r="G21" s="151"/>
      <c r="H21" s="151"/>
    </row>
    <row r="22" spans="1:8" ht="15" customHeight="1" x14ac:dyDescent="0.25">
      <c r="A22" s="150" t="s">
        <v>17</v>
      </c>
      <c r="B22" s="150"/>
      <c r="C22" s="150"/>
      <c r="D22" s="150"/>
      <c r="E22" s="131" t="s">
        <v>18</v>
      </c>
      <c r="F22" s="131"/>
      <c r="G22" s="131"/>
      <c r="H22" s="131"/>
    </row>
    <row r="23" spans="1:8" ht="15" customHeight="1" x14ac:dyDescent="0.25">
      <c r="A23" s="96" t="s">
        <v>19</v>
      </c>
      <c r="B23" s="96"/>
      <c r="C23" s="96"/>
      <c r="D23" s="96"/>
      <c r="E23" s="131" t="str">
        <f>IF(AND(G17="Mumbai"),"Upper Class","Middle Class")</f>
        <v>Middle Class</v>
      </c>
      <c r="F23" s="131"/>
      <c r="G23" s="131"/>
      <c r="H23" s="131"/>
    </row>
    <row r="24" spans="1:8" x14ac:dyDescent="0.25">
      <c r="A24" s="96" t="s">
        <v>20</v>
      </c>
      <c r="B24" s="96"/>
      <c r="C24" s="96"/>
      <c r="D24" s="96"/>
      <c r="E24" s="131" t="s">
        <v>21</v>
      </c>
      <c r="F24" s="131"/>
      <c r="G24" s="131"/>
      <c r="H24" s="131"/>
    </row>
    <row r="25" spans="1:8" ht="15.75" customHeight="1" x14ac:dyDescent="0.25">
      <c r="A25" s="96" t="s">
        <v>22</v>
      </c>
      <c r="B25" s="96"/>
      <c r="C25" s="96"/>
      <c r="D25" s="96"/>
      <c r="E25" s="131" t="str">
        <f>IF(AND(G17="Mumbai"),"Developed","Developing")</f>
        <v>Developing</v>
      </c>
      <c r="F25" s="131"/>
      <c r="G25" s="131"/>
      <c r="H25" s="131"/>
    </row>
    <row r="26" spans="1:8" x14ac:dyDescent="0.25">
      <c r="A26" s="96" t="s">
        <v>23</v>
      </c>
      <c r="B26" s="96"/>
      <c r="C26" s="96"/>
      <c r="D26" s="96"/>
      <c r="E26" s="131" t="s">
        <v>24</v>
      </c>
      <c r="F26" s="131"/>
      <c r="G26" s="131"/>
      <c r="H26" s="131"/>
    </row>
    <row r="27" spans="1:8" x14ac:dyDescent="0.25">
      <c r="A27" s="96" t="s">
        <v>85</v>
      </c>
      <c r="B27" s="96"/>
      <c r="C27" s="96"/>
      <c r="D27" s="96"/>
      <c r="E27" s="131" t="s">
        <v>86</v>
      </c>
      <c r="F27" s="131"/>
      <c r="G27" s="131"/>
      <c r="H27" s="131"/>
    </row>
    <row r="28" spans="1:8" ht="15" customHeight="1" x14ac:dyDescent="0.25">
      <c r="A28" s="150" t="s">
        <v>33</v>
      </c>
      <c r="B28" s="150"/>
      <c r="C28" s="150"/>
      <c r="D28" s="150"/>
      <c r="E28" s="165" t="str">
        <f>IF(ISNUMBER(SEARCH("Shop",D54)),"Residential + Commercial",IF(ISNUMBER(SEARCH("Office",D54)),"Residential + Commercial",IF(SEARCH("Flats",D54),"Residential","")))</f>
        <v>Residential + Commercial</v>
      </c>
      <c r="F28" s="165"/>
      <c r="G28" s="165"/>
      <c r="H28" s="165"/>
    </row>
    <row r="29" spans="1:8" x14ac:dyDescent="0.25">
      <c r="A29" s="150" t="s">
        <v>97</v>
      </c>
      <c r="B29" s="150"/>
      <c r="C29" s="150"/>
      <c r="D29" s="150"/>
      <c r="E29" s="150" t="s">
        <v>34</v>
      </c>
      <c r="F29" s="150"/>
      <c r="G29" s="150"/>
      <c r="H29" s="150"/>
    </row>
    <row r="30" spans="1:8" s="6" customFormat="1" x14ac:dyDescent="0.25">
      <c r="A30" s="169" t="s">
        <v>98</v>
      </c>
      <c r="B30" s="169"/>
      <c r="C30" s="166" t="s">
        <v>29</v>
      </c>
      <c r="D30" s="166"/>
      <c r="E30" s="166"/>
      <c r="F30" s="166" t="s">
        <v>31</v>
      </c>
      <c r="G30" s="166"/>
      <c r="H30" s="166"/>
    </row>
    <row r="31" spans="1:8" s="6" customFormat="1" x14ac:dyDescent="0.25">
      <c r="A31" s="168" t="s">
        <v>25</v>
      </c>
      <c r="B31" s="168" t="s">
        <v>30</v>
      </c>
      <c r="C31" s="170" t="s">
        <v>204</v>
      </c>
      <c r="D31" s="170"/>
      <c r="E31" s="170"/>
      <c r="F31" s="170" t="s">
        <v>177</v>
      </c>
      <c r="G31" s="170"/>
      <c r="H31" s="170"/>
    </row>
    <row r="32" spans="1:8" x14ac:dyDescent="0.25">
      <c r="A32" s="168" t="s">
        <v>26</v>
      </c>
      <c r="B32" s="168" t="s">
        <v>30</v>
      </c>
      <c r="C32" s="170" t="s">
        <v>201</v>
      </c>
      <c r="D32" s="170"/>
      <c r="E32" s="170"/>
      <c r="F32" s="170" t="s">
        <v>203</v>
      </c>
      <c r="G32" s="170"/>
      <c r="H32" s="170"/>
    </row>
    <row r="33" spans="1:9" s="6" customFormat="1" ht="30" customHeight="1" x14ac:dyDescent="0.25">
      <c r="A33" s="163" t="s">
        <v>28</v>
      </c>
      <c r="B33" s="163" t="s">
        <v>30</v>
      </c>
      <c r="C33" s="164" t="s">
        <v>205</v>
      </c>
      <c r="D33" s="164"/>
      <c r="E33" s="164"/>
      <c r="F33" s="167" t="s">
        <v>206</v>
      </c>
      <c r="G33" s="167"/>
      <c r="H33" s="167"/>
    </row>
    <row r="34" spans="1:9" x14ac:dyDescent="0.25">
      <c r="A34" s="168" t="s">
        <v>27</v>
      </c>
      <c r="B34" s="168" t="s">
        <v>30</v>
      </c>
      <c r="C34" s="170" t="s">
        <v>201</v>
      </c>
      <c r="D34" s="170"/>
      <c r="E34" s="170"/>
      <c r="F34" s="174" t="s">
        <v>202</v>
      </c>
      <c r="G34" s="170"/>
      <c r="H34" s="170"/>
    </row>
    <row r="35" spans="1:9" x14ac:dyDescent="0.25">
      <c r="A35" s="96" t="s">
        <v>32</v>
      </c>
      <c r="B35" s="96"/>
      <c r="C35" s="96"/>
      <c r="D35" s="96"/>
      <c r="E35" s="96"/>
      <c r="F35" s="96"/>
      <c r="G35" s="96"/>
      <c r="H35" s="96"/>
    </row>
    <row r="36" spans="1:9" ht="15.75" customHeight="1" x14ac:dyDescent="0.25">
      <c r="A36" s="96" t="s">
        <v>198</v>
      </c>
      <c r="B36" s="96"/>
      <c r="C36" s="173" t="s">
        <v>199</v>
      </c>
      <c r="D36" s="173"/>
      <c r="E36" s="173"/>
      <c r="F36" s="173"/>
      <c r="G36" s="173"/>
      <c r="H36" s="173"/>
    </row>
    <row r="37" spans="1:9" ht="15.75" customHeight="1" x14ac:dyDescent="0.25">
      <c r="A37" s="96" t="s">
        <v>189</v>
      </c>
      <c r="B37" s="96"/>
      <c r="C37" s="175" t="s">
        <v>200</v>
      </c>
      <c r="D37" s="176"/>
      <c r="E37" s="176"/>
      <c r="F37" s="176"/>
      <c r="G37" s="176"/>
      <c r="H37" s="176"/>
    </row>
    <row r="38" spans="1:9" x14ac:dyDescent="0.25">
      <c r="A38" s="141" t="s">
        <v>35</v>
      </c>
      <c r="B38" s="141"/>
      <c r="C38" s="141"/>
      <c r="D38" s="141"/>
      <c r="E38" s="141"/>
      <c r="F38" s="141"/>
      <c r="G38" s="141"/>
      <c r="H38" s="141"/>
    </row>
    <row r="39" spans="1:9" x14ac:dyDescent="0.25">
      <c r="A39" s="96" t="s">
        <v>36</v>
      </c>
      <c r="B39" s="96"/>
      <c r="C39" s="96"/>
      <c r="D39" s="96"/>
      <c r="E39" s="187">
        <v>2858.59</v>
      </c>
      <c r="F39" s="187"/>
      <c r="G39" s="187"/>
      <c r="H39" s="187"/>
    </row>
    <row r="40" spans="1:9" x14ac:dyDescent="0.25">
      <c r="A40" s="96" t="s">
        <v>37</v>
      </c>
      <c r="B40" s="96"/>
      <c r="C40" s="96"/>
      <c r="D40" s="96"/>
      <c r="E40" s="95">
        <f>4287.885/E39</f>
        <v>1.5</v>
      </c>
      <c r="F40" s="95"/>
      <c r="G40" s="95"/>
      <c r="H40" s="95"/>
    </row>
    <row r="41" spans="1:9" x14ac:dyDescent="0.25">
      <c r="A41" s="96" t="s">
        <v>38</v>
      </c>
      <c r="B41" s="96"/>
      <c r="C41" s="96"/>
      <c r="D41" s="96"/>
      <c r="E41" s="95">
        <f>E43/E39-E40</f>
        <v>1.2993185451568778</v>
      </c>
      <c r="F41" s="95"/>
      <c r="G41" s="95"/>
      <c r="H41" s="95"/>
    </row>
    <row r="42" spans="1:9" x14ac:dyDescent="0.25">
      <c r="A42" s="96" t="s">
        <v>39</v>
      </c>
      <c r="B42" s="96"/>
      <c r="C42" s="96"/>
      <c r="D42" s="96"/>
      <c r="E42" s="95">
        <f>E40+E41</f>
        <v>2.7993185451568778</v>
      </c>
      <c r="F42" s="95"/>
      <c r="G42" s="95"/>
      <c r="H42" s="95"/>
    </row>
    <row r="43" spans="1:9" x14ac:dyDescent="0.25">
      <c r="A43" s="96" t="s">
        <v>96</v>
      </c>
      <c r="B43" s="96"/>
      <c r="C43" s="96"/>
      <c r="D43" s="96"/>
      <c r="E43" s="172">
        <v>8002.1040000000003</v>
      </c>
      <c r="F43" s="172"/>
      <c r="G43" s="172"/>
      <c r="H43" s="172"/>
      <c r="I43" s="3">
        <f>3443.28+4558.824</f>
        <v>8002.1039999999994</v>
      </c>
    </row>
    <row r="44" spans="1:9" x14ac:dyDescent="0.25">
      <c r="A44" s="151" t="s">
        <v>40</v>
      </c>
      <c r="B44" s="151"/>
      <c r="C44" s="151"/>
      <c r="D44" s="151"/>
      <c r="E44" s="94" t="s">
        <v>170</v>
      </c>
      <c r="F44" s="94"/>
      <c r="G44" s="94"/>
      <c r="H44" s="94"/>
    </row>
    <row r="45" spans="1:9" x14ac:dyDescent="0.25">
      <c r="A45" s="141" t="s">
        <v>41</v>
      </c>
      <c r="B45" s="141"/>
      <c r="C45" s="141"/>
      <c r="D45" s="141"/>
      <c r="E45" s="141"/>
      <c r="F45" s="141"/>
      <c r="G45" s="141"/>
      <c r="H45" s="141"/>
    </row>
    <row r="46" spans="1:9" ht="33.75" customHeight="1" x14ac:dyDescent="0.25">
      <c r="A46" s="177" t="s">
        <v>161</v>
      </c>
      <c r="B46" s="178"/>
      <c r="C46" s="179" t="s">
        <v>208</v>
      </c>
      <c r="D46" s="180"/>
      <c r="E46" s="180"/>
      <c r="F46" s="180"/>
      <c r="G46" s="180"/>
      <c r="H46" s="181"/>
    </row>
    <row r="47" spans="1:9" ht="31.5" customHeight="1" x14ac:dyDescent="0.25">
      <c r="A47" s="97" t="s">
        <v>42</v>
      </c>
      <c r="B47" s="97"/>
      <c r="C47" s="98" t="s">
        <v>194</v>
      </c>
      <c r="D47" s="98"/>
      <c r="E47" s="98"/>
      <c r="F47" s="60" t="s">
        <v>43</v>
      </c>
      <c r="G47" s="99">
        <v>45352</v>
      </c>
      <c r="H47" s="99"/>
    </row>
    <row r="48" spans="1:9" ht="31.5" customHeight="1" x14ac:dyDescent="0.25">
      <c r="A48" s="148" t="s">
        <v>44</v>
      </c>
      <c r="B48" s="148"/>
      <c r="C48" s="98" t="str">
        <f>C47</f>
        <v>CIDCO/BP-16823/TPO(NM &amp; K)/2019/12120</v>
      </c>
      <c r="D48" s="98"/>
      <c r="E48" s="98"/>
      <c r="F48" s="60" t="s">
        <v>43</v>
      </c>
      <c r="G48" s="99">
        <f>G47</f>
        <v>45352</v>
      </c>
      <c r="H48" s="99"/>
    </row>
    <row r="49" spans="1:14" s="5" customFormat="1" ht="31.5" customHeight="1" x14ac:dyDescent="0.25">
      <c r="A49" s="98" t="s">
        <v>197</v>
      </c>
      <c r="B49" s="98"/>
      <c r="C49" s="98" t="s">
        <v>194</v>
      </c>
      <c r="D49" s="98"/>
      <c r="E49" s="98"/>
      <c r="F49" s="8" t="s">
        <v>43</v>
      </c>
      <c r="G49" s="99">
        <v>45352</v>
      </c>
      <c r="H49" s="99"/>
    </row>
    <row r="50" spans="1:14" s="5" customFormat="1" x14ac:dyDescent="0.25">
      <c r="A50" s="98"/>
      <c r="B50" s="98"/>
      <c r="C50" s="154" t="s">
        <v>196</v>
      </c>
      <c r="D50" s="155"/>
      <c r="E50" s="155"/>
      <c r="F50" s="155"/>
      <c r="G50" s="155"/>
      <c r="H50" s="156"/>
      <c r="I50" s="5">
        <f>3547.94+1010.91</f>
        <v>4558.8500000000004</v>
      </c>
    </row>
    <row r="51" spans="1:14" x14ac:dyDescent="0.25">
      <c r="A51" s="102" t="s">
        <v>45</v>
      </c>
      <c r="B51" s="102"/>
      <c r="C51" s="129" t="s">
        <v>114</v>
      </c>
      <c r="D51" s="104"/>
      <c r="E51" s="104" t="s">
        <v>46</v>
      </c>
      <c r="F51" s="61" t="s">
        <v>43</v>
      </c>
      <c r="G51" s="153" t="s">
        <v>30</v>
      </c>
      <c r="H51" s="153"/>
    </row>
    <row r="52" spans="1:14" x14ac:dyDescent="0.25">
      <c r="A52" s="149" t="s">
        <v>48</v>
      </c>
      <c r="B52" s="149"/>
      <c r="C52" s="149"/>
      <c r="D52" s="149"/>
      <c r="E52" s="149"/>
      <c r="F52" s="149"/>
      <c r="G52" s="149"/>
      <c r="H52" s="149"/>
    </row>
    <row r="53" spans="1:14" x14ac:dyDescent="0.25">
      <c r="A53" s="150" t="s">
        <v>95</v>
      </c>
      <c r="B53" s="150"/>
      <c r="C53" s="150"/>
      <c r="D53" s="96">
        <f>E43</f>
        <v>8002.1040000000003</v>
      </c>
      <c r="E53" s="96"/>
      <c r="F53" s="96"/>
      <c r="G53" s="96"/>
      <c r="H53" s="96"/>
      <c r="I53"/>
    </row>
    <row r="54" spans="1:14" x14ac:dyDescent="0.25">
      <c r="A54" s="131" t="s">
        <v>49</v>
      </c>
      <c r="B54" s="151"/>
      <c r="C54" s="151"/>
      <c r="D54" s="152" t="s">
        <v>221</v>
      </c>
      <c r="E54" s="152"/>
      <c r="F54" s="152"/>
      <c r="G54" s="152"/>
      <c r="H54" s="152"/>
      <c r="I54" s="38"/>
    </row>
    <row r="55" spans="1:14" ht="15.75" customHeight="1" x14ac:dyDescent="0.25">
      <c r="A55" s="100" t="s">
        <v>50</v>
      </c>
      <c r="B55" s="101"/>
      <c r="C55" s="171"/>
      <c r="D55" s="94" t="s">
        <v>195</v>
      </c>
      <c r="E55" s="94"/>
      <c r="F55" s="94"/>
      <c r="G55" s="94"/>
      <c r="H55" s="94"/>
      <c r="I55" s="39"/>
    </row>
    <row r="56" spans="1:14" ht="15.75" customHeight="1" x14ac:dyDescent="0.25">
      <c r="A56" s="100" t="s">
        <v>93</v>
      </c>
      <c r="B56" s="101"/>
      <c r="C56" s="101"/>
      <c r="D56" s="94" t="s">
        <v>195</v>
      </c>
      <c r="E56" s="94"/>
      <c r="F56" s="94"/>
      <c r="G56" s="94"/>
      <c r="H56" s="94"/>
      <c r="I56" s="39"/>
    </row>
    <row r="57" spans="1:14" ht="15.75" customHeight="1" x14ac:dyDescent="0.25">
      <c r="A57" s="96" t="s">
        <v>47</v>
      </c>
      <c r="B57" s="96"/>
      <c r="C57" s="96"/>
      <c r="D57" s="98" t="s">
        <v>179</v>
      </c>
      <c r="E57" s="98"/>
      <c r="F57" s="98"/>
      <c r="G57" s="98"/>
      <c r="H57" s="98"/>
      <c r="J57" s="63"/>
      <c r="K57" s="38"/>
      <c r="N57" s="38"/>
    </row>
    <row r="58" spans="1:14" ht="15.75" customHeight="1" x14ac:dyDescent="0.25">
      <c r="A58" s="96" t="s">
        <v>91</v>
      </c>
      <c r="B58" s="96"/>
      <c r="C58" s="96"/>
      <c r="D58" s="157" t="str">
        <f>(IF(G51="NA","60 Years After Completion",IF(G51&lt;&gt;"NA",""&amp;60-ROUNDDOWN((E3-G51)/360,0)&amp;" Years"," ")))</f>
        <v>60 Years After Completion</v>
      </c>
      <c r="E58" s="157"/>
      <c r="F58" s="157"/>
      <c r="G58" s="157"/>
      <c r="H58" s="157"/>
      <c r="N58" s="38"/>
    </row>
    <row r="59" spans="1:14" ht="15.75" customHeight="1" x14ac:dyDescent="0.25">
      <c r="A59" s="96" t="s">
        <v>92</v>
      </c>
      <c r="B59" s="96"/>
      <c r="C59" s="96"/>
      <c r="D59" s="98" t="s">
        <v>24</v>
      </c>
      <c r="E59" s="98"/>
      <c r="F59" s="98"/>
      <c r="G59" s="98"/>
      <c r="H59" s="98"/>
      <c r="J59" s="13"/>
      <c r="K59" s="13"/>
    </row>
    <row r="60" spans="1:14" ht="31.5" customHeight="1" x14ac:dyDescent="0.25">
      <c r="A60" s="96" t="s">
        <v>79</v>
      </c>
      <c r="B60" s="96"/>
      <c r="C60" s="96"/>
      <c r="D60" s="98" t="s">
        <v>211</v>
      </c>
      <c r="E60" s="98"/>
      <c r="F60" s="98"/>
      <c r="G60" s="98"/>
      <c r="H60" s="98"/>
      <c r="I60" s="3" t="s">
        <v>212</v>
      </c>
    </row>
    <row r="61" spans="1:14" x14ac:dyDescent="0.25">
      <c r="A61" s="150" t="s">
        <v>159</v>
      </c>
      <c r="B61" s="150"/>
      <c r="C61" s="150"/>
      <c r="D61" s="98" t="s">
        <v>30</v>
      </c>
      <c r="E61" s="98"/>
      <c r="F61" s="98"/>
      <c r="G61" s="98"/>
      <c r="H61" s="98"/>
      <c r="I61" s="51"/>
      <c r="J61" s="51"/>
      <c r="K61" s="51"/>
      <c r="L61" s="51"/>
      <c r="M61" s="51"/>
      <c r="N61" s="51"/>
    </row>
    <row r="62" spans="1:14" ht="15.75" customHeight="1" x14ac:dyDescent="0.25">
      <c r="A62" s="96" t="s">
        <v>90</v>
      </c>
      <c r="B62" s="96"/>
      <c r="C62" s="96"/>
      <c r="D62" s="131" t="str">
        <f ca="1">(IF(G68&gt;95%,"Nothing",IF(G68&gt;0%,"Cement, Aggregate, Steel, etc",IF(G68=0%,"Work not yet Started"))))</f>
        <v>Cement, Aggregate, Steel, etc</v>
      </c>
      <c r="E62" s="131"/>
      <c r="F62" s="131"/>
      <c r="G62" s="131"/>
      <c r="H62" s="131"/>
      <c r="J62" s="13"/>
    </row>
    <row r="63" spans="1:14" ht="33.75" customHeight="1" thickBot="1" x14ac:dyDescent="0.3">
      <c r="A63" s="150" t="s">
        <v>127</v>
      </c>
      <c r="B63" s="150"/>
      <c r="C63" s="150"/>
      <c r="D63" s="131" t="str">
        <f ca="1">(IF(D62="Nothing","Yes",IF(D62="Cement, Aggregate, Steel, etc","Under Construction",IF(D62="Work not yet Started","Work not yet Started"))))</f>
        <v>Under Construction</v>
      </c>
      <c r="E63" s="131"/>
      <c r="F63" s="131" t="str">
        <f ca="1">(IF(D62="Nothing","Yes",IF(D62="Cement, Aggregate, Steel, etc","Under Construction",IF(D62="Work not yet Started","Work not yet Started"))))</f>
        <v>Under Construction</v>
      </c>
      <c r="G63" s="131"/>
      <c r="H63" s="131"/>
    </row>
    <row r="64" spans="1:14" ht="15.75" customHeight="1" x14ac:dyDescent="0.25">
      <c r="A64" s="129" t="s">
        <v>151</v>
      </c>
      <c r="B64" s="129"/>
      <c r="C64" s="129" t="str">
        <f>D56</f>
        <v>Gr/St + 1st to 21st Floor</v>
      </c>
      <c r="D64" s="129"/>
      <c r="E64" s="129"/>
      <c r="F64" s="129"/>
      <c r="G64" s="129"/>
      <c r="H64" s="129"/>
      <c r="I64" s="43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Completed, External Plaster Completed, Flooring upto 18 Floor Completed, Painting upto 16 Floor Completed, Finishing upto 2 Floor Completed.</v>
      </c>
      <c r="J64" s="15"/>
    </row>
    <row r="65" spans="1:10" x14ac:dyDescent="0.25">
      <c r="A65" s="64" t="s">
        <v>153</v>
      </c>
      <c r="B65" s="64">
        <v>0</v>
      </c>
      <c r="C65" s="64" t="s">
        <v>76</v>
      </c>
      <c r="D65" s="64">
        <v>1</v>
      </c>
      <c r="E65" s="64" t="s">
        <v>75</v>
      </c>
      <c r="F65" s="64">
        <v>0</v>
      </c>
      <c r="G65" s="64" t="s">
        <v>84</v>
      </c>
      <c r="H65" s="64">
        <f ca="1">--TRIM(RIGHT(SUBSTITUTE(LEFT(C64,_xlfn.AGGREGATE(16,6,FIND({0,1,2,3,4,5,6,7,8,9},C64,ROW(INDIRECT("1:"&amp;LEN(C64)))),1))," ",REPT(" ",LEN(C64))),LEN(C64)))</f>
        <v>21</v>
      </c>
      <c r="I65" s="44"/>
      <c r="J65" s="16"/>
    </row>
    <row r="66" spans="1:10" ht="63.6" customHeight="1" x14ac:dyDescent="0.25">
      <c r="A66" s="104" t="s">
        <v>94</v>
      </c>
      <c r="B66" s="104"/>
      <c r="C66" s="129" t="str">
        <f ca="1">(IF($G$51="NA",I64,"All work Completed. OC Received."))</f>
        <v>Excavation work Completed. Plinth work completed, RCC Slab Completed, Brickwork Completed, Internal Plaster Completed, External Plaster Completed, Flooring upto 18 Floor Completed, Painting upto 16 Floor Completed, Finishing upto 2 Floor Completed.</v>
      </c>
      <c r="D66" s="129"/>
      <c r="E66" s="129"/>
      <c r="F66" s="129"/>
      <c r="G66" s="129"/>
      <c r="H66" s="129"/>
      <c r="I66" s="44" t="s">
        <v>112</v>
      </c>
      <c r="J66" s="16"/>
    </row>
    <row r="67" spans="1:10" ht="15.75" customHeight="1" x14ac:dyDescent="0.25">
      <c r="A67" s="103" t="s">
        <v>51</v>
      </c>
      <c r="B67" s="103"/>
      <c r="C67" s="82" t="s">
        <v>150</v>
      </c>
      <c r="D67" s="82" t="s">
        <v>87</v>
      </c>
      <c r="E67" s="103" t="s">
        <v>89</v>
      </c>
      <c r="F67" s="103"/>
      <c r="G67" s="103" t="s">
        <v>88</v>
      </c>
      <c r="H67" s="103"/>
      <c r="I67" s="37" t="s">
        <v>152</v>
      </c>
      <c r="J67" s="17">
        <f ca="1">H65*25%</f>
        <v>5.25</v>
      </c>
    </row>
    <row r="68" spans="1:10" x14ac:dyDescent="0.25">
      <c r="A68" s="103" t="s">
        <v>139</v>
      </c>
      <c r="B68" s="103"/>
      <c r="C68" s="65">
        <f ca="1">J69</f>
        <v>21</v>
      </c>
      <c r="D68" s="83">
        <f ca="1">((100/H65)*C68)/100</f>
        <v>1</v>
      </c>
      <c r="E68" s="130">
        <f ca="1">(((C69/H65*10)+(40/(D65+F65+H65)*C70)+(7.5/(H65)*C71)+(7.5/(H65)*C72)+(10/H65*C73)+(10/H65*C74)+(5/H65*C75)+(5/H65*C76)+(5/H65*C77))/100)</f>
        <v>0.87857142857142856</v>
      </c>
      <c r="F68" s="130"/>
      <c r="G68" s="130">
        <f ca="1">((((C68/H65)*20)+((C69/H65)*25)+(30/(H65+F65+D65)*C70)+(5/H65*C71)+(5/H65*C72)+(5/H65*C73)+(5/H65*C74)+(0/H65*C75)+(0/H65*C76)+(5/H65*C77))/100)</f>
        <v>0.94285714285714295</v>
      </c>
      <c r="H68" s="130"/>
      <c r="I68" s="37" t="s">
        <v>107</v>
      </c>
      <c r="J68" s="42">
        <f ca="1">H65*50%</f>
        <v>10.5</v>
      </c>
    </row>
    <row r="69" spans="1:10" x14ac:dyDescent="0.25">
      <c r="A69" s="103" t="s">
        <v>52</v>
      </c>
      <c r="B69" s="103"/>
      <c r="C69" s="66">
        <f ca="1">J77</f>
        <v>21</v>
      </c>
      <c r="D69" s="83">
        <f ca="1">((100/H65)*C69)/100</f>
        <v>1</v>
      </c>
      <c r="E69" s="130"/>
      <c r="F69" s="130"/>
      <c r="G69" s="130"/>
      <c r="H69" s="130"/>
      <c r="I69" s="37" t="s">
        <v>108</v>
      </c>
      <c r="J69" s="42">
        <f ca="1">H65</f>
        <v>21</v>
      </c>
    </row>
    <row r="70" spans="1:10" ht="15.75" customHeight="1" x14ac:dyDescent="0.25">
      <c r="A70" s="103" t="s">
        <v>140</v>
      </c>
      <c r="B70" s="103"/>
      <c r="C70" s="66">
        <v>22</v>
      </c>
      <c r="D70" s="83">
        <f ca="1">((100/(D65+F65+H65))*C70)/100</f>
        <v>1.0000000000000002</v>
      </c>
      <c r="E70" s="130"/>
      <c r="F70" s="130"/>
      <c r="G70" s="130"/>
      <c r="H70" s="130"/>
      <c r="I70" s="37" t="s">
        <v>109</v>
      </c>
      <c r="J70" s="46">
        <f ca="1">(IF(B65&gt;1,(H65/(B65+2)),H65/4))</f>
        <v>5.25</v>
      </c>
    </row>
    <row r="71" spans="1:10" ht="15.75" customHeight="1" x14ac:dyDescent="0.25">
      <c r="A71" s="103" t="s">
        <v>147</v>
      </c>
      <c r="B71" s="103" t="s">
        <v>141</v>
      </c>
      <c r="C71" s="65">
        <v>21</v>
      </c>
      <c r="D71" s="83">
        <f ca="1">((100/H65)*C71)/100</f>
        <v>1</v>
      </c>
      <c r="E71" s="130"/>
      <c r="F71" s="130"/>
      <c r="G71" s="130"/>
      <c r="H71" s="130"/>
      <c r="I71" s="37" t="s">
        <v>110</v>
      </c>
      <c r="J71" s="46">
        <f ca="1">(IF(B65&gt;1,(H65/(B65+2)+J70),H65/4+J70))</f>
        <v>10.5</v>
      </c>
    </row>
    <row r="72" spans="1:10" ht="15.75" customHeight="1" x14ac:dyDescent="0.25">
      <c r="A72" s="103" t="s">
        <v>148</v>
      </c>
      <c r="B72" s="103" t="s">
        <v>141</v>
      </c>
      <c r="C72" s="65">
        <v>21</v>
      </c>
      <c r="D72" s="83">
        <f ca="1">((100/H65)*C72)/100</f>
        <v>1</v>
      </c>
      <c r="E72" s="130"/>
      <c r="F72" s="130"/>
      <c r="G72" s="130"/>
      <c r="H72" s="130"/>
      <c r="I72" s="37" t="s">
        <v>157</v>
      </c>
      <c r="J72" s="46">
        <f>(IF(B65&gt;1,(H65/(B65+2)+J71),0))</f>
        <v>0</v>
      </c>
    </row>
    <row r="73" spans="1:10" ht="15" customHeight="1" x14ac:dyDescent="0.25">
      <c r="A73" s="103" t="s">
        <v>146</v>
      </c>
      <c r="B73" s="103" t="s">
        <v>143</v>
      </c>
      <c r="C73" s="65">
        <v>21</v>
      </c>
      <c r="D73" s="83">
        <f ca="1">((100/(H65))*C73)/100</f>
        <v>1</v>
      </c>
      <c r="E73" s="130"/>
      <c r="F73" s="130"/>
      <c r="G73" s="130"/>
      <c r="H73" s="130"/>
      <c r="I73" s="37" t="s">
        <v>154</v>
      </c>
      <c r="J73" s="46">
        <f>(IF(B65&gt;2,(H65/(B65+2)+J72),0))</f>
        <v>0</v>
      </c>
    </row>
    <row r="74" spans="1:10" ht="15.75" customHeight="1" x14ac:dyDescent="0.25">
      <c r="A74" s="103" t="s">
        <v>142</v>
      </c>
      <c r="B74" s="103" t="s">
        <v>142</v>
      </c>
      <c r="C74" s="65">
        <v>18</v>
      </c>
      <c r="D74" s="83">
        <f ca="1">((100/H65)*C74)/100</f>
        <v>0.8571428571428571</v>
      </c>
      <c r="E74" s="130"/>
      <c r="F74" s="130"/>
      <c r="G74" s="130"/>
      <c r="H74" s="130"/>
      <c r="I74" s="37" t="s">
        <v>155</v>
      </c>
      <c r="J74" s="47">
        <f>(IF(B65&gt;3,(H65/(B65+2)+J73),0))</f>
        <v>0</v>
      </c>
    </row>
    <row r="75" spans="1:10" ht="15.75" customHeight="1" x14ac:dyDescent="0.25">
      <c r="A75" s="103" t="s">
        <v>149</v>
      </c>
      <c r="B75" s="103"/>
      <c r="C75" s="65">
        <v>16</v>
      </c>
      <c r="D75" s="83">
        <f ca="1">((100/H65)*C75)/100</f>
        <v>0.76190476190476186</v>
      </c>
      <c r="E75" s="130"/>
      <c r="F75" s="130"/>
      <c r="G75" s="130"/>
      <c r="H75" s="130"/>
      <c r="I75" s="37" t="s">
        <v>156</v>
      </c>
      <c r="J75" s="46">
        <f>(IF(B65&gt;4,(H65/(B65+2)+J74),0))</f>
        <v>0</v>
      </c>
    </row>
    <row r="76" spans="1:10" ht="15.75" customHeight="1" x14ac:dyDescent="0.25">
      <c r="A76" s="103" t="s">
        <v>144</v>
      </c>
      <c r="B76" s="103" t="s">
        <v>144</v>
      </c>
      <c r="C76" s="65">
        <v>2</v>
      </c>
      <c r="D76" s="83">
        <f ca="1">((100/(H65))*C76)/100</f>
        <v>9.5238095238095233E-2</v>
      </c>
      <c r="E76" s="130"/>
      <c r="F76" s="130"/>
      <c r="G76" s="130"/>
      <c r="H76" s="130"/>
      <c r="I76" s="37" t="s">
        <v>158</v>
      </c>
      <c r="J76" s="46">
        <f ca="1">(IF(B65=1,(H65/(B65+3)+J71),IF(B65=0,(H65/4+J71),IF(B65&gt;1,0))))</f>
        <v>15.75</v>
      </c>
    </row>
    <row r="77" spans="1:10" ht="16.5" thickBot="1" x14ac:dyDescent="0.3">
      <c r="A77" s="103" t="s">
        <v>145</v>
      </c>
      <c r="B77" s="103"/>
      <c r="C77" s="65">
        <v>0</v>
      </c>
      <c r="D77" s="83">
        <f ca="1">((100/(H65))*C77)/100</f>
        <v>0</v>
      </c>
      <c r="E77" s="130"/>
      <c r="F77" s="130"/>
      <c r="G77" s="130"/>
      <c r="H77" s="130"/>
      <c r="I77" s="45" t="s">
        <v>111</v>
      </c>
      <c r="J77" s="48">
        <f ca="1">(IF(B65&gt;1.5,(H65/(B65+2)+J71+MAX(0,J72-J71)+MAX(0,J73-J72)+MAX(0,J74-J73)+MAX(0,J75-J74)+MAX(0,J76-J75)),IF(B65=1,(H65/(B65+3)+J76),IF(B65=0,H65/4+J76))))</f>
        <v>21</v>
      </c>
    </row>
    <row r="78" spans="1:10" x14ac:dyDescent="0.25">
      <c r="A78" s="119" t="s">
        <v>53</v>
      </c>
      <c r="B78" s="119"/>
      <c r="C78" s="119"/>
      <c r="D78" s="119"/>
      <c r="E78" s="119"/>
      <c r="F78" s="119"/>
      <c r="G78" s="119"/>
      <c r="H78" s="119"/>
    </row>
    <row r="79" spans="1:10" x14ac:dyDescent="0.25">
      <c r="A79" s="96" t="s">
        <v>164</v>
      </c>
      <c r="B79" s="96"/>
      <c r="C79" s="96"/>
      <c r="D79" s="96"/>
      <c r="E79" s="96"/>
      <c r="F79" s="118">
        <v>5800</v>
      </c>
      <c r="G79" s="118"/>
      <c r="H79" s="118"/>
    </row>
    <row r="80" spans="1:10" x14ac:dyDescent="0.25">
      <c r="A80" s="96" t="s">
        <v>165</v>
      </c>
      <c r="B80" s="96"/>
      <c r="C80" s="96"/>
      <c r="D80" s="96"/>
      <c r="E80" s="96"/>
      <c r="F80" s="118">
        <v>12000</v>
      </c>
      <c r="G80" s="118"/>
      <c r="H80" s="118"/>
    </row>
    <row r="81" spans="1:11" s="7" customFormat="1" x14ac:dyDescent="0.25">
      <c r="A81" s="96" t="s">
        <v>99</v>
      </c>
      <c r="B81" s="96"/>
      <c r="C81" s="96"/>
      <c r="D81" s="96"/>
      <c r="E81" s="96"/>
      <c r="F81" s="186" t="s">
        <v>187</v>
      </c>
      <c r="G81" s="186"/>
      <c r="H81" s="186"/>
    </row>
    <row r="82" spans="1:11" s="7" customFormat="1" x14ac:dyDescent="0.25">
      <c r="A82" s="96" t="s">
        <v>100</v>
      </c>
      <c r="B82" s="96"/>
      <c r="C82" s="96"/>
      <c r="D82" s="96"/>
      <c r="E82" s="96"/>
      <c r="F82" s="118">
        <v>300000</v>
      </c>
      <c r="G82" s="118"/>
      <c r="H82" s="118"/>
    </row>
    <row r="83" spans="1:11" s="7" customFormat="1" x14ac:dyDescent="0.25">
      <c r="A83" s="96" t="s">
        <v>101</v>
      </c>
      <c r="B83" s="96"/>
      <c r="C83" s="96"/>
      <c r="D83" s="96"/>
      <c r="E83" s="96"/>
      <c r="F83" s="118">
        <v>150000</v>
      </c>
      <c r="G83" s="118"/>
      <c r="H83" s="118"/>
    </row>
    <row r="84" spans="1:11" s="7" customFormat="1" hidden="1" x14ac:dyDescent="0.25">
      <c r="A84" s="96" t="s">
        <v>102</v>
      </c>
      <c r="B84" s="96"/>
      <c r="C84" s="96"/>
      <c r="D84" s="96"/>
      <c r="E84" s="96"/>
      <c r="F84" s="118"/>
      <c r="G84" s="118"/>
      <c r="H84" s="118"/>
    </row>
    <row r="85" spans="1:11" s="7" customFormat="1" hidden="1" x14ac:dyDescent="0.25">
      <c r="A85" s="96" t="s">
        <v>103</v>
      </c>
      <c r="B85" s="96"/>
      <c r="C85" s="96"/>
      <c r="D85" s="96"/>
      <c r="E85" s="96"/>
      <c r="F85" s="118"/>
      <c r="G85" s="118"/>
      <c r="H85" s="118"/>
    </row>
    <row r="86" spans="1:11" s="7" customFormat="1" hidden="1" x14ac:dyDescent="0.25">
      <c r="A86" s="96" t="s">
        <v>104</v>
      </c>
      <c r="B86" s="96"/>
      <c r="C86" s="96"/>
      <c r="D86" s="96"/>
      <c r="E86" s="96"/>
      <c r="F86" s="118"/>
      <c r="G86" s="118"/>
      <c r="H86" s="118"/>
    </row>
    <row r="87" spans="1:11" s="7" customFormat="1" x14ac:dyDescent="0.25">
      <c r="A87" s="96" t="s">
        <v>105</v>
      </c>
      <c r="B87" s="96"/>
      <c r="C87" s="96"/>
      <c r="D87" s="96"/>
      <c r="E87" s="96"/>
      <c r="F87" s="118">
        <v>150000</v>
      </c>
      <c r="G87" s="118"/>
      <c r="H87" s="118"/>
    </row>
    <row r="88" spans="1:11" s="7" customFormat="1" hidden="1" x14ac:dyDescent="0.25">
      <c r="A88" s="96" t="s">
        <v>106</v>
      </c>
      <c r="B88" s="96"/>
      <c r="C88" s="96"/>
      <c r="D88" s="96"/>
      <c r="E88" s="96"/>
      <c r="F88" s="118"/>
      <c r="G88" s="118"/>
      <c r="H88" s="118"/>
    </row>
    <row r="89" spans="1:11" x14ac:dyDescent="0.25">
      <c r="A89" s="96" t="s">
        <v>54</v>
      </c>
      <c r="B89" s="96"/>
      <c r="C89" s="96"/>
      <c r="D89" s="96"/>
      <c r="E89" s="96"/>
      <c r="F89" s="118">
        <v>300000</v>
      </c>
      <c r="G89" s="118"/>
      <c r="H89" s="118"/>
    </row>
    <row r="90" spans="1:11" s="4" customFormat="1" x14ac:dyDescent="0.25">
      <c r="A90" s="141" t="s">
        <v>55</v>
      </c>
      <c r="B90" s="141"/>
      <c r="C90" s="141"/>
      <c r="D90" s="141"/>
      <c r="E90" s="141"/>
      <c r="F90" s="142">
        <f>F79*0.8</f>
        <v>4640</v>
      </c>
      <c r="G90" s="142"/>
      <c r="H90" s="142"/>
    </row>
    <row r="91" spans="1:11" s="1" customFormat="1" ht="15.75" customHeight="1" x14ac:dyDescent="0.25">
      <c r="A91" s="140" t="s">
        <v>80</v>
      </c>
      <c r="B91" s="140"/>
      <c r="C91" s="140"/>
      <c r="D91" s="140"/>
      <c r="E91" s="140"/>
      <c r="F91" s="140"/>
      <c r="G91" s="140"/>
      <c r="H91" s="140"/>
    </row>
    <row r="92" spans="1:11" s="1" customFormat="1" ht="15.75" customHeight="1" x14ac:dyDescent="0.25">
      <c r="A92" s="115" t="s">
        <v>56</v>
      </c>
      <c r="B92" s="115"/>
      <c r="C92" s="123" t="s">
        <v>83</v>
      </c>
      <c r="D92" s="123"/>
      <c r="E92" s="132" t="s">
        <v>57</v>
      </c>
      <c r="F92" s="132"/>
      <c r="G92" s="115" t="s">
        <v>58</v>
      </c>
      <c r="H92" s="115"/>
    </row>
    <row r="93" spans="1:11" s="1" customFormat="1" x14ac:dyDescent="0.25">
      <c r="A93" s="144" t="s">
        <v>180</v>
      </c>
      <c r="B93" s="144"/>
      <c r="C93" s="125">
        <f>COUNT(D103:D121)</f>
        <v>19</v>
      </c>
      <c r="D93" s="126"/>
      <c r="E93" s="120">
        <f>SUM(D103:D121)</f>
        <v>10411.425180000002</v>
      </c>
      <c r="F93" s="121"/>
      <c r="G93" s="120">
        <f>SUM(F103:F121)</f>
        <v>17923.453937999995</v>
      </c>
      <c r="H93" s="121"/>
      <c r="J93" s="69">
        <f>G93+G96</f>
        <v>147785.02871111999</v>
      </c>
      <c r="K93" s="69">
        <f>E93+E96</f>
        <v>80009.678501999995</v>
      </c>
    </row>
    <row r="94" spans="1:11" s="1" customFormat="1" x14ac:dyDescent="0.25">
      <c r="A94" s="140" t="s">
        <v>74</v>
      </c>
      <c r="B94" s="140"/>
      <c r="C94" s="140"/>
      <c r="D94" s="140"/>
      <c r="E94" s="140"/>
      <c r="F94" s="140"/>
      <c r="G94" s="140"/>
      <c r="H94" s="140"/>
    </row>
    <row r="95" spans="1:11" s="1" customFormat="1" ht="15.75" customHeight="1" x14ac:dyDescent="0.25">
      <c r="A95" s="115" t="s">
        <v>56</v>
      </c>
      <c r="B95" s="115"/>
      <c r="C95" s="123" t="s">
        <v>83</v>
      </c>
      <c r="D95" s="123"/>
      <c r="E95" s="132" t="s">
        <v>57</v>
      </c>
      <c r="F95" s="132"/>
      <c r="G95" s="115" t="s">
        <v>58</v>
      </c>
      <c r="H95" s="115"/>
    </row>
    <row r="96" spans="1:11" s="1" customFormat="1" x14ac:dyDescent="0.25">
      <c r="A96" s="144" t="s">
        <v>184</v>
      </c>
      <c r="B96" s="144"/>
      <c r="C96" s="120">
        <f>COUNT(D126:D133)*5+COUNT(D144:D151)+COUNT(D153:D160)+COUNT(D162:D169)*5+COUNT(D171:D178)*3+COUNT(D180:D187)*3</f>
        <v>144</v>
      </c>
      <c r="D96" s="120"/>
      <c r="E96" s="120">
        <f>SUM(D126:D133)*5+SUM(D144:D151)+SUM(D153:D160)+SUM(D162:D169)*5+SUM(D171:D178)*3+SUM(D180:D187)*3</f>
        <v>69598.25332199999</v>
      </c>
      <c r="F96" s="120"/>
      <c r="G96" s="120">
        <f>SUM(F126:F133)*5+SUM(F144:F151)+SUM(F153:F160)+SUM(F162:F169)*5+SUM(F171:F178)*3+SUM(F180:F187)*3</f>
        <v>129861.57477312</v>
      </c>
      <c r="H96" s="120"/>
    </row>
    <row r="97" spans="1:14" s="1" customFormat="1" x14ac:dyDescent="0.25">
      <c r="A97" s="140" t="s">
        <v>220</v>
      </c>
      <c r="B97" s="140"/>
      <c r="C97" s="188">
        <f>C93+C96</f>
        <v>163</v>
      </c>
      <c r="D97" s="123"/>
      <c r="E97" s="188">
        <f>E93+E96</f>
        <v>80009.678501999995</v>
      </c>
      <c r="F97" s="123"/>
      <c r="G97" s="188">
        <f>G93+G96</f>
        <v>147785.02871111999</v>
      </c>
      <c r="H97" s="123"/>
    </row>
    <row r="98" spans="1:14" s="4" customFormat="1" x14ac:dyDescent="0.25">
      <c r="A98" s="124" t="s">
        <v>59</v>
      </c>
      <c r="B98" s="124"/>
      <c r="C98" s="124"/>
      <c r="D98" s="124"/>
      <c r="E98" s="124"/>
      <c r="F98" s="124"/>
      <c r="G98" s="124"/>
      <c r="H98" s="124"/>
      <c r="M98" s="4">
        <f>104+48</f>
        <v>152</v>
      </c>
    </row>
    <row r="99" spans="1:14" x14ac:dyDescent="0.25">
      <c r="A99" s="124" t="s">
        <v>60</v>
      </c>
      <c r="B99" s="124"/>
      <c r="C99" s="124"/>
      <c r="D99" s="124"/>
      <c r="E99" s="124"/>
      <c r="F99" s="124"/>
      <c r="G99" s="124"/>
      <c r="H99" s="124"/>
    </row>
    <row r="100" spans="1:14" ht="47.25" customHeight="1" x14ac:dyDescent="0.25">
      <c r="A100" s="127" t="s">
        <v>129</v>
      </c>
      <c r="B100" s="127" t="s">
        <v>128</v>
      </c>
      <c r="C100" s="127" t="s">
        <v>61</v>
      </c>
      <c r="D100" s="127" t="s">
        <v>62</v>
      </c>
      <c r="E100" s="182" t="s">
        <v>183</v>
      </c>
      <c r="F100" s="32" t="s">
        <v>160</v>
      </c>
      <c r="G100" s="116" t="s">
        <v>64</v>
      </c>
      <c r="H100" s="117"/>
    </row>
    <row r="101" spans="1:14" s="2" customFormat="1" x14ac:dyDescent="0.25">
      <c r="A101" s="128"/>
      <c r="B101" s="128"/>
      <c r="C101" s="128"/>
      <c r="D101" s="128"/>
      <c r="E101" s="183"/>
      <c r="F101" s="33">
        <v>0.6</v>
      </c>
      <c r="G101" s="184"/>
      <c r="H101" s="185"/>
    </row>
    <row r="102" spans="1:14" s="2" customFormat="1" ht="30.75" customHeight="1" x14ac:dyDescent="0.25">
      <c r="A102" s="105" t="s">
        <v>224</v>
      </c>
      <c r="B102" s="106"/>
      <c r="C102" s="106"/>
      <c r="D102" s="106"/>
      <c r="E102" s="106"/>
      <c r="F102" s="106"/>
      <c r="G102" s="106"/>
      <c r="H102" s="107"/>
      <c r="J102" s="34"/>
      <c r="L102" s="72">
        <v>10.763999999999999</v>
      </c>
    </row>
    <row r="103" spans="1:14" s="2" customFormat="1" ht="15.75" customHeight="1" x14ac:dyDescent="0.25">
      <c r="A103" s="122">
        <v>1</v>
      </c>
      <c r="B103" s="122"/>
      <c r="C103" s="72" t="s">
        <v>180</v>
      </c>
      <c r="D103" s="72">
        <f>(40.865)*10.764</f>
        <v>439.87085999999999</v>
      </c>
      <c r="E103" s="72">
        <f>(2.5*3.35)*10.764</f>
        <v>90.148499999999999</v>
      </c>
      <c r="F103" s="72">
        <f>D103*(($F$101)+1)+(IF(E103&lt;101,E103,IF(E103&lt;201,E103/2,IF(E103&lt;=301,E103/3,E103/4))))</f>
        <v>793.94187600000009</v>
      </c>
      <c r="G103" s="122" t="str">
        <f>A102</f>
        <v>Ground Floor for Commercial, Entrance Lobby, Meter Room, Pump Room, Driver Room &amp; Parking</v>
      </c>
      <c r="H103" s="122"/>
      <c r="I103" s="34">
        <f>12.27*3.35</f>
        <v>41.104500000000002</v>
      </c>
      <c r="J103" s="2">
        <f>(9.7*3.35)</f>
        <v>32.494999999999997</v>
      </c>
      <c r="K103" s="2">
        <f>1.32*3.5</f>
        <v>4.62</v>
      </c>
      <c r="L103" s="90"/>
      <c r="M103" s="90"/>
      <c r="N103" s="34"/>
    </row>
    <row r="104" spans="1:14" s="2" customFormat="1" ht="15.75" customHeight="1" x14ac:dyDescent="0.25">
      <c r="A104" s="122">
        <f t="shared" ref="A104:A121" si="0">A103+1</f>
        <v>2</v>
      </c>
      <c r="B104" s="122"/>
      <c r="C104" s="72" t="s">
        <v>180</v>
      </c>
      <c r="D104" s="72">
        <f>(40.131)*10.764</f>
        <v>431.97008399999999</v>
      </c>
      <c r="E104" s="72">
        <f>(2.5*3.3)*10.764</f>
        <v>88.802999999999997</v>
      </c>
      <c r="F104" s="72">
        <f t="shared" ref="F104:F109" si="1">D104*(($F$101)+1)+(IF(E104&lt;101,E104,IF(E104&lt;201,E104/2,IF(E104&lt;=301,E104/3,E104/4))))</f>
        <v>779.95513440000002</v>
      </c>
      <c r="G104" s="122"/>
      <c r="H104" s="122"/>
      <c r="I104" s="34"/>
      <c r="L104" s="90"/>
      <c r="M104" s="90"/>
      <c r="N104" s="34"/>
    </row>
    <row r="105" spans="1:14" s="2" customFormat="1" ht="15.75" customHeight="1" x14ac:dyDescent="0.25">
      <c r="A105" s="122">
        <f t="shared" si="0"/>
        <v>3</v>
      </c>
      <c r="B105" s="122"/>
      <c r="C105" s="72" t="s">
        <v>180</v>
      </c>
      <c r="D105" s="72">
        <f>(40.191)*10.764</f>
        <v>432.61592400000001</v>
      </c>
      <c r="E105" s="72">
        <f>(2.5*3.3)*10.764</f>
        <v>88.802999999999997</v>
      </c>
      <c r="F105" s="72">
        <f t="shared" si="1"/>
        <v>780.98847840000008</v>
      </c>
      <c r="G105" s="122"/>
      <c r="H105" s="122"/>
      <c r="I105" s="34"/>
      <c r="L105" s="90"/>
      <c r="M105" s="90"/>
      <c r="N105" s="34"/>
    </row>
    <row r="106" spans="1:14" s="2" customFormat="1" ht="15.75" customHeight="1" x14ac:dyDescent="0.25">
      <c r="A106" s="122">
        <f t="shared" si="0"/>
        <v>4</v>
      </c>
      <c r="B106" s="122"/>
      <c r="C106" s="72" t="s">
        <v>180</v>
      </c>
      <c r="D106" s="72">
        <f>(40.161)*10.764</f>
        <v>432.293004</v>
      </c>
      <c r="E106" s="72">
        <f>(2.5*3.3)*10.764</f>
        <v>88.802999999999997</v>
      </c>
      <c r="F106" s="72">
        <f t="shared" si="1"/>
        <v>780.47180639999999</v>
      </c>
      <c r="G106" s="122"/>
      <c r="H106" s="122"/>
      <c r="I106" s="34"/>
      <c r="L106" s="90"/>
      <c r="M106" s="90"/>
      <c r="N106" s="34"/>
    </row>
    <row r="107" spans="1:14" s="2" customFormat="1" ht="15.75" customHeight="1" x14ac:dyDescent="0.25">
      <c r="A107" s="122">
        <f t="shared" si="0"/>
        <v>5</v>
      </c>
      <c r="B107" s="122"/>
      <c r="C107" s="72" t="s">
        <v>180</v>
      </c>
      <c r="D107" s="72">
        <f>(48.585)*10.764</f>
        <v>522.96893999999998</v>
      </c>
      <c r="E107" s="72">
        <f>(2.5*5.05)*10.764</f>
        <v>135.8955</v>
      </c>
      <c r="F107" s="72">
        <f t="shared" si="1"/>
        <v>904.69805400000007</v>
      </c>
      <c r="G107" s="122"/>
      <c r="H107" s="122"/>
      <c r="I107" s="34"/>
      <c r="L107" s="90"/>
      <c r="M107" s="90"/>
      <c r="N107" s="34"/>
    </row>
    <row r="108" spans="1:14" s="2" customFormat="1" ht="15.75" customHeight="1" x14ac:dyDescent="0.25">
      <c r="A108" s="122">
        <f t="shared" si="0"/>
        <v>6</v>
      </c>
      <c r="B108" s="122"/>
      <c r="C108" s="72" t="s">
        <v>180</v>
      </c>
      <c r="D108" s="72">
        <f>(47.135)*10.764</f>
        <v>507.36113999999992</v>
      </c>
      <c r="E108" s="72">
        <f>(2.5*3.35)*10.764</f>
        <v>90.148499999999999</v>
      </c>
      <c r="F108" s="72">
        <f t="shared" si="1"/>
        <v>901.92632399999991</v>
      </c>
      <c r="G108" s="122"/>
      <c r="H108" s="122"/>
      <c r="I108" s="34"/>
      <c r="L108" s="90"/>
      <c r="M108" s="90"/>
      <c r="N108" s="34"/>
    </row>
    <row r="109" spans="1:14" s="2" customFormat="1" ht="15.75" customHeight="1" x14ac:dyDescent="0.25">
      <c r="A109" s="122">
        <f t="shared" si="0"/>
        <v>7</v>
      </c>
      <c r="B109" s="122"/>
      <c r="C109" s="72" t="s">
        <v>180</v>
      </c>
      <c r="D109" s="72">
        <f>(36.297)*10.764</f>
        <v>390.70090799999997</v>
      </c>
      <c r="E109" s="72">
        <f>(2.5*3.65)*10.764</f>
        <v>98.221499999999992</v>
      </c>
      <c r="F109" s="72">
        <f t="shared" si="1"/>
        <v>723.34295280000003</v>
      </c>
      <c r="G109" s="122"/>
      <c r="H109" s="122"/>
      <c r="I109" s="34"/>
      <c r="L109" s="90"/>
      <c r="M109" s="90"/>
      <c r="N109" s="34"/>
    </row>
    <row r="110" spans="1:14" s="59" customFormat="1" ht="15.75" customHeight="1" x14ac:dyDescent="0.25">
      <c r="A110" s="122">
        <f t="shared" si="0"/>
        <v>8</v>
      </c>
      <c r="B110" s="122"/>
      <c r="C110" s="72" t="s">
        <v>180</v>
      </c>
      <c r="D110" s="72">
        <f>(84.545)*10.764</f>
        <v>910.04237999999998</v>
      </c>
      <c r="E110" s="72">
        <f>(10.02*2.5)*10.764</f>
        <v>269.63819999999993</v>
      </c>
      <c r="F110" s="72">
        <f t="shared" ref="F110:F115" si="2">D110*(($F$101)+1)+(IF(E110&lt;101,E110,IF(E110&lt;201,E110/2,IF(E110&lt;=301,E110/3,E110/4))))</f>
        <v>1545.947208</v>
      </c>
      <c r="G110" s="122"/>
      <c r="H110" s="122"/>
      <c r="I110" s="34"/>
      <c r="L110" s="90"/>
      <c r="M110" s="90"/>
      <c r="N110" s="34"/>
    </row>
    <row r="111" spans="1:14" s="59" customFormat="1" ht="15.75" customHeight="1" x14ac:dyDescent="0.25">
      <c r="A111" s="122">
        <f t="shared" si="0"/>
        <v>9</v>
      </c>
      <c r="B111" s="122"/>
      <c r="C111" s="72" t="s">
        <v>180</v>
      </c>
      <c r="D111" s="72">
        <f>(45.345)*10.764</f>
        <v>488.09357999999997</v>
      </c>
      <c r="E111" s="72">
        <f>(3.8*2.5)*10.764</f>
        <v>102.258</v>
      </c>
      <c r="F111" s="72">
        <f t="shared" si="2"/>
        <v>832.07872800000007</v>
      </c>
      <c r="G111" s="122"/>
      <c r="H111" s="122"/>
      <c r="I111" s="34">
        <f>3.8*12.1</f>
        <v>45.98</v>
      </c>
      <c r="L111" s="90"/>
      <c r="M111" s="90"/>
      <c r="N111" s="34"/>
    </row>
    <row r="112" spans="1:14" s="59" customFormat="1" ht="15.75" customHeight="1" x14ac:dyDescent="0.25">
      <c r="A112" s="122">
        <f t="shared" si="0"/>
        <v>10</v>
      </c>
      <c r="B112" s="122"/>
      <c r="C112" s="72" t="s">
        <v>180</v>
      </c>
      <c r="D112" s="72">
        <f t="shared" ref="D112:D120" si="3">(54.425)*10.764</f>
        <v>585.83069999999998</v>
      </c>
      <c r="E112" s="72">
        <f t="shared" ref="E112:E120" si="4">(3.8*2.5)*10.764</f>
        <v>102.258</v>
      </c>
      <c r="F112" s="72">
        <f t="shared" si="2"/>
        <v>988.45812000000001</v>
      </c>
      <c r="G112" s="122"/>
      <c r="H112" s="122"/>
      <c r="I112" s="34"/>
      <c r="L112" s="90"/>
      <c r="M112" s="90"/>
      <c r="N112" s="34"/>
    </row>
    <row r="113" spans="1:16" s="59" customFormat="1" ht="15.75" customHeight="1" x14ac:dyDescent="0.25">
      <c r="A113" s="122">
        <f t="shared" si="0"/>
        <v>11</v>
      </c>
      <c r="B113" s="122"/>
      <c r="C113" s="72" t="s">
        <v>180</v>
      </c>
      <c r="D113" s="72">
        <f t="shared" si="3"/>
        <v>585.83069999999998</v>
      </c>
      <c r="E113" s="72">
        <f t="shared" si="4"/>
        <v>102.258</v>
      </c>
      <c r="F113" s="72">
        <f t="shared" si="2"/>
        <v>988.45812000000001</v>
      </c>
      <c r="G113" s="122"/>
      <c r="H113" s="122"/>
      <c r="I113" s="34"/>
      <c r="L113" s="90"/>
      <c r="M113" s="90"/>
      <c r="N113" s="34"/>
    </row>
    <row r="114" spans="1:16" s="59" customFormat="1" ht="15.75" customHeight="1" x14ac:dyDescent="0.25">
      <c r="A114" s="122">
        <f t="shared" si="0"/>
        <v>12</v>
      </c>
      <c r="B114" s="122"/>
      <c r="C114" s="72" t="s">
        <v>180</v>
      </c>
      <c r="D114" s="72">
        <f t="shared" si="3"/>
        <v>585.83069999999998</v>
      </c>
      <c r="E114" s="72">
        <f t="shared" si="4"/>
        <v>102.258</v>
      </c>
      <c r="F114" s="72">
        <f t="shared" si="2"/>
        <v>988.45812000000001</v>
      </c>
      <c r="G114" s="122"/>
      <c r="H114" s="122"/>
      <c r="I114" s="34"/>
      <c r="L114" s="90"/>
      <c r="M114" s="90"/>
      <c r="N114" s="34"/>
    </row>
    <row r="115" spans="1:16" s="59" customFormat="1" ht="15.75" customHeight="1" x14ac:dyDescent="0.25">
      <c r="A115" s="122">
        <f t="shared" si="0"/>
        <v>13</v>
      </c>
      <c r="B115" s="122"/>
      <c r="C115" s="72" t="s">
        <v>180</v>
      </c>
      <c r="D115" s="72">
        <f t="shared" si="3"/>
        <v>585.83069999999998</v>
      </c>
      <c r="E115" s="72">
        <f t="shared" si="4"/>
        <v>102.258</v>
      </c>
      <c r="F115" s="72">
        <f t="shared" si="2"/>
        <v>988.45812000000001</v>
      </c>
      <c r="G115" s="122"/>
      <c r="H115" s="122"/>
      <c r="I115" s="34"/>
      <c r="L115" s="90"/>
      <c r="M115" s="90"/>
      <c r="N115" s="34"/>
    </row>
    <row r="116" spans="1:16" s="59" customFormat="1" ht="15.75" customHeight="1" x14ac:dyDescent="0.25">
      <c r="A116" s="122">
        <f t="shared" si="0"/>
        <v>14</v>
      </c>
      <c r="B116" s="122"/>
      <c r="C116" s="72" t="s">
        <v>180</v>
      </c>
      <c r="D116" s="72">
        <f t="shared" si="3"/>
        <v>585.83069999999998</v>
      </c>
      <c r="E116" s="72">
        <f t="shared" si="4"/>
        <v>102.258</v>
      </c>
      <c r="F116" s="72">
        <f t="shared" ref="F116:F121" si="5">D116*(($F$101)+1)+(IF(E116&lt;101,E116,IF(E116&lt;201,E116/2,IF(E116&lt;=301,E116/3,E116/4))))</f>
        <v>988.45812000000001</v>
      </c>
      <c r="G116" s="122"/>
      <c r="H116" s="122"/>
      <c r="I116" s="34"/>
      <c r="L116" s="90"/>
      <c r="M116" s="90"/>
      <c r="N116" s="34"/>
    </row>
    <row r="117" spans="1:16" s="59" customFormat="1" ht="15.75" customHeight="1" x14ac:dyDescent="0.25">
      <c r="A117" s="122">
        <f t="shared" si="0"/>
        <v>15</v>
      </c>
      <c r="B117" s="122"/>
      <c r="C117" s="72" t="s">
        <v>180</v>
      </c>
      <c r="D117" s="72">
        <f t="shared" si="3"/>
        <v>585.83069999999998</v>
      </c>
      <c r="E117" s="72">
        <f t="shared" si="4"/>
        <v>102.258</v>
      </c>
      <c r="F117" s="72">
        <f t="shared" si="5"/>
        <v>988.45812000000001</v>
      </c>
      <c r="G117" s="122"/>
      <c r="H117" s="122"/>
      <c r="I117" s="34"/>
      <c r="L117" s="90"/>
      <c r="M117" s="90"/>
      <c r="N117" s="34"/>
    </row>
    <row r="118" spans="1:16" s="59" customFormat="1" ht="15.75" customHeight="1" x14ac:dyDescent="0.25">
      <c r="A118" s="122">
        <f t="shared" si="0"/>
        <v>16</v>
      </c>
      <c r="B118" s="122"/>
      <c r="C118" s="72" t="s">
        <v>180</v>
      </c>
      <c r="D118" s="72">
        <f t="shared" si="3"/>
        <v>585.83069999999998</v>
      </c>
      <c r="E118" s="72">
        <f t="shared" si="4"/>
        <v>102.258</v>
      </c>
      <c r="F118" s="72">
        <f t="shared" si="5"/>
        <v>988.45812000000001</v>
      </c>
      <c r="G118" s="122"/>
      <c r="H118" s="122"/>
      <c r="I118" s="34"/>
      <c r="L118" s="90"/>
      <c r="M118" s="90"/>
      <c r="N118" s="34"/>
    </row>
    <row r="119" spans="1:16" s="59" customFormat="1" ht="15.75" customHeight="1" x14ac:dyDescent="0.25">
      <c r="A119" s="122">
        <f t="shared" si="0"/>
        <v>17</v>
      </c>
      <c r="B119" s="122"/>
      <c r="C119" s="72" t="s">
        <v>180</v>
      </c>
      <c r="D119" s="72">
        <f t="shared" si="3"/>
        <v>585.83069999999998</v>
      </c>
      <c r="E119" s="72">
        <f t="shared" si="4"/>
        <v>102.258</v>
      </c>
      <c r="F119" s="72">
        <f t="shared" si="5"/>
        <v>988.45812000000001</v>
      </c>
      <c r="G119" s="122"/>
      <c r="H119" s="122"/>
      <c r="I119" s="34"/>
      <c r="L119" s="90"/>
      <c r="M119" s="90"/>
      <c r="N119" s="34"/>
    </row>
    <row r="120" spans="1:16" s="59" customFormat="1" ht="15.75" customHeight="1" x14ac:dyDescent="0.25">
      <c r="A120" s="122">
        <f t="shared" si="0"/>
        <v>18</v>
      </c>
      <c r="B120" s="122"/>
      <c r="C120" s="72" t="s">
        <v>180</v>
      </c>
      <c r="D120" s="72">
        <f t="shared" si="3"/>
        <v>585.83069999999998</v>
      </c>
      <c r="E120" s="72">
        <f t="shared" si="4"/>
        <v>102.258</v>
      </c>
      <c r="F120" s="72">
        <f t="shared" si="5"/>
        <v>988.45812000000001</v>
      </c>
      <c r="G120" s="122"/>
      <c r="H120" s="122"/>
      <c r="I120" s="34"/>
      <c r="L120" s="90"/>
      <c r="M120" s="90"/>
      <c r="N120" s="34"/>
    </row>
    <row r="121" spans="1:16" s="59" customFormat="1" ht="15.75" customHeight="1" x14ac:dyDescent="0.25">
      <c r="A121" s="122">
        <f t="shared" si="0"/>
        <v>19</v>
      </c>
      <c r="B121" s="122"/>
      <c r="C121" s="72" t="s">
        <v>180</v>
      </c>
      <c r="D121" s="72">
        <f>(54.165)*10.764</f>
        <v>583.03206</v>
      </c>
      <c r="E121" s="72">
        <f>(3.8*2.5)*10.764</f>
        <v>102.258</v>
      </c>
      <c r="F121" s="72">
        <f t="shared" si="5"/>
        <v>983.98029600000007</v>
      </c>
      <c r="G121" s="122"/>
      <c r="H121" s="122"/>
      <c r="I121" s="74">
        <f>3.8*14.35</f>
        <v>54.529999999999994</v>
      </c>
      <c r="L121" s="90"/>
      <c r="M121" s="90"/>
      <c r="N121" s="34"/>
    </row>
    <row r="122" spans="1:16" ht="68.25" customHeight="1" x14ac:dyDescent="0.25">
      <c r="A122" s="58" t="s">
        <v>130</v>
      </c>
      <c r="B122" s="58" t="s">
        <v>131</v>
      </c>
      <c r="C122" s="56" t="s">
        <v>61</v>
      </c>
      <c r="D122" s="76" t="s">
        <v>218</v>
      </c>
      <c r="E122" s="57" t="s">
        <v>63</v>
      </c>
      <c r="F122" s="81" t="s">
        <v>186</v>
      </c>
      <c r="G122" s="116" t="s">
        <v>64</v>
      </c>
      <c r="H122" s="117"/>
      <c r="I122" s="34"/>
    </row>
    <row r="123" spans="1:16" s="4" customFormat="1" x14ac:dyDescent="0.25">
      <c r="A123" s="124" t="s">
        <v>209</v>
      </c>
      <c r="B123" s="124"/>
      <c r="C123" s="124"/>
      <c r="D123" s="124"/>
      <c r="E123" s="124"/>
      <c r="F123" s="124"/>
      <c r="G123" s="124"/>
      <c r="H123" s="124"/>
    </row>
    <row r="124" spans="1:16" s="4" customFormat="1" ht="32.25" customHeight="1" x14ac:dyDescent="0.25">
      <c r="A124" s="137" t="s">
        <v>210</v>
      </c>
      <c r="B124" s="137"/>
      <c r="C124" s="137"/>
      <c r="D124" s="137"/>
      <c r="E124" s="137"/>
      <c r="F124" s="137"/>
      <c r="G124" s="137"/>
      <c r="H124" s="137"/>
    </row>
    <row r="125" spans="1:16" s="2" customFormat="1" ht="15.75" customHeight="1" x14ac:dyDescent="0.25">
      <c r="A125" s="105" t="s">
        <v>225</v>
      </c>
      <c r="B125" s="106"/>
      <c r="C125" s="106"/>
      <c r="D125" s="106"/>
      <c r="E125" s="106"/>
      <c r="F125" s="106"/>
      <c r="G125" s="106"/>
      <c r="H125" s="107"/>
      <c r="I125" s="77">
        <f>7</f>
        <v>7</v>
      </c>
      <c r="L125" s="40"/>
      <c r="M125" s="40"/>
      <c r="P125" s="35"/>
    </row>
    <row r="126" spans="1:16" s="2" customFormat="1" ht="15.75" customHeight="1" x14ac:dyDescent="0.25">
      <c r="A126" s="91">
        <v>1</v>
      </c>
      <c r="B126" s="92"/>
      <c r="C126" s="14" t="s">
        <v>181</v>
      </c>
      <c r="D126" s="14">
        <f>(28.25+0.75*(1.95+2.75+2.75))*10.764</f>
        <v>364.22684999999996</v>
      </c>
      <c r="E126" s="41">
        <v>0</v>
      </c>
      <c r="F126" s="72">
        <v>665</v>
      </c>
      <c r="G126" s="108" t="str">
        <f>A125</f>
        <v>4th, 6th, 8th, 10th &amp; 14th Floor for Residential</v>
      </c>
      <c r="H126" s="109"/>
      <c r="I126" s="34">
        <f>3.85*2.75+2*2.225+2.75*2.75+1.2*1.5+0.9*1.5+0.9*2.5</f>
        <v>28.000000000000004</v>
      </c>
      <c r="J126" s="67">
        <f>F126/D126</f>
        <v>1.8257852214903982</v>
      </c>
      <c r="L126" s="40">
        <f>21-3</f>
        <v>18</v>
      </c>
      <c r="M126" s="40"/>
      <c r="N126" s="50"/>
      <c r="O126" s="50"/>
    </row>
    <row r="127" spans="1:16" s="2" customFormat="1" ht="15.75" customHeight="1" x14ac:dyDescent="0.25">
      <c r="A127" s="91">
        <f>A126+1</f>
        <v>2</v>
      </c>
      <c r="B127" s="92"/>
      <c r="C127" s="62" t="s">
        <v>182</v>
      </c>
      <c r="D127" s="62">
        <f>(42.54+0.75*(2.75+2.2+3.05+2.75))*10.764</f>
        <v>544.68530999999996</v>
      </c>
      <c r="E127" s="41">
        <v>0</v>
      </c>
      <c r="F127" s="72">
        <v>1020</v>
      </c>
      <c r="G127" s="110"/>
      <c r="H127" s="111"/>
      <c r="I127" s="34">
        <f>2.75*4.2+2.2*2.35+3.05*3.35+2.75*2.9+1.2*2.1+1.2*2.1+0.9*2.4</f>
        <v>42.112500000000011</v>
      </c>
      <c r="J127" s="67">
        <f t="shared" ref="J127:J133" si="6">F127/D127</f>
        <v>1.8726409199469691</v>
      </c>
      <c r="M127" s="40">
        <f>18*8</f>
        <v>144</v>
      </c>
      <c r="N127" s="49"/>
    </row>
    <row r="128" spans="1:16" s="2" customFormat="1" ht="15.75" customHeight="1" x14ac:dyDescent="0.25">
      <c r="A128" s="91">
        <f t="shared" ref="A128:A133" si="7">A127+1</f>
        <v>3</v>
      </c>
      <c r="B128" s="92"/>
      <c r="C128" s="62" t="s">
        <v>182</v>
      </c>
      <c r="D128" s="62">
        <f>(44.97+0.75*(2.8+2.1+2.75+1.7))*10.764</f>
        <v>559.53962999999999</v>
      </c>
      <c r="E128" s="41">
        <v>0</v>
      </c>
      <c r="F128" s="72">
        <v>1040</v>
      </c>
      <c r="G128" s="110"/>
      <c r="H128" s="111"/>
      <c r="I128" s="34"/>
      <c r="J128" s="67">
        <f t="shared" si="6"/>
        <v>1.8586708505347513</v>
      </c>
      <c r="M128" s="40"/>
      <c r="N128" s="49"/>
    </row>
    <row r="129" spans="1:16" s="2" customFormat="1" ht="15.75" customHeight="1" x14ac:dyDescent="0.25">
      <c r="A129" s="91">
        <f t="shared" si="7"/>
        <v>4</v>
      </c>
      <c r="B129" s="92"/>
      <c r="C129" s="62" t="s">
        <v>181</v>
      </c>
      <c r="D129" s="62">
        <f>(29.87+0.75*(2.75+2.1+1.96))*10.764</f>
        <v>376.49780999999996</v>
      </c>
      <c r="E129" s="41">
        <v>0</v>
      </c>
      <c r="F129" s="72">
        <v>705</v>
      </c>
      <c r="G129" s="110"/>
      <c r="H129" s="111"/>
      <c r="I129" s="34"/>
      <c r="J129" s="67">
        <f t="shared" si="6"/>
        <v>1.8725208521133232</v>
      </c>
      <c r="M129" s="40"/>
      <c r="N129" s="49"/>
    </row>
    <row r="130" spans="1:16" s="2" customFormat="1" ht="15.75" customHeight="1" x14ac:dyDescent="0.25">
      <c r="A130" s="91">
        <f t="shared" si="7"/>
        <v>5</v>
      </c>
      <c r="B130" s="92"/>
      <c r="C130" s="62" t="s">
        <v>181</v>
      </c>
      <c r="D130" s="62">
        <f>(29.87+0.75*(2.75+2.1+1.96))*10.764</f>
        <v>376.49780999999996</v>
      </c>
      <c r="E130" s="41">
        <v>0</v>
      </c>
      <c r="F130" s="72">
        <v>705</v>
      </c>
      <c r="G130" s="110"/>
      <c r="H130" s="111"/>
      <c r="I130" s="34"/>
      <c r="J130" s="67">
        <f t="shared" si="6"/>
        <v>1.8725208521133232</v>
      </c>
      <c r="M130" s="40"/>
      <c r="N130" s="49"/>
    </row>
    <row r="131" spans="1:16" s="36" customFormat="1" ht="15.75" customHeight="1" x14ac:dyDescent="0.25">
      <c r="A131" s="91">
        <f t="shared" si="7"/>
        <v>6</v>
      </c>
      <c r="B131" s="92"/>
      <c r="C131" s="62" t="s">
        <v>182</v>
      </c>
      <c r="D131" s="62">
        <f>(44.98+0.75*(2.8+2.1+2.75+1.7))*10.764</f>
        <v>559.64726999999993</v>
      </c>
      <c r="E131" s="41">
        <v>0</v>
      </c>
      <c r="F131" s="72">
        <v>1040</v>
      </c>
      <c r="G131" s="110"/>
      <c r="H131" s="111"/>
      <c r="I131" s="34"/>
      <c r="J131" s="67">
        <f t="shared" si="6"/>
        <v>1.8583133622719183</v>
      </c>
      <c r="L131" s="40"/>
      <c r="M131" s="49"/>
    </row>
    <row r="132" spans="1:16" s="59" customFormat="1" ht="15.75" customHeight="1" x14ac:dyDescent="0.25">
      <c r="A132" s="91">
        <f t="shared" si="7"/>
        <v>7</v>
      </c>
      <c r="B132" s="92"/>
      <c r="C132" s="62" t="s">
        <v>182</v>
      </c>
      <c r="D132" s="62">
        <f>(42.54+0.75*(2.75+2.2+3.05+2.75))*10.764</f>
        <v>544.68530999999996</v>
      </c>
      <c r="E132" s="55">
        <v>0</v>
      </c>
      <c r="F132" s="72">
        <v>1020</v>
      </c>
      <c r="G132" s="110"/>
      <c r="H132" s="111"/>
      <c r="I132" s="34"/>
      <c r="J132" s="67">
        <f t="shared" si="6"/>
        <v>1.8726409199469691</v>
      </c>
    </row>
    <row r="133" spans="1:16" s="59" customFormat="1" ht="15.75" customHeight="1" x14ac:dyDescent="0.25">
      <c r="A133" s="91">
        <f t="shared" si="7"/>
        <v>8</v>
      </c>
      <c r="B133" s="92"/>
      <c r="C133" s="55" t="s">
        <v>181</v>
      </c>
      <c r="D133" s="55">
        <f>(28.25+0.75*(2.75+1.9))*10.764</f>
        <v>341.62245000000001</v>
      </c>
      <c r="E133" s="55">
        <v>0</v>
      </c>
      <c r="F133" s="72">
        <v>660</v>
      </c>
      <c r="G133" s="112"/>
      <c r="H133" s="113"/>
      <c r="I133" s="34"/>
      <c r="J133" s="67">
        <f t="shared" si="6"/>
        <v>1.9319573406255941</v>
      </c>
    </row>
    <row r="134" spans="1:16" s="59" customFormat="1" ht="15.75" hidden="1" customHeight="1" x14ac:dyDescent="0.25">
      <c r="A134" s="105" t="s">
        <v>213</v>
      </c>
      <c r="B134" s="106"/>
      <c r="C134" s="106"/>
      <c r="D134" s="106"/>
      <c r="E134" s="106"/>
      <c r="F134" s="106"/>
      <c r="G134" s="106"/>
      <c r="H134" s="107"/>
      <c r="I134" s="34"/>
      <c r="P134" s="35"/>
    </row>
    <row r="135" spans="1:16" s="59" customFormat="1" ht="15.75" hidden="1" customHeight="1" x14ac:dyDescent="0.25">
      <c r="A135" s="91">
        <v>1</v>
      </c>
      <c r="B135" s="92"/>
      <c r="C135" s="62" t="s">
        <v>181</v>
      </c>
      <c r="D135" s="62">
        <f>(28.25+0.75*(2+2.75+2.75))*10.764</f>
        <v>364.63049999999998</v>
      </c>
      <c r="E135" s="55">
        <v>0</v>
      </c>
      <c r="F135" s="55">
        <v>665</v>
      </c>
      <c r="G135" s="108" t="str">
        <f>A134</f>
        <v>5th Floor</v>
      </c>
      <c r="H135" s="109"/>
      <c r="I135" s="34"/>
    </row>
    <row r="136" spans="1:16" s="59" customFormat="1" ht="15.75" hidden="1" customHeight="1" x14ac:dyDescent="0.25">
      <c r="A136" s="91">
        <f>A135+1</f>
        <v>2</v>
      </c>
      <c r="B136" s="92"/>
      <c r="C136" s="62" t="s">
        <v>182</v>
      </c>
      <c r="D136" s="62">
        <f>(42.54+0.75*(2.75+2.2+3.05+2.75))*10.764</f>
        <v>544.68530999999996</v>
      </c>
      <c r="E136" s="55">
        <v>0</v>
      </c>
      <c r="F136" s="55">
        <v>1020</v>
      </c>
      <c r="G136" s="110" t="str">
        <f t="shared" ref="G136:G142" si="8">G135</f>
        <v>5th Floor</v>
      </c>
      <c r="H136" s="111"/>
      <c r="I136" s="34"/>
    </row>
    <row r="137" spans="1:16" s="59" customFormat="1" ht="15.75" hidden="1" customHeight="1" x14ac:dyDescent="0.25">
      <c r="A137" s="91">
        <f t="shared" ref="A137:A142" si="9">A136+1</f>
        <v>3</v>
      </c>
      <c r="B137" s="92"/>
      <c r="C137" s="62" t="s">
        <v>182</v>
      </c>
      <c r="D137" s="62">
        <f>(44.97+0.75*(2.8+2.1+2.75+1.7))*10.764</f>
        <v>559.53962999999999</v>
      </c>
      <c r="E137" s="55">
        <v>0</v>
      </c>
      <c r="F137" s="55">
        <v>1040</v>
      </c>
      <c r="G137" s="110" t="str">
        <f t="shared" si="8"/>
        <v>5th Floor</v>
      </c>
      <c r="H137" s="111"/>
      <c r="I137" s="34"/>
    </row>
    <row r="138" spans="1:16" s="59" customFormat="1" ht="15.75" hidden="1" customHeight="1" x14ac:dyDescent="0.25">
      <c r="A138" s="91">
        <f t="shared" si="9"/>
        <v>4</v>
      </c>
      <c r="B138" s="92"/>
      <c r="C138" s="62" t="s">
        <v>181</v>
      </c>
      <c r="D138" s="62">
        <f>(29.87+0.75*(2.75+2.1+1.96))*10.764</f>
        <v>376.49780999999996</v>
      </c>
      <c r="E138" s="55">
        <v>0</v>
      </c>
      <c r="F138" s="55">
        <v>705</v>
      </c>
      <c r="G138" s="110" t="str">
        <f t="shared" si="8"/>
        <v>5th Floor</v>
      </c>
      <c r="H138" s="111"/>
      <c r="I138" s="34"/>
    </row>
    <row r="139" spans="1:16" s="59" customFormat="1" ht="15.75" hidden="1" customHeight="1" x14ac:dyDescent="0.25">
      <c r="A139" s="91">
        <f t="shared" si="9"/>
        <v>5</v>
      </c>
      <c r="B139" s="92"/>
      <c r="C139" s="62" t="s">
        <v>181</v>
      </c>
      <c r="D139" s="62">
        <f>(29.87+0.75*(2.75+2.1+1.96))*10.764</f>
        <v>376.49780999999996</v>
      </c>
      <c r="E139" s="55">
        <v>0</v>
      </c>
      <c r="F139" s="55">
        <v>705</v>
      </c>
      <c r="G139" s="110" t="str">
        <f t="shared" si="8"/>
        <v>5th Floor</v>
      </c>
      <c r="H139" s="111"/>
      <c r="I139" s="34"/>
    </row>
    <row r="140" spans="1:16" s="59" customFormat="1" ht="15.75" hidden="1" customHeight="1" x14ac:dyDescent="0.25">
      <c r="A140" s="91">
        <f t="shared" si="9"/>
        <v>6</v>
      </c>
      <c r="B140" s="92"/>
      <c r="C140" s="62" t="s">
        <v>182</v>
      </c>
      <c r="D140" s="62">
        <f>(44.98+0.75*(2.8+2.1+2.75+1.7))*10.764</f>
        <v>559.64726999999993</v>
      </c>
      <c r="E140" s="55">
        <v>0</v>
      </c>
      <c r="F140" s="55">
        <v>1040</v>
      </c>
      <c r="G140" s="110" t="str">
        <f t="shared" si="8"/>
        <v>5th Floor</v>
      </c>
      <c r="H140" s="111"/>
      <c r="I140" s="34"/>
    </row>
    <row r="141" spans="1:16" s="59" customFormat="1" ht="15.75" hidden="1" customHeight="1" x14ac:dyDescent="0.25">
      <c r="A141" s="91">
        <f t="shared" si="9"/>
        <v>7</v>
      </c>
      <c r="B141" s="92"/>
      <c r="C141" s="62" t="s">
        <v>182</v>
      </c>
      <c r="D141" s="62">
        <f>(42.54+0.75*(2.75+2.2+3.05+2.75))*10.764</f>
        <v>544.68530999999996</v>
      </c>
      <c r="E141" s="55">
        <v>0</v>
      </c>
      <c r="F141" s="55">
        <v>1020</v>
      </c>
      <c r="G141" s="110" t="str">
        <f t="shared" si="8"/>
        <v>5th Floor</v>
      </c>
      <c r="H141" s="111"/>
      <c r="I141" s="34"/>
    </row>
    <row r="142" spans="1:16" s="59" customFormat="1" ht="15.75" hidden="1" customHeight="1" x14ac:dyDescent="0.25">
      <c r="A142" s="91">
        <f t="shared" si="9"/>
        <v>8</v>
      </c>
      <c r="B142" s="92"/>
      <c r="C142" s="62" t="s">
        <v>181</v>
      </c>
      <c r="D142" s="62">
        <f>(28.25+0.75*(2.75+1.96))*10.764</f>
        <v>342.10682999999995</v>
      </c>
      <c r="E142" s="55">
        <v>0</v>
      </c>
      <c r="F142" s="55">
        <v>660</v>
      </c>
      <c r="G142" s="112" t="str">
        <f t="shared" si="8"/>
        <v>5th Floor</v>
      </c>
      <c r="H142" s="113"/>
      <c r="I142" s="34"/>
    </row>
    <row r="143" spans="1:16" s="84" customFormat="1" ht="15.75" customHeight="1" x14ac:dyDescent="0.25">
      <c r="A143" s="105" t="s">
        <v>226</v>
      </c>
      <c r="B143" s="106"/>
      <c r="C143" s="106"/>
      <c r="D143" s="106"/>
      <c r="E143" s="106"/>
      <c r="F143" s="106"/>
      <c r="G143" s="106"/>
      <c r="H143" s="107"/>
      <c r="I143" s="77">
        <f>7</f>
        <v>7</v>
      </c>
      <c r="P143" s="35"/>
    </row>
    <row r="144" spans="1:16" s="84" customFormat="1" ht="15.75" customHeight="1" x14ac:dyDescent="0.25">
      <c r="A144" s="91">
        <v>1</v>
      </c>
      <c r="B144" s="92"/>
      <c r="C144" s="86" t="s">
        <v>181</v>
      </c>
      <c r="D144" s="86">
        <f>(28.25+0.75*(1.95+2.75+2.75))*10.764</f>
        <v>364.22684999999996</v>
      </c>
      <c r="E144" s="86">
        <v>0</v>
      </c>
      <c r="F144" s="86">
        <v>665</v>
      </c>
      <c r="G144" s="108" t="str">
        <f>A143</f>
        <v>12th Floor</v>
      </c>
      <c r="H144" s="109"/>
      <c r="I144" s="34">
        <f>3.85*2.75+2*2.225+2.75*2.75+1.2*1.5+0.9*1.5+0.9*2.5</f>
        <v>28.000000000000004</v>
      </c>
      <c r="J144" s="67">
        <f>F144/D144</f>
        <v>1.8257852214903982</v>
      </c>
      <c r="L144" s="84">
        <f>21-3</f>
        <v>18</v>
      </c>
    </row>
    <row r="145" spans="1:16" s="84" customFormat="1" ht="15.75" customHeight="1" x14ac:dyDescent="0.25">
      <c r="A145" s="91">
        <f>A144+1</f>
        <v>2</v>
      </c>
      <c r="B145" s="92"/>
      <c r="C145" s="62" t="s">
        <v>182</v>
      </c>
      <c r="D145" s="62">
        <f>(42.54+0.75*(2.75+2.2+3.05+2.75))*10.764</f>
        <v>544.68530999999996</v>
      </c>
      <c r="E145" s="86">
        <v>0</v>
      </c>
      <c r="F145" s="86">
        <v>1020</v>
      </c>
      <c r="G145" s="110"/>
      <c r="H145" s="111"/>
      <c r="I145" s="34">
        <f>2.75*4.2+2.2*2.35+3.05*3.35+2.75*2.9+1.2*2.1+1.2*2.1+0.9*2.4</f>
        <v>42.112500000000011</v>
      </c>
      <c r="J145" s="67">
        <f t="shared" ref="J145:J151" si="10">F145/D145</f>
        <v>1.8726409199469691</v>
      </c>
      <c r="M145" s="84">
        <f>18*8</f>
        <v>144</v>
      </c>
    </row>
    <row r="146" spans="1:16" s="84" customFormat="1" ht="15.75" customHeight="1" x14ac:dyDescent="0.25">
      <c r="A146" s="91">
        <f t="shared" ref="A146:A151" si="11">A145+1</f>
        <v>3</v>
      </c>
      <c r="B146" s="92"/>
      <c r="C146" s="62" t="s">
        <v>182</v>
      </c>
      <c r="D146" s="62">
        <f>(44.97+0.75*(2.8+2.1+2.75+1.7))*10.764</f>
        <v>559.53962999999999</v>
      </c>
      <c r="E146" s="86">
        <v>0</v>
      </c>
      <c r="F146" s="86">
        <v>1040</v>
      </c>
      <c r="G146" s="110"/>
      <c r="H146" s="111"/>
      <c r="I146" s="34"/>
      <c r="J146" s="67">
        <f t="shared" si="10"/>
        <v>1.8586708505347513</v>
      </c>
    </row>
    <row r="147" spans="1:16" s="84" customFormat="1" ht="15.75" customHeight="1" x14ac:dyDescent="0.25">
      <c r="A147" s="91">
        <f t="shared" si="11"/>
        <v>4</v>
      </c>
      <c r="B147" s="92"/>
      <c r="C147" s="62" t="s">
        <v>181</v>
      </c>
      <c r="D147" s="62">
        <f>(29.87+0.75*(2.75+2.1+1.96))*10.764</f>
        <v>376.49780999999996</v>
      </c>
      <c r="E147" s="86">
        <v>0</v>
      </c>
      <c r="F147" s="86">
        <v>705</v>
      </c>
      <c r="G147" s="110"/>
      <c r="H147" s="111"/>
      <c r="I147" s="34"/>
      <c r="J147" s="67">
        <f t="shared" si="10"/>
        <v>1.8725208521133232</v>
      </c>
    </row>
    <row r="148" spans="1:16" s="84" customFormat="1" ht="15.75" customHeight="1" x14ac:dyDescent="0.25">
      <c r="A148" s="91">
        <f t="shared" si="11"/>
        <v>5</v>
      </c>
      <c r="B148" s="92"/>
      <c r="C148" s="62" t="s">
        <v>181</v>
      </c>
      <c r="D148" s="62">
        <f>(29.87+0.75*(2.75+2.1+1.96))*10.764</f>
        <v>376.49780999999996</v>
      </c>
      <c r="E148" s="86">
        <v>0</v>
      </c>
      <c r="F148" s="86">
        <v>714</v>
      </c>
      <c r="G148" s="110"/>
      <c r="H148" s="111"/>
      <c r="I148" s="34"/>
      <c r="J148" s="67">
        <f t="shared" si="10"/>
        <v>1.8964253736296635</v>
      </c>
    </row>
    <row r="149" spans="1:16" s="84" customFormat="1" ht="15.75" customHeight="1" x14ac:dyDescent="0.25">
      <c r="A149" s="91">
        <f t="shared" si="11"/>
        <v>6</v>
      </c>
      <c r="B149" s="92"/>
      <c r="C149" s="62" t="s">
        <v>182</v>
      </c>
      <c r="D149" s="62">
        <f>(44.98+0.75*(2.8+2.1+2.75+1.7))*10.764</f>
        <v>559.64726999999993</v>
      </c>
      <c r="E149" s="86">
        <v>0</v>
      </c>
      <c r="F149" s="86">
        <v>1040</v>
      </c>
      <c r="G149" s="110"/>
      <c r="H149" s="111"/>
      <c r="I149" s="34"/>
      <c r="J149" s="67">
        <f t="shared" si="10"/>
        <v>1.8583133622719183</v>
      </c>
    </row>
    <row r="150" spans="1:16" s="84" customFormat="1" ht="15.75" customHeight="1" x14ac:dyDescent="0.25">
      <c r="A150" s="91">
        <f t="shared" si="11"/>
        <v>7</v>
      </c>
      <c r="B150" s="92"/>
      <c r="C150" s="62" t="s">
        <v>182</v>
      </c>
      <c r="D150" s="62">
        <f>(42.54+0.75*(2.75+2.2+3.05+2.75))*10.764</f>
        <v>544.68530999999996</v>
      </c>
      <c r="E150" s="86">
        <v>0</v>
      </c>
      <c r="F150" s="86">
        <v>1020</v>
      </c>
      <c r="G150" s="110"/>
      <c r="H150" s="111"/>
      <c r="I150" s="34"/>
      <c r="J150" s="67">
        <f t="shared" si="10"/>
        <v>1.8726409199469691</v>
      </c>
    </row>
    <row r="151" spans="1:16" s="84" customFormat="1" ht="15.75" customHeight="1" x14ac:dyDescent="0.25">
      <c r="A151" s="91">
        <f t="shared" si="11"/>
        <v>8</v>
      </c>
      <c r="B151" s="92"/>
      <c r="C151" s="86" t="s">
        <v>181</v>
      </c>
      <c r="D151" s="86">
        <f>(28.25+0.75*(2.75+1.9))*10.764</f>
        <v>341.62245000000001</v>
      </c>
      <c r="E151" s="86">
        <v>0</v>
      </c>
      <c r="F151" s="86">
        <v>660</v>
      </c>
      <c r="G151" s="112"/>
      <c r="H151" s="113"/>
      <c r="I151" s="34"/>
      <c r="J151" s="67">
        <f t="shared" si="10"/>
        <v>1.9319573406255941</v>
      </c>
    </row>
    <row r="152" spans="1:16" s="73" customFormat="1" ht="15.75" customHeight="1" x14ac:dyDescent="0.25">
      <c r="A152" s="105" t="s">
        <v>213</v>
      </c>
      <c r="B152" s="106"/>
      <c r="C152" s="106"/>
      <c r="D152" s="106"/>
      <c r="E152" s="106"/>
      <c r="F152" s="106"/>
      <c r="G152" s="106"/>
      <c r="H152" s="107"/>
      <c r="I152" s="77">
        <f>7</f>
        <v>7</v>
      </c>
      <c r="P152" s="35"/>
    </row>
    <row r="153" spans="1:16" s="73" customFormat="1" ht="15.75" customHeight="1" x14ac:dyDescent="0.25">
      <c r="A153" s="91">
        <v>1</v>
      </c>
      <c r="B153" s="92"/>
      <c r="C153" s="72" t="s">
        <v>181</v>
      </c>
      <c r="D153" s="72">
        <f>(28.25+0.75*(1.95+2.75+2.75))*10.764</f>
        <v>364.22684999999996</v>
      </c>
      <c r="E153" s="72">
        <v>0</v>
      </c>
      <c r="F153" s="72">
        <v>665</v>
      </c>
      <c r="G153" s="108" t="str">
        <f>A152</f>
        <v>5th Floor</v>
      </c>
      <c r="H153" s="109"/>
      <c r="I153" s="34">
        <f>3.85*2.75+2*2.225+2.75*2.75+1.2*1.5+0.9*1.5+0.9*2.5</f>
        <v>28.000000000000004</v>
      </c>
      <c r="J153" s="67">
        <f>F153/D153</f>
        <v>1.8257852214903982</v>
      </c>
    </row>
    <row r="154" spans="1:16" s="73" customFormat="1" ht="15.75" customHeight="1" x14ac:dyDescent="0.25">
      <c r="A154" s="91">
        <f>A153+1</f>
        <v>2</v>
      </c>
      <c r="B154" s="92"/>
      <c r="C154" s="62" t="s">
        <v>182</v>
      </c>
      <c r="D154" s="62">
        <f>(42.54+0.75*(2.75+2.2+3.05+2.75))*10.764</f>
        <v>544.68530999999996</v>
      </c>
      <c r="E154" s="72">
        <v>0</v>
      </c>
      <c r="F154" s="72">
        <v>1020</v>
      </c>
      <c r="G154" s="110"/>
      <c r="H154" s="111"/>
      <c r="I154" s="34">
        <f>2.75*4.2+2.2*2.35+3.05*3.35+2.75*2.9+1.2*2.1+1.2*2.1+0.9*2.4</f>
        <v>42.112500000000011</v>
      </c>
      <c r="J154" s="67">
        <f t="shared" ref="J154:J187" si="12">F154/D154</f>
        <v>1.8726409199469691</v>
      </c>
    </row>
    <row r="155" spans="1:16" s="73" customFormat="1" ht="15.75" customHeight="1" x14ac:dyDescent="0.25">
      <c r="A155" s="91">
        <f t="shared" ref="A155:A160" si="13">A154+1</f>
        <v>3</v>
      </c>
      <c r="B155" s="92"/>
      <c r="C155" s="62" t="s">
        <v>182</v>
      </c>
      <c r="D155" s="62">
        <f>(44.97+0.75*(2.8+2.1+2.75+1.7))*10.764</f>
        <v>559.53962999999999</v>
      </c>
      <c r="E155" s="72">
        <v>0</v>
      </c>
      <c r="F155" s="72">
        <v>1040</v>
      </c>
      <c r="G155" s="110"/>
      <c r="H155" s="111"/>
      <c r="I155" s="34"/>
      <c r="J155" s="67">
        <f t="shared" si="12"/>
        <v>1.8586708505347513</v>
      </c>
    </row>
    <row r="156" spans="1:16" s="73" customFormat="1" ht="15.75" customHeight="1" x14ac:dyDescent="0.25">
      <c r="A156" s="91">
        <f t="shared" si="13"/>
        <v>4</v>
      </c>
      <c r="B156" s="92"/>
      <c r="C156" s="62" t="s">
        <v>181</v>
      </c>
      <c r="D156" s="62">
        <f>(29.87+0.75*(2.75+2.1+1.96))*10.764</f>
        <v>376.49780999999996</v>
      </c>
      <c r="E156" s="72">
        <v>0</v>
      </c>
      <c r="F156" s="72">
        <v>705</v>
      </c>
      <c r="G156" s="110"/>
      <c r="H156" s="111"/>
      <c r="I156" s="34"/>
      <c r="J156" s="67">
        <f t="shared" si="12"/>
        <v>1.8725208521133232</v>
      </c>
    </row>
    <row r="157" spans="1:16" s="73" customFormat="1" ht="15.75" customHeight="1" x14ac:dyDescent="0.25">
      <c r="A157" s="91">
        <f t="shared" si="13"/>
        <v>5</v>
      </c>
      <c r="B157" s="92"/>
      <c r="C157" s="62" t="s">
        <v>181</v>
      </c>
      <c r="D157" s="62">
        <f>(29.87+0.75*(2.75+2.1+1.96))*10.764</f>
        <v>376.49780999999996</v>
      </c>
      <c r="E157" s="72">
        <v>0</v>
      </c>
      <c r="F157" s="72">
        <v>705</v>
      </c>
      <c r="G157" s="110"/>
      <c r="H157" s="111"/>
      <c r="I157" s="34"/>
      <c r="J157" s="67">
        <f t="shared" si="12"/>
        <v>1.8725208521133232</v>
      </c>
    </row>
    <row r="158" spans="1:16" s="73" customFormat="1" ht="15.75" customHeight="1" x14ac:dyDescent="0.25">
      <c r="A158" s="91">
        <f t="shared" si="13"/>
        <v>6</v>
      </c>
      <c r="B158" s="92"/>
      <c r="C158" s="62" t="s">
        <v>182</v>
      </c>
      <c r="D158" s="62">
        <f>(44.98+0.75*(2.8+2.1+2.75+1.7))*10.764</f>
        <v>559.64726999999993</v>
      </c>
      <c r="E158" s="72">
        <v>0</v>
      </c>
      <c r="F158" s="72">
        <v>1040</v>
      </c>
      <c r="G158" s="110"/>
      <c r="H158" s="111"/>
      <c r="I158" s="34"/>
      <c r="J158" s="67">
        <f t="shared" si="12"/>
        <v>1.8583133622719183</v>
      </c>
    </row>
    <row r="159" spans="1:16" s="73" customFormat="1" ht="15.75" customHeight="1" x14ac:dyDescent="0.25">
      <c r="A159" s="91">
        <f t="shared" si="13"/>
        <v>7</v>
      </c>
      <c r="B159" s="92"/>
      <c r="C159" s="62" t="s">
        <v>182</v>
      </c>
      <c r="D159" s="62">
        <f>(42.54+0.75*(2.75+2.2+3.05+2.75))*10.764</f>
        <v>544.68530999999996</v>
      </c>
      <c r="E159" s="72">
        <v>0</v>
      </c>
      <c r="F159" s="72">
        <v>1020</v>
      </c>
      <c r="G159" s="110"/>
      <c r="H159" s="111"/>
      <c r="I159" s="34"/>
      <c r="J159" s="67">
        <f t="shared" si="12"/>
        <v>1.8726409199469691</v>
      </c>
    </row>
    <row r="160" spans="1:16" s="73" customFormat="1" ht="15.75" customHeight="1" x14ac:dyDescent="0.25">
      <c r="A160" s="91">
        <f t="shared" si="13"/>
        <v>8</v>
      </c>
      <c r="B160" s="92"/>
      <c r="C160" s="72" t="s">
        <v>181</v>
      </c>
      <c r="D160" s="72">
        <f>(28.25+0.75*(2.75+1.9))*10.764</f>
        <v>341.62245000000001</v>
      </c>
      <c r="E160" s="72">
        <v>0</v>
      </c>
      <c r="F160" s="72">
        <v>660</v>
      </c>
      <c r="G160" s="112"/>
      <c r="H160" s="113"/>
      <c r="I160" s="34"/>
      <c r="J160" s="67">
        <f t="shared" si="12"/>
        <v>1.9319573406255941</v>
      </c>
    </row>
    <row r="161" spans="1:16" s="70" customFormat="1" ht="15.75" customHeight="1" x14ac:dyDescent="0.25">
      <c r="A161" s="105" t="s">
        <v>214</v>
      </c>
      <c r="B161" s="106"/>
      <c r="C161" s="106"/>
      <c r="D161" s="106"/>
      <c r="E161" s="106"/>
      <c r="F161" s="106"/>
      <c r="G161" s="106"/>
      <c r="H161" s="107"/>
      <c r="I161" s="77">
        <v>5</v>
      </c>
      <c r="J161" s="67" t="e">
        <f t="shared" si="12"/>
        <v>#DIV/0!</v>
      </c>
      <c r="P161" s="35"/>
    </row>
    <row r="162" spans="1:16" s="70" customFormat="1" ht="15.75" customHeight="1" x14ac:dyDescent="0.25">
      <c r="A162" s="91">
        <v>1</v>
      </c>
      <c r="B162" s="92"/>
      <c r="C162" s="62" t="s">
        <v>181</v>
      </c>
      <c r="D162" s="62">
        <f>(28.25+0.75*(1.95+2.75+2.75))*10.764</f>
        <v>364.22684999999996</v>
      </c>
      <c r="E162" s="72">
        <v>0</v>
      </c>
      <c r="F162" s="72">
        <v>665</v>
      </c>
      <c r="G162" s="108" t="str">
        <f>A161</f>
        <v>7th, 9th, 11th, 13th, 15th Floor (Refuge Balcony at Mid landing of Stairecase)</v>
      </c>
      <c r="H162" s="109"/>
      <c r="I162" s="34"/>
      <c r="J162" s="67">
        <f t="shared" si="12"/>
        <v>1.8257852214903982</v>
      </c>
    </row>
    <row r="163" spans="1:16" s="70" customFormat="1" ht="15.75" customHeight="1" x14ac:dyDescent="0.25">
      <c r="A163" s="91">
        <f>A162+1</f>
        <v>2</v>
      </c>
      <c r="B163" s="92"/>
      <c r="C163" s="62" t="s">
        <v>182</v>
      </c>
      <c r="D163" s="62">
        <f>(42.54+0.75*(2.75+2.2+3.05+2.75))*10.764</f>
        <v>544.68530999999996</v>
      </c>
      <c r="E163" s="72">
        <v>0</v>
      </c>
      <c r="F163" s="72">
        <v>1020</v>
      </c>
      <c r="G163" s="110" t="str">
        <f t="shared" ref="G163:G169" si="14">G162</f>
        <v>7th, 9th, 11th, 13th, 15th Floor (Refuge Balcony at Mid landing of Stairecase)</v>
      </c>
      <c r="H163" s="111"/>
      <c r="I163" s="34"/>
      <c r="J163" s="67">
        <f t="shared" si="12"/>
        <v>1.8726409199469691</v>
      </c>
    </row>
    <row r="164" spans="1:16" s="70" customFormat="1" ht="15.75" customHeight="1" x14ac:dyDescent="0.25">
      <c r="A164" s="91">
        <f t="shared" ref="A164:A169" si="15">A163+1</f>
        <v>3</v>
      </c>
      <c r="B164" s="92"/>
      <c r="C164" s="62" t="s">
        <v>182</v>
      </c>
      <c r="D164" s="62">
        <f>(44.97+0.75*(2.8+2.1+2.75+1.7))*10.764</f>
        <v>559.53962999999999</v>
      </c>
      <c r="E164" s="72">
        <v>0</v>
      </c>
      <c r="F164" s="72">
        <v>1040</v>
      </c>
      <c r="G164" s="110" t="str">
        <f t="shared" si="14"/>
        <v>7th, 9th, 11th, 13th, 15th Floor (Refuge Balcony at Mid landing of Stairecase)</v>
      </c>
      <c r="H164" s="111"/>
      <c r="I164" s="34"/>
      <c r="J164" s="67">
        <f t="shared" si="12"/>
        <v>1.8586708505347513</v>
      </c>
    </row>
    <row r="165" spans="1:16" s="70" customFormat="1" ht="15.75" customHeight="1" x14ac:dyDescent="0.25">
      <c r="A165" s="91">
        <f t="shared" si="15"/>
        <v>4</v>
      </c>
      <c r="B165" s="92"/>
      <c r="C165" s="62" t="s">
        <v>181</v>
      </c>
      <c r="D165" s="62">
        <f>(29.87+0.75*(2.75+2.1+1.96))*10.764</f>
        <v>376.49780999999996</v>
      </c>
      <c r="E165" s="72">
        <v>0</v>
      </c>
      <c r="F165" s="72">
        <v>705</v>
      </c>
      <c r="G165" s="110" t="str">
        <f t="shared" si="14"/>
        <v>7th, 9th, 11th, 13th, 15th Floor (Refuge Balcony at Mid landing of Stairecase)</v>
      </c>
      <c r="H165" s="111"/>
      <c r="I165" s="34"/>
      <c r="J165" s="67">
        <f t="shared" si="12"/>
        <v>1.8725208521133232</v>
      </c>
    </row>
    <row r="166" spans="1:16" s="70" customFormat="1" ht="15.75" customHeight="1" x14ac:dyDescent="0.25">
      <c r="A166" s="91">
        <f t="shared" si="15"/>
        <v>5</v>
      </c>
      <c r="B166" s="92"/>
      <c r="C166" s="62" t="s">
        <v>181</v>
      </c>
      <c r="D166" s="62">
        <f>(29.87+0.75*(2.75+2.1+1.96))*10.764</f>
        <v>376.49780999999996</v>
      </c>
      <c r="E166" s="72">
        <v>0</v>
      </c>
      <c r="F166" s="72">
        <v>705</v>
      </c>
      <c r="G166" s="110" t="str">
        <f t="shared" si="14"/>
        <v>7th, 9th, 11th, 13th, 15th Floor (Refuge Balcony at Mid landing of Stairecase)</v>
      </c>
      <c r="H166" s="111"/>
      <c r="I166" s="34"/>
      <c r="J166" s="67">
        <f t="shared" si="12"/>
        <v>1.8725208521133232</v>
      </c>
    </row>
    <row r="167" spans="1:16" s="70" customFormat="1" ht="15.75" customHeight="1" x14ac:dyDescent="0.25">
      <c r="A167" s="91">
        <f t="shared" si="15"/>
        <v>6</v>
      </c>
      <c r="B167" s="92"/>
      <c r="C167" s="62" t="s">
        <v>182</v>
      </c>
      <c r="D167" s="62">
        <f>(44.98+0.75*(2.8+2.1+2.75+1.7))*10.764</f>
        <v>559.64726999999993</v>
      </c>
      <c r="E167" s="72">
        <v>0</v>
      </c>
      <c r="F167" s="72">
        <v>1040</v>
      </c>
      <c r="G167" s="110" t="str">
        <f t="shared" si="14"/>
        <v>7th, 9th, 11th, 13th, 15th Floor (Refuge Balcony at Mid landing of Stairecase)</v>
      </c>
      <c r="H167" s="111"/>
      <c r="I167" s="34"/>
      <c r="J167" s="67">
        <f t="shared" si="12"/>
        <v>1.8583133622719183</v>
      </c>
    </row>
    <row r="168" spans="1:16" s="70" customFormat="1" ht="15.75" customHeight="1" x14ac:dyDescent="0.25">
      <c r="A168" s="91">
        <f t="shared" si="15"/>
        <v>7</v>
      </c>
      <c r="B168" s="92"/>
      <c r="C168" s="62" t="s">
        <v>182</v>
      </c>
      <c r="D168" s="62">
        <f>(42.54+0.75*(2.75+2.2+3.05+2.75))*10.764</f>
        <v>544.68530999999996</v>
      </c>
      <c r="E168" s="72">
        <v>0</v>
      </c>
      <c r="F168" s="72">
        <v>1020</v>
      </c>
      <c r="G168" s="110" t="str">
        <f t="shared" si="14"/>
        <v>7th, 9th, 11th, 13th, 15th Floor (Refuge Balcony at Mid landing of Stairecase)</v>
      </c>
      <c r="H168" s="111"/>
      <c r="I168" s="34"/>
      <c r="J168" s="67">
        <f t="shared" si="12"/>
        <v>1.8726409199469691</v>
      </c>
    </row>
    <row r="169" spans="1:16" s="70" customFormat="1" ht="15.75" customHeight="1" x14ac:dyDescent="0.25">
      <c r="A169" s="91">
        <f t="shared" si="15"/>
        <v>8</v>
      </c>
      <c r="B169" s="92"/>
      <c r="C169" s="62" t="s">
        <v>181</v>
      </c>
      <c r="D169" s="62">
        <f>(28.25+0.75*(2.75+1.95))*10.764</f>
        <v>342.02609999999999</v>
      </c>
      <c r="E169" s="72">
        <v>0</v>
      </c>
      <c r="F169" s="72">
        <v>660</v>
      </c>
      <c r="G169" s="112" t="str">
        <f t="shared" si="14"/>
        <v>7th, 9th, 11th, 13th, 15th Floor (Refuge Balcony at Mid landing of Stairecase)</v>
      </c>
      <c r="H169" s="113"/>
      <c r="I169" s="34"/>
      <c r="J169" s="67">
        <f t="shared" si="12"/>
        <v>1.9296772965571927</v>
      </c>
    </row>
    <row r="170" spans="1:16" s="70" customFormat="1" x14ac:dyDescent="0.25">
      <c r="A170" s="143" t="s">
        <v>215</v>
      </c>
      <c r="B170" s="143"/>
      <c r="C170" s="143"/>
      <c r="D170" s="143"/>
      <c r="E170" s="143"/>
      <c r="F170" s="143"/>
      <c r="G170" s="143"/>
      <c r="H170" s="143"/>
      <c r="I170" s="77">
        <v>3</v>
      </c>
      <c r="J170" s="67" t="e">
        <f t="shared" si="12"/>
        <v>#DIV/0!</v>
      </c>
      <c r="L170" s="90"/>
      <c r="M170" s="90"/>
    </row>
    <row r="171" spans="1:16" s="70" customFormat="1" x14ac:dyDescent="0.25">
      <c r="A171" s="122">
        <v>1</v>
      </c>
      <c r="B171" s="122"/>
      <c r="C171" s="62" t="s">
        <v>181</v>
      </c>
      <c r="D171" s="80">
        <f>(28.831+8.55+0.75*1.95)*10.764</f>
        <v>418.11143399999997</v>
      </c>
      <c r="E171" s="72">
        <v>0</v>
      </c>
      <c r="F171" s="68">
        <f>D171*1.86</f>
        <v>777.68726723999998</v>
      </c>
      <c r="G171" s="122" t="str">
        <f>A170</f>
        <v>16th, 18th &amp; 20th Floor (Refuge Balcony at Mid landing of Stairecase)</v>
      </c>
      <c r="H171" s="122"/>
      <c r="I171" s="34"/>
      <c r="J171" s="67">
        <f t="shared" si="12"/>
        <v>1.86</v>
      </c>
      <c r="M171" s="75">
        <v>10.763999999999999</v>
      </c>
      <c r="N171" s="34"/>
    </row>
    <row r="172" spans="1:16" s="70" customFormat="1" x14ac:dyDescent="0.25">
      <c r="A172" s="122">
        <f>A171+1</f>
        <v>2</v>
      </c>
      <c r="B172" s="122"/>
      <c r="C172" s="62" t="s">
        <v>182</v>
      </c>
      <c r="D172" s="80">
        <f>(43.963+4.575+12.6)*10.764</f>
        <v>658.08943199999999</v>
      </c>
      <c r="E172" s="72">
        <v>0</v>
      </c>
      <c r="F172" s="68">
        <f t="shared" ref="F172:F178" si="16">D172*1.86</f>
        <v>1224.0463435199999</v>
      </c>
      <c r="G172" s="122" t="str">
        <f t="shared" ref="G172:G178" si="17">G171</f>
        <v>16th, 18th &amp; 20th Floor (Refuge Balcony at Mid landing of Stairecase)</v>
      </c>
      <c r="H172" s="122"/>
      <c r="I172" s="34"/>
      <c r="J172" s="67">
        <f t="shared" si="12"/>
        <v>1.8599999999999999</v>
      </c>
      <c r="K172" s="70">
        <f>6*8</f>
        <v>48</v>
      </c>
      <c r="N172" s="34"/>
    </row>
    <row r="173" spans="1:16" s="70" customFormat="1" x14ac:dyDescent="0.25">
      <c r="A173" s="122">
        <f t="shared" ref="A173:A178" si="18">A172+1</f>
        <v>3</v>
      </c>
      <c r="B173" s="122"/>
      <c r="C173" s="62" t="s">
        <v>182</v>
      </c>
      <c r="D173" s="80">
        <f>(43.977+6.519+7.5)*10.764</f>
        <v>624.26894399999992</v>
      </c>
      <c r="E173" s="72">
        <v>0</v>
      </c>
      <c r="F173" s="68">
        <f t="shared" si="16"/>
        <v>1161.1402358399998</v>
      </c>
      <c r="G173" s="122" t="str">
        <f t="shared" si="17"/>
        <v>16th, 18th &amp; 20th Floor (Refuge Balcony at Mid landing of Stairecase)</v>
      </c>
      <c r="H173" s="122"/>
      <c r="I173" s="34"/>
      <c r="J173" s="67">
        <f t="shared" si="12"/>
        <v>1.8599999999999999</v>
      </c>
      <c r="N173" s="34"/>
    </row>
    <row r="174" spans="1:16" s="70" customFormat="1" x14ac:dyDescent="0.25">
      <c r="A174" s="122">
        <f t="shared" si="18"/>
        <v>4</v>
      </c>
      <c r="B174" s="122"/>
      <c r="C174" s="62" t="s">
        <v>181</v>
      </c>
      <c r="D174" s="80">
        <f>(31.217+2.4+5.5)*10.764</f>
        <v>421.05538799999994</v>
      </c>
      <c r="E174" s="72">
        <v>0</v>
      </c>
      <c r="F174" s="68">
        <f t="shared" si="16"/>
        <v>783.16302167999993</v>
      </c>
      <c r="G174" s="122" t="str">
        <f t="shared" si="17"/>
        <v>16th, 18th &amp; 20th Floor (Refuge Balcony at Mid landing of Stairecase)</v>
      </c>
      <c r="H174" s="122"/>
      <c r="I174" s="34"/>
      <c r="J174" s="67">
        <f t="shared" si="12"/>
        <v>1.86</v>
      </c>
      <c r="N174" s="34"/>
    </row>
    <row r="175" spans="1:16" s="70" customFormat="1" x14ac:dyDescent="0.25">
      <c r="A175" s="122">
        <f t="shared" si="18"/>
        <v>5</v>
      </c>
      <c r="B175" s="122"/>
      <c r="C175" s="62" t="s">
        <v>181</v>
      </c>
      <c r="D175" s="80">
        <f>(31.217+2.4+5.5)*10.764</f>
        <v>421.05538799999994</v>
      </c>
      <c r="E175" s="72">
        <v>0</v>
      </c>
      <c r="F175" s="68">
        <f t="shared" si="16"/>
        <v>783.16302167999993</v>
      </c>
      <c r="G175" s="122" t="str">
        <f t="shared" si="17"/>
        <v>16th, 18th &amp; 20th Floor (Refuge Balcony at Mid landing of Stairecase)</v>
      </c>
      <c r="H175" s="122"/>
      <c r="I175" s="34"/>
      <c r="J175" s="67">
        <f t="shared" si="12"/>
        <v>1.86</v>
      </c>
      <c r="N175" s="34"/>
    </row>
    <row r="176" spans="1:16" s="70" customFormat="1" x14ac:dyDescent="0.25">
      <c r="A176" s="122">
        <f t="shared" si="18"/>
        <v>6</v>
      </c>
      <c r="B176" s="122"/>
      <c r="C176" s="62" t="s">
        <v>182</v>
      </c>
      <c r="D176" s="80">
        <f>(45.977+6.519+7.5)*10.764</f>
        <v>645.79694399999994</v>
      </c>
      <c r="E176" s="72">
        <v>0</v>
      </c>
      <c r="F176" s="68">
        <f t="shared" si="16"/>
        <v>1201.18231584</v>
      </c>
      <c r="G176" s="122" t="str">
        <f t="shared" si="17"/>
        <v>16th, 18th &amp; 20th Floor (Refuge Balcony at Mid landing of Stairecase)</v>
      </c>
      <c r="H176" s="122"/>
      <c r="I176" s="34"/>
      <c r="J176" s="67">
        <f t="shared" si="12"/>
        <v>1.86</v>
      </c>
      <c r="N176" s="34"/>
    </row>
    <row r="177" spans="1:14" s="70" customFormat="1" x14ac:dyDescent="0.25">
      <c r="A177" s="122">
        <f t="shared" si="18"/>
        <v>7</v>
      </c>
      <c r="B177" s="122"/>
      <c r="C177" s="62" t="s">
        <v>182</v>
      </c>
      <c r="D177" s="80">
        <f>(43.962+17.175)*10.764</f>
        <v>658.07866799999999</v>
      </c>
      <c r="E177" s="72">
        <v>0</v>
      </c>
      <c r="F177" s="68">
        <f t="shared" si="16"/>
        <v>1224.0263224800001</v>
      </c>
      <c r="G177" s="122" t="str">
        <f t="shared" si="17"/>
        <v>16th, 18th &amp; 20th Floor (Refuge Balcony at Mid landing of Stairecase)</v>
      </c>
      <c r="H177" s="122"/>
      <c r="I177" s="34"/>
      <c r="J177" s="67">
        <f t="shared" si="12"/>
        <v>1.86</v>
      </c>
      <c r="N177" s="34"/>
    </row>
    <row r="178" spans="1:14" s="70" customFormat="1" x14ac:dyDescent="0.25">
      <c r="A178" s="122">
        <f t="shared" si="18"/>
        <v>8</v>
      </c>
      <c r="B178" s="122"/>
      <c r="C178" s="62" t="s">
        <v>181</v>
      </c>
      <c r="D178" s="80">
        <f>(28.831+8.55+0.75*1.95)*10.764</f>
        <v>418.11143399999997</v>
      </c>
      <c r="E178" s="72">
        <v>0</v>
      </c>
      <c r="F178" s="68">
        <f t="shared" si="16"/>
        <v>777.68726723999998</v>
      </c>
      <c r="G178" s="122" t="str">
        <f t="shared" si="17"/>
        <v>16th, 18th &amp; 20th Floor (Refuge Balcony at Mid landing of Stairecase)</v>
      </c>
      <c r="H178" s="122"/>
      <c r="I178" s="34"/>
      <c r="J178" s="67">
        <f t="shared" si="12"/>
        <v>1.86</v>
      </c>
      <c r="N178" s="34"/>
    </row>
    <row r="179" spans="1:14" s="70" customFormat="1" x14ac:dyDescent="0.25">
      <c r="A179" s="143" t="s">
        <v>216</v>
      </c>
      <c r="B179" s="143"/>
      <c r="C179" s="143"/>
      <c r="D179" s="143"/>
      <c r="E179" s="143"/>
      <c r="F179" s="143"/>
      <c r="G179" s="143"/>
      <c r="H179" s="143"/>
      <c r="I179" s="77">
        <v>3</v>
      </c>
      <c r="J179" s="67" t="e">
        <f t="shared" si="12"/>
        <v>#DIV/0!</v>
      </c>
      <c r="L179" s="90"/>
      <c r="M179" s="90"/>
    </row>
    <row r="180" spans="1:14" s="70" customFormat="1" x14ac:dyDescent="0.25">
      <c r="A180" s="91">
        <v>1</v>
      </c>
      <c r="B180" s="92"/>
      <c r="C180" s="62" t="s">
        <v>181</v>
      </c>
      <c r="D180" s="80">
        <f>(28.831+8.55+0.75*1.95)*10.764</f>
        <v>418.11143399999997</v>
      </c>
      <c r="E180" s="72">
        <v>0</v>
      </c>
      <c r="F180" s="68">
        <f t="shared" ref="F180:F187" si="19">D180*1.86</f>
        <v>777.68726723999998</v>
      </c>
      <c r="G180" s="108" t="str">
        <f>A179</f>
        <v>17th, 19th &amp; 21st Floor</v>
      </c>
      <c r="H180" s="109"/>
      <c r="I180" s="34"/>
      <c r="J180" s="67">
        <f t="shared" si="12"/>
        <v>1.86</v>
      </c>
      <c r="M180" s="75">
        <v>10.763999999999999</v>
      </c>
      <c r="N180" s="34"/>
    </row>
    <row r="181" spans="1:14" s="70" customFormat="1" x14ac:dyDescent="0.25">
      <c r="A181" s="91">
        <f>A180+1</f>
        <v>2</v>
      </c>
      <c r="B181" s="92"/>
      <c r="C181" s="62" t="s">
        <v>182</v>
      </c>
      <c r="D181" s="80">
        <f>(43.963+4.575+12.6)*10.764</f>
        <v>658.08943199999999</v>
      </c>
      <c r="E181" s="72">
        <v>0</v>
      </c>
      <c r="F181" s="68">
        <f t="shared" si="19"/>
        <v>1224.0463435199999</v>
      </c>
      <c r="G181" s="110" t="str">
        <f t="shared" ref="G181:G187" si="20">G180</f>
        <v>17th, 19th &amp; 21st Floor</v>
      </c>
      <c r="H181" s="111"/>
      <c r="I181" s="34"/>
      <c r="J181" s="67">
        <f t="shared" si="12"/>
        <v>1.8599999999999999</v>
      </c>
      <c r="N181" s="34"/>
    </row>
    <row r="182" spans="1:14" s="70" customFormat="1" x14ac:dyDescent="0.25">
      <c r="A182" s="91">
        <f t="shared" ref="A182:A187" si="21">A181+1</f>
        <v>3</v>
      </c>
      <c r="B182" s="92"/>
      <c r="C182" s="62" t="s">
        <v>182</v>
      </c>
      <c r="D182" s="80">
        <f>(43.977+6.519+7.5)*10.764</f>
        <v>624.26894399999992</v>
      </c>
      <c r="E182" s="72">
        <v>0</v>
      </c>
      <c r="F182" s="68">
        <f t="shared" si="19"/>
        <v>1161.1402358399998</v>
      </c>
      <c r="G182" s="110" t="str">
        <f t="shared" si="20"/>
        <v>17th, 19th &amp; 21st Floor</v>
      </c>
      <c r="H182" s="111"/>
      <c r="I182" s="34"/>
      <c r="J182" s="67">
        <f t="shared" si="12"/>
        <v>1.8599999999999999</v>
      </c>
      <c r="N182" s="34"/>
    </row>
    <row r="183" spans="1:14" s="70" customFormat="1" x14ac:dyDescent="0.25">
      <c r="A183" s="91">
        <f t="shared" si="21"/>
        <v>4</v>
      </c>
      <c r="B183" s="92"/>
      <c r="C183" s="62" t="s">
        <v>181</v>
      </c>
      <c r="D183" s="80">
        <f>(31.217+2.4+5.5)*10.764</f>
        <v>421.05538799999994</v>
      </c>
      <c r="E183" s="72">
        <v>0</v>
      </c>
      <c r="F183" s="68">
        <f t="shared" si="19"/>
        <v>783.16302167999993</v>
      </c>
      <c r="G183" s="110" t="str">
        <f t="shared" si="20"/>
        <v>17th, 19th &amp; 21st Floor</v>
      </c>
      <c r="H183" s="111"/>
      <c r="I183" s="34"/>
      <c r="J183" s="67">
        <f t="shared" si="12"/>
        <v>1.86</v>
      </c>
      <c r="N183" s="34"/>
    </row>
    <row r="184" spans="1:14" s="70" customFormat="1" x14ac:dyDescent="0.25">
      <c r="A184" s="91">
        <f t="shared" si="21"/>
        <v>5</v>
      </c>
      <c r="B184" s="92"/>
      <c r="C184" s="62" t="s">
        <v>181</v>
      </c>
      <c r="D184" s="80">
        <f>(31.217+2.4+5.5)*10.764</f>
        <v>421.05538799999994</v>
      </c>
      <c r="E184" s="72">
        <v>0</v>
      </c>
      <c r="F184" s="68">
        <f t="shared" si="19"/>
        <v>783.16302167999993</v>
      </c>
      <c r="G184" s="110" t="str">
        <f t="shared" si="20"/>
        <v>17th, 19th &amp; 21st Floor</v>
      </c>
      <c r="H184" s="111"/>
      <c r="I184" s="34"/>
      <c r="J184" s="67">
        <f t="shared" si="12"/>
        <v>1.86</v>
      </c>
      <c r="N184" s="34"/>
    </row>
    <row r="185" spans="1:14" s="70" customFormat="1" x14ac:dyDescent="0.25">
      <c r="A185" s="91">
        <f t="shared" si="21"/>
        <v>6</v>
      </c>
      <c r="B185" s="92"/>
      <c r="C185" s="62" t="s">
        <v>182</v>
      </c>
      <c r="D185" s="80">
        <f>(45.977+6.519+7.5)*10.764</f>
        <v>645.79694399999994</v>
      </c>
      <c r="E185" s="72">
        <v>0</v>
      </c>
      <c r="F185" s="68">
        <f t="shared" si="19"/>
        <v>1201.18231584</v>
      </c>
      <c r="G185" s="110" t="str">
        <f t="shared" si="20"/>
        <v>17th, 19th &amp; 21st Floor</v>
      </c>
      <c r="H185" s="111"/>
      <c r="I185" s="34"/>
      <c r="J185" s="67">
        <f t="shared" si="12"/>
        <v>1.86</v>
      </c>
      <c r="N185" s="34"/>
    </row>
    <row r="186" spans="1:14" s="70" customFormat="1" x14ac:dyDescent="0.25">
      <c r="A186" s="91">
        <f t="shared" si="21"/>
        <v>7</v>
      </c>
      <c r="B186" s="92"/>
      <c r="C186" s="62" t="s">
        <v>182</v>
      </c>
      <c r="D186" s="80">
        <f>(43.962+17.175)*10.764</f>
        <v>658.07866799999999</v>
      </c>
      <c r="E186" s="72">
        <v>0</v>
      </c>
      <c r="F186" s="68">
        <f t="shared" si="19"/>
        <v>1224.0263224800001</v>
      </c>
      <c r="G186" s="110" t="str">
        <f t="shared" si="20"/>
        <v>17th, 19th &amp; 21st Floor</v>
      </c>
      <c r="H186" s="111"/>
      <c r="I186" s="34"/>
      <c r="J186" s="67">
        <f t="shared" si="12"/>
        <v>1.86</v>
      </c>
      <c r="N186" s="34"/>
    </row>
    <row r="187" spans="1:14" s="70" customFormat="1" x14ac:dyDescent="0.25">
      <c r="A187" s="91">
        <f t="shared" si="21"/>
        <v>8</v>
      </c>
      <c r="B187" s="92"/>
      <c r="C187" s="62" t="s">
        <v>181</v>
      </c>
      <c r="D187" s="80">
        <f>(28.831+8.55+0.75*1.95)*10.764</f>
        <v>418.11143399999997</v>
      </c>
      <c r="E187" s="72">
        <v>0</v>
      </c>
      <c r="F187" s="68">
        <f t="shared" si="19"/>
        <v>777.68726723999998</v>
      </c>
      <c r="G187" s="112" t="str">
        <f t="shared" si="20"/>
        <v>17th, 19th &amp; 21st Floor</v>
      </c>
      <c r="H187" s="113"/>
      <c r="I187" s="34"/>
      <c r="J187" s="67">
        <f t="shared" si="12"/>
        <v>1.86</v>
      </c>
      <c r="N187" s="34"/>
    </row>
    <row r="188" spans="1:14" s="1" customFormat="1" x14ac:dyDescent="0.25">
      <c r="A188" s="146" t="s">
        <v>72</v>
      </c>
      <c r="B188" s="146"/>
      <c r="C188" s="146"/>
      <c r="D188" s="146"/>
      <c r="E188" s="146"/>
      <c r="F188" s="146"/>
      <c r="G188" s="146"/>
      <c r="H188" s="146"/>
    </row>
    <row r="189" spans="1:14" s="1" customFormat="1" x14ac:dyDescent="0.25">
      <c r="A189" s="52" t="s">
        <v>163</v>
      </c>
      <c r="B189" s="133" t="s">
        <v>228</v>
      </c>
      <c r="C189" s="134"/>
      <c r="D189" s="134"/>
      <c r="E189" s="134"/>
      <c r="F189" s="134"/>
      <c r="G189" s="134"/>
      <c r="H189" s="135"/>
    </row>
    <row r="190" spans="1:14" s="1" customFormat="1" x14ac:dyDescent="0.25">
      <c r="A190" s="52" t="s">
        <v>163</v>
      </c>
      <c r="B190" s="133" t="str">
        <f>(IF(F122="Saleable area Loading :","We have considered Saleable area of Flats as per our Calculation.","We considered Saleable area of Flat as per Builder area Sheet."))</f>
        <v>We considered Saleable area of Flat as per Builder area Sheet.</v>
      </c>
      <c r="C190" s="134"/>
      <c r="D190" s="134"/>
      <c r="E190" s="134"/>
      <c r="F190" s="134"/>
      <c r="G190" s="134"/>
      <c r="H190" s="135"/>
    </row>
    <row r="191" spans="1:14" s="1" customFormat="1" x14ac:dyDescent="0.25">
      <c r="A191" s="52" t="s">
        <v>163</v>
      </c>
      <c r="B191" s="133" t="str">
        <f>(IF(F100="Saleable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1" s="134"/>
      <c r="D191" s="134"/>
      <c r="E191" s="134"/>
      <c r="F191" s="134"/>
      <c r="G191" s="134"/>
      <c r="H191" s="135"/>
    </row>
    <row r="192" spans="1:14" s="1" customFormat="1" x14ac:dyDescent="0.25">
      <c r="A192" s="52" t="s">
        <v>163</v>
      </c>
      <c r="B192" s="87" t="s">
        <v>134</v>
      </c>
      <c r="C192" s="88"/>
      <c r="D192" s="88"/>
      <c r="E192" s="88"/>
      <c r="F192" s="88"/>
      <c r="G192" s="88"/>
      <c r="H192" s="89"/>
    </row>
    <row r="193" spans="1:11" s="1" customFormat="1" x14ac:dyDescent="0.25">
      <c r="A193" s="52" t="s">
        <v>163</v>
      </c>
      <c r="B193" s="87" t="s">
        <v>217</v>
      </c>
      <c r="C193" s="88"/>
      <c r="D193" s="88"/>
      <c r="E193" s="88"/>
      <c r="F193" s="88"/>
      <c r="G193" s="88"/>
      <c r="H193" s="89"/>
    </row>
    <row r="194" spans="1:11" s="1" customFormat="1" x14ac:dyDescent="0.25">
      <c r="A194" s="52" t="s">
        <v>163</v>
      </c>
      <c r="B194" s="87" t="s">
        <v>162</v>
      </c>
      <c r="C194" s="88"/>
      <c r="D194" s="88"/>
      <c r="E194" s="88"/>
      <c r="F194" s="88"/>
      <c r="G194" s="88"/>
      <c r="H194" s="89"/>
    </row>
    <row r="195" spans="1:11" s="1" customFormat="1" x14ac:dyDescent="0.25">
      <c r="A195" s="52" t="s">
        <v>163</v>
      </c>
      <c r="B195" s="87" t="s">
        <v>135</v>
      </c>
      <c r="C195" s="88"/>
      <c r="D195" s="88"/>
      <c r="E195" s="88"/>
      <c r="F195" s="88"/>
      <c r="G195" s="88"/>
      <c r="H195" s="89"/>
    </row>
    <row r="196" spans="1:11" s="1" customFormat="1" ht="34.5" hidden="1" customHeight="1" x14ac:dyDescent="0.25">
      <c r="A196" s="53" t="s">
        <v>163</v>
      </c>
      <c r="B196" s="87" t="s">
        <v>166</v>
      </c>
      <c r="C196" s="88"/>
      <c r="D196" s="88"/>
      <c r="E196" s="88"/>
      <c r="F196" s="88"/>
      <c r="G196" s="88"/>
      <c r="H196" s="89"/>
    </row>
    <row r="197" spans="1:11" s="1" customFormat="1" x14ac:dyDescent="0.25">
      <c r="A197" s="52" t="s">
        <v>163</v>
      </c>
      <c r="B197" s="87" t="s">
        <v>136</v>
      </c>
      <c r="C197" s="88"/>
      <c r="D197" s="88"/>
      <c r="E197" s="88"/>
      <c r="F197" s="88"/>
      <c r="G197" s="88"/>
      <c r="H197" s="89"/>
    </row>
    <row r="198" spans="1:11" s="1" customFormat="1" x14ac:dyDescent="0.25">
      <c r="A198" s="71" t="s">
        <v>163</v>
      </c>
      <c r="B198" s="87" t="s">
        <v>219</v>
      </c>
      <c r="C198" s="88"/>
      <c r="D198" s="88"/>
      <c r="E198" s="88"/>
      <c r="F198" s="88"/>
      <c r="G198" s="88"/>
      <c r="H198" s="89"/>
    </row>
    <row r="199" spans="1:11" s="1" customFormat="1" ht="15.75" hidden="1" customHeight="1" x14ac:dyDescent="0.25">
      <c r="A199" s="52" t="s">
        <v>163</v>
      </c>
      <c r="B199" s="133" t="s">
        <v>190</v>
      </c>
      <c r="C199" s="134"/>
      <c r="D199" s="134"/>
      <c r="E199" s="134"/>
      <c r="F199" s="134"/>
      <c r="G199" s="134"/>
      <c r="H199" s="135"/>
      <c r="I199" s="189" t="s">
        <v>188</v>
      </c>
      <c r="J199" s="190"/>
      <c r="K199" s="190"/>
    </row>
    <row r="200" spans="1:11" s="1" customFormat="1" ht="15.75" hidden="1" customHeight="1" x14ac:dyDescent="0.25">
      <c r="A200" s="54" t="s">
        <v>163</v>
      </c>
      <c r="B200" s="133" t="s">
        <v>185</v>
      </c>
      <c r="C200" s="134"/>
      <c r="D200" s="134"/>
      <c r="E200" s="134"/>
      <c r="F200" s="134"/>
      <c r="G200" s="134"/>
      <c r="H200" s="135"/>
      <c r="I200" s="189"/>
      <c r="J200" s="190"/>
      <c r="K200" s="190"/>
    </row>
    <row r="201" spans="1:11" s="1" customFormat="1" x14ac:dyDescent="0.25">
      <c r="A201" s="85" t="s">
        <v>163</v>
      </c>
      <c r="B201" s="87" t="s">
        <v>227</v>
      </c>
      <c r="C201" s="88"/>
      <c r="D201" s="88"/>
      <c r="E201" s="88"/>
      <c r="F201" s="88"/>
      <c r="G201" s="88"/>
      <c r="H201" s="89"/>
    </row>
    <row r="202" spans="1:11" x14ac:dyDescent="0.25">
      <c r="A202" s="136" t="s">
        <v>65</v>
      </c>
      <c r="B202" s="136"/>
      <c r="C202" s="136"/>
      <c r="D202" s="136"/>
      <c r="E202" s="136"/>
      <c r="F202" s="136"/>
      <c r="G202" s="136"/>
      <c r="H202" s="136"/>
      <c r="I202" s="78"/>
      <c r="J202" s="79"/>
      <c r="K202" s="79"/>
    </row>
    <row r="203" spans="1:11" x14ac:dyDescent="0.25">
      <c r="A203" s="93" t="s">
        <v>66</v>
      </c>
      <c r="B203" s="93"/>
      <c r="C203" s="93"/>
      <c r="D203" s="93"/>
      <c r="E203" s="93"/>
      <c r="F203" s="93"/>
      <c r="G203" s="93"/>
      <c r="H203" s="93"/>
    </row>
    <row r="204" spans="1:11" ht="15.75" customHeight="1" x14ac:dyDescent="0.25">
      <c r="A204" s="114" t="s">
        <v>67</v>
      </c>
      <c r="B204" s="114"/>
      <c r="C204" s="114"/>
      <c r="D204" s="114"/>
      <c r="E204" s="114"/>
      <c r="F204" s="114"/>
      <c r="G204" s="114"/>
      <c r="H204" s="114"/>
    </row>
    <row r="205" spans="1:11" x14ac:dyDescent="0.25">
      <c r="A205" s="93" t="s">
        <v>68</v>
      </c>
      <c r="B205" s="93"/>
      <c r="C205" s="93"/>
      <c r="D205" s="93"/>
      <c r="E205" s="93"/>
      <c r="F205" s="93"/>
      <c r="G205" s="93"/>
      <c r="H205" s="93"/>
    </row>
    <row r="206" spans="1:11" x14ac:dyDescent="0.25">
      <c r="A206" s="93" t="s">
        <v>69</v>
      </c>
      <c r="B206" s="93"/>
      <c r="C206" s="93"/>
      <c r="D206" s="93"/>
      <c r="E206" s="93"/>
      <c r="F206" s="93"/>
      <c r="G206" s="93"/>
      <c r="H206" s="93"/>
    </row>
    <row r="207" spans="1:11" hidden="1" x14ac:dyDescent="0.25">
      <c r="A207" s="93" t="s">
        <v>137</v>
      </c>
      <c r="B207" s="93"/>
      <c r="C207" s="93"/>
      <c r="D207" s="93"/>
      <c r="E207" s="93"/>
      <c r="F207" s="93"/>
      <c r="G207" s="93"/>
      <c r="H207" s="93"/>
    </row>
    <row r="208" spans="1:11" ht="35.25" hidden="1" customHeight="1" x14ac:dyDescent="0.25">
      <c r="A208" s="145" t="s">
        <v>138</v>
      </c>
      <c r="B208" s="145"/>
      <c r="C208" s="145"/>
      <c r="D208" s="145"/>
      <c r="E208" s="145"/>
      <c r="F208" s="145"/>
      <c r="G208" s="145"/>
      <c r="H208" s="145"/>
    </row>
    <row r="209" spans="1:8" x14ac:dyDescent="0.25">
      <c r="A209" s="139" t="s">
        <v>82</v>
      </c>
      <c r="B209" s="139"/>
      <c r="C209" s="139" t="s">
        <v>230</v>
      </c>
      <c r="D209" s="139"/>
      <c r="E209" s="139" t="s">
        <v>115</v>
      </c>
      <c r="F209" s="139"/>
      <c r="G209" s="139" t="s">
        <v>229</v>
      </c>
      <c r="H209" s="139"/>
    </row>
    <row r="210" spans="1:8" x14ac:dyDescent="0.25">
      <c r="A210" s="138"/>
      <c r="B210" s="138"/>
      <c r="C210" s="138"/>
      <c r="D210" s="138"/>
      <c r="E210" s="138"/>
      <c r="F210" s="138"/>
      <c r="G210" s="138"/>
      <c r="H210" s="138"/>
    </row>
    <row r="211" spans="1:8" x14ac:dyDescent="0.25">
      <c r="A211" s="138"/>
      <c r="B211" s="138"/>
      <c r="C211" s="138"/>
      <c r="D211" s="138"/>
      <c r="E211" s="138"/>
      <c r="F211" s="138"/>
      <c r="G211" s="138"/>
      <c r="H211" s="138"/>
    </row>
    <row r="212" spans="1:8" x14ac:dyDescent="0.25">
      <c r="A212" s="138"/>
      <c r="B212" s="138"/>
      <c r="C212" s="138"/>
      <c r="D212" s="138"/>
      <c r="E212" s="138"/>
      <c r="F212" s="138"/>
      <c r="G212" s="138"/>
      <c r="H212" s="138"/>
    </row>
    <row r="213" spans="1:8" x14ac:dyDescent="0.25">
      <c r="A213" s="138"/>
      <c r="B213" s="138"/>
      <c r="C213" s="138"/>
      <c r="D213" s="138"/>
      <c r="E213" s="138"/>
      <c r="F213" s="138"/>
      <c r="G213" s="138"/>
      <c r="H213" s="138"/>
    </row>
    <row r="214" spans="1:8" x14ac:dyDescent="0.25">
      <c r="A214" s="9" t="s">
        <v>70</v>
      </c>
      <c r="B214" s="10"/>
      <c r="C214" s="10"/>
      <c r="D214" s="9" t="str">
        <f>E8</f>
        <v>Innovative Icon</v>
      </c>
      <c r="F214" s="10"/>
      <c r="G214" s="10"/>
      <c r="H214" s="10"/>
    </row>
    <row r="215" spans="1:8" x14ac:dyDescent="0.25">
      <c r="A215" s="10"/>
      <c r="B215" s="10"/>
      <c r="C215" s="10"/>
      <c r="D215" s="10"/>
      <c r="E215" s="10"/>
      <c r="F215" s="10"/>
      <c r="G215" s="10"/>
      <c r="H215" s="10"/>
    </row>
    <row r="216" spans="1:8" x14ac:dyDescent="0.25">
      <c r="A216" s="10"/>
      <c r="B216" s="10"/>
      <c r="C216" s="10"/>
      <c r="D216" s="10"/>
      <c r="E216" s="10"/>
      <c r="F216" s="10"/>
      <c r="G216" s="10"/>
      <c r="H216" s="10"/>
    </row>
    <row r="217" spans="1:8" ht="15" customHeight="1" x14ac:dyDescent="0.25"/>
    <row r="258" spans="1:1" x14ac:dyDescent="0.25">
      <c r="A258" s="12" t="s">
        <v>222</v>
      </c>
    </row>
    <row r="300" spans="1:1" x14ac:dyDescent="0.25">
      <c r="A300" s="12" t="s">
        <v>71</v>
      </c>
    </row>
  </sheetData>
  <mergeCells count="350">
    <mergeCell ref="L170:M170"/>
    <mergeCell ref="A171:B171"/>
    <mergeCell ref="G171:H178"/>
    <mergeCell ref="A172:B172"/>
    <mergeCell ref="A173:B173"/>
    <mergeCell ref="A174:B174"/>
    <mergeCell ref="A175:B175"/>
    <mergeCell ref="A176:B176"/>
    <mergeCell ref="A177:B177"/>
    <mergeCell ref="A178:B178"/>
    <mergeCell ref="B198:H198"/>
    <mergeCell ref="A97:B97"/>
    <mergeCell ref="C97:D97"/>
    <mergeCell ref="E97:F97"/>
    <mergeCell ref="G97:H97"/>
    <mergeCell ref="I199:K200"/>
    <mergeCell ref="A170:H170"/>
    <mergeCell ref="A161:H161"/>
    <mergeCell ref="A162:B162"/>
    <mergeCell ref="G162:H169"/>
    <mergeCell ref="A163:B163"/>
    <mergeCell ref="A164:B164"/>
    <mergeCell ref="A165:B165"/>
    <mergeCell ref="A166:B166"/>
    <mergeCell ref="A133:B133"/>
    <mergeCell ref="A142:B142"/>
    <mergeCell ref="A182:B182"/>
    <mergeCell ref="A183:B183"/>
    <mergeCell ref="A138:B138"/>
    <mergeCell ref="B196:H196"/>
    <mergeCell ref="B194:H194"/>
    <mergeCell ref="B191:H191"/>
    <mergeCell ref="B189:H189"/>
    <mergeCell ref="B190:H190"/>
    <mergeCell ref="A39:D39"/>
    <mergeCell ref="E39:H39"/>
    <mergeCell ref="A63:C63"/>
    <mergeCell ref="D63:H63"/>
    <mergeCell ref="A167:B167"/>
    <mergeCell ref="A168:B168"/>
    <mergeCell ref="A169:B169"/>
    <mergeCell ref="A88:E88"/>
    <mergeCell ref="A83:E83"/>
    <mergeCell ref="F83:H83"/>
    <mergeCell ref="A84:E84"/>
    <mergeCell ref="A86:E86"/>
    <mergeCell ref="A85:E85"/>
    <mergeCell ref="F84:H84"/>
    <mergeCell ref="G95:H95"/>
    <mergeCell ref="A111:B111"/>
    <mergeCell ref="A112:B112"/>
    <mergeCell ref="A113:B113"/>
    <mergeCell ref="A115:B115"/>
    <mergeCell ref="A116:B116"/>
    <mergeCell ref="A123:H123"/>
    <mergeCell ref="A126:B126"/>
    <mergeCell ref="A156:B156"/>
    <mergeCell ref="A157:B157"/>
    <mergeCell ref="A46:B46"/>
    <mergeCell ref="C46:H46"/>
    <mergeCell ref="F80:H80"/>
    <mergeCell ref="A80:E80"/>
    <mergeCell ref="D100:D101"/>
    <mergeCell ref="A81:E81"/>
    <mergeCell ref="A109:B109"/>
    <mergeCell ref="A103:B103"/>
    <mergeCell ref="A104:B104"/>
    <mergeCell ref="A105:B105"/>
    <mergeCell ref="A106:B106"/>
    <mergeCell ref="A107:B107"/>
    <mergeCell ref="A82:E82"/>
    <mergeCell ref="A79:E79"/>
    <mergeCell ref="A102:H102"/>
    <mergeCell ref="E100:E101"/>
    <mergeCell ref="G100:H101"/>
    <mergeCell ref="F81:H81"/>
    <mergeCell ref="F87:H87"/>
    <mergeCell ref="A75:B75"/>
    <mergeCell ref="A61:C61"/>
    <mergeCell ref="D61:H61"/>
    <mergeCell ref="F82:H82"/>
    <mergeCell ref="E96:F96"/>
    <mergeCell ref="L118:M118"/>
    <mergeCell ref="A119:B119"/>
    <mergeCell ref="L119:M119"/>
    <mergeCell ref="A120:B120"/>
    <mergeCell ref="L120:M120"/>
    <mergeCell ref="A121:B121"/>
    <mergeCell ref="A110:B110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21:M121"/>
    <mergeCell ref="G103:H121"/>
    <mergeCell ref="L109:M109"/>
    <mergeCell ref="L108:M108"/>
    <mergeCell ref="L107:M107"/>
    <mergeCell ref="L106:M106"/>
    <mergeCell ref="L105:M105"/>
    <mergeCell ref="L104:M104"/>
    <mergeCell ref="L103:M103"/>
    <mergeCell ref="A35:H35"/>
    <mergeCell ref="A34:B34"/>
    <mergeCell ref="C34:E34"/>
    <mergeCell ref="F31:H31"/>
    <mergeCell ref="F32:H32"/>
    <mergeCell ref="A38:H38"/>
    <mergeCell ref="A37:B37"/>
    <mergeCell ref="D55:H55"/>
    <mergeCell ref="A55:C55"/>
    <mergeCell ref="G48:H48"/>
    <mergeCell ref="A49:B50"/>
    <mergeCell ref="A41:D41"/>
    <mergeCell ref="E41:H41"/>
    <mergeCell ref="E42:H42"/>
    <mergeCell ref="E43:H43"/>
    <mergeCell ref="E44:H44"/>
    <mergeCell ref="C36:H36"/>
    <mergeCell ref="F34:H34"/>
    <mergeCell ref="A36:B36"/>
    <mergeCell ref="A42:D42"/>
    <mergeCell ref="A43:D43"/>
    <mergeCell ref="A44:D44"/>
    <mergeCell ref="A45:H45"/>
    <mergeCell ref="C37:H37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12:D12"/>
    <mergeCell ref="E12:H12"/>
    <mergeCell ref="A13:D13"/>
    <mergeCell ref="E24:H24"/>
    <mergeCell ref="A26:D26"/>
    <mergeCell ref="E26:H26"/>
    <mergeCell ref="A23:D23"/>
    <mergeCell ref="E23:H23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57:C57"/>
    <mergeCell ref="A58:C58"/>
    <mergeCell ref="D57:H57"/>
    <mergeCell ref="C51:E51"/>
    <mergeCell ref="A48:B48"/>
    <mergeCell ref="A52:H52"/>
    <mergeCell ref="A53:C53"/>
    <mergeCell ref="A54:C54"/>
    <mergeCell ref="D54:H54"/>
    <mergeCell ref="G51:H51"/>
    <mergeCell ref="C50:H50"/>
    <mergeCell ref="D58:H58"/>
    <mergeCell ref="C19:D19"/>
    <mergeCell ref="E19:F19"/>
    <mergeCell ref="G19:H19"/>
    <mergeCell ref="A20:D21"/>
    <mergeCell ref="E20:H21"/>
    <mergeCell ref="E13:H13"/>
    <mergeCell ref="A14:B14"/>
    <mergeCell ref="C14:H14"/>
    <mergeCell ref="C15:H15"/>
    <mergeCell ref="A15:B15"/>
    <mergeCell ref="A210:H213"/>
    <mergeCell ref="A209:B209"/>
    <mergeCell ref="E209:F209"/>
    <mergeCell ref="C209:D209"/>
    <mergeCell ref="G209:H209"/>
    <mergeCell ref="A91:H91"/>
    <mergeCell ref="A89:E89"/>
    <mergeCell ref="F89:H89"/>
    <mergeCell ref="A90:E90"/>
    <mergeCell ref="F90:H90"/>
    <mergeCell ref="A179:H179"/>
    <mergeCell ref="A96:B96"/>
    <mergeCell ref="A128:B128"/>
    <mergeCell ref="A93:B93"/>
    <mergeCell ref="A205:H205"/>
    <mergeCell ref="A94:H94"/>
    <mergeCell ref="A208:H208"/>
    <mergeCell ref="A206:H206"/>
    <mergeCell ref="A108:B108"/>
    <mergeCell ref="C95:D95"/>
    <mergeCell ref="A188:H188"/>
    <mergeCell ref="C100:C101"/>
    <mergeCell ref="A125:H125"/>
    <mergeCell ref="C96:D96"/>
    <mergeCell ref="G96:H96"/>
    <mergeCell ref="A203:H203"/>
    <mergeCell ref="E95:F95"/>
    <mergeCell ref="E92:F92"/>
    <mergeCell ref="A98:H98"/>
    <mergeCell ref="A92:B92"/>
    <mergeCell ref="B197:H197"/>
    <mergeCell ref="B199:H199"/>
    <mergeCell ref="B195:H195"/>
    <mergeCell ref="A184:B184"/>
    <mergeCell ref="A181:B181"/>
    <mergeCell ref="A202:H202"/>
    <mergeCell ref="A117:B117"/>
    <mergeCell ref="A137:B137"/>
    <mergeCell ref="G126:H133"/>
    <mergeCell ref="G135:H142"/>
    <mergeCell ref="A124:H124"/>
    <mergeCell ref="A118:B118"/>
    <mergeCell ref="B200:H200"/>
    <mergeCell ref="A139:B139"/>
    <mergeCell ref="A140:B140"/>
    <mergeCell ref="A132:B132"/>
    <mergeCell ref="A141:B141"/>
    <mergeCell ref="A186:B18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E68:F77"/>
    <mergeCell ref="G68:H77"/>
    <mergeCell ref="A76:B76"/>
    <mergeCell ref="A77:B77"/>
    <mergeCell ref="A62:C62"/>
    <mergeCell ref="D62:H62"/>
    <mergeCell ref="A74:B74"/>
    <mergeCell ref="A67:B67"/>
    <mergeCell ref="A70:B70"/>
    <mergeCell ref="D60:H60"/>
    <mergeCell ref="A207:H207"/>
    <mergeCell ref="A185:B185"/>
    <mergeCell ref="A204:H204"/>
    <mergeCell ref="A180:B180"/>
    <mergeCell ref="A95:B95"/>
    <mergeCell ref="G122:H122"/>
    <mergeCell ref="A73:B73"/>
    <mergeCell ref="F79:H79"/>
    <mergeCell ref="A78:H78"/>
    <mergeCell ref="G93:H93"/>
    <mergeCell ref="A114:B114"/>
    <mergeCell ref="F85:H85"/>
    <mergeCell ref="C92:D92"/>
    <mergeCell ref="F88:H88"/>
    <mergeCell ref="F86:H86"/>
    <mergeCell ref="A127:B127"/>
    <mergeCell ref="A99:H99"/>
    <mergeCell ref="G92:H92"/>
    <mergeCell ref="A87:E87"/>
    <mergeCell ref="C93:D93"/>
    <mergeCell ref="E93:F93"/>
    <mergeCell ref="B100:B101"/>
    <mergeCell ref="A100:A101"/>
    <mergeCell ref="A187:B187"/>
    <mergeCell ref="G153:H160"/>
    <mergeCell ref="B192:H192"/>
    <mergeCell ref="B193:H193"/>
    <mergeCell ref="G180:H187"/>
    <mergeCell ref="A134:H134"/>
    <mergeCell ref="A135:B135"/>
    <mergeCell ref="A136:B136"/>
    <mergeCell ref="A154:B154"/>
    <mergeCell ref="A155:B155"/>
    <mergeCell ref="A158:B158"/>
    <mergeCell ref="A159:B159"/>
    <mergeCell ref="A160:B160"/>
    <mergeCell ref="A143:H143"/>
    <mergeCell ref="A144:B144"/>
    <mergeCell ref="G144:H151"/>
    <mergeCell ref="A145:B145"/>
    <mergeCell ref="A146:B146"/>
    <mergeCell ref="A147:B147"/>
    <mergeCell ref="A148:B148"/>
    <mergeCell ref="A149:B149"/>
    <mergeCell ref="A150:B150"/>
    <mergeCell ref="A151:B151"/>
    <mergeCell ref="B201:H201"/>
    <mergeCell ref="L179:M179"/>
    <mergeCell ref="A131:B131"/>
    <mergeCell ref="A130:B130"/>
    <mergeCell ref="A129:B129"/>
    <mergeCell ref="A9:D9"/>
    <mergeCell ref="E9:H9"/>
    <mergeCell ref="E40:H40"/>
    <mergeCell ref="A40:D40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A51:B51"/>
    <mergeCell ref="A68:B68"/>
    <mergeCell ref="G67:H67"/>
    <mergeCell ref="A66:B66"/>
    <mergeCell ref="A152:H152"/>
    <mergeCell ref="A153:B153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3" max="16383" man="1"/>
    <brk id="213" max="16383" man="1"/>
    <brk id="256" max="16383" man="1"/>
    <brk id="29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9"/>
    <col min="2" max="2" width="22.140625" style="19" customWidth="1"/>
    <col min="3" max="3" width="37" style="19" customWidth="1"/>
    <col min="4" max="5" width="11.42578125" style="19" customWidth="1"/>
    <col min="6" max="6" width="14" style="19" customWidth="1"/>
    <col min="7" max="7" width="20" style="19" customWidth="1"/>
    <col min="8" max="8" width="16.42578125" style="19" customWidth="1"/>
    <col min="9" max="16384" width="8.7109375" style="19"/>
  </cols>
  <sheetData>
    <row r="1" spans="1:9" ht="15" customHeight="1" x14ac:dyDescent="0.25">
      <c r="A1" s="18"/>
      <c r="B1" s="18"/>
      <c r="C1" s="18"/>
      <c r="D1" s="18"/>
      <c r="E1" s="18"/>
      <c r="F1" s="18"/>
      <c r="G1" s="18"/>
      <c r="H1" s="18"/>
    </row>
    <row r="2" spans="1:9" ht="15" customHeight="1" x14ac:dyDescent="0.2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25">
      <c r="A3" s="20"/>
      <c r="B3" s="191" t="s">
        <v>116</v>
      </c>
      <c r="C3" s="191"/>
      <c r="D3" s="191"/>
      <c r="E3" s="191"/>
      <c r="F3" s="191"/>
      <c r="G3" s="191"/>
      <c r="H3" s="191"/>
    </row>
    <row r="4" spans="1:9" x14ac:dyDescent="0.25">
      <c r="A4" s="20"/>
      <c r="B4" s="21" t="s">
        <v>117</v>
      </c>
      <c r="C4" s="21" t="s">
        <v>118</v>
      </c>
      <c r="D4" s="21" t="s">
        <v>73</v>
      </c>
      <c r="E4" s="21" t="s">
        <v>119</v>
      </c>
      <c r="F4" s="21" t="s">
        <v>125</v>
      </c>
      <c r="G4" s="21" t="s">
        <v>126</v>
      </c>
      <c r="H4" s="21" t="s">
        <v>120</v>
      </c>
    </row>
    <row r="5" spans="1:9" ht="15" customHeight="1" x14ac:dyDescent="0.25">
      <c r="A5" s="20"/>
      <c r="B5" s="23" t="s">
        <v>121</v>
      </c>
      <c r="C5" s="24"/>
      <c r="D5" s="23"/>
      <c r="E5" s="23"/>
      <c r="F5" s="25">
        <f>E5*1.6</f>
        <v>0</v>
      </c>
      <c r="G5" s="25" t="e">
        <f>H5/F5</f>
        <v>#DIV/0!</v>
      </c>
      <c r="H5" s="26"/>
    </row>
    <row r="6" spans="1:9" x14ac:dyDescent="0.25">
      <c r="A6" s="20"/>
      <c r="B6" s="23" t="s">
        <v>121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25">
      <c r="A7" s="20"/>
      <c r="B7" s="23" t="s">
        <v>121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25">
      <c r="A8" s="20"/>
      <c r="B8" s="23" t="s">
        <v>121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25">
      <c r="A9" s="20"/>
      <c r="B9" s="23" t="s">
        <v>121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25">
      <c r="A10" s="20"/>
      <c r="B10" s="23" t="s">
        <v>122</v>
      </c>
      <c r="C10" s="24"/>
      <c r="D10" s="23"/>
      <c r="E10" s="23"/>
      <c r="F10" s="25">
        <f t="shared" si="0"/>
        <v>0</v>
      </c>
      <c r="G10" s="25" t="e">
        <f t="shared" si="1"/>
        <v>#DIV/0!</v>
      </c>
      <c r="H10" s="26"/>
    </row>
    <row r="11" spans="1:9" ht="15" customHeight="1" x14ac:dyDescent="0.25">
      <c r="A11" s="20"/>
      <c r="B11" s="23" t="s">
        <v>122</v>
      </c>
      <c r="C11" s="24"/>
      <c r="D11" s="23"/>
      <c r="E11" s="23"/>
      <c r="F11" s="25">
        <f t="shared" si="0"/>
        <v>0</v>
      </c>
      <c r="G11" s="25" t="e">
        <f t="shared" si="1"/>
        <v>#DIV/0!</v>
      </c>
      <c r="H11" s="26"/>
    </row>
    <row r="12" spans="1:9" ht="15" customHeight="1" x14ac:dyDescent="0.25">
      <c r="A12" s="20"/>
      <c r="B12" s="28" t="s">
        <v>123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25">
      <c r="A13" s="18"/>
      <c r="B13" s="28" t="s">
        <v>124</v>
      </c>
      <c r="C13" s="30"/>
      <c r="D13" s="30"/>
      <c r="E13" s="30"/>
      <c r="F13" s="31"/>
      <c r="G13" s="28"/>
      <c r="H13" s="28"/>
      <c r="I13" s="22"/>
    </row>
    <row r="14" spans="1:9" ht="15" customHeight="1" x14ac:dyDescent="0.25">
      <c r="B14" s="18"/>
      <c r="C14" s="18"/>
      <c r="D14" s="18"/>
      <c r="E14" s="18"/>
    </row>
    <row r="15" spans="1:9" ht="15" customHeight="1" x14ac:dyDescent="0.25">
      <c r="B15" s="18"/>
      <c r="C15" s="18"/>
      <c r="D15" s="18"/>
      <c r="E15" s="18"/>
    </row>
    <row r="16" spans="1:9" ht="15" customHeight="1" x14ac:dyDescent="0.25">
      <c r="B16" s="18"/>
      <c r="C16" s="18"/>
      <c r="D16" s="18"/>
      <c r="E16" s="18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2025-09-17T09:07:52Z</cp:lastPrinted>
  <dcterms:created xsi:type="dcterms:W3CDTF">2019-07-16T09:29:46Z</dcterms:created>
  <dcterms:modified xsi:type="dcterms:W3CDTF">2025-09-17T09:10:42Z</dcterms:modified>
</cp:coreProperties>
</file>