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1" l="1"/>
  <c r="D147" i="1"/>
  <c r="F147" i="1" s="1"/>
  <c r="D146" i="1"/>
  <c r="F146" i="1" s="1"/>
  <c r="D145" i="1"/>
  <c r="F145" i="1" s="1"/>
  <c r="J145" i="1" s="1"/>
  <c r="D143" i="1"/>
  <c r="D142" i="1"/>
  <c r="F142" i="1" s="1"/>
  <c r="D141" i="1"/>
  <c r="F141" i="1" s="1"/>
  <c r="D139" i="1"/>
  <c r="F139" i="1" s="1"/>
  <c r="I139" i="1" s="1"/>
  <c r="D138" i="1"/>
  <c r="F138" i="1" s="1"/>
  <c r="I138" i="1" s="1"/>
  <c r="D137" i="1"/>
  <c r="F137" i="1" s="1"/>
  <c r="D135" i="1"/>
  <c r="F135" i="1" s="1"/>
  <c r="I135" i="1" s="1"/>
  <c r="D134" i="1"/>
  <c r="F134" i="1" s="1"/>
  <c r="D133" i="1"/>
  <c r="F133" i="1" s="1"/>
  <c r="I133" i="1" s="1"/>
  <c r="E131" i="1"/>
  <c r="D131" i="1"/>
  <c r="D130" i="1"/>
  <c r="F130" i="1" s="1"/>
  <c r="D129" i="1"/>
  <c r="F129" i="1" s="1"/>
  <c r="D127" i="1"/>
  <c r="F127" i="1" s="1"/>
  <c r="D126" i="1"/>
  <c r="F126" i="1" s="1"/>
  <c r="D125" i="1"/>
  <c r="F125" i="1" s="1"/>
  <c r="E123" i="1"/>
  <c r="D123" i="1"/>
  <c r="D122" i="1"/>
  <c r="F122" i="1" s="1"/>
  <c r="D121" i="1"/>
  <c r="F121" i="1" s="1"/>
  <c r="D119" i="1"/>
  <c r="F119" i="1" s="1"/>
  <c r="D118" i="1"/>
  <c r="F118" i="1" s="1"/>
  <c r="D117" i="1"/>
  <c r="F117" i="1" s="1"/>
  <c r="A146" i="1"/>
  <c r="A147" i="1" s="1"/>
  <c r="G145" i="1"/>
  <c r="A142" i="1"/>
  <c r="A143" i="1" s="1"/>
  <c r="G141" i="1"/>
  <c r="A138" i="1"/>
  <c r="A139" i="1" s="1"/>
  <c r="G137" i="1"/>
  <c r="A134" i="1"/>
  <c r="A135" i="1" s="1"/>
  <c r="G133" i="1"/>
  <c r="J131" i="1"/>
  <c r="J130" i="1"/>
  <c r="A130" i="1"/>
  <c r="A131" i="1" s="1"/>
  <c r="G129" i="1"/>
  <c r="A126" i="1"/>
  <c r="A127" i="1" s="1"/>
  <c r="G125" i="1"/>
  <c r="A122" i="1"/>
  <c r="A123" i="1" s="1"/>
  <c r="G121" i="1"/>
  <c r="J118" i="1"/>
  <c r="J116" i="1"/>
  <c r="A118" i="1"/>
  <c r="A119" i="1" s="1"/>
  <c r="G117" i="1"/>
  <c r="F143" i="1" l="1"/>
  <c r="C102" i="1"/>
  <c r="E102" i="1"/>
  <c r="F123" i="1"/>
  <c r="F131" i="1"/>
  <c r="C14" i="1"/>
  <c r="G102" i="1" l="1"/>
  <c r="E29" i="1"/>
  <c r="F150" i="1" l="1"/>
  <c r="F151" i="1"/>
  <c r="F152" i="1"/>
  <c r="F149" i="1"/>
  <c r="A150" i="1"/>
  <c r="A151" i="1" s="1"/>
  <c r="A152" i="1" s="1"/>
  <c r="G149" i="1"/>
  <c r="G150" i="1" s="1"/>
  <c r="G151" i="1" s="1"/>
  <c r="G152" i="1" s="1"/>
  <c r="F94" i="1" l="1"/>
  <c r="F109" i="1" l="1"/>
  <c r="F110" i="1"/>
  <c r="F111" i="1"/>
  <c r="F108" i="1"/>
  <c r="B179" i="1" l="1"/>
  <c r="A160" i="1"/>
  <c r="A172" i="1"/>
  <c r="A166" i="1"/>
  <c r="F176" i="1" l="1"/>
  <c r="F175" i="1"/>
  <c r="F174" i="1"/>
  <c r="F173" i="1"/>
  <c r="F172" i="1"/>
  <c r="F170" i="1"/>
  <c r="F169" i="1"/>
  <c r="F168" i="1"/>
  <c r="F167" i="1"/>
  <c r="F166" i="1"/>
  <c r="F164" i="1"/>
  <c r="F163" i="1"/>
  <c r="F162" i="1"/>
  <c r="F161" i="1"/>
  <c r="F160" i="1"/>
  <c r="F158" i="1"/>
  <c r="F157" i="1"/>
  <c r="F155" i="1"/>
  <c r="F154" i="1"/>
  <c r="F156" i="1"/>
  <c r="A173" i="1"/>
  <c r="A167" i="1"/>
  <c r="A161" i="1"/>
  <c r="B180" i="1" l="1"/>
  <c r="A168" i="1"/>
  <c r="A174" i="1"/>
  <c r="A16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1" i="1"/>
  <c r="G172" i="1"/>
  <c r="G173" i="1" s="1"/>
  <c r="G174" i="1" s="1"/>
  <c r="G175" i="1" s="1"/>
  <c r="G176" i="1" s="1"/>
  <c r="G166" i="1"/>
  <c r="G167" i="1" s="1"/>
  <c r="G168" i="1" s="1"/>
  <c r="G169" i="1" s="1"/>
  <c r="G170" i="1" s="1"/>
  <c r="G160" i="1"/>
  <c r="G161" i="1" s="1"/>
  <c r="G162" i="1" s="1"/>
  <c r="G163" i="1" s="1"/>
  <c r="G164" i="1" s="1"/>
  <c r="G154" i="1"/>
  <c r="G155" i="1" s="1"/>
  <c r="G156" i="1" s="1"/>
  <c r="G157" i="1" s="1"/>
  <c r="G158" i="1" s="1"/>
  <c r="A154" i="1"/>
  <c r="A155" i="1" s="1"/>
  <c r="A156" i="1" s="1"/>
  <c r="A157" i="1" s="1"/>
  <c r="A158" i="1" s="1"/>
  <c r="A109" i="1"/>
  <c r="A110" i="1" s="1"/>
  <c r="A111" i="1" s="1"/>
  <c r="G108" i="1"/>
  <c r="G109" i="1" s="1"/>
  <c r="G110" i="1" s="1"/>
  <c r="G111" i="1" s="1"/>
  <c r="J78" i="1"/>
  <c r="J77" i="1"/>
  <c r="J76" i="1"/>
  <c r="J75" i="1"/>
  <c r="C67" i="1"/>
  <c r="D56" i="1"/>
  <c r="G49" i="1"/>
  <c r="G52" i="1" s="1"/>
  <c r="C49" i="1"/>
  <c r="E42" i="1"/>
  <c r="E43" i="1" s="1"/>
  <c r="E26" i="1"/>
  <c r="E24" i="1"/>
  <c r="E7" i="1"/>
  <c r="E3" i="1"/>
  <c r="A169" i="1"/>
  <c r="A175" i="1"/>
  <c r="A163" i="1"/>
  <c r="H68" i="1"/>
  <c r="D61" i="1" l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A170" i="1"/>
  <c r="A164" i="1"/>
  <c r="A176" i="1"/>
  <c r="D73" i="1" l="1"/>
  <c r="J69" i="1"/>
  <c r="E71" i="1"/>
  <c r="D72" i="1"/>
  <c r="G71" i="1"/>
  <c r="D65" i="1" s="1"/>
  <c r="D66" i="1" s="1"/>
  <c r="D71" i="1"/>
  <c r="I68" i="1" l="1"/>
  <c r="J68" i="1"/>
  <c r="F66" i="1"/>
  <c r="I69" i="1" l="1"/>
  <c r="I67" i="1" s="1"/>
  <c r="C69" i="1" s="1"/>
</calcChain>
</file>

<file path=xl/sharedStrings.xml><?xml version="1.0" encoding="utf-8"?>
<sst xmlns="http://schemas.openxmlformats.org/spreadsheetml/2006/main" count="280" uniqueCount="234">
  <si>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</si>
  <si>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</si>
  <si>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</si>
  <si>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</si>
  <si>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</si>
  <si>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</si>
  <si>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</si>
  <si>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</si>
  <si>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</si>
  <si>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</si>
  <si>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</si>
  <si>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</si>
  <si>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</si>
  <si>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</si>
  <si>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</si>
  <si>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</si>
  <si>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</si>
  <si>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</si>
  <si>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</si>
  <si>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</si>
  <si>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</si>
  <si>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</si>
  <si>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</si>
  <si>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</si>
  <si>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</si>
  <si>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</si>
  <si>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</si>
  <si>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</si>
  <si>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</si>
  <si>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</si>
  <si>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</si>
  <si>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</si>
  <si>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</si>
  <si>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</si>
  <si>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</si>
  <si>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</si>
  <si>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</si>
  <si>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</si>
  <si>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</si>
  <si>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</si>
  <si>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</si>
  <si>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</si>
  <si>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</si>
  <si>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</si>
  <si>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</si>
  <si>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</si>
  <si>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</si>
  <si>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</si>
  <si>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</si>
  <si>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</si>
  <si>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</si>
  <si>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</si>
  <si>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</si>
  <si>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</si>
  <si>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</si>
  <si>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</si>
  <si>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</si>
  <si>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</si>
  <si>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</si>
  <si>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</si>
  <si>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</si>
  <si>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</si>
  <si>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</si>
  <si>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</si>
  <si>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</si>
  <si>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</si>
  <si>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</si>
  <si>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</si>
  <si>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</si>
  <si>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</si>
  <si>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</si>
  <si>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</si>
  <si>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</si>
  <si>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</si>
  <si>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</si>
  <si>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</si>
  <si>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</si>
  <si>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</si>
  <si>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</si>
  <si>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</si>
  <si>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</si>
  <si>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</si>
  <si>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</si>
  <si>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</si>
  <si>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</si>
  <si>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</si>
  <si>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</si>
  <si>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</si>
  <si>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</si>
  <si>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</si>
  <si>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</si>
  <si>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</si>
  <si>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</si>
  <si>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</si>
  <si>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</si>
  <si>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</si>
  <si>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</si>
  <si>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</si>
  <si>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</si>
  <si>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</si>
  <si>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</si>
  <si>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</si>
  <si>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</si>
  <si>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</si>
  <si>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</si>
  <si>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</si>
  <si>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</si>
  <si>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</si>
  <si>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</si>
  <si>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</si>
  <si>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</si>
  <si>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</si>
  <si>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</si>
  <si>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</si>
  <si>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</si>
  <si>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</si>
  <si>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</si>
  <si>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</si>
  <si>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</si>
  <si>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</si>
  <si>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</si>
  <si>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</si>
  <si>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</si>
  <si>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</si>
  <si>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</si>
  <si>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</si>
  <si>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</si>
  <si>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</si>
  <si>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</si>
  <si>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</si>
  <si>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</si>
  <si>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</si>
  <si>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</si>
  <si>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</si>
  <si>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</si>
  <si>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</si>
  <si>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</si>
  <si>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</si>
  <si>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</si>
  <si>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</si>
  <si>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</si>
  <si>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</si>
  <si>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</si>
  <si>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</si>
  <si>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</si>
  <si>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</si>
  <si>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</si>
  <si>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</si>
  <si>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</si>
  <si>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</si>
  <si>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</si>
  <si>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</si>
  <si>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</si>
  <si>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</si>
  <si>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</si>
  <si>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</si>
  <si>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</si>
  <si>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</si>
  <si>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</si>
  <si>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</si>
  <si>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</si>
  <si>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</si>
  <si>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</si>
  <si>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</si>
  <si>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</si>
  <si>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</si>
  <si>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</si>
  <si>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</si>
  <si>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</si>
  <si>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</si>
  <si>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</si>
  <si>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</si>
  <si>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</si>
  <si>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</si>
  <si>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</si>
  <si>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</si>
  <si>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</si>
  <si>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</si>
  <si>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</si>
  <si>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</si>
  <si>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</si>
  <si>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</si>
  <si>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Jangid Developers</t>
  </si>
  <si>
    <t>Indrayani</t>
  </si>
  <si>
    <t>022-28119041/42/43</t>
  </si>
  <si>
    <t>B Wing</t>
  </si>
  <si>
    <t>Approved Plans, CC</t>
  </si>
  <si>
    <t>P51700012357</t>
  </si>
  <si>
    <t>Old Survey No</t>
  </si>
  <si>
    <t>166 New S.No-37 H.No-1A,1B &amp; Old S.No-172 New S.No-42 H.No-3A,3D,5,6</t>
  </si>
  <si>
    <t>Thane</t>
  </si>
  <si>
    <t>Mira Road</t>
  </si>
  <si>
    <t>Jangid Complex Road</t>
  </si>
  <si>
    <t>Mira Road East</t>
  </si>
  <si>
    <t>Sarayu Tower</t>
  </si>
  <si>
    <t>Mira Bhayandar</t>
  </si>
  <si>
    <t>2.7KM from Mira Road Railway Station</t>
  </si>
  <si>
    <t>Internal Road</t>
  </si>
  <si>
    <t>Indrayani Apt Wing A</t>
  </si>
  <si>
    <t>New Venus Chs</t>
  </si>
  <si>
    <t>https://goo.gl/maps/i5EwrSC2S44TxobD9</t>
  </si>
  <si>
    <t>Mira-Bhayandar Municipal Corporation</t>
  </si>
  <si>
    <t>MBMNP/NR/2193/2022-23</t>
  </si>
  <si>
    <t>B Wing = Gr/St + P + 1st to 22nd Floor</t>
  </si>
  <si>
    <t>As per RERA - 31/12/2024</t>
  </si>
  <si>
    <t>MNP/NR/2193/2022-23</t>
  </si>
  <si>
    <t>B Wing = G + 8th to 22nd Floor</t>
  </si>
  <si>
    <t>B Wing = Gr/St + P + 1st to 7th Floor</t>
  </si>
  <si>
    <t>MB/MNP/NR/1460/2014-15</t>
  </si>
  <si>
    <t>1st, 4th &amp; 7th Floor For Residential</t>
  </si>
  <si>
    <t>3rd &amp; 6th Floor</t>
  </si>
  <si>
    <t>8th &amp; 14th Floor (Part Refuge Area)</t>
  </si>
  <si>
    <t>9th, 12th, 15th, 18th &amp; 21st Floor</t>
  </si>
  <si>
    <t>10th, 13th, 16th &amp; 22nd Floor</t>
  </si>
  <si>
    <t>11th, 17th &amp; 20th Floor</t>
  </si>
  <si>
    <t>19th Floor (Part Refuge Area)</t>
  </si>
  <si>
    <t>Stilt &amp; Podium Floor For Parking</t>
  </si>
  <si>
    <t>builder profile</t>
  </si>
  <si>
    <t>housing</t>
  </si>
  <si>
    <t>mb</t>
  </si>
  <si>
    <t>Flats - 66</t>
  </si>
  <si>
    <t>Other Charges (Water, Electricity, Drainages, Gas Connection, Society formation charges, Legal charges, Corpus Funds)</t>
  </si>
  <si>
    <t>Mire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</si>
  <si>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</si>
  <si>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Latitude,Longitude</t>
  </si>
  <si>
    <t>19.279608,72.874332</t>
  </si>
  <si>
    <t>As per approved plans the podium floor is between the G &amp; 1st residential floor, but on site as per construction there are flats on 1st floor. Please Check from your end</t>
  </si>
  <si>
    <t>Podium slab is not there at site only Gr + 1st to 22nd Floors are completed 18/12/2024.</t>
  </si>
  <si>
    <t>As per RERA, completion period of project Indrayani is expired on 31/12/2024 but still project is under construction.</t>
  </si>
  <si>
    <t>Mr. Ram 8530026701</t>
  </si>
  <si>
    <t>The Project is not available on Rera site. (checked on Date 11/06/2025)</t>
  </si>
  <si>
    <t>Ranjan Sharma</t>
  </si>
  <si>
    <t>Pranita Mhatre</t>
  </si>
  <si>
    <t>Construction work is in process at the time of Visit. (Slow Speed)
Internal photos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</si>
</sst>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1" fontId="10" fillId="0" borderId="5" xfId="0" applyNumberFormat="1" applyFont="1" applyBorder="1" applyAlignment="1" applyProtection="1">
      <alignment vertical="top" wrapText="1"/>
      <protection locked="0"/>
    </xf>
    <xf numFmtId="1" fontId="10" fillId="0" borderId="18" xfId="0" applyNumberFormat="1" applyFont="1" applyBorder="1" applyAlignment="1" applyProtection="1">
      <alignment vertical="top" wrapText="1"/>
      <protection locked="0"/>
    </xf>
    <xf numFmtId="1" fontId="10" fillId="0" borderId="6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27" fillId="0" borderId="5" xfId="0" applyNumberFormat="1" applyFont="1" applyBorder="1" applyAlignment="1" applyProtection="1">
      <alignment vertical="top" wrapText="1"/>
      <protection locked="0"/>
    </xf>
    <xf numFmtId="1" fontId="27" fillId="0" borderId="18" xfId="0" applyNumberFormat="1" applyFont="1" applyBorder="1" applyAlignment="1" applyProtection="1">
      <alignment vertical="top" wrapText="1"/>
      <protection locked="0"/>
    </xf>
    <xf numFmtId="1" fontId="27" fillId="0" borderId="6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454093</xdr:colOff>
      <xdr:row>288</xdr:row>
      <xdr:rowOff>11206</xdr:rowOff>
    </xdr:from>
    <xdr:to>
      <xdr:col>7</xdr:col>
      <xdr:colOff>547332</xdr:colOff>
      <xdr:row>307</xdr:row>
      <xdr:rowOff>138794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093" y="51502235"/>
          <a:ext cx="622285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773211</xdr:colOff>
      <xdr:row>308</xdr:row>
      <xdr:rowOff>145674</xdr:rowOff>
    </xdr:from>
    <xdr:to>
      <xdr:col>7</xdr:col>
      <xdr:colOff>226543</xdr:colOff>
      <xdr:row>328</xdr:row>
      <xdr:rowOff>71557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3211" y="55670821"/>
          <a:ext cx="5582950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403415</xdr:colOff>
      <xdr:row>245</xdr:row>
      <xdr:rowOff>0</xdr:rowOff>
    </xdr:from>
    <xdr:to>
      <xdr:col>7</xdr:col>
      <xdr:colOff>448234</xdr:colOff>
      <xdr:row>259</xdr:row>
      <xdr:rowOff>190501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1103" r="1051"/>
        <a:stretch/>
      </xdr:blipFill>
      <xdr:spPr>
        <a:xfrm>
          <a:off x="403415" y="42615971"/>
          <a:ext cx="6174437" cy="30143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378198</xdr:colOff>
      <xdr:row>260</xdr:row>
      <xdr:rowOff>141194</xdr:rowOff>
    </xdr:from>
    <xdr:to>
      <xdr:col>7</xdr:col>
      <xdr:colOff>488580</xdr:colOff>
      <xdr:row>283</xdr:row>
      <xdr:rowOff>181957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198" y="45782753"/>
          <a:ext cx="6240000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149087</xdr:colOff>
      <xdr:row>254</xdr:row>
      <xdr:rowOff>16565</xdr:rowOff>
    </xdr:from>
    <xdr:to>
      <xdr:col>6</xdr:col>
      <xdr:colOff>679174</xdr:colOff>
      <xdr:row>255</xdr:row>
      <xdr:rowOff>149087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425109" y="43872978"/>
          <a:ext cx="530087" cy="33130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728383</xdr:colOff>
      <xdr:row>318</xdr:row>
      <xdr:rowOff>89647</xdr:rowOff>
    </xdr:from>
    <xdr:to>
      <xdr:col>5</xdr:col>
      <xdr:colOff>224119</xdr:colOff>
      <xdr:row>321</xdr:row>
      <xdr:rowOff>156882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28148" y="55614794"/>
          <a:ext cx="1344706" cy="6723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246530</xdr:colOff>
      <xdr:row>319</xdr:row>
      <xdr:rowOff>123265</xdr:rowOff>
    </xdr:from>
    <xdr:ext cx="63434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95265" y="55850118"/>
          <a:ext cx="634341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B</a:t>
          </a:r>
        </a:p>
      </xdr:txBody>
    </xdr:sp>
    <xdr:clientData/>
  </xdr:oneCellAnchor>
  <xdr:twoCellAnchor>
    <xdr:from>
      <xdr:col>3</xdr:col>
      <xdr:colOff>470647</xdr:colOff>
      <xdr:row>313</xdr:row>
      <xdr:rowOff>78441</xdr:rowOff>
    </xdr:from>
    <xdr:to>
      <xdr:col>4</xdr:col>
      <xdr:colOff>705972</xdr:colOff>
      <xdr:row>318</xdr:row>
      <xdr:rowOff>33618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070412" y="54595059"/>
          <a:ext cx="1243854" cy="963706"/>
        </a:xfrm>
        <a:prstGeom prst="rect">
          <a:avLst/>
        </a:prstGeom>
        <a:noFill/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4</xdr:col>
      <xdr:colOff>85165</xdr:colOff>
      <xdr:row>312</xdr:row>
      <xdr:rowOff>17929</xdr:rowOff>
    </xdr:from>
    <xdr:ext cx="639214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3459" y="54332841"/>
          <a:ext cx="63921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WING A</a:t>
          </a:r>
        </a:p>
      </xdr:txBody>
    </xdr:sp>
    <xdr:clientData/>
  </xdr:oneCellAnchor>
  <xdr:twoCellAnchor>
    <xdr:from>
      <xdr:col>9</xdr:col>
      <xdr:colOff>535993</xdr:colOff>
      <xdr:row>203</xdr:row>
      <xdr:rowOff>45253</xdr:rowOff>
    </xdr:from>
    <xdr:to>
      <xdr:col>17</xdr:col>
      <xdr:colOff>352850</xdr:colOff>
      <xdr:row>244</xdr:row>
      <xdr:rowOff>15290</xdr:rowOff>
    </xdr:to>
    <xdr:grpSp>
      <xdr:nvGrpSpPr>
        <xdr:cNvPr id="6" name="Group 5"/>
        <xdr:cNvGrpSpPr/>
      </xdr:nvGrpSpPr>
      <xdr:grpSpPr>
        <a:xfrm>
          <a:off x="8222668" y="32839828"/>
          <a:ext cx="5665207" cy="8161537"/>
          <a:chOff x="8222668" y="32820778"/>
          <a:chExt cx="5665207" cy="8161537"/>
        </a:xfrm>
      </xdr:grpSpPr>
      <xdr:pic>
        <xdr:nvPicPr>
          <xdr:cNvPr id="36" name="Picture 35" descr="https://vsjcllp.vsjadon.com/upload/insp-236366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10872498" y="39559453"/>
            <a:ext cx="1617211" cy="1212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6366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10646816" y="33287318"/>
            <a:ext cx="3704067" cy="2778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6366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7784585" y="33283787"/>
            <a:ext cx="3704067" cy="27780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6366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222668" y="36614100"/>
            <a:ext cx="3549813" cy="266236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6366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6200000">
            <a:off x="9553818" y="39567256"/>
            <a:ext cx="1617211" cy="121290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6366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5400000">
            <a:off x="11534799" y="36951535"/>
            <a:ext cx="2662360" cy="199677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244929</xdr:colOff>
      <xdr:row>202</xdr:row>
      <xdr:rowOff>27214</xdr:rowOff>
    </xdr:from>
    <xdr:to>
      <xdr:col>7</xdr:col>
      <xdr:colOff>762000</xdr:colOff>
      <xdr:row>241</xdr:row>
      <xdr:rowOff>176893</xdr:rowOff>
    </xdr:to>
    <xdr:grpSp>
      <xdr:nvGrpSpPr>
        <xdr:cNvPr id="18" name="Group 17"/>
        <xdr:cNvGrpSpPr/>
      </xdr:nvGrpSpPr>
      <xdr:grpSpPr>
        <a:xfrm>
          <a:off x="244929" y="32621764"/>
          <a:ext cx="6213021" cy="7941129"/>
          <a:chOff x="352953" y="926036"/>
          <a:chExt cx="5559328" cy="6821878"/>
        </a:xfrm>
      </xdr:grpSpPr>
      <xdr:pic>
        <xdr:nvPicPr>
          <xdr:cNvPr id="19" name="Picture 18" descr="https://vsjcllp.vsjadon.com/upload/insp-246827-91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654042" y="6125036"/>
            <a:ext cx="1805756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6827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-258435" y="1537424"/>
            <a:ext cx="4891106" cy="36683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6827-91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6200000">
            <a:off x="2148477" y="6167877"/>
            <a:ext cx="1805756" cy="135431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6827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3827116" y="1223917"/>
            <a:ext cx="2383045" cy="17872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6827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3827116" y="3731978"/>
            <a:ext cx="2383045" cy="178728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6827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3628770" y="6125036"/>
            <a:ext cx="1805757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5EwrSC2S44TxobD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87"/>
  <sheetViews>
    <sheetView tabSelected="1" view="pageBreakPreview" topLeftCell="A67" zoomScaleNormal="100" zoomScaleSheetLayoutView="100" zoomScalePageLayoutView="115" workbookViewId="0">
      <selection activeCell="M80" sqref="M80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9" ht="46.5" customHeight="1" x14ac:dyDescent="0.25">
      <c r="A1" s="139" t="s">
        <v>223</v>
      </c>
      <c r="B1" s="139"/>
      <c r="C1" s="139"/>
      <c r="D1" s="139"/>
      <c r="E1" s="139"/>
      <c r="F1" s="139"/>
      <c r="G1" s="139"/>
      <c r="H1" s="139"/>
    </row>
    <row r="2" spans="1:9" ht="16.5" customHeight="1" x14ac:dyDescent="0.2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9" x14ac:dyDescent="0.25">
      <c r="A3" s="89" t="s">
        <v>1</v>
      </c>
      <c r="B3" s="89"/>
      <c r="C3" s="89"/>
      <c r="D3" s="89"/>
      <c r="E3" s="89" t="str">
        <f ca="1">TEXT(TODAY(),"DD/MM/YYYY")</f>
        <v>11/09/2025</v>
      </c>
      <c r="F3" s="89"/>
      <c r="G3" s="89"/>
      <c r="H3" s="89"/>
    </row>
    <row r="4" spans="1:9" ht="15" customHeight="1" x14ac:dyDescent="0.25">
      <c r="A4" s="89" t="s">
        <v>2</v>
      </c>
      <c r="B4" s="89"/>
      <c r="C4" s="89"/>
      <c r="D4" s="89"/>
      <c r="E4" s="89" t="s">
        <v>181</v>
      </c>
      <c r="F4" s="89"/>
      <c r="G4" s="89"/>
      <c r="H4" s="89"/>
    </row>
    <row r="5" spans="1:9" x14ac:dyDescent="0.25">
      <c r="A5" s="89" t="s">
        <v>3</v>
      </c>
      <c r="B5" s="89"/>
      <c r="C5" s="89"/>
      <c r="D5" s="89"/>
      <c r="E5" s="138">
        <v>45909</v>
      </c>
      <c r="F5" s="89"/>
      <c r="G5" s="89"/>
      <c r="H5" s="89"/>
    </row>
    <row r="6" spans="1:9" ht="16.5" customHeight="1" x14ac:dyDescent="0.25">
      <c r="A6" s="89" t="s">
        <v>4</v>
      </c>
      <c r="B6" s="89"/>
      <c r="C6" s="89"/>
      <c r="D6" s="89"/>
      <c r="E6" s="89" t="s">
        <v>182</v>
      </c>
      <c r="F6" s="89"/>
      <c r="G6" s="89"/>
      <c r="H6" s="89"/>
    </row>
    <row r="7" spans="1:9" ht="15" customHeight="1" x14ac:dyDescent="0.25">
      <c r="A7" s="89" t="s">
        <v>5</v>
      </c>
      <c r="B7" s="89"/>
      <c r="C7" s="89"/>
      <c r="D7" s="89"/>
      <c r="E7" s="89" t="str">
        <f>E6</f>
        <v>Jangid Developers</v>
      </c>
      <c r="F7" s="89"/>
      <c r="G7" s="89"/>
      <c r="H7" s="89"/>
    </row>
    <row r="8" spans="1:9" x14ac:dyDescent="0.25">
      <c r="A8" s="89" t="s">
        <v>6</v>
      </c>
      <c r="B8" s="89"/>
      <c r="C8" s="89"/>
      <c r="D8" s="89"/>
      <c r="E8" s="128" t="s">
        <v>183</v>
      </c>
      <c r="F8" s="128"/>
      <c r="G8" s="128"/>
      <c r="H8" s="128"/>
    </row>
    <row r="9" spans="1:9" x14ac:dyDescent="0.25">
      <c r="A9" s="89" t="s">
        <v>178</v>
      </c>
      <c r="B9" s="89"/>
      <c r="C9" s="89"/>
      <c r="D9" s="89"/>
      <c r="E9" s="89" t="s">
        <v>184</v>
      </c>
      <c r="F9" s="89"/>
      <c r="G9" s="89"/>
      <c r="H9" s="89"/>
    </row>
    <row r="10" spans="1:9" x14ac:dyDescent="0.25">
      <c r="A10" s="89" t="s">
        <v>179</v>
      </c>
      <c r="B10" s="89"/>
      <c r="C10" s="89"/>
      <c r="D10" s="89"/>
      <c r="E10" s="89">
        <v>9821768787</v>
      </c>
      <c r="F10" s="89"/>
      <c r="G10" s="89"/>
      <c r="H10" s="89"/>
      <c r="I10" s="20" t="s">
        <v>229</v>
      </c>
    </row>
    <row r="11" spans="1:9" x14ac:dyDescent="0.25">
      <c r="A11" s="89" t="s">
        <v>7</v>
      </c>
      <c r="B11" s="89"/>
      <c r="C11" s="89"/>
      <c r="D11" s="89"/>
      <c r="E11" s="89" t="s">
        <v>185</v>
      </c>
      <c r="F11" s="89"/>
      <c r="G11" s="89"/>
      <c r="H11" s="89"/>
    </row>
    <row r="12" spans="1:9" x14ac:dyDescent="0.25">
      <c r="A12" s="83" t="s">
        <v>8</v>
      </c>
      <c r="B12" s="83"/>
      <c r="C12" s="83"/>
      <c r="D12" s="83"/>
      <c r="E12" s="81" t="s">
        <v>186</v>
      </c>
      <c r="F12" s="81"/>
      <c r="G12" s="81"/>
      <c r="H12" s="81"/>
    </row>
    <row r="13" spans="1:9" x14ac:dyDescent="0.25">
      <c r="A13" s="83" t="s">
        <v>9</v>
      </c>
      <c r="B13" s="83"/>
      <c r="C13" s="83"/>
      <c r="D13" s="83"/>
      <c r="E13" s="81" t="s">
        <v>187</v>
      </c>
      <c r="F13" s="89"/>
      <c r="G13" s="89"/>
      <c r="H13" s="89"/>
    </row>
    <row r="14" spans="1:9" ht="48.75" customHeight="1" x14ac:dyDescent="0.25">
      <c r="A14" s="116" t="s">
        <v>10</v>
      </c>
      <c r="B14" s="116"/>
      <c r="C14" s="11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Indrayani, Old Survey No.166 New S.No-37 H.No-1A,1B &amp; Old S.No-172 New S.No-42 H.No-3A,3D,5,6, near Sarayu Tower, Jangid Complex Road, Mira Road, Mire, Mira Road East, Mira Bhayandar, Thane - 401107.</v>
      </c>
      <c r="D14" s="116"/>
      <c r="E14" s="116"/>
      <c r="F14" s="116"/>
      <c r="G14" s="116"/>
      <c r="H14" s="116"/>
    </row>
    <row r="15" spans="1:9" x14ac:dyDescent="0.25">
      <c r="A15" s="81" t="s">
        <v>188</v>
      </c>
      <c r="B15" s="81"/>
      <c r="C15" s="81" t="s">
        <v>189</v>
      </c>
      <c r="D15" s="81"/>
      <c r="E15" s="81"/>
      <c r="F15" s="81"/>
      <c r="G15" s="81"/>
      <c r="H15" s="81"/>
    </row>
    <row r="16" spans="1:9" ht="15.75" customHeight="1" x14ac:dyDescent="0.25">
      <c r="A16" s="81" t="s">
        <v>177</v>
      </c>
      <c r="B16" s="81"/>
      <c r="C16" s="81" t="s">
        <v>191</v>
      </c>
      <c r="D16" s="81"/>
      <c r="E16" s="81"/>
      <c r="F16" s="81"/>
      <c r="G16" s="81"/>
      <c r="H16" s="81"/>
    </row>
    <row r="17" spans="1:8" ht="15.75" customHeight="1" x14ac:dyDescent="0.25">
      <c r="A17" s="116" t="s">
        <v>11</v>
      </c>
      <c r="B17" s="116"/>
      <c r="C17" s="89" t="s">
        <v>192</v>
      </c>
      <c r="D17" s="89"/>
      <c r="E17" s="116" t="s">
        <v>75</v>
      </c>
      <c r="F17" s="116"/>
      <c r="G17" s="81" t="s">
        <v>222</v>
      </c>
      <c r="H17" s="81"/>
    </row>
    <row r="18" spans="1:8" x14ac:dyDescent="0.25">
      <c r="A18" s="83" t="s">
        <v>13</v>
      </c>
      <c r="B18" s="83"/>
      <c r="C18" s="81" t="s">
        <v>193</v>
      </c>
      <c r="D18" s="81"/>
      <c r="E18" s="116" t="s">
        <v>12</v>
      </c>
      <c r="F18" s="116"/>
      <c r="G18" s="141" t="s">
        <v>190</v>
      </c>
      <c r="H18" s="141"/>
    </row>
    <row r="19" spans="1:8" x14ac:dyDescent="0.25">
      <c r="A19" s="83" t="s">
        <v>76</v>
      </c>
      <c r="B19" s="83"/>
      <c r="C19" s="81" t="s">
        <v>195</v>
      </c>
      <c r="D19" s="81"/>
      <c r="E19" s="116" t="s">
        <v>14</v>
      </c>
      <c r="F19" s="116"/>
      <c r="G19" s="81">
        <v>401107</v>
      </c>
      <c r="H19" s="81"/>
    </row>
    <row r="20" spans="1:8" ht="32.25" customHeight="1" x14ac:dyDescent="0.25">
      <c r="A20" s="83" t="s">
        <v>129</v>
      </c>
      <c r="B20" s="83"/>
      <c r="C20" s="81" t="s">
        <v>194</v>
      </c>
      <c r="D20" s="81"/>
      <c r="E20" s="116" t="s">
        <v>15</v>
      </c>
      <c r="F20" s="116"/>
      <c r="G20" s="81" t="s">
        <v>196</v>
      </c>
      <c r="H20" s="81"/>
    </row>
    <row r="21" spans="1:8" ht="15" customHeight="1" x14ac:dyDescent="0.25">
      <c r="A21" s="116" t="s">
        <v>79</v>
      </c>
      <c r="B21" s="116"/>
      <c r="C21" s="116"/>
      <c r="D21" s="116"/>
      <c r="E21" s="89" t="s">
        <v>16</v>
      </c>
      <c r="F21" s="89"/>
      <c r="G21" s="89"/>
      <c r="H21" s="89"/>
    </row>
    <row r="22" spans="1:8" ht="18.75" customHeight="1" x14ac:dyDescent="0.25">
      <c r="A22" s="116"/>
      <c r="B22" s="116"/>
      <c r="C22" s="116"/>
      <c r="D22" s="116"/>
      <c r="E22" s="89"/>
      <c r="F22" s="89"/>
      <c r="G22" s="89"/>
      <c r="H22" s="89"/>
    </row>
    <row r="23" spans="1:8" ht="15" customHeight="1" x14ac:dyDescent="0.25">
      <c r="A23" s="116" t="s">
        <v>17</v>
      </c>
      <c r="B23" s="116"/>
      <c r="C23" s="116"/>
      <c r="D23" s="116"/>
      <c r="E23" s="81" t="s">
        <v>18</v>
      </c>
      <c r="F23" s="81"/>
      <c r="G23" s="81"/>
      <c r="H23" s="81"/>
    </row>
    <row r="24" spans="1:8" ht="15" customHeight="1" x14ac:dyDescent="0.25">
      <c r="A24" s="83" t="s">
        <v>19</v>
      </c>
      <c r="B24" s="83"/>
      <c r="C24" s="83"/>
      <c r="D24" s="83"/>
      <c r="E24" s="81" t="str">
        <f>IF(AND(G18="Mumbai"),"Upper Class","Middle Class")</f>
        <v>Middle Class</v>
      </c>
      <c r="F24" s="81"/>
      <c r="G24" s="81"/>
      <c r="H24" s="81"/>
    </row>
    <row r="25" spans="1:8" x14ac:dyDescent="0.25">
      <c r="A25" s="83" t="s">
        <v>20</v>
      </c>
      <c r="B25" s="83"/>
      <c r="C25" s="83"/>
      <c r="D25" s="83"/>
      <c r="E25" s="81" t="s">
        <v>21</v>
      </c>
      <c r="F25" s="81"/>
      <c r="G25" s="81"/>
      <c r="H25" s="81"/>
    </row>
    <row r="26" spans="1:8" ht="15.75" customHeight="1" x14ac:dyDescent="0.25">
      <c r="A26" s="83" t="s">
        <v>22</v>
      </c>
      <c r="B26" s="83"/>
      <c r="C26" s="83"/>
      <c r="D26" s="83"/>
      <c r="E26" s="81" t="str">
        <f>IF(AND(G18="Mumbai"),"Developed","Developing")</f>
        <v>Developing</v>
      </c>
      <c r="F26" s="81"/>
      <c r="G26" s="81"/>
      <c r="H26" s="81"/>
    </row>
    <row r="27" spans="1:8" x14ac:dyDescent="0.25">
      <c r="A27" s="83" t="s">
        <v>23</v>
      </c>
      <c r="B27" s="83"/>
      <c r="C27" s="83"/>
      <c r="D27" s="83"/>
      <c r="E27" s="81" t="s">
        <v>24</v>
      </c>
      <c r="F27" s="81"/>
      <c r="G27" s="81"/>
      <c r="H27" s="81"/>
    </row>
    <row r="28" spans="1:8" ht="15.75" customHeight="1" x14ac:dyDescent="0.25">
      <c r="A28" s="83" t="s">
        <v>84</v>
      </c>
      <c r="B28" s="83"/>
      <c r="C28" s="83"/>
      <c r="D28" s="83"/>
      <c r="E28" s="81" t="s">
        <v>85</v>
      </c>
      <c r="F28" s="81"/>
      <c r="G28" s="81"/>
      <c r="H28" s="81"/>
    </row>
    <row r="29" spans="1:8" ht="15" customHeight="1" x14ac:dyDescent="0.25">
      <c r="A29" s="83" t="s">
        <v>33</v>
      </c>
      <c r="B29" s="83"/>
      <c r="C29" s="83"/>
      <c r="D29" s="83"/>
      <c r="E29" s="81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9" s="81"/>
      <c r="G29" s="81"/>
      <c r="H29" s="81"/>
    </row>
    <row r="30" spans="1:8" ht="15.75" customHeight="1" x14ac:dyDescent="0.25">
      <c r="A30" s="83" t="s">
        <v>96</v>
      </c>
      <c r="B30" s="83"/>
      <c r="C30" s="83"/>
      <c r="D30" s="83"/>
      <c r="E30" s="81" t="s">
        <v>34</v>
      </c>
      <c r="F30" s="81"/>
      <c r="G30" s="81"/>
      <c r="H30" s="81"/>
    </row>
    <row r="31" spans="1:8" s="21" customFormat="1" x14ac:dyDescent="0.25">
      <c r="A31" s="144" t="s">
        <v>97</v>
      </c>
      <c r="B31" s="144"/>
      <c r="C31" s="113" t="s">
        <v>29</v>
      </c>
      <c r="D31" s="113"/>
      <c r="E31" s="113"/>
      <c r="F31" s="113" t="s">
        <v>31</v>
      </c>
      <c r="G31" s="113"/>
      <c r="H31" s="113"/>
    </row>
    <row r="32" spans="1:8" s="21" customFormat="1" x14ac:dyDescent="0.25">
      <c r="A32" s="143" t="s">
        <v>25</v>
      </c>
      <c r="B32" s="143" t="s">
        <v>30</v>
      </c>
      <c r="C32" s="142" t="s">
        <v>30</v>
      </c>
      <c r="D32" s="142"/>
      <c r="E32" s="142"/>
      <c r="F32" s="142" t="s">
        <v>197</v>
      </c>
      <c r="G32" s="142"/>
      <c r="H32" s="142"/>
    </row>
    <row r="33" spans="1:8" x14ac:dyDescent="0.25">
      <c r="A33" s="143" t="s">
        <v>26</v>
      </c>
      <c r="B33" s="143" t="s">
        <v>30</v>
      </c>
      <c r="C33" s="142" t="s">
        <v>30</v>
      </c>
      <c r="D33" s="142"/>
      <c r="E33" s="142"/>
      <c r="F33" s="142" t="s">
        <v>194</v>
      </c>
      <c r="G33" s="142"/>
      <c r="H33" s="142"/>
    </row>
    <row r="34" spans="1:8" s="21" customFormat="1" x14ac:dyDescent="0.25">
      <c r="A34" s="143" t="s">
        <v>28</v>
      </c>
      <c r="B34" s="143" t="s">
        <v>30</v>
      </c>
      <c r="C34" s="142" t="s">
        <v>30</v>
      </c>
      <c r="D34" s="142"/>
      <c r="E34" s="142"/>
      <c r="F34" s="142" t="s">
        <v>198</v>
      </c>
      <c r="G34" s="142"/>
      <c r="H34" s="142"/>
    </row>
    <row r="35" spans="1:8" x14ac:dyDescent="0.25">
      <c r="A35" s="143" t="s">
        <v>27</v>
      </c>
      <c r="B35" s="143" t="s">
        <v>30</v>
      </c>
      <c r="C35" s="142" t="s">
        <v>30</v>
      </c>
      <c r="D35" s="142"/>
      <c r="E35" s="142"/>
      <c r="F35" s="142" t="s">
        <v>199</v>
      </c>
      <c r="G35" s="142"/>
      <c r="H35" s="142"/>
    </row>
    <row r="36" spans="1:8" x14ac:dyDescent="0.25">
      <c r="A36" s="83" t="s">
        <v>32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25">
      <c r="A37" s="146" t="s">
        <v>224</v>
      </c>
      <c r="B37" s="146"/>
      <c r="C37" s="147" t="s">
        <v>225</v>
      </c>
      <c r="D37" s="147"/>
      <c r="E37" s="147"/>
      <c r="F37" s="147"/>
      <c r="G37" s="147"/>
      <c r="H37" s="147"/>
    </row>
    <row r="38" spans="1:8" x14ac:dyDescent="0.25">
      <c r="A38" s="146" t="s">
        <v>176</v>
      </c>
      <c r="B38" s="146"/>
      <c r="C38" s="148" t="s">
        <v>200</v>
      </c>
      <c r="D38" s="81"/>
      <c r="E38" s="81"/>
      <c r="F38" s="81"/>
      <c r="G38" s="81"/>
      <c r="H38" s="81"/>
    </row>
    <row r="39" spans="1:8" x14ac:dyDescent="0.25">
      <c r="A39" s="146" t="s">
        <v>35</v>
      </c>
      <c r="B39" s="146"/>
      <c r="C39" s="146"/>
      <c r="D39" s="146"/>
      <c r="E39" s="146"/>
      <c r="F39" s="146"/>
      <c r="G39" s="146"/>
      <c r="H39" s="146"/>
    </row>
    <row r="40" spans="1:8" x14ac:dyDescent="0.25">
      <c r="A40" s="83" t="s">
        <v>36</v>
      </c>
      <c r="B40" s="83"/>
      <c r="C40" s="83"/>
      <c r="D40" s="83"/>
      <c r="E40" s="145">
        <v>9640</v>
      </c>
      <c r="F40" s="145"/>
      <c r="G40" s="145"/>
      <c r="H40" s="145"/>
    </row>
    <row r="41" spans="1:8" x14ac:dyDescent="0.25">
      <c r="A41" s="83" t="s">
        <v>37</v>
      </c>
      <c r="B41" s="83"/>
      <c r="C41" s="83"/>
      <c r="D41" s="83"/>
      <c r="E41" s="82">
        <v>1.1000000000000001</v>
      </c>
      <c r="F41" s="82"/>
      <c r="G41" s="82"/>
      <c r="H41" s="82"/>
    </row>
    <row r="42" spans="1:8" x14ac:dyDescent="0.25">
      <c r="A42" s="83" t="s">
        <v>38</v>
      </c>
      <c r="B42" s="83"/>
      <c r="C42" s="83"/>
      <c r="D42" s="83"/>
      <c r="E42" s="82">
        <f>E44/E40-E41</f>
        <v>0.94234647302904584</v>
      </c>
      <c r="F42" s="82"/>
      <c r="G42" s="82"/>
      <c r="H42" s="82"/>
    </row>
    <row r="43" spans="1:8" x14ac:dyDescent="0.25">
      <c r="A43" s="83" t="s">
        <v>39</v>
      </c>
      <c r="B43" s="83"/>
      <c r="C43" s="83"/>
      <c r="D43" s="83"/>
      <c r="E43" s="82">
        <f>E41+E42</f>
        <v>2.0423464730290459</v>
      </c>
      <c r="F43" s="82"/>
      <c r="G43" s="82"/>
      <c r="H43" s="82"/>
    </row>
    <row r="44" spans="1:8" x14ac:dyDescent="0.25">
      <c r="A44" s="83" t="s">
        <v>95</v>
      </c>
      <c r="B44" s="83"/>
      <c r="C44" s="83"/>
      <c r="D44" s="83"/>
      <c r="E44" s="152">
        <v>19688.22</v>
      </c>
      <c r="F44" s="152"/>
      <c r="G44" s="152"/>
      <c r="H44" s="152"/>
    </row>
    <row r="45" spans="1:8" x14ac:dyDescent="0.25">
      <c r="A45" s="89" t="s">
        <v>40</v>
      </c>
      <c r="B45" s="89"/>
      <c r="C45" s="89"/>
      <c r="D45" s="89"/>
      <c r="E45" s="89" t="s">
        <v>128</v>
      </c>
      <c r="F45" s="89"/>
      <c r="G45" s="89"/>
      <c r="H45" s="89"/>
    </row>
    <row r="46" spans="1:8" x14ac:dyDescent="0.25">
      <c r="A46" s="146" t="s">
        <v>41</v>
      </c>
      <c r="B46" s="146"/>
      <c r="C46" s="146"/>
      <c r="D46" s="146"/>
      <c r="E46" s="146"/>
      <c r="F46" s="146"/>
      <c r="G46" s="146"/>
      <c r="H46" s="146"/>
    </row>
    <row r="47" spans="1:8" ht="33.75" customHeight="1" x14ac:dyDescent="0.25">
      <c r="A47" s="84" t="s">
        <v>163</v>
      </c>
      <c r="B47" s="85"/>
      <c r="C47" s="158" t="s">
        <v>201</v>
      </c>
      <c r="D47" s="159"/>
      <c r="E47" s="159"/>
      <c r="F47" s="159"/>
      <c r="G47" s="159"/>
      <c r="H47" s="160"/>
    </row>
    <row r="48" spans="1:8" ht="15.75" customHeight="1" x14ac:dyDescent="0.25">
      <c r="A48" s="84" t="s">
        <v>42</v>
      </c>
      <c r="B48" s="85"/>
      <c r="C48" s="84" t="s">
        <v>202</v>
      </c>
      <c r="D48" s="86"/>
      <c r="E48" s="85"/>
      <c r="F48" s="18" t="s">
        <v>43</v>
      </c>
      <c r="G48" s="87">
        <v>44812</v>
      </c>
      <c r="H48" s="85"/>
    </row>
    <row r="49" spans="1:14" x14ac:dyDescent="0.25">
      <c r="A49" s="84" t="s">
        <v>44</v>
      </c>
      <c r="B49" s="85"/>
      <c r="C49" s="84" t="str">
        <f>C48</f>
        <v>MBMNP/NR/2193/2022-23</v>
      </c>
      <c r="D49" s="86"/>
      <c r="E49" s="85"/>
      <c r="F49" s="18" t="s">
        <v>43</v>
      </c>
      <c r="G49" s="87">
        <f>G48</f>
        <v>44812</v>
      </c>
      <c r="H49" s="88"/>
    </row>
    <row r="50" spans="1:14" s="22" customFormat="1" ht="15.75" customHeight="1" x14ac:dyDescent="0.25">
      <c r="A50" s="119" t="s">
        <v>167</v>
      </c>
      <c r="B50" s="120"/>
      <c r="C50" s="84" t="s">
        <v>208</v>
      </c>
      <c r="D50" s="86"/>
      <c r="E50" s="85"/>
      <c r="F50" s="18" t="s">
        <v>43</v>
      </c>
      <c r="G50" s="87">
        <v>41859</v>
      </c>
      <c r="H50" s="88"/>
    </row>
    <row r="51" spans="1:14" s="22" customFormat="1" x14ac:dyDescent="0.25">
      <c r="A51" s="121"/>
      <c r="B51" s="122"/>
      <c r="C51" s="84" t="s">
        <v>207</v>
      </c>
      <c r="D51" s="86"/>
      <c r="E51" s="86"/>
      <c r="F51" s="86"/>
      <c r="G51" s="86"/>
      <c r="H51" s="85"/>
    </row>
    <row r="52" spans="1:14" s="22" customFormat="1" ht="15.75" customHeight="1" x14ac:dyDescent="0.25">
      <c r="A52" s="119" t="s">
        <v>167</v>
      </c>
      <c r="B52" s="120"/>
      <c r="C52" s="84" t="s">
        <v>205</v>
      </c>
      <c r="D52" s="86"/>
      <c r="E52" s="85"/>
      <c r="F52" s="18" t="s">
        <v>43</v>
      </c>
      <c r="G52" s="87">
        <f>G49</f>
        <v>44812</v>
      </c>
      <c r="H52" s="88"/>
    </row>
    <row r="53" spans="1:14" s="22" customFormat="1" x14ac:dyDescent="0.25">
      <c r="A53" s="121"/>
      <c r="B53" s="122"/>
      <c r="C53" s="84" t="s">
        <v>206</v>
      </c>
      <c r="D53" s="86"/>
      <c r="E53" s="86"/>
      <c r="F53" s="86"/>
      <c r="G53" s="86"/>
      <c r="H53" s="85"/>
    </row>
    <row r="54" spans="1:14" x14ac:dyDescent="0.25">
      <c r="A54" s="95" t="s">
        <v>45</v>
      </c>
      <c r="B54" s="96"/>
      <c r="C54" s="95" t="s">
        <v>108</v>
      </c>
      <c r="D54" s="97"/>
      <c r="E54" s="96"/>
      <c r="F54" s="43" t="s">
        <v>43</v>
      </c>
      <c r="G54" s="117" t="s">
        <v>30</v>
      </c>
      <c r="H54" s="118"/>
    </row>
    <row r="55" spans="1:14" x14ac:dyDescent="0.25">
      <c r="A55" s="98" t="s">
        <v>47</v>
      </c>
      <c r="B55" s="98"/>
      <c r="C55" s="98"/>
      <c r="D55" s="98"/>
      <c r="E55" s="98"/>
      <c r="F55" s="98"/>
      <c r="G55" s="98"/>
      <c r="H55" s="98"/>
    </row>
    <row r="56" spans="1:14" x14ac:dyDescent="0.25">
      <c r="A56" s="116" t="s">
        <v>94</v>
      </c>
      <c r="B56" s="116"/>
      <c r="C56" s="116"/>
      <c r="D56" s="89">
        <f>E44</f>
        <v>19688.22</v>
      </c>
      <c r="E56" s="89"/>
      <c r="F56" s="89"/>
      <c r="G56" s="89"/>
      <c r="H56" s="89"/>
    </row>
    <row r="57" spans="1:14" x14ac:dyDescent="0.25">
      <c r="A57" s="81" t="s">
        <v>48</v>
      </c>
      <c r="B57" s="89"/>
      <c r="C57" s="89"/>
      <c r="D57" s="89" t="s">
        <v>220</v>
      </c>
      <c r="E57" s="89"/>
      <c r="F57" s="89"/>
      <c r="G57" s="89"/>
      <c r="H57" s="89"/>
      <c r="I57" s="23"/>
    </row>
    <row r="58" spans="1:14" x14ac:dyDescent="0.25">
      <c r="A58" s="90" t="s">
        <v>49</v>
      </c>
      <c r="B58" s="91"/>
      <c r="C58" s="154"/>
      <c r="D58" s="137" t="s">
        <v>203</v>
      </c>
      <c r="E58" s="153"/>
      <c r="F58" s="153"/>
      <c r="G58" s="153"/>
      <c r="H58" s="153"/>
    </row>
    <row r="59" spans="1:14" ht="15.75" customHeight="1" x14ac:dyDescent="0.25">
      <c r="A59" s="90" t="s">
        <v>92</v>
      </c>
      <c r="B59" s="91"/>
      <c r="C59" s="91"/>
      <c r="D59" s="92" t="s">
        <v>203</v>
      </c>
      <c r="E59" s="93"/>
      <c r="F59" s="93"/>
      <c r="G59" s="93"/>
      <c r="H59" s="94"/>
    </row>
    <row r="60" spans="1:14" ht="15.75" customHeight="1" x14ac:dyDescent="0.25">
      <c r="A60" s="83" t="s">
        <v>46</v>
      </c>
      <c r="B60" s="83"/>
      <c r="C60" s="83"/>
      <c r="D60" s="149" t="s">
        <v>204</v>
      </c>
      <c r="E60" s="149"/>
      <c r="F60" s="149"/>
      <c r="G60" s="149"/>
      <c r="H60" s="149"/>
      <c r="J60" s="24"/>
      <c r="K60" s="23"/>
      <c r="N60" s="23"/>
    </row>
    <row r="61" spans="1:14" ht="15.75" customHeight="1" x14ac:dyDescent="0.25">
      <c r="A61" s="83" t="s">
        <v>90</v>
      </c>
      <c r="B61" s="83"/>
      <c r="C61" s="83"/>
      <c r="D61" s="151" t="str">
        <f>(IF(G54="NA","60 Years After Completion",IF(G54&lt;&gt;"NA",""&amp;60-ROUNDDOWN((E3-G54)/360,0)&amp;" Years"," ")))</f>
        <v>60 Years After Completion</v>
      </c>
      <c r="E61" s="151"/>
      <c r="F61" s="151"/>
      <c r="G61" s="151"/>
      <c r="H61" s="151"/>
      <c r="N61" s="23"/>
    </row>
    <row r="62" spans="1:14" ht="15.75" customHeight="1" x14ac:dyDescent="0.25">
      <c r="A62" s="83" t="s">
        <v>91</v>
      </c>
      <c r="B62" s="83"/>
      <c r="C62" s="83"/>
      <c r="D62" s="116" t="s">
        <v>24</v>
      </c>
      <c r="E62" s="116"/>
      <c r="F62" s="116"/>
      <c r="G62" s="116"/>
      <c r="H62" s="116"/>
      <c r="J62" s="25"/>
      <c r="K62" s="25"/>
    </row>
    <row r="63" spans="1:14" ht="15" hidden="1" customHeight="1" x14ac:dyDescent="0.25">
      <c r="A63" s="83" t="s">
        <v>77</v>
      </c>
      <c r="B63" s="83"/>
      <c r="C63" s="83"/>
      <c r="D63" s="81" t="s">
        <v>158</v>
      </c>
      <c r="E63" s="116"/>
      <c r="F63" s="116"/>
      <c r="G63" s="116"/>
      <c r="H63" s="116"/>
    </row>
    <row r="64" spans="1:14" x14ac:dyDescent="0.25">
      <c r="A64" s="116" t="s">
        <v>159</v>
      </c>
      <c r="B64" s="116"/>
      <c r="C64" s="116"/>
      <c r="D64" s="116" t="s">
        <v>30</v>
      </c>
      <c r="E64" s="116"/>
      <c r="F64" s="116"/>
      <c r="G64" s="116"/>
      <c r="H64" s="116"/>
      <c r="I64" s="26"/>
      <c r="J64" s="26"/>
      <c r="K64" s="26"/>
      <c r="L64" s="26"/>
      <c r="M64" s="26"/>
      <c r="N64" s="26"/>
    </row>
    <row r="65" spans="1:12" ht="15.75" customHeight="1" x14ac:dyDescent="0.25">
      <c r="A65" s="136" t="s">
        <v>89</v>
      </c>
      <c r="B65" s="136"/>
      <c r="C65" s="136"/>
      <c r="D65" s="137" t="str">
        <f ca="1">(IF(G71&gt;95%,"Nothing",IF(G71&gt;0%,"Cement, Aggregate, Steel, etc",IF(G71=0%,"Work not yet Started"))))</f>
        <v>Cement, Aggregate, Steel, etc</v>
      </c>
      <c r="E65" s="137"/>
      <c r="F65" s="137"/>
      <c r="G65" s="137"/>
      <c r="H65" s="137"/>
      <c r="J65" s="25"/>
    </row>
    <row r="66" spans="1:12" ht="33.75" customHeight="1" thickBot="1" x14ac:dyDescent="0.3">
      <c r="A66" s="135" t="s">
        <v>121</v>
      </c>
      <c r="B66" s="135"/>
      <c r="C66" s="135"/>
      <c r="D66" s="137" t="str">
        <f ca="1">(IF(D65="Nothing","Yes",IF(D65="Cement, Aggregate, Steel, etc","Under Construction",IF(D65="Work not yet Started","Work not yet Started"))))</f>
        <v>Under Construction</v>
      </c>
      <c r="E66" s="137"/>
      <c r="F66" s="137" t="str">
        <f ca="1">(IF(D65="Nothing","Yes",IF(D65="Cement, Aggregate, Steel, etc","Under Construction",IF(D65="Work not yet Started","Work not yet Started"))))</f>
        <v>Under Construction</v>
      </c>
      <c r="G66" s="137"/>
      <c r="H66" s="137"/>
    </row>
    <row r="67" spans="1:12" ht="15.75" customHeight="1" x14ac:dyDescent="0.25">
      <c r="A67" s="129" t="s">
        <v>148</v>
      </c>
      <c r="B67" s="130"/>
      <c r="C67" s="131" t="str">
        <f>D59</f>
        <v>B Wing = Gr/St + P + 1st to 22nd Floor</v>
      </c>
      <c r="D67" s="132"/>
      <c r="E67" s="132"/>
      <c r="F67" s="132"/>
      <c r="G67" s="132"/>
      <c r="H67" s="133"/>
      <c r="I67" s="45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14 Floor, Painting upto 5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14 Floor, Painting upto 5 Floor</v>
      </c>
    </row>
    <row r="68" spans="1:12" x14ac:dyDescent="0.25">
      <c r="A68" s="16" t="s">
        <v>150</v>
      </c>
      <c r="B68" s="50">
        <v>0</v>
      </c>
      <c r="C68" s="50" t="s">
        <v>74</v>
      </c>
      <c r="D68" s="50">
        <v>1</v>
      </c>
      <c r="E68" s="50" t="s">
        <v>73</v>
      </c>
      <c r="F68" s="50">
        <v>1</v>
      </c>
      <c r="G68" s="50" t="s">
        <v>83</v>
      </c>
      <c r="H68" s="17">
        <f ca="1">--TRIM(RIGHT(SUBSTITUTE(LEFT(C67,_xlfn.AGGREGATE(16,6,FIND({0,1,2,3,4,5,6,7,8,9},C67,ROW(INDIRECT("1:"&amp;LEN(C67)))),1))," ",REPT(" ",LEN(C67))),LEN(C67)))</f>
        <v>22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2" ht="34.5" customHeight="1" x14ac:dyDescent="0.25">
      <c r="A69" s="128" t="s">
        <v>93</v>
      </c>
      <c r="B69" s="128"/>
      <c r="C69" s="134" t="str">
        <f ca="1">I67</f>
        <v>Excavation, Plinth, RCC Slab, Brickwork, Internal Plaster, External Plaster Completed, Flooring upto 14 Floor, Painting upto 5 Floor Completed</v>
      </c>
      <c r="D69" s="134"/>
      <c r="E69" s="134"/>
      <c r="F69" s="134"/>
      <c r="G69" s="134"/>
      <c r="H69" s="134"/>
      <c r="I69" s="54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2" ht="15.75" customHeight="1" x14ac:dyDescent="0.25">
      <c r="A70" s="110" t="s">
        <v>50</v>
      </c>
      <c r="B70" s="110"/>
      <c r="C70" s="53" t="s">
        <v>147</v>
      </c>
      <c r="D70" s="53" t="s">
        <v>86</v>
      </c>
      <c r="E70" s="110" t="s">
        <v>88</v>
      </c>
      <c r="F70" s="110"/>
      <c r="G70" s="110" t="s">
        <v>87</v>
      </c>
      <c r="H70" s="110"/>
      <c r="I70" s="14" t="s">
        <v>149</v>
      </c>
      <c r="J70" s="27">
        <f ca="1">H68*25%</f>
        <v>5.5</v>
      </c>
    </row>
    <row r="71" spans="1:12" x14ac:dyDescent="0.25">
      <c r="A71" s="110" t="s">
        <v>136</v>
      </c>
      <c r="B71" s="110"/>
      <c r="C71" s="53">
        <f ca="1">J72</f>
        <v>22</v>
      </c>
      <c r="D71" s="19">
        <f ca="1">((100/H68)*C71)/100</f>
        <v>1.0000000000000002</v>
      </c>
      <c r="E71" s="150">
        <f ca="1">(((C72/H68*10)+(40/(D68+F68+H68)*C73)+(7.5/(H68)*C74)+(7.5/(H68)*C75)+(10/H68*C76)+(10/H68*C77)+(5/H68*C78)+(5/H68*C79)+(5/H68*C80))/100)</f>
        <v>0.82499999999999996</v>
      </c>
      <c r="F71" s="150"/>
      <c r="G71" s="150">
        <f ca="1">((((C71/H68)*20)+((C72/H68)*25)+(30/(H68+F68+D68)*C73)+(5/H68*C74)+(5/H68*C75)+(5/H68*C76)+(5/H68*C77)+(0/H68*C78)+(0/H68*C79)+(5/H68*C80))/100)</f>
        <v>0.93181818181818188</v>
      </c>
      <c r="H71" s="150"/>
      <c r="I71" s="14" t="s">
        <v>103</v>
      </c>
      <c r="J71" s="28">
        <f ca="1">H68*50%</f>
        <v>11</v>
      </c>
    </row>
    <row r="72" spans="1:12" x14ac:dyDescent="0.25">
      <c r="A72" s="110" t="s">
        <v>51</v>
      </c>
      <c r="B72" s="110"/>
      <c r="C72" s="53">
        <f ca="1">J80</f>
        <v>22</v>
      </c>
      <c r="D72" s="19">
        <f ca="1">((100/H68)*C72)/100</f>
        <v>1.0000000000000002</v>
      </c>
      <c r="E72" s="150"/>
      <c r="F72" s="150"/>
      <c r="G72" s="150"/>
      <c r="H72" s="150"/>
      <c r="I72" s="14" t="s">
        <v>104</v>
      </c>
      <c r="J72" s="28">
        <f ca="1">H68</f>
        <v>22</v>
      </c>
    </row>
    <row r="73" spans="1:12" ht="15.75" customHeight="1" x14ac:dyDescent="0.25">
      <c r="A73" s="110" t="s">
        <v>137</v>
      </c>
      <c r="B73" s="110"/>
      <c r="C73" s="53">
        <v>24</v>
      </c>
      <c r="D73" s="19">
        <f ca="1">((100/(D68+F68+H68))*C73)/100</f>
        <v>1</v>
      </c>
      <c r="E73" s="150"/>
      <c r="F73" s="150"/>
      <c r="G73" s="150"/>
      <c r="H73" s="150"/>
      <c r="I73" s="14" t="s">
        <v>105</v>
      </c>
      <c r="J73" s="29">
        <f ca="1">(IF(B68&gt;1,(H68/(B68+2)),H68/4))</f>
        <v>5.5</v>
      </c>
      <c r="L73" s="20" t="s">
        <v>227</v>
      </c>
    </row>
    <row r="74" spans="1:12" ht="15.75" customHeight="1" x14ac:dyDescent="0.25">
      <c r="A74" s="110" t="s">
        <v>144</v>
      </c>
      <c r="B74" s="110" t="s">
        <v>138</v>
      </c>
      <c r="C74" s="53">
        <v>22</v>
      </c>
      <c r="D74" s="19">
        <f ca="1">((100/H68)*C74)/100</f>
        <v>1.0000000000000002</v>
      </c>
      <c r="E74" s="150"/>
      <c r="F74" s="150"/>
      <c r="G74" s="150"/>
      <c r="H74" s="150"/>
      <c r="I74" s="14" t="s">
        <v>106</v>
      </c>
      <c r="J74" s="29">
        <f ca="1">(IF(B68&gt;1,(H68/(B68+2)+J73),H68/4+J73))</f>
        <v>11</v>
      </c>
    </row>
    <row r="75" spans="1:12" ht="15.75" customHeight="1" x14ac:dyDescent="0.25">
      <c r="A75" s="110" t="s">
        <v>145</v>
      </c>
      <c r="B75" s="110" t="s">
        <v>138</v>
      </c>
      <c r="C75" s="53">
        <v>22</v>
      </c>
      <c r="D75" s="19">
        <f ca="1">((100/H68)*C75)/100</f>
        <v>1.0000000000000002</v>
      </c>
      <c r="E75" s="150"/>
      <c r="F75" s="150"/>
      <c r="G75" s="150"/>
      <c r="H75" s="150"/>
      <c r="I75" s="14" t="s">
        <v>156</v>
      </c>
      <c r="J75" s="29">
        <f>(IF(B68&gt;1,(H68/(B68+2)+J74),0))</f>
        <v>0</v>
      </c>
    </row>
    <row r="76" spans="1:12" ht="15" customHeight="1" x14ac:dyDescent="0.25">
      <c r="A76" s="110" t="s">
        <v>143</v>
      </c>
      <c r="B76" s="110" t="s">
        <v>140</v>
      </c>
      <c r="C76" s="53">
        <v>22</v>
      </c>
      <c r="D76" s="19">
        <f ca="1">((100/(H68))*C76)/100</f>
        <v>1.0000000000000002</v>
      </c>
      <c r="E76" s="150"/>
      <c r="F76" s="150"/>
      <c r="G76" s="150"/>
      <c r="H76" s="150"/>
      <c r="I76" s="14" t="s">
        <v>151</v>
      </c>
      <c r="J76" s="29">
        <f>(IF(B68&gt;2,(H68/(B68+2)+J75),0))</f>
        <v>0</v>
      </c>
    </row>
    <row r="77" spans="1:12" ht="15.75" customHeight="1" x14ac:dyDescent="0.25">
      <c r="A77" s="110" t="s">
        <v>139</v>
      </c>
      <c r="B77" s="110" t="s">
        <v>139</v>
      </c>
      <c r="C77" s="53">
        <v>14</v>
      </c>
      <c r="D77" s="19">
        <f ca="1">((100/H68)*C77)/100</f>
        <v>0.63636363636363635</v>
      </c>
      <c r="E77" s="150"/>
      <c r="F77" s="150"/>
      <c r="G77" s="150"/>
      <c r="H77" s="150"/>
      <c r="I77" s="14" t="s">
        <v>152</v>
      </c>
      <c r="J77" s="30">
        <f>(IF(B68&gt;3,(H68/(B68+2)+J76),0))</f>
        <v>0</v>
      </c>
    </row>
    <row r="78" spans="1:12" ht="15.75" customHeight="1" x14ac:dyDescent="0.25">
      <c r="A78" s="110" t="s">
        <v>146</v>
      </c>
      <c r="B78" s="110"/>
      <c r="C78" s="53">
        <v>5</v>
      </c>
      <c r="D78" s="19">
        <f ca="1">((100/H68)*C78)/100</f>
        <v>0.22727272727272729</v>
      </c>
      <c r="E78" s="150"/>
      <c r="F78" s="150"/>
      <c r="G78" s="150"/>
      <c r="H78" s="150"/>
      <c r="I78" s="14" t="s">
        <v>153</v>
      </c>
      <c r="J78" s="29">
        <f>(IF(B68&gt;4,(H68/(B68+2)+J77),0))</f>
        <v>0</v>
      </c>
    </row>
    <row r="79" spans="1:12" ht="15.75" customHeight="1" x14ac:dyDescent="0.25">
      <c r="A79" s="110" t="s">
        <v>141</v>
      </c>
      <c r="B79" s="110" t="s">
        <v>141</v>
      </c>
      <c r="C79" s="53">
        <v>0</v>
      </c>
      <c r="D79" s="19">
        <f ca="1">((100/(H68))*C79)/100</f>
        <v>0</v>
      </c>
      <c r="E79" s="150"/>
      <c r="F79" s="150"/>
      <c r="G79" s="150"/>
      <c r="H79" s="150"/>
      <c r="I79" s="14" t="s">
        <v>157</v>
      </c>
      <c r="J79" s="29">
        <f ca="1">(IF(B68=1,(H68/(B68+3)+J74),IF(B68=0,(H68/4+J74),IF(B68&gt;1,0))))</f>
        <v>16.5</v>
      </c>
    </row>
    <row r="80" spans="1:12" ht="16.5" thickBot="1" x14ac:dyDescent="0.3">
      <c r="A80" s="110" t="s">
        <v>142</v>
      </c>
      <c r="B80" s="110"/>
      <c r="C80" s="53">
        <v>0</v>
      </c>
      <c r="D80" s="19">
        <f ca="1">((100/(H68))*C80)/100</f>
        <v>0</v>
      </c>
      <c r="E80" s="150"/>
      <c r="F80" s="150"/>
      <c r="G80" s="150"/>
      <c r="H80" s="150"/>
      <c r="I80" s="15" t="s">
        <v>107</v>
      </c>
      <c r="J80" s="31">
        <f ca="1">(IF(B68&gt;1.5,(H68/(B68+2)+J74+MAX(0,J75-J74)+MAX(0,J76-J75)+MAX(0,J77-J76)+MAX(0,J78-J77)+MAX(0,J79-J78)),IF(B68=1,(H68/(B68+3)+J79),IF(B68=0,H68/4+J79))))</f>
        <v>22</v>
      </c>
    </row>
    <row r="81" spans="1:12" x14ac:dyDescent="0.25">
      <c r="A81" s="156" t="s">
        <v>169</v>
      </c>
      <c r="B81" s="156"/>
      <c r="C81" s="156"/>
      <c r="D81" s="156"/>
      <c r="E81" s="156"/>
      <c r="F81" s="155" t="s">
        <v>174</v>
      </c>
      <c r="G81" s="155"/>
      <c r="H81" s="155"/>
    </row>
    <row r="82" spans="1:12" x14ac:dyDescent="0.25">
      <c r="A82" s="89" t="s">
        <v>172</v>
      </c>
      <c r="B82" s="89"/>
      <c r="C82" s="89"/>
      <c r="D82" s="89"/>
      <c r="E82" s="89"/>
      <c r="F82" s="111">
        <v>9200</v>
      </c>
      <c r="G82" s="111"/>
      <c r="H82" s="111"/>
      <c r="J82" s="20" t="s">
        <v>217</v>
      </c>
      <c r="K82" s="20" t="s">
        <v>218</v>
      </c>
      <c r="L82" s="20" t="s">
        <v>219</v>
      </c>
    </row>
    <row r="83" spans="1:12" hidden="1" x14ac:dyDescent="0.25">
      <c r="A83" s="89" t="s">
        <v>171</v>
      </c>
      <c r="B83" s="89"/>
      <c r="C83" s="89"/>
      <c r="D83" s="89"/>
      <c r="E83" s="89"/>
      <c r="F83" s="111"/>
      <c r="G83" s="111"/>
      <c r="H83" s="111"/>
    </row>
    <row r="84" spans="1:12" hidden="1" x14ac:dyDescent="0.25">
      <c r="A84" s="89" t="s">
        <v>173</v>
      </c>
      <c r="B84" s="89"/>
      <c r="C84" s="89"/>
      <c r="D84" s="89"/>
      <c r="E84" s="89"/>
      <c r="F84" s="111"/>
      <c r="G84" s="111"/>
      <c r="H84" s="111"/>
    </row>
    <row r="85" spans="1:12" s="32" customFormat="1" hidden="1" x14ac:dyDescent="0.25">
      <c r="A85" s="89" t="s">
        <v>170</v>
      </c>
      <c r="B85" s="89"/>
      <c r="C85" s="89"/>
      <c r="D85" s="89"/>
      <c r="E85" s="89"/>
      <c r="F85" s="111"/>
      <c r="G85" s="111"/>
      <c r="H85" s="111"/>
    </row>
    <row r="86" spans="1:12" s="32" customFormat="1" hidden="1" x14ac:dyDescent="0.25">
      <c r="A86" s="89" t="s">
        <v>98</v>
      </c>
      <c r="B86" s="89"/>
      <c r="C86" s="89"/>
      <c r="D86" s="89"/>
      <c r="E86" s="89"/>
      <c r="F86" s="111"/>
      <c r="G86" s="111"/>
      <c r="H86" s="111"/>
    </row>
    <row r="87" spans="1:12" s="32" customFormat="1" hidden="1" x14ac:dyDescent="0.25">
      <c r="A87" s="89" t="s">
        <v>99</v>
      </c>
      <c r="B87" s="89"/>
      <c r="C87" s="89"/>
      <c r="D87" s="89"/>
      <c r="E87" s="89"/>
      <c r="F87" s="111"/>
      <c r="G87" s="111"/>
      <c r="H87" s="111"/>
    </row>
    <row r="88" spans="1:12" s="32" customFormat="1" hidden="1" x14ac:dyDescent="0.25">
      <c r="A88" s="89" t="s">
        <v>175</v>
      </c>
      <c r="B88" s="89"/>
      <c r="C88" s="89"/>
      <c r="D88" s="89"/>
      <c r="E88" s="89"/>
      <c r="F88" s="111"/>
      <c r="G88" s="111"/>
      <c r="H88" s="111"/>
    </row>
    <row r="89" spans="1:12" s="32" customFormat="1" hidden="1" x14ac:dyDescent="0.25">
      <c r="A89" s="89" t="s">
        <v>100</v>
      </c>
      <c r="B89" s="89"/>
      <c r="C89" s="89"/>
      <c r="D89" s="89"/>
      <c r="E89" s="89"/>
      <c r="F89" s="111"/>
      <c r="G89" s="111"/>
      <c r="H89" s="111"/>
    </row>
    <row r="90" spans="1:12" s="32" customFormat="1" ht="34.5" customHeight="1" x14ac:dyDescent="0.25">
      <c r="A90" s="81" t="s">
        <v>221</v>
      </c>
      <c r="B90" s="81"/>
      <c r="C90" s="81"/>
      <c r="D90" s="81"/>
      <c r="E90" s="81"/>
      <c r="F90" s="111">
        <v>215000</v>
      </c>
      <c r="G90" s="111"/>
      <c r="H90" s="111"/>
      <c r="J90" s="20">
        <v>15</v>
      </c>
      <c r="K90" s="20">
        <v>11500</v>
      </c>
      <c r="L90" s="20">
        <v>10500</v>
      </c>
    </row>
    <row r="91" spans="1:12" s="32" customFormat="1" hidden="1" x14ac:dyDescent="0.25">
      <c r="A91" s="89" t="s">
        <v>101</v>
      </c>
      <c r="B91" s="89"/>
      <c r="C91" s="89"/>
      <c r="D91" s="89"/>
      <c r="E91" s="89"/>
      <c r="F91" s="111"/>
      <c r="G91" s="111"/>
      <c r="H91" s="111"/>
    </row>
    <row r="92" spans="1:12" s="32" customFormat="1" hidden="1" x14ac:dyDescent="0.25">
      <c r="A92" s="89" t="s">
        <v>102</v>
      </c>
      <c r="B92" s="89"/>
      <c r="C92" s="89"/>
      <c r="D92" s="89"/>
      <c r="E92" s="89"/>
      <c r="F92" s="111"/>
      <c r="G92" s="111"/>
      <c r="H92" s="111"/>
    </row>
    <row r="93" spans="1:12" x14ac:dyDescent="0.25">
      <c r="A93" s="89" t="s">
        <v>52</v>
      </c>
      <c r="B93" s="89"/>
      <c r="C93" s="89"/>
      <c r="D93" s="89"/>
      <c r="E93" s="89"/>
      <c r="F93" s="111">
        <v>500000</v>
      </c>
      <c r="G93" s="111"/>
      <c r="H93" s="111"/>
    </row>
    <row r="94" spans="1:12" s="33" customFormat="1" x14ac:dyDescent="0.25">
      <c r="A94" s="128" t="s">
        <v>53</v>
      </c>
      <c r="B94" s="128"/>
      <c r="C94" s="128"/>
      <c r="D94" s="128"/>
      <c r="E94" s="128"/>
      <c r="F94" s="111">
        <f>F82*0.8</f>
        <v>7360</v>
      </c>
      <c r="G94" s="111"/>
      <c r="H94" s="111"/>
    </row>
    <row r="95" spans="1:12" s="34" customFormat="1" ht="15.75" hidden="1" customHeight="1" x14ac:dyDescent="0.25">
      <c r="A95" s="125" t="s">
        <v>78</v>
      </c>
      <c r="B95" s="125"/>
      <c r="C95" s="125"/>
      <c r="D95" s="125"/>
      <c r="E95" s="125"/>
      <c r="F95" s="125"/>
      <c r="G95" s="125"/>
      <c r="H95" s="125"/>
    </row>
    <row r="96" spans="1:12" s="34" customFormat="1" ht="15.75" hidden="1" customHeight="1" x14ac:dyDescent="0.25">
      <c r="A96" s="100" t="s">
        <v>54</v>
      </c>
      <c r="B96" s="100"/>
      <c r="C96" s="99" t="s">
        <v>81</v>
      </c>
      <c r="D96" s="99"/>
      <c r="E96" s="123" t="s">
        <v>55</v>
      </c>
      <c r="F96" s="123"/>
      <c r="G96" s="100" t="s">
        <v>56</v>
      </c>
      <c r="H96" s="100"/>
    </row>
    <row r="97" spans="1:14" s="34" customFormat="1" hidden="1" x14ac:dyDescent="0.25">
      <c r="A97" s="124"/>
      <c r="B97" s="124"/>
      <c r="C97" s="114"/>
      <c r="D97" s="114"/>
      <c r="E97" s="115"/>
      <c r="F97" s="115"/>
      <c r="G97" s="112"/>
      <c r="H97" s="112"/>
    </row>
    <row r="98" spans="1:14" s="34" customFormat="1" hidden="1" x14ac:dyDescent="0.25">
      <c r="A98" s="124"/>
      <c r="B98" s="124"/>
      <c r="C98" s="114"/>
      <c r="D98" s="114"/>
      <c r="E98" s="115"/>
      <c r="F98" s="115"/>
      <c r="G98" s="112"/>
      <c r="H98" s="112"/>
    </row>
    <row r="99" spans="1:14" s="34" customFormat="1" hidden="1" x14ac:dyDescent="0.25">
      <c r="A99" s="125" t="s">
        <v>162</v>
      </c>
      <c r="B99" s="125"/>
      <c r="C99" s="99"/>
      <c r="D99" s="99"/>
      <c r="E99" s="123"/>
      <c r="F99" s="123"/>
      <c r="G99" s="100"/>
      <c r="H99" s="100"/>
    </row>
    <row r="100" spans="1:14" s="34" customFormat="1" x14ac:dyDescent="0.25">
      <c r="A100" s="125" t="s">
        <v>72</v>
      </c>
      <c r="B100" s="125"/>
      <c r="C100" s="125"/>
      <c r="D100" s="125"/>
      <c r="E100" s="125"/>
      <c r="F100" s="125"/>
      <c r="G100" s="125"/>
      <c r="H100" s="125"/>
    </row>
    <row r="101" spans="1:14" s="34" customFormat="1" ht="15.75" customHeight="1" x14ac:dyDescent="0.25">
      <c r="A101" s="100" t="s">
        <v>54</v>
      </c>
      <c r="B101" s="100"/>
      <c r="C101" s="99" t="s">
        <v>81</v>
      </c>
      <c r="D101" s="99"/>
      <c r="E101" s="123" t="s">
        <v>55</v>
      </c>
      <c r="F101" s="123"/>
      <c r="G101" s="100" t="s">
        <v>56</v>
      </c>
      <c r="H101" s="100"/>
    </row>
    <row r="102" spans="1:14" s="34" customFormat="1" x14ac:dyDescent="0.25">
      <c r="A102" s="124" t="s">
        <v>185</v>
      </c>
      <c r="B102" s="124"/>
      <c r="C102" s="114">
        <f>COUNT(D117:D119)*3+COUNT(D121:D123)*2+COUNT(D125:D127)*2+COUNT(D129:D131)*2+COUNT(D133:D135)*5+COUNT(D137:D139)*4+COUNT(D141:D143)*3+COUNT(D145:D147)</f>
        <v>66</v>
      </c>
      <c r="D102" s="114"/>
      <c r="E102" s="112">
        <f>SUM(D117:D119)*3+SUM(D121:D123)*2+SUM(D125:D127)*2+SUM(D129:D131)*2+SUM(D133:D135)*5+SUM(D137:D139)*4+SUM(D141:D143)*3+SUM(D145:D147)</f>
        <v>61758.603925199997</v>
      </c>
      <c r="F102" s="112"/>
      <c r="G102" s="112">
        <f>SUM(F117:F119)*3+SUM(F121:F123)*2+SUM(F125:F127)*2+SUM(F129:F131)*2+SUM(F133:F135)*5+SUM(F137:F139)*4+SUM(F141:F143)*3+SUM(F145:F147)</f>
        <v>96287.501604060002</v>
      </c>
      <c r="H102" s="112"/>
    </row>
    <row r="103" spans="1:14" s="33" customFormat="1" x14ac:dyDescent="0.25">
      <c r="A103" s="113" t="s">
        <v>57</v>
      </c>
      <c r="B103" s="113"/>
      <c r="C103" s="113"/>
      <c r="D103" s="113"/>
      <c r="E103" s="113"/>
      <c r="F103" s="113"/>
      <c r="G103" s="113"/>
      <c r="H103" s="113"/>
    </row>
    <row r="104" spans="1:14" x14ac:dyDescent="0.25">
      <c r="A104" s="113" t="s">
        <v>58</v>
      </c>
      <c r="B104" s="113"/>
      <c r="C104" s="113"/>
      <c r="D104" s="113"/>
      <c r="E104" s="113"/>
      <c r="F104" s="113"/>
      <c r="G104" s="113"/>
      <c r="H104" s="113"/>
    </row>
    <row r="105" spans="1:14" ht="47.25" hidden="1" customHeight="1" x14ac:dyDescent="0.25">
      <c r="A105" s="102" t="s">
        <v>125</v>
      </c>
      <c r="B105" s="102" t="s">
        <v>124</v>
      </c>
      <c r="C105" s="102" t="s">
        <v>59</v>
      </c>
      <c r="D105" s="102" t="s">
        <v>60</v>
      </c>
      <c r="E105" s="104" t="s">
        <v>168</v>
      </c>
      <c r="F105" s="42" t="s">
        <v>160</v>
      </c>
      <c r="G105" s="106" t="s">
        <v>62</v>
      </c>
      <c r="H105" s="107"/>
    </row>
    <row r="106" spans="1:14" s="36" customFormat="1" hidden="1" x14ac:dyDescent="0.25">
      <c r="A106" s="103"/>
      <c r="B106" s="103"/>
      <c r="C106" s="103"/>
      <c r="D106" s="103"/>
      <c r="E106" s="105"/>
      <c r="F106" s="13">
        <v>0.6</v>
      </c>
      <c r="G106" s="108"/>
      <c r="H106" s="109"/>
    </row>
    <row r="107" spans="1:14" s="36" customFormat="1" hidden="1" x14ac:dyDescent="0.25">
      <c r="A107" s="60" t="s">
        <v>122</v>
      </c>
      <c r="B107" s="61"/>
      <c r="C107" s="61"/>
      <c r="D107" s="61"/>
      <c r="E107" s="61"/>
      <c r="F107" s="61"/>
      <c r="G107" s="61"/>
      <c r="H107" s="62"/>
      <c r="J107" s="35"/>
    </row>
    <row r="108" spans="1:14" s="36" customFormat="1" hidden="1" x14ac:dyDescent="0.25">
      <c r="A108" s="63">
        <v>1</v>
      </c>
      <c r="B108" s="64"/>
      <c r="C108" s="41"/>
      <c r="D108" s="41"/>
      <c r="E108" s="41">
        <v>0</v>
      </c>
      <c r="F108" s="41">
        <f>(D108+E108)*(($F$106)+1)</f>
        <v>0</v>
      </c>
      <c r="G108" s="63" t="str">
        <f>A107</f>
        <v>Ground Floor</v>
      </c>
      <c r="H108" s="64"/>
      <c r="I108" s="35"/>
      <c r="L108" s="58"/>
      <c r="M108" s="58"/>
      <c r="N108" s="35"/>
    </row>
    <row r="109" spans="1:14" s="36" customFormat="1" hidden="1" x14ac:dyDescent="0.25">
      <c r="A109" s="63">
        <f t="shared" ref="A109:A111" si="0">A108+1</f>
        <v>2</v>
      </c>
      <c r="B109" s="64"/>
      <c r="C109" s="41"/>
      <c r="D109" s="41"/>
      <c r="E109" s="41">
        <v>0</v>
      </c>
      <c r="F109" s="41">
        <f t="shared" ref="F109:F111" si="1">(D109+E109)*(($F$106)+1)</f>
        <v>0</v>
      </c>
      <c r="G109" s="63" t="str">
        <f t="shared" ref="G109:G111" si="2">G108</f>
        <v>Ground Floor</v>
      </c>
      <c r="H109" s="64"/>
      <c r="I109" s="35"/>
      <c r="L109" s="58"/>
      <c r="M109" s="58"/>
      <c r="N109" s="35"/>
    </row>
    <row r="110" spans="1:14" s="36" customFormat="1" hidden="1" x14ac:dyDescent="0.25">
      <c r="A110" s="63">
        <f t="shared" si="0"/>
        <v>3</v>
      </c>
      <c r="B110" s="64"/>
      <c r="C110" s="41"/>
      <c r="D110" s="41"/>
      <c r="E110" s="41">
        <v>0</v>
      </c>
      <c r="F110" s="41">
        <f t="shared" si="1"/>
        <v>0</v>
      </c>
      <c r="G110" s="63" t="str">
        <f t="shared" si="2"/>
        <v>Ground Floor</v>
      </c>
      <c r="H110" s="64"/>
      <c r="I110" s="35"/>
      <c r="L110" s="58"/>
      <c r="M110" s="58"/>
      <c r="N110" s="35"/>
    </row>
    <row r="111" spans="1:14" s="36" customFormat="1" hidden="1" x14ac:dyDescent="0.25">
      <c r="A111" s="63">
        <f t="shared" si="0"/>
        <v>4</v>
      </c>
      <c r="B111" s="64"/>
      <c r="C111" s="41"/>
      <c r="D111" s="41"/>
      <c r="E111" s="41">
        <v>0</v>
      </c>
      <c r="F111" s="41">
        <f t="shared" si="1"/>
        <v>0</v>
      </c>
      <c r="G111" s="63" t="str">
        <f t="shared" si="2"/>
        <v>Ground Floor</v>
      </c>
      <c r="H111" s="64"/>
      <c r="I111" s="35"/>
      <c r="L111" s="58"/>
      <c r="M111" s="58"/>
      <c r="N111" s="35"/>
    </row>
    <row r="112" spans="1:14" s="36" customFormat="1" hidden="1" x14ac:dyDescent="0.25">
      <c r="A112" s="63"/>
      <c r="B112" s="157"/>
      <c r="C112" s="157"/>
      <c r="D112" s="157"/>
      <c r="E112" s="157"/>
      <c r="F112" s="157"/>
      <c r="G112" s="157"/>
      <c r="H112" s="64"/>
      <c r="I112" s="35"/>
      <c r="N112" s="35"/>
    </row>
    <row r="113" spans="1:14" ht="47.25" customHeight="1" x14ac:dyDescent="0.25">
      <c r="A113" s="106" t="s">
        <v>126</v>
      </c>
      <c r="B113" s="106" t="s">
        <v>127</v>
      </c>
      <c r="C113" s="102" t="s">
        <v>59</v>
      </c>
      <c r="D113" s="102" t="s">
        <v>60</v>
      </c>
      <c r="E113" s="104" t="s">
        <v>61</v>
      </c>
      <c r="F113" s="42" t="s">
        <v>160</v>
      </c>
      <c r="G113" s="106" t="s">
        <v>62</v>
      </c>
      <c r="H113" s="107"/>
      <c r="I113" s="35"/>
    </row>
    <row r="114" spans="1:14" s="36" customFormat="1" x14ac:dyDescent="0.25">
      <c r="A114" s="108"/>
      <c r="B114" s="108"/>
      <c r="C114" s="103"/>
      <c r="D114" s="103"/>
      <c r="E114" s="105"/>
      <c r="F114" s="13">
        <v>0.55000000000000004</v>
      </c>
      <c r="G114" s="108"/>
      <c r="H114" s="109"/>
      <c r="I114" s="35"/>
    </row>
    <row r="115" spans="1:14" s="36" customFormat="1" x14ac:dyDescent="0.25">
      <c r="A115" s="60" t="s">
        <v>216</v>
      </c>
      <c r="B115" s="61"/>
      <c r="C115" s="61"/>
      <c r="D115" s="61"/>
      <c r="E115" s="61"/>
      <c r="F115" s="61"/>
      <c r="G115" s="61"/>
      <c r="H115" s="62"/>
      <c r="J115" s="35"/>
    </row>
    <row r="116" spans="1:14" s="36" customFormat="1" x14ac:dyDescent="0.25">
      <c r="A116" s="60" t="s">
        <v>209</v>
      </c>
      <c r="B116" s="61"/>
      <c r="C116" s="61"/>
      <c r="D116" s="61"/>
      <c r="E116" s="61"/>
      <c r="F116" s="61"/>
      <c r="G116" s="61"/>
      <c r="H116" s="62"/>
      <c r="J116" s="51">
        <f>10.764</f>
        <v>10.763999999999999</v>
      </c>
    </row>
    <row r="117" spans="1:14" s="36" customFormat="1" ht="15.75" customHeight="1" x14ac:dyDescent="0.25">
      <c r="A117" s="63">
        <v>3</v>
      </c>
      <c r="B117" s="64"/>
      <c r="C117" s="49">
        <v>2</v>
      </c>
      <c r="D117" s="51">
        <f>(3.8*3.35+3.05*2.4+3.05*3.15+1.35*2.1+1.54*2.1+3.05*4.05+2*(2.1*0.6)+1.2*2.2+1.9*0.9+2.4*1.9+1.3*3.35+1*3.05+0.75*(3.35+2.4+3.05+2.8))*(10.764)</f>
        <v>813.90909599999998</v>
      </c>
      <c r="E117" s="41">
        <v>0</v>
      </c>
      <c r="F117" s="41">
        <f>D117*(($F$114)+1)+(IF(E117&lt;101,E117,IF(E117&lt;201,E117/2,IF(E117&lt;=301,E117/3,E117/4))))</f>
        <v>1261.5590987999999</v>
      </c>
      <c r="G117" s="75" t="str">
        <f>A116</f>
        <v>1st, 4th &amp; 7th Floor For Residential</v>
      </c>
      <c r="H117" s="76"/>
      <c r="I117" s="35"/>
      <c r="L117" s="58"/>
      <c r="M117" s="58"/>
      <c r="N117" s="35"/>
    </row>
    <row r="118" spans="1:14" s="36" customFormat="1" ht="15.75" customHeight="1" x14ac:dyDescent="0.25">
      <c r="A118" s="63">
        <f t="shared" ref="A118:A119" si="3">A117+1</f>
        <v>4</v>
      </c>
      <c r="B118" s="64"/>
      <c r="C118" s="49">
        <v>3</v>
      </c>
      <c r="D118" s="51">
        <f>(3.5*4.8+1.6*4.4+3.05*2.43+1.2*2.1+4.55*3.18+3.5*3.32+1.55*2.1+4*2.1+1.2*2.1+2*(2.1*0.6)+5.4*1.07+0.95*(3.5+4)+0.9*3.5+0.75*(3.05+3.18+3.5+4+3.5))*(10.764)</f>
        <v>1135.935684</v>
      </c>
      <c r="E118" s="41">
        <v>0</v>
      </c>
      <c r="F118" s="41">
        <f>D118*(($F$114)+1)+(IF(E118&lt;101,E118,IF(E118&lt;201,E118/2,IF(E118&lt;=301,E118/3,E118/4))))</f>
        <v>1760.7003102000001</v>
      </c>
      <c r="G118" s="77"/>
      <c r="H118" s="78"/>
      <c r="I118" s="35"/>
      <c r="J118" s="36">
        <f>3.5*4.8+1.6*4.4+3.05*2.43+1.2*2.1+4.55*3.18+3.5*3.32+1.55*2.1+4*2.1+1.2*2.1+2*(2.1*0.6)+5.4*1.07+0.95*(3.5+4)+0.9*3.5+0.75*(3.05+3.18+3.5+4+3.5)</f>
        <v>105.53100000000001</v>
      </c>
      <c r="L118" s="58"/>
      <c r="M118" s="58"/>
      <c r="N118" s="35"/>
    </row>
    <row r="119" spans="1:14" s="36" customFormat="1" ht="15.75" customHeight="1" x14ac:dyDescent="0.25">
      <c r="A119" s="63">
        <f t="shared" si="3"/>
        <v>5</v>
      </c>
      <c r="B119" s="64"/>
      <c r="C119" s="49">
        <v>3</v>
      </c>
      <c r="D119" s="51">
        <f>(2.75*4.8+1*0.6+1.05*4.4+2.4*3.05+4.2*3.05+2.1*1.2+4.2*3.05+1.35*2.1+3*3.3+1.35*2.1+1.6*1+2*(2.1*0.6)+2.6*1.2+0.9*(2.75*3)+0.75*(2.75+2.4+4.2+3.05+3))*(10.764)</f>
        <v>1029.7380599999999</v>
      </c>
      <c r="E119" s="41">
        <v>0</v>
      </c>
      <c r="F119" s="41">
        <f>D119*(($F$114)+1)+(IF(E119&lt;101,E119,IF(E119&lt;201,E119/2,IF(E119&lt;=301,E119/3,E119/4))))</f>
        <v>1596.093993</v>
      </c>
      <c r="G119" s="79"/>
      <c r="H119" s="80"/>
      <c r="I119" s="35"/>
      <c r="L119" s="58"/>
      <c r="M119" s="58"/>
      <c r="N119" s="35"/>
    </row>
    <row r="120" spans="1:14" s="36" customFormat="1" x14ac:dyDescent="0.25">
      <c r="A120" s="60" t="s">
        <v>155</v>
      </c>
      <c r="B120" s="61"/>
      <c r="C120" s="61"/>
      <c r="D120" s="61"/>
      <c r="E120" s="61"/>
      <c r="F120" s="61"/>
      <c r="G120" s="61"/>
      <c r="H120" s="62"/>
      <c r="J120" s="35"/>
    </row>
    <row r="121" spans="1:14" s="36" customFormat="1" ht="15.75" customHeight="1" x14ac:dyDescent="0.25">
      <c r="A121" s="63">
        <v>3</v>
      </c>
      <c r="B121" s="64"/>
      <c r="C121" s="49">
        <v>2</v>
      </c>
      <c r="D121" s="51">
        <f>(3.8*3.35+3.05*2.4+3.05*3.15+1.35*2.1+1.54*2.1+3.05*4.05+2*(2.1*0.6)+1.2*2.2+1.9*0.9+2.4*1.9+1.3*3.35+1*3.05+0.75*(3.35+2.4+3.05+2.8))*(10.764)</f>
        <v>813.90909599999998</v>
      </c>
      <c r="E121" s="41">
        <v>0</v>
      </c>
      <c r="F121" s="41">
        <f>D121*(($F$114)+1)+(IF(E121&lt;101,E121,IF(E121&lt;201,E121/2,IF(E121&lt;=301,E121/3,E121/4))))</f>
        <v>1261.5590987999999</v>
      </c>
      <c r="G121" s="75" t="str">
        <f>A120</f>
        <v>2nd &amp; 5th Floor</v>
      </c>
      <c r="H121" s="76"/>
      <c r="I121" s="35"/>
      <c r="L121" s="58"/>
      <c r="M121" s="58"/>
      <c r="N121" s="35"/>
    </row>
    <row r="122" spans="1:14" s="36" customFormat="1" ht="15.75" customHeight="1" x14ac:dyDescent="0.25">
      <c r="A122" s="63">
        <f t="shared" ref="A122:A123" si="4">A121+1</f>
        <v>4</v>
      </c>
      <c r="B122" s="64"/>
      <c r="C122" s="49">
        <v>3</v>
      </c>
      <c r="D122" s="51">
        <f>(3.5*4.8+1.6*4.4+3.05*2.43+1.2*2.1+4.55*3.18+3.5*3.32+1.55*2.1+4*2.1+1.2*2.1+2*(2.1*0.6)+5.4*1.07+0.95*(3.5+4)+0.9*3.5+0.75*(3.05+3.18+3.5+4+3.5))*(10.764)</f>
        <v>1135.935684</v>
      </c>
      <c r="E122" s="41">
        <v>0</v>
      </c>
      <c r="F122" s="41">
        <f>D122*(($F$114)+1)+(IF(E122&lt;101,E122,IF(E122&lt;201,E122/2,IF(E122&lt;=301,E122/3,E122/4))))</f>
        <v>1760.7003102000001</v>
      </c>
      <c r="G122" s="77"/>
      <c r="H122" s="78"/>
      <c r="I122" s="35"/>
      <c r="L122" s="58"/>
      <c r="M122" s="58"/>
      <c r="N122" s="35"/>
    </row>
    <row r="123" spans="1:14" s="36" customFormat="1" ht="15.75" customHeight="1" x14ac:dyDescent="0.25">
      <c r="A123" s="63">
        <f t="shared" si="4"/>
        <v>5</v>
      </c>
      <c r="B123" s="64"/>
      <c r="C123" s="49">
        <v>2</v>
      </c>
      <c r="D123" s="51">
        <f>(2.75*4.8+1*0.6+1.05*4.4+2.4*3.05+4.2*3.05+2.1*1.2+4.2*3.05+1.35*2.1+2*(2.1*0.6)+2.6*1.2+0.9*(2.75)+0.75*(2.75+2.4+4.2+3.05))*(10.764)</f>
        <v>797.93532000000005</v>
      </c>
      <c r="E123" s="51">
        <f>(4.5*3.4+3.2*0.9)*(10.764)</f>
        <v>195.68951999999999</v>
      </c>
      <c r="F123" s="41">
        <f>D123*(($F$114)+1)+(IF(E123&lt;101,E123,IF(E123&lt;201,E123/2,IF(E123&lt;=301,E123/3,E123/4))))</f>
        <v>1334.6445060000001</v>
      </c>
      <c r="G123" s="79"/>
      <c r="H123" s="80"/>
      <c r="I123" s="35"/>
      <c r="L123" s="58"/>
      <c r="M123" s="58"/>
      <c r="N123" s="35"/>
    </row>
    <row r="124" spans="1:14" s="36" customFormat="1" x14ac:dyDescent="0.25">
      <c r="A124" s="60" t="s">
        <v>210</v>
      </c>
      <c r="B124" s="61"/>
      <c r="C124" s="61"/>
      <c r="D124" s="61"/>
      <c r="E124" s="61"/>
      <c r="F124" s="61"/>
      <c r="G124" s="61"/>
      <c r="H124" s="62"/>
      <c r="J124" s="35"/>
    </row>
    <row r="125" spans="1:14" s="36" customFormat="1" ht="15.75" customHeight="1" x14ac:dyDescent="0.25">
      <c r="A125" s="63">
        <v>3</v>
      </c>
      <c r="B125" s="64"/>
      <c r="C125" s="49">
        <v>2</v>
      </c>
      <c r="D125" s="51">
        <f>(3.8*3.35+3.05*2.4+3.05*3.15+1.35*2.1+1.54*2.1+3.05*4.05+2*(2.1*0.6)+1.2*2.2+1.9*0.9+2.4*1.9+1.3*3.35+1*3.05+0.75*(3.35+2.4+3.05+2.8))*(10.764)</f>
        <v>813.90909599999998</v>
      </c>
      <c r="E125" s="41">
        <v>0</v>
      </c>
      <c r="F125" s="41">
        <f>D125*(($F$114)+1)+(IF(E125&lt;101,E125,IF(E125&lt;201,E125/2,IF(E125&lt;=301,E125/3,E125/4))))</f>
        <v>1261.5590987999999</v>
      </c>
      <c r="G125" s="75" t="str">
        <f>A124</f>
        <v>3rd &amp; 6th Floor</v>
      </c>
      <c r="H125" s="76"/>
      <c r="I125" s="35"/>
      <c r="L125" s="58"/>
      <c r="M125" s="58"/>
      <c r="N125" s="35"/>
    </row>
    <row r="126" spans="1:14" s="36" customFormat="1" ht="15.75" customHeight="1" x14ac:dyDescent="0.25">
      <c r="A126" s="63">
        <f t="shared" ref="A126:A127" si="5">A125+1</f>
        <v>4</v>
      </c>
      <c r="B126" s="64"/>
      <c r="C126" s="49">
        <v>3</v>
      </c>
      <c r="D126" s="51">
        <f>(3.5*4.8+1.6*4.4+3.05*2.43+1.2*2.1+4.55*3.18+3.5*3.32+1.55*2.1+4*2.1+1.2*2.1+2*(2.1*0.6)+5.4*1.07+0.95*(3.5+4)+0.9*3.5+0.75*(3.05+3.18+3.5+4+3.5))*(10.764)</f>
        <v>1135.935684</v>
      </c>
      <c r="E126" s="41">
        <v>0</v>
      </c>
      <c r="F126" s="41">
        <f>D126*(($F$114)+1)+(IF(E126&lt;101,E126,IF(E126&lt;201,E126/2,IF(E126&lt;=301,E126/3,E126/4))))</f>
        <v>1760.7003102000001</v>
      </c>
      <c r="G126" s="77"/>
      <c r="H126" s="78"/>
      <c r="I126" s="35"/>
      <c r="L126" s="58"/>
      <c r="M126" s="58"/>
      <c r="N126" s="35"/>
    </row>
    <row r="127" spans="1:14" s="36" customFormat="1" ht="15.75" customHeight="1" x14ac:dyDescent="0.25">
      <c r="A127" s="63">
        <f t="shared" si="5"/>
        <v>5</v>
      </c>
      <c r="B127" s="64"/>
      <c r="C127" s="49">
        <v>2</v>
      </c>
      <c r="D127" s="51">
        <f>(2.75*4.8+1*0.6+1.05*4.4+2.4*3.05+4.2*3.05+2.1*1.2+4.2*3.05+1.35*2.1+2*(2.1*0.6)+2.6*1.2+0.9*(2.75)+0.75*(2.75+2.4+4.2+3.05))*(10.764)</f>
        <v>797.93532000000005</v>
      </c>
      <c r="E127" s="41">
        <v>0</v>
      </c>
      <c r="F127" s="41">
        <f>D127*(($F$114)+1)+(IF(E127&lt;101,E127,IF(E127&lt;201,E127/2,IF(E127&lt;=301,E127/3,E127/4))))</f>
        <v>1236.7997460000001</v>
      </c>
      <c r="G127" s="79"/>
      <c r="H127" s="80"/>
      <c r="I127" s="35"/>
      <c r="L127" s="58"/>
      <c r="M127" s="58"/>
      <c r="N127" s="35"/>
    </row>
    <row r="128" spans="1:14" s="36" customFormat="1" x14ac:dyDescent="0.25">
      <c r="A128" s="60" t="s">
        <v>211</v>
      </c>
      <c r="B128" s="61"/>
      <c r="C128" s="61"/>
      <c r="D128" s="61"/>
      <c r="E128" s="61"/>
      <c r="F128" s="61"/>
      <c r="G128" s="61"/>
      <c r="H128" s="62"/>
      <c r="J128" s="35"/>
    </row>
    <row r="129" spans="1:14" s="36" customFormat="1" ht="15.75" customHeight="1" x14ac:dyDescent="0.25">
      <c r="A129" s="63">
        <v>3</v>
      </c>
      <c r="B129" s="64"/>
      <c r="C129" s="49">
        <v>1</v>
      </c>
      <c r="D129" s="51">
        <f>(3.05*2.4+3.05*4.15+1.35*2.1+1.54*2.1+3.05*4.05+2*(2.1*0.6)+3.19*2.24+1.9*1.3+2.1*1+0.75*(3.35+2.4+3.05+2.8))*(10.764)</f>
        <v>660.20563440000001</v>
      </c>
      <c r="E129" s="41">
        <v>0</v>
      </c>
      <c r="F129" s="41">
        <f>D129*(($F$114)+1)+(IF(E129&lt;101,E129,IF(E129&lt;201,E129/2,IF(E129&lt;=301,E129/3,E129/4))))</f>
        <v>1023.3187333200001</v>
      </c>
      <c r="G129" s="75" t="str">
        <f>A128</f>
        <v>8th &amp; 14th Floor (Part Refuge Area)</v>
      </c>
      <c r="H129" s="76"/>
      <c r="I129" s="35"/>
      <c r="L129" s="58"/>
      <c r="M129" s="58"/>
      <c r="N129" s="35"/>
    </row>
    <row r="130" spans="1:14" s="36" customFormat="1" ht="15.75" customHeight="1" x14ac:dyDescent="0.25">
      <c r="A130" s="63">
        <f t="shared" ref="A130:A131" si="6">A129+1</f>
        <v>4</v>
      </c>
      <c r="B130" s="64"/>
      <c r="C130" s="49">
        <v>3</v>
      </c>
      <c r="D130" s="51">
        <f>(3.5*5.7+1.6*4.4+3.05*2.43+1.2*2.1+4.55*3.18+3.5*4.27+1.55*2.1+4*3.05+1.2*2.1+2*(2.1*0.6)+5.6*1.07+0.75*(3.5+3.05+3.18+3.5+4))*(10.764)</f>
        <v>1138.2391799999998</v>
      </c>
      <c r="E130" s="41">
        <v>0</v>
      </c>
      <c r="F130" s="41">
        <f>D130*(($F$114)+1)+(IF(E130&lt;101,E130,IF(E130&lt;201,E130/2,IF(E130&lt;=301,E130/3,E130/4))))</f>
        <v>1764.2707289999998</v>
      </c>
      <c r="G130" s="77"/>
      <c r="H130" s="78"/>
      <c r="I130" s="35"/>
      <c r="J130" s="36">
        <f>97.71+0.75*(3.5+3.05+3.18+3.5+4)</f>
        <v>110.63249999999999</v>
      </c>
      <c r="L130" s="58"/>
      <c r="M130" s="58"/>
      <c r="N130" s="35"/>
    </row>
    <row r="131" spans="1:14" s="36" customFormat="1" ht="15.75" customHeight="1" x14ac:dyDescent="0.25">
      <c r="A131" s="63">
        <f t="shared" si="6"/>
        <v>5</v>
      </c>
      <c r="B131" s="64"/>
      <c r="C131" s="49">
        <v>2</v>
      </c>
      <c r="D131" s="51">
        <f>(2.75*5.7+1*0.6+1.05*4.4+2.4*3.05+4.2*3.05+2.1*1.2+4.2*3.05+1.35*2.1+2*(2.1*0.6)+2.6*1.2+0.75*(2.75+2.4+4.2+3.05))*(10.764)</f>
        <v>797.93532000000005</v>
      </c>
      <c r="E131" s="51">
        <f>(4.5*3.4+3*1.7)*(10.764)</f>
        <v>219.58559999999997</v>
      </c>
      <c r="F131" s="41">
        <f>D131*(($F$114)+1)+(IF(E131&lt;101,E131,IF(E131&lt;201,E131/2,IF(E131&lt;=301,E131/3,E131/4))))</f>
        <v>1309.994946</v>
      </c>
      <c r="G131" s="79"/>
      <c r="H131" s="80"/>
      <c r="I131" s="35"/>
      <c r="J131" s="36">
        <f>68.15+0.75*(2.75+2.4+4.2+3.05)</f>
        <v>77.45</v>
      </c>
      <c r="L131" s="58"/>
      <c r="M131" s="58"/>
      <c r="N131" s="35"/>
    </row>
    <row r="132" spans="1:14" s="36" customFormat="1" x14ac:dyDescent="0.25">
      <c r="A132" s="60" t="s">
        <v>212</v>
      </c>
      <c r="B132" s="61"/>
      <c r="C132" s="61"/>
      <c r="D132" s="61"/>
      <c r="E132" s="61"/>
      <c r="F132" s="61"/>
      <c r="G132" s="61"/>
      <c r="H132" s="62"/>
      <c r="J132" s="35"/>
    </row>
    <row r="133" spans="1:14" s="36" customFormat="1" ht="15.75" customHeight="1" x14ac:dyDescent="0.25">
      <c r="A133" s="63">
        <v>3</v>
      </c>
      <c r="B133" s="64"/>
      <c r="C133" s="49">
        <v>2</v>
      </c>
      <c r="D133" s="51">
        <f>(5.1*3.35+3.05*2.4+3.05*4.15+1.35*2.1+1.54*2.1+3.05*4.05+1.2*2.2+2*(2.1*0.6)+1.9*0.9+2.4*1.9+0.75*(3.35+2.4+3.05+2.8))*(10.764)</f>
        <v>813.90909599999998</v>
      </c>
      <c r="E133" s="41">
        <v>0</v>
      </c>
      <c r="F133" s="41">
        <f>D133*(($F$114)+1)+(IF(E133&lt;101,E133,IF(E133&lt;201,E133/2,IF(E133&lt;=301,E133/3,E133/4))))</f>
        <v>1261.5590987999999</v>
      </c>
      <c r="G133" s="75" t="str">
        <f>A132</f>
        <v>9th, 12th, 15th, 18th &amp; 21st Floor</v>
      </c>
      <c r="H133" s="76"/>
      <c r="I133" s="35">
        <f>11692890/F133</f>
        <v>9268.6026450305217</v>
      </c>
      <c r="L133" s="58"/>
      <c r="M133" s="58"/>
      <c r="N133" s="35"/>
    </row>
    <row r="134" spans="1:14" s="36" customFormat="1" ht="15.75" customHeight="1" x14ac:dyDescent="0.25">
      <c r="A134" s="63">
        <f t="shared" ref="A134:A135" si="7">A133+1</f>
        <v>4</v>
      </c>
      <c r="B134" s="64"/>
      <c r="C134" s="49">
        <v>3</v>
      </c>
      <c r="D134" s="51">
        <f>(3.5*5.7+1.6*4.4+3.05*2.43+1.2*2.1+4.55*3.18+3.5*4.27+1.55*2.1+4*3.05+1.2*2.1+2*(2.1*0.6)+5.6*1.07+0.75*(3.5+3.05+3.18+3.5+4))*(10.764)</f>
        <v>1138.2391799999998</v>
      </c>
      <c r="E134" s="41">
        <v>0</v>
      </c>
      <c r="F134" s="41">
        <f>D134*(($F$114)+1)+(IF(E134&lt;101,E134,IF(E134&lt;201,E134/2,IF(E134&lt;=301,E134/3,E134/4))))</f>
        <v>1764.2707289999998</v>
      </c>
      <c r="G134" s="77"/>
      <c r="H134" s="78"/>
      <c r="I134" s="35"/>
      <c r="L134" s="58"/>
      <c r="M134" s="58"/>
      <c r="N134" s="35"/>
    </row>
    <row r="135" spans="1:14" s="36" customFormat="1" ht="15.75" customHeight="1" x14ac:dyDescent="0.25">
      <c r="A135" s="63">
        <f t="shared" si="7"/>
        <v>5</v>
      </c>
      <c r="B135" s="64"/>
      <c r="C135" s="49">
        <v>2</v>
      </c>
      <c r="D135" s="51">
        <f>(2.75*5.7+1*0.6+1.05*4.4+2.4*3.05+4.2*3.05+2.1*1.2+4.2*3.05+1.35*2.1+2*(2.1*0.6)+2.6*1.2+0.75*(2.75+2.4+4.2+3.05))*(10.764)</f>
        <v>797.93532000000005</v>
      </c>
      <c r="E135" s="41">
        <v>0</v>
      </c>
      <c r="F135" s="41">
        <f>D135*(($F$114)+1)+(IF(E135&lt;101,E135,IF(E135&lt;201,E135/2,IF(E135&lt;=301,E135/3,E135/4))))</f>
        <v>1236.7997460000001</v>
      </c>
      <c r="G135" s="79"/>
      <c r="H135" s="80"/>
      <c r="I135" s="35">
        <f>(11263230+183500)/F135</f>
        <v>9255.1199472836888</v>
      </c>
      <c r="L135" s="58"/>
      <c r="M135" s="58"/>
      <c r="N135" s="35"/>
    </row>
    <row r="136" spans="1:14" s="36" customFormat="1" x14ac:dyDescent="0.25">
      <c r="A136" s="74" t="s">
        <v>213</v>
      </c>
      <c r="B136" s="74"/>
      <c r="C136" s="74"/>
      <c r="D136" s="74"/>
      <c r="E136" s="74"/>
      <c r="F136" s="74"/>
      <c r="G136" s="74"/>
      <c r="H136" s="74"/>
      <c r="J136" s="35"/>
    </row>
    <row r="137" spans="1:14" s="36" customFormat="1" ht="15.75" customHeight="1" x14ac:dyDescent="0.25">
      <c r="A137" s="59">
        <v>3</v>
      </c>
      <c r="B137" s="59"/>
      <c r="C137" s="49">
        <v>2</v>
      </c>
      <c r="D137" s="51">
        <f>(5.1*3.35+3.05*2.4+3.05*4.15+1.35*2.1+1.54*2.1+3.05*4.05+1.2*2.2+2*(2.1*0.6)+1.9*0.9+2.4*1.9+0.75*(3.35+2.4+3.05+2.8))*(10.764)</f>
        <v>813.90909599999998</v>
      </c>
      <c r="E137" s="52">
        <v>0</v>
      </c>
      <c r="F137" s="52">
        <f>D137*(($F$114)+1)+(IF(E137&lt;101,E137,IF(E137&lt;201,E137/2,IF(E137&lt;=301,E137/3,E137/4))))</f>
        <v>1261.5590987999999</v>
      </c>
      <c r="G137" s="59" t="str">
        <f>A136</f>
        <v>10th, 13th, 16th &amp; 22nd Floor</v>
      </c>
      <c r="H137" s="59"/>
      <c r="I137" s="35"/>
      <c r="L137" s="58"/>
      <c r="M137" s="58"/>
      <c r="N137" s="35"/>
    </row>
    <row r="138" spans="1:14" s="36" customFormat="1" ht="15.75" customHeight="1" x14ac:dyDescent="0.25">
      <c r="A138" s="59">
        <f t="shared" ref="A138:A139" si="8">A137+1</f>
        <v>4</v>
      </c>
      <c r="B138" s="59"/>
      <c r="C138" s="49">
        <v>3</v>
      </c>
      <c r="D138" s="51">
        <f>(3.5*5.7+1.6*4.4+3.05*2.43+1.2*2.1+4.55*3.18+3.5*4.27+1.55*2.1+4*3.05+1.2*2.1+2*(2.1*0.6)+5.6*1.07+0.75*(3.5+3.05+3.18+3.5+4))*(10.764)</f>
        <v>1138.2391799999998</v>
      </c>
      <c r="E138" s="52">
        <v>0</v>
      </c>
      <c r="F138" s="52">
        <f>D138*(($F$114)+1)+(IF(E138&lt;101,E138,IF(E138&lt;201,E138/2,IF(E138&lt;=301,E138/3,E138/4))))</f>
        <v>1764.2707289999998</v>
      </c>
      <c r="G138" s="59"/>
      <c r="H138" s="59"/>
      <c r="I138" s="35">
        <f>16142940/F138</f>
        <v>9149.9222509631072</v>
      </c>
      <c r="L138" s="58"/>
      <c r="M138" s="58"/>
      <c r="N138" s="35"/>
    </row>
    <row r="139" spans="1:14" s="36" customFormat="1" ht="15.75" customHeight="1" x14ac:dyDescent="0.25">
      <c r="A139" s="59">
        <f t="shared" si="8"/>
        <v>5</v>
      </c>
      <c r="B139" s="59"/>
      <c r="C139" s="49">
        <v>3</v>
      </c>
      <c r="D139" s="51">
        <f>(2.75*5.7+1*0.6+1.05*4.4+2.4*3.05+4.2*3.05+2.1*1.2+4.2*3.05+1.35*2.1+2*(2.1*0.6)+2.6*1.2+3*4.2+1.35*2.1+1.5*1+0.75*(2.75+2.4+4.2+3.05+3))*(10.764)</f>
        <v>1004.4426599999999</v>
      </c>
      <c r="E139" s="52">
        <v>0</v>
      </c>
      <c r="F139" s="52">
        <f>D139*(($F$114)+1)+(IF(E139&lt;101,E139,IF(E139&lt;201,E139/2,IF(E139&lt;=301,E139/3,E139/4))))</f>
        <v>1556.886123</v>
      </c>
      <c r="G139" s="59"/>
      <c r="H139" s="59"/>
      <c r="I139" s="35">
        <f>14240160/F139</f>
        <v>9146.5649218841427</v>
      </c>
      <c r="L139" s="58"/>
      <c r="M139" s="58"/>
      <c r="N139" s="35"/>
    </row>
    <row r="140" spans="1:14" s="36" customFormat="1" x14ac:dyDescent="0.25">
      <c r="A140" s="74" t="s">
        <v>214</v>
      </c>
      <c r="B140" s="74"/>
      <c r="C140" s="74"/>
      <c r="D140" s="74"/>
      <c r="E140" s="74"/>
      <c r="F140" s="74"/>
      <c r="G140" s="74"/>
      <c r="H140" s="74"/>
      <c r="J140" s="35"/>
    </row>
    <row r="141" spans="1:14" s="36" customFormat="1" ht="15.75" customHeight="1" x14ac:dyDescent="0.25">
      <c r="A141" s="59">
        <v>3</v>
      </c>
      <c r="B141" s="59"/>
      <c r="C141" s="49">
        <v>1</v>
      </c>
      <c r="D141" s="51">
        <f>(5.1*3.35+3.05*2.4+3.05*4.15+1.35*2.1+1.54*2.1+3.05*4.05+1.2*2.2+2*(2.1*0.6)+1.9*0.9+2.4*1.9+0.75*(6+3.05+2.8))*(10.764)</f>
        <v>815.92734599999994</v>
      </c>
      <c r="E141" s="52">
        <v>0</v>
      </c>
      <c r="F141" s="52">
        <f>D141*(($F$114)+1)+(IF(E141&lt;101,E141,IF(E141&lt;201,E141/2,IF(E141&lt;=301,E141/3,E141/4))))</f>
        <v>1264.6873862999998</v>
      </c>
      <c r="G141" s="59" t="str">
        <f>A140</f>
        <v>11th, 17th &amp; 20th Floor</v>
      </c>
      <c r="H141" s="59"/>
      <c r="I141" s="35"/>
      <c r="L141" s="58"/>
      <c r="M141" s="58"/>
      <c r="N141" s="35"/>
    </row>
    <row r="142" spans="1:14" s="36" customFormat="1" ht="15.75" customHeight="1" x14ac:dyDescent="0.25">
      <c r="A142" s="59">
        <f t="shared" ref="A142:A143" si="9">A141+1</f>
        <v>4</v>
      </c>
      <c r="B142" s="59"/>
      <c r="C142" s="49">
        <v>3</v>
      </c>
      <c r="D142" s="51">
        <f>(3.5*5.7+1.6*4.4+3.05*2.43+1.2*2.1+4.55*3.18+3.5*4.27+1.55*2.1+4*3.05+1.2*2.1+2*(2.1*0.6)+5.6*1.07+0.75*(3.5+3.05+3.18+3.5+4))*(10.764)</f>
        <v>1138.2391799999998</v>
      </c>
      <c r="E142" s="52">
        <v>0</v>
      </c>
      <c r="F142" s="52">
        <f>D142*(($F$114)+1)+(IF(E142&lt;101,E142,IF(E142&lt;201,E142/2,IF(E142&lt;=301,E142/3,E142/4))))</f>
        <v>1764.2707289999998</v>
      </c>
      <c r="G142" s="59"/>
      <c r="H142" s="59"/>
      <c r="I142" s="35"/>
      <c r="L142" s="58"/>
      <c r="M142" s="58"/>
      <c r="N142" s="35"/>
    </row>
    <row r="143" spans="1:14" s="36" customFormat="1" ht="15.75" customHeight="1" x14ac:dyDescent="0.25">
      <c r="A143" s="59">
        <f t="shared" si="9"/>
        <v>5</v>
      </c>
      <c r="B143" s="59"/>
      <c r="C143" s="49">
        <v>2</v>
      </c>
      <c r="D143" s="51">
        <f>(2.75*5.7+1*0.6+1.05*4.4+2.4*3.05+4.2*3.05+2.1*1.2+4.2*3.05+1.35*2.1+2*(2.1*0.6)+2.6*1.2+0.75*(2.75+2.4+4.2+3.05))*(10.764)</f>
        <v>797.93532000000005</v>
      </c>
      <c r="E143" s="51">
        <f>(4.5*3.4+3*1.7)*(10.764)</f>
        <v>219.58559999999997</v>
      </c>
      <c r="F143" s="52">
        <f>D143*(($F$114)+1)+(IF(E143&lt;101,E143,IF(E143&lt;201,E143/2,IF(E143&lt;=301,E143/3,E143/4))))</f>
        <v>1309.994946</v>
      </c>
      <c r="G143" s="59"/>
      <c r="H143" s="59"/>
      <c r="I143" s="35"/>
      <c r="L143" s="58"/>
      <c r="M143" s="58"/>
      <c r="N143" s="35"/>
    </row>
    <row r="144" spans="1:14" s="36" customFormat="1" x14ac:dyDescent="0.25">
      <c r="A144" s="60" t="s">
        <v>215</v>
      </c>
      <c r="B144" s="61"/>
      <c r="C144" s="61"/>
      <c r="D144" s="61"/>
      <c r="E144" s="61"/>
      <c r="F144" s="61"/>
      <c r="G144" s="61"/>
      <c r="H144" s="62"/>
      <c r="J144" s="35"/>
    </row>
    <row r="145" spans="1:14" s="36" customFormat="1" ht="15.75" customHeight="1" x14ac:dyDescent="0.25">
      <c r="A145" s="63">
        <v>3</v>
      </c>
      <c r="B145" s="64"/>
      <c r="C145" s="49">
        <v>1</v>
      </c>
      <c r="D145" s="51">
        <f>(3.05*2.4+3.05*4.15+1.35*2.1+1.54*2.1+3.05*4.05+2*(2.1*0.6)+3.19*2.24+1.9*1.3+2.1*1+0.75*(3.35+2.4+3.05+2.8))*(10.764)</f>
        <v>660.20563440000001</v>
      </c>
      <c r="E145" s="41">
        <v>0</v>
      </c>
      <c r="F145" s="41">
        <f>D145*(($F$114)+1)+(IF(E145&lt;101,E145,IF(E145&lt;201,E145/2,IF(E145&lt;=301,E145/3,E145/4))))</f>
        <v>1023.3187333200001</v>
      </c>
      <c r="G145" s="75" t="str">
        <f>A144</f>
        <v>19th Floor (Part Refuge Area)</v>
      </c>
      <c r="H145" s="76"/>
      <c r="I145" s="35"/>
      <c r="J145" s="36">
        <f>11800000/F145</f>
        <v>11531.109141055902</v>
      </c>
      <c r="L145" s="58"/>
      <c r="M145" s="58"/>
      <c r="N145" s="35"/>
    </row>
    <row r="146" spans="1:14" s="36" customFormat="1" ht="15.75" customHeight="1" x14ac:dyDescent="0.25">
      <c r="A146" s="63">
        <f t="shared" ref="A146:A147" si="10">A145+1</f>
        <v>4</v>
      </c>
      <c r="B146" s="64"/>
      <c r="C146" s="49">
        <v>3</v>
      </c>
      <c r="D146" s="51">
        <f>(3.5*5.7+1.6*4.4+3.05*2.43+1.2*2.1+4.55*3.18+3.5*4.27+1.55*2.1+4*3.05+1.2*2.1+2*(2.1*0.6)+5.6*1.07+0.75*(3.5+3.05+3.18+3.5+4))*(10.764)</f>
        <v>1138.2391799999998</v>
      </c>
      <c r="E146" s="41">
        <v>0</v>
      </c>
      <c r="F146" s="41">
        <f>D146*(($F$114)+1)+(IF(E146&lt;101,E146,IF(E146&lt;201,E146/2,IF(E146&lt;=301,E146/3,E146/4))))</f>
        <v>1764.2707289999998</v>
      </c>
      <c r="G146" s="77"/>
      <c r="H146" s="78"/>
      <c r="I146" s="35"/>
      <c r="L146" s="58"/>
      <c r="M146" s="58"/>
      <c r="N146" s="35"/>
    </row>
    <row r="147" spans="1:14" s="36" customFormat="1" ht="15.75" customHeight="1" x14ac:dyDescent="0.25">
      <c r="A147" s="63">
        <f t="shared" si="10"/>
        <v>5</v>
      </c>
      <c r="B147" s="64"/>
      <c r="C147" s="49">
        <v>3</v>
      </c>
      <c r="D147" s="51">
        <f>(2.75*5.7+1*0.6+1.05*4.4+2.4*3.05+4.2*3.05+2.1*1.2+4.2*3.05+1.35*2.1+2*(2.1*0.6)+2.6*1.2+3*4.2+1.35*2.1+1.5*1+0.75*(2.75+2.4+4.2+3.05+3))*(10.764)</f>
        <v>1004.4426599999999</v>
      </c>
      <c r="E147" s="41">
        <v>0</v>
      </c>
      <c r="F147" s="41">
        <f>D147*(($F$114)+1)+(IF(E147&lt;101,E147,IF(E147&lt;201,E147/2,IF(E147&lt;=301,E147/3,E147/4))))</f>
        <v>1556.886123</v>
      </c>
      <c r="G147" s="79"/>
      <c r="H147" s="80"/>
      <c r="I147" s="35"/>
      <c r="L147" s="58"/>
      <c r="M147" s="58"/>
      <c r="N147" s="35"/>
    </row>
    <row r="148" spans="1:14" s="36" customFormat="1" hidden="1" x14ac:dyDescent="0.25">
      <c r="A148" s="60" t="s">
        <v>122</v>
      </c>
      <c r="B148" s="61"/>
      <c r="C148" s="61"/>
      <c r="D148" s="61"/>
      <c r="E148" s="61"/>
      <c r="F148" s="61"/>
      <c r="G148" s="61"/>
      <c r="H148" s="62"/>
      <c r="J148" s="35"/>
    </row>
    <row r="149" spans="1:14" s="36" customFormat="1" hidden="1" x14ac:dyDescent="0.25">
      <c r="A149" s="63">
        <v>1</v>
      </c>
      <c r="B149" s="64"/>
      <c r="C149" s="49"/>
      <c r="D149" s="41"/>
      <c r="E149" s="41">
        <v>0</v>
      </c>
      <c r="F149" s="41">
        <f>D149*(($F$114)+1)+(IF(E149&lt;101,E149,IF(E149&lt;201,E149/2,IF(E149&lt;=301,E149/3,E149/4))))</f>
        <v>0</v>
      </c>
      <c r="G149" s="63" t="str">
        <f>A148</f>
        <v>Ground Floor</v>
      </c>
      <c r="H149" s="64"/>
      <c r="I149" s="35"/>
      <c r="L149" s="58"/>
      <c r="M149" s="58"/>
      <c r="N149" s="35"/>
    </row>
    <row r="150" spans="1:14" s="36" customFormat="1" hidden="1" x14ac:dyDescent="0.25">
      <c r="A150" s="63">
        <f t="shared" ref="A150:A152" si="11">A149+1</f>
        <v>2</v>
      </c>
      <c r="B150" s="64"/>
      <c r="C150" s="49"/>
      <c r="D150" s="41"/>
      <c r="E150" s="41">
        <v>0</v>
      </c>
      <c r="F150" s="41">
        <f>D150*(($F$114)+1)+(IF(E150&lt;101,E150,IF(E150&lt;201,E150/2,IF(E150&lt;=301,E150/3,E150/4))))</f>
        <v>0</v>
      </c>
      <c r="G150" s="63" t="str">
        <f t="shared" ref="G150:G152" si="12">G149</f>
        <v>Ground Floor</v>
      </c>
      <c r="H150" s="64"/>
      <c r="I150" s="35"/>
      <c r="L150" s="58"/>
      <c r="M150" s="58"/>
      <c r="N150" s="35"/>
    </row>
    <row r="151" spans="1:14" s="36" customFormat="1" hidden="1" x14ac:dyDescent="0.25">
      <c r="A151" s="63">
        <f t="shared" si="11"/>
        <v>3</v>
      </c>
      <c r="B151" s="64"/>
      <c r="C151" s="49"/>
      <c r="D151" s="41"/>
      <c r="E151" s="41">
        <v>0</v>
      </c>
      <c r="F151" s="41">
        <f>D151*(($F$114)+1)+(IF(E151&lt;101,E151,IF(E151&lt;201,E151/2,IF(E151&lt;=301,E151/3,E151/4))))</f>
        <v>0</v>
      </c>
      <c r="G151" s="63" t="str">
        <f t="shared" si="12"/>
        <v>Ground Floor</v>
      </c>
      <c r="H151" s="64"/>
      <c r="I151" s="35"/>
      <c r="L151" s="58"/>
      <c r="M151" s="58"/>
      <c r="N151" s="35"/>
    </row>
    <row r="152" spans="1:14" s="36" customFormat="1" hidden="1" x14ac:dyDescent="0.25">
      <c r="A152" s="63">
        <f t="shared" si="11"/>
        <v>4</v>
      </c>
      <c r="B152" s="64"/>
      <c r="C152" s="49"/>
      <c r="D152" s="41"/>
      <c r="E152" s="41">
        <v>0</v>
      </c>
      <c r="F152" s="41">
        <f>D152*(($F$114)+1)+(IF(E152&lt;101,E152,IF(E152&lt;201,E152/2,IF(E152&lt;=301,E152/3,E152/4))))</f>
        <v>0</v>
      </c>
      <c r="G152" s="63" t="str">
        <f t="shared" si="12"/>
        <v>Ground Floor</v>
      </c>
      <c r="H152" s="64"/>
      <c r="I152" s="35"/>
      <c r="L152" s="58"/>
      <c r="M152" s="58"/>
      <c r="N152" s="35"/>
    </row>
    <row r="153" spans="1:14" s="36" customFormat="1" hidden="1" x14ac:dyDescent="0.25">
      <c r="A153" s="74" t="s">
        <v>123</v>
      </c>
      <c r="B153" s="74"/>
      <c r="C153" s="74"/>
      <c r="D153" s="74"/>
      <c r="E153" s="74"/>
      <c r="F153" s="74"/>
      <c r="G153" s="74"/>
      <c r="H153" s="74"/>
      <c r="I153" s="35"/>
      <c r="L153" s="58"/>
      <c r="M153" s="58"/>
    </row>
    <row r="154" spans="1:14" s="36" customFormat="1" hidden="1" x14ac:dyDescent="0.25">
      <c r="A154" s="59">
        <f>LEFT(A153,SUM(LEN(A153)-LEN(SUBSTITUTE(A153,{"0","1","2","3","4","5","6","7","8","9"},""))))*100+1</f>
        <v>201</v>
      </c>
      <c r="B154" s="59"/>
      <c r="C154" s="49"/>
      <c r="D154" s="41"/>
      <c r="E154" s="41">
        <v>0</v>
      </c>
      <c r="F154" s="41">
        <f t="shared" ref="F154:F155" si="13">D154*(($F$114)+1)+(IF(E154&lt;101,E154,IF(E154&lt;201,E154/2,IF(E154&lt;=301,E154/3,E154/4))))</f>
        <v>0</v>
      </c>
      <c r="G154" s="59" t="str">
        <f>A153</f>
        <v>2nd Floor</v>
      </c>
      <c r="H154" s="59"/>
      <c r="I154" s="35"/>
      <c r="N154" s="35"/>
    </row>
    <row r="155" spans="1:14" s="36" customFormat="1" hidden="1" x14ac:dyDescent="0.25">
      <c r="A155" s="59">
        <f>A154+1</f>
        <v>202</v>
      </c>
      <c r="B155" s="59"/>
      <c r="C155" s="49"/>
      <c r="D155" s="41"/>
      <c r="E155" s="41">
        <v>0</v>
      </c>
      <c r="F155" s="41">
        <f t="shared" si="13"/>
        <v>0</v>
      </c>
      <c r="G155" s="59" t="str">
        <f>G154</f>
        <v>2nd Floor</v>
      </c>
      <c r="H155" s="59"/>
      <c r="I155" s="35"/>
      <c r="N155" s="35"/>
    </row>
    <row r="156" spans="1:14" s="36" customFormat="1" hidden="1" x14ac:dyDescent="0.25">
      <c r="A156" s="59">
        <f>A155+1</f>
        <v>203</v>
      </c>
      <c r="B156" s="59"/>
      <c r="C156" s="49"/>
      <c r="D156" s="41"/>
      <c r="E156" s="41">
        <v>0</v>
      </c>
      <c r="F156" s="41">
        <f>D156*(($F$114)+1)+(IF(E156&lt;101,E156,IF(E156&lt;201,E156/2,IF(E156&lt;=301,E156/3,E156/4))))</f>
        <v>0</v>
      </c>
      <c r="G156" s="59" t="str">
        <f>G155</f>
        <v>2nd Floor</v>
      </c>
      <c r="H156" s="59"/>
      <c r="I156" s="35"/>
      <c r="N156" s="35"/>
    </row>
    <row r="157" spans="1:14" s="36" customFormat="1" hidden="1" x14ac:dyDescent="0.25">
      <c r="A157" s="59">
        <f>A156+1</f>
        <v>204</v>
      </c>
      <c r="B157" s="59"/>
      <c r="C157" s="49"/>
      <c r="D157" s="41"/>
      <c r="E157" s="41">
        <v>0</v>
      </c>
      <c r="F157" s="41">
        <f>D157*(($F$114)+1)+(IF(E157&lt;101,E157,IF(E157&lt;201,E157/2,IF(E157&lt;=301,E157/3,E157/4))))</f>
        <v>0</v>
      </c>
      <c r="G157" s="59" t="str">
        <f>G156</f>
        <v>2nd Floor</v>
      </c>
      <c r="H157" s="59"/>
      <c r="I157" s="35"/>
      <c r="N157" s="35"/>
    </row>
    <row r="158" spans="1:14" s="36" customFormat="1" hidden="1" x14ac:dyDescent="0.25">
      <c r="A158" s="59">
        <f>A157+1</f>
        <v>205</v>
      </c>
      <c r="B158" s="59"/>
      <c r="C158" s="49"/>
      <c r="D158" s="41"/>
      <c r="E158" s="41">
        <v>0</v>
      </c>
      <c r="F158" s="41">
        <f>D158*(($F$114)+1)+(IF(E158&lt;101,E158,IF(E158&lt;201,E158/2,IF(E158&lt;=301,E158/3,E158/4))))</f>
        <v>0</v>
      </c>
      <c r="G158" s="59" t="str">
        <f>G157</f>
        <v>2nd Floor</v>
      </c>
      <c r="H158" s="59"/>
      <c r="I158" s="35"/>
      <c r="N158" s="35"/>
    </row>
    <row r="159" spans="1:14" s="36" customFormat="1" ht="15.75" hidden="1" customHeight="1" x14ac:dyDescent="0.25">
      <c r="A159" s="60" t="s">
        <v>161</v>
      </c>
      <c r="B159" s="61"/>
      <c r="C159" s="61"/>
      <c r="D159" s="61"/>
      <c r="E159" s="61"/>
      <c r="F159" s="61"/>
      <c r="G159" s="61"/>
      <c r="H159" s="62"/>
      <c r="I159" s="35"/>
    </row>
    <row r="160" spans="1:14" s="36" customFormat="1" hidden="1" x14ac:dyDescent="0.25">
      <c r="A160" s="63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10^ROW(INDIRECT("1:"&amp;LEN((LEFT(A159,SUM(LEN(A159)-LEN(SUBSTITUTE(A159,{"0","1","2"},""))))))))/10))*100+1&amp;""&amp;" ,..,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301 ,.., 1501</v>
      </c>
      <c r="B160" s="64"/>
      <c r="C160" s="49"/>
      <c r="D160" s="41"/>
      <c r="E160" s="41">
        <v>0</v>
      </c>
      <c r="F160" s="41">
        <f>D160*(($F$114)+1)+(IF(E160&lt;101,E160,IF(E160&lt;201,E160/2,IF(E160&lt;=301,E160/3,E160/4))))</f>
        <v>0</v>
      </c>
      <c r="G160" s="63" t="str">
        <f>A159</f>
        <v>3rd, 5th, 7th, 9th, 11th, 13th, 15th Floor</v>
      </c>
      <c r="H160" s="64"/>
      <c r="I160" s="35"/>
    </row>
    <row r="161" spans="1:9" s="36" customFormat="1" hidden="1" x14ac:dyDescent="0.25">
      <c r="A161" s="63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,..,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302 ,.., 1502</v>
      </c>
      <c r="B161" s="64"/>
      <c r="C161" s="49"/>
      <c r="D161" s="41"/>
      <c r="E161" s="41">
        <v>0</v>
      </c>
      <c r="F161" s="41">
        <f>D161*(($F$114)+1)+(IF(E161&lt;101,E161,IF(E161&lt;201,E161/2,IF(E161&lt;=301,E161/3,E161/4))))</f>
        <v>0</v>
      </c>
      <c r="G161" s="63" t="str">
        <f>G160</f>
        <v>3rd, 5th, 7th, 9th, 11th, 13th, 15th Floor</v>
      </c>
      <c r="H161" s="64"/>
      <c r="I161" s="35"/>
    </row>
    <row r="162" spans="1:9" s="36" customFormat="1" ht="15.75" hidden="1" customHeight="1" x14ac:dyDescent="0.25">
      <c r="A162" s="63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303 ,.., 1503</v>
      </c>
      <c r="B162" s="64"/>
      <c r="C162" s="49"/>
      <c r="D162" s="41"/>
      <c r="E162" s="41">
        <v>0</v>
      </c>
      <c r="F162" s="41">
        <f>D162*(($F$114)+1)+(IF(E162&lt;101,E162,IF(E162&lt;201,E162/2,IF(E162&lt;=301,E162/3,E162/4))))</f>
        <v>0</v>
      </c>
      <c r="G162" s="63" t="str">
        <f>G161</f>
        <v>3rd, 5th, 7th, 9th, 11th, 13th, 15th Floor</v>
      </c>
      <c r="H162" s="64"/>
      <c r="I162" s="35"/>
    </row>
    <row r="163" spans="1:9" s="36" customFormat="1" ht="15.75" hidden="1" customHeight="1" x14ac:dyDescent="0.25">
      <c r="A163" s="63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304 ,.., 1504</v>
      </c>
      <c r="B163" s="64"/>
      <c r="C163" s="49"/>
      <c r="D163" s="41"/>
      <c r="E163" s="41">
        <v>0</v>
      </c>
      <c r="F163" s="41">
        <f>D163*(($F$114)+1)+(IF(E163&lt;101,E163,IF(E163&lt;201,E163/2,IF(E163&lt;=301,E163/3,E163/4))))</f>
        <v>0</v>
      </c>
      <c r="G163" s="63" t="str">
        <f>G162</f>
        <v>3rd, 5th, 7th, 9th, 11th, 13th, 15th Floor</v>
      </c>
      <c r="H163" s="64"/>
      <c r="I163" s="35"/>
    </row>
    <row r="164" spans="1:9" s="36" customFormat="1" ht="15.75" hidden="1" customHeight="1" x14ac:dyDescent="0.25">
      <c r="A164" s="63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305 ,.., 1505</v>
      </c>
      <c r="B164" s="64"/>
      <c r="C164" s="49"/>
      <c r="D164" s="41"/>
      <c r="E164" s="41">
        <v>0</v>
      </c>
      <c r="F164" s="41">
        <f>D164*(($F$114)+1)+(IF(E164&lt;101,E164,IF(E164&lt;201,E164/2,IF(E164&lt;=301,E164/3,E164/4))))</f>
        <v>0</v>
      </c>
      <c r="G164" s="63" t="str">
        <f>G163</f>
        <v>3rd, 5th, 7th, 9th, 11th, 13th, 15th Floor</v>
      </c>
      <c r="H164" s="64"/>
      <c r="I164" s="35"/>
    </row>
    <row r="165" spans="1:9" s="36" customFormat="1" hidden="1" x14ac:dyDescent="0.25">
      <c r="A165" s="60" t="s">
        <v>154</v>
      </c>
      <c r="B165" s="61"/>
      <c r="C165" s="61"/>
      <c r="D165" s="61"/>
      <c r="E165" s="61"/>
      <c r="F165" s="61"/>
      <c r="G165" s="61"/>
      <c r="H165" s="62"/>
      <c r="I165" s="35"/>
    </row>
    <row r="166" spans="1:9" s="36" customFormat="1" hidden="1" x14ac:dyDescent="0.25">
      <c r="A166" s="63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10^ROW(INDIRECT("1:"&amp;LEN((LEFT(A165,SUM(LEN(A165)-LEN(SUBSTITUTE(A165,{"0","1","2"},""))))))))/10))*100+1&amp;""&amp;" to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201 to 501</v>
      </c>
      <c r="B166" s="64"/>
      <c r="C166" s="49"/>
      <c r="D166" s="41"/>
      <c r="E166" s="41">
        <v>0</v>
      </c>
      <c r="F166" s="41">
        <f>D166*(($F$114)+1)+(IF(E166&lt;101,E166,IF(E166&lt;201,E166/2,IF(E166&lt;=301,E166/3,E166/4))))</f>
        <v>0</v>
      </c>
      <c r="G166" s="63" t="str">
        <f>A165</f>
        <v>2nd to 5th Floor</v>
      </c>
      <c r="H166" s="64"/>
      <c r="I166" s="35"/>
    </row>
    <row r="167" spans="1:9" s="36" customFormat="1" hidden="1" x14ac:dyDescent="0.25">
      <c r="A167" s="63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to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202 to 502</v>
      </c>
      <c r="B167" s="64"/>
      <c r="C167" s="49"/>
      <c r="D167" s="41"/>
      <c r="E167" s="41">
        <v>0</v>
      </c>
      <c r="F167" s="41">
        <f>D167*(($F$114)+1)+(IF(E167&lt;101,E167,IF(E167&lt;201,E167/2,IF(E167&lt;=301,E167/3,E167/4))))</f>
        <v>0</v>
      </c>
      <c r="G167" s="63" t="str">
        <f>G166</f>
        <v>2nd to 5th Floor</v>
      </c>
      <c r="H167" s="64"/>
      <c r="I167" s="35"/>
    </row>
    <row r="168" spans="1:9" s="36" customFormat="1" hidden="1" x14ac:dyDescent="0.25">
      <c r="A168" s="63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203 to 503</v>
      </c>
      <c r="B168" s="64"/>
      <c r="C168" s="49"/>
      <c r="D168" s="41"/>
      <c r="E168" s="41">
        <v>0</v>
      </c>
      <c r="F168" s="41">
        <f>D168*(($F$114)+1)+(IF(E168&lt;101,E168,IF(E168&lt;201,E168/2,IF(E168&lt;=301,E168/3,E168/4))))</f>
        <v>0</v>
      </c>
      <c r="G168" s="63" t="str">
        <f>G167</f>
        <v>2nd to 5th Floor</v>
      </c>
      <c r="H168" s="64"/>
      <c r="I168" s="35"/>
    </row>
    <row r="169" spans="1:9" s="36" customFormat="1" hidden="1" x14ac:dyDescent="0.25">
      <c r="A169" s="63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204 to 504</v>
      </c>
      <c r="B169" s="64"/>
      <c r="C169" s="49"/>
      <c r="D169" s="41"/>
      <c r="E169" s="41">
        <v>0</v>
      </c>
      <c r="F169" s="41">
        <f>D169*(($F$114)+1)+(IF(E169&lt;101,E169,IF(E169&lt;201,E169/2,IF(E169&lt;=301,E169/3,E169/4))))</f>
        <v>0</v>
      </c>
      <c r="G169" s="63" t="str">
        <f>G168</f>
        <v>2nd to 5th Floor</v>
      </c>
      <c r="H169" s="64"/>
      <c r="I169" s="35"/>
    </row>
    <row r="170" spans="1:9" s="36" customFormat="1" hidden="1" x14ac:dyDescent="0.25">
      <c r="A170" s="63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205 to 505</v>
      </c>
      <c r="B170" s="64"/>
      <c r="C170" s="49"/>
      <c r="D170" s="41"/>
      <c r="E170" s="41">
        <v>0</v>
      </c>
      <c r="F170" s="41">
        <f>D170*(($F$114)+1)+(IF(E170&lt;101,E170,IF(E170&lt;201,E170/2,IF(E170&lt;=301,E170/3,E170/4))))</f>
        <v>0</v>
      </c>
      <c r="G170" s="63" t="str">
        <f>G169</f>
        <v>2nd to 5th Floor</v>
      </c>
      <c r="H170" s="64"/>
      <c r="I170" s="35"/>
    </row>
    <row r="171" spans="1:9" s="36" customFormat="1" hidden="1" x14ac:dyDescent="0.25">
      <c r="A171" s="60" t="s">
        <v>155</v>
      </c>
      <c r="B171" s="61"/>
      <c r="C171" s="61"/>
      <c r="D171" s="61"/>
      <c r="E171" s="61"/>
      <c r="F171" s="61"/>
      <c r="G171" s="61"/>
      <c r="H171" s="62"/>
      <c r="I171" s="35"/>
    </row>
    <row r="172" spans="1:9" s="36" customFormat="1" hidden="1" x14ac:dyDescent="0.25">
      <c r="A172" s="63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10^ROW(INDIRECT("1:"&amp;LEN((LEFT(A171,SUM(LEN(A171)-LEN(SUBSTITUTE(A171,{"0","1","2"},""))))))))/10))*100+1&amp;""&amp;" &amp;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201 &amp; 501</v>
      </c>
      <c r="B172" s="64"/>
      <c r="C172" s="49"/>
      <c r="D172" s="41"/>
      <c r="E172" s="41">
        <v>0</v>
      </c>
      <c r="F172" s="41">
        <f>D172*(($F$114)+1)+(IF(E172&lt;101,E172,IF(E172&lt;201,E172/2,IF(E172&lt;=301,E172/3,E172/4))))</f>
        <v>0</v>
      </c>
      <c r="G172" s="63" t="str">
        <f>A171</f>
        <v>2nd &amp; 5th Floor</v>
      </c>
      <c r="H172" s="64"/>
      <c r="I172" s="35"/>
    </row>
    <row r="173" spans="1:9" s="36" customFormat="1" hidden="1" x14ac:dyDescent="0.25">
      <c r="A173" s="63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&amp;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202 &amp; 502</v>
      </c>
      <c r="B173" s="64"/>
      <c r="C173" s="49"/>
      <c r="D173" s="41"/>
      <c r="E173" s="41">
        <v>0</v>
      </c>
      <c r="F173" s="41">
        <f>D173*(($F$114)+1)+(IF(E173&lt;101,E173,IF(E173&lt;201,E173/2,IF(E173&lt;=301,E173/3,E173/4))))</f>
        <v>0</v>
      </c>
      <c r="G173" s="63" t="str">
        <f t="shared" ref="G173:G176" si="14">G172</f>
        <v>2nd &amp; 5th Floor</v>
      </c>
      <c r="H173" s="64"/>
      <c r="I173" s="35"/>
    </row>
    <row r="174" spans="1:9" s="36" customFormat="1" hidden="1" x14ac:dyDescent="0.25">
      <c r="A174" s="63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203 &amp; 503</v>
      </c>
      <c r="B174" s="64"/>
      <c r="C174" s="49"/>
      <c r="D174" s="41"/>
      <c r="E174" s="41">
        <v>0</v>
      </c>
      <c r="F174" s="41">
        <f>D174*(($F$114)+1)+(IF(E174&lt;101,E174,IF(E174&lt;201,E174/2,IF(E174&lt;=301,E174/3,E174/4))))</f>
        <v>0</v>
      </c>
      <c r="G174" s="63" t="str">
        <f t="shared" si="14"/>
        <v>2nd &amp; 5th Floor</v>
      </c>
      <c r="H174" s="64"/>
      <c r="I174" s="35"/>
    </row>
    <row r="175" spans="1:9" s="36" customFormat="1" hidden="1" x14ac:dyDescent="0.25">
      <c r="A175" s="63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204 &amp; 504</v>
      </c>
      <c r="B175" s="64"/>
      <c r="C175" s="49"/>
      <c r="D175" s="41"/>
      <c r="E175" s="41">
        <v>0</v>
      </c>
      <c r="F175" s="41">
        <f>D175*(($F$114)+1)+(IF(E175&lt;101,E175,IF(E175&lt;201,E175/2,IF(E175&lt;=301,E175/3,E175/4))))</f>
        <v>0</v>
      </c>
      <c r="G175" s="63" t="str">
        <f t="shared" si="14"/>
        <v>2nd &amp; 5th Floor</v>
      </c>
      <c r="H175" s="64"/>
      <c r="I175" s="35"/>
    </row>
    <row r="176" spans="1:9" s="36" customFormat="1" hidden="1" x14ac:dyDescent="0.25">
      <c r="A176" s="63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205 &amp; 505</v>
      </c>
      <c r="B176" s="64"/>
      <c r="C176" s="49"/>
      <c r="D176" s="41"/>
      <c r="E176" s="41">
        <v>0</v>
      </c>
      <c r="F176" s="41">
        <f>D176*(($F$114)+1)+(IF(E176&lt;101,E176,IF(E176&lt;201,E176/2,IF(E176&lt;=301,E176/3,E176/4))))</f>
        <v>0</v>
      </c>
      <c r="G176" s="63" t="str">
        <f t="shared" si="14"/>
        <v>2nd &amp; 5th Floor</v>
      </c>
      <c r="H176" s="64"/>
      <c r="I176" s="35"/>
    </row>
    <row r="177" spans="1:15" s="34" customFormat="1" x14ac:dyDescent="0.25">
      <c r="A177" s="161" t="s">
        <v>70</v>
      </c>
      <c r="B177" s="161"/>
      <c r="C177" s="161"/>
      <c r="D177" s="161"/>
      <c r="E177" s="161"/>
      <c r="F177" s="161"/>
      <c r="G177" s="161"/>
      <c r="H177" s="161"/>
    </row>
    <row r="178" spans="1:15" s="34" customFormat="1" ht="33" customHeight="1" x14ac:dyDescent="0.25">
      <c r="A178" s="44" t="s">
        <v>165</v>
      </c>
      <c r="B178" s="65" t="s">
        <v>233</v>
      </c>
      <c r="C178" s="66"/>
      <c r="D178" s="66"/>
      <c r="E178" s="66"/>
      <c r="F178" s="66"/>
      <c r="G178" s="66"/>
      <c r="H178" s="67"/>
    </row>
    <row r="179" spans="1:15" s="34" customFormat="1" x14ac:dyDescent="0.25">
      <c r="A179" s="44" t="s">
        <v>165</v>
      </c>
      <c r="B179" s="65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79" s="66"/>
      <c r="D179" s="66"/>
      <c r="E179" s="66"/>
      <c r="F179" s="66"/>
      <c r="G179" s="66"/>
      <c r="H179" s="67"/>
    </row>
    <row r="180" spans="1:15" s="34" customFormat="1" hidden="1" x14ac:dyDescent="0.25">
      <c r="A180" s="44" t="s">
        <v>165</v>
      </c>
      <c r="B180" s="65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0" s="66"/>
      <c r="D180" s="66"/>
      <c r="E180" s="66"/>
      <c r="F180" s="66"/>
      <c r="G180" s="66"/>
      <c r="H180" s="67"/>
    </row>
    <row r="181" spans="1:15" s="34" customFormat="1" x14ac:dyDescent="0.25">
      <c r="A181" s="44" t="s">
        <v>165</v>
      </c>
      <c r="B181" s="68" t="s">
        <v>130</v>
      </c>
      <c r="C181" s="69"/>
      <c r="D181" s="69"/>
      <c r="E181" s="69"/>
      <c r="F181" s="69"/>
      <c r="G181" s="69"/>
      <c r="H181" s="70"/>
    </row>
    <row r="182" spans="1:15" s="34" customFormat="1" x14ac:dyDescent="0.25">
      <c r="A182" s="44" t="s">
        <v>165</v>
      </c>
      <c r="B182" s="68" t="s">
        <v>131</v>
      </c>
      <c r="C182" s="69"/>
      <c r="D182" s="69"/>
      <c r="E182" s="69"/>
      <c r="F182" s="69"/>
      <c r="G182" s="69"/>
      <c r="H182" s="70"/>
    </row>
    <row r="183" spans="1:15" s="34" customFormat="1" x14ac:dyDescent="0.25">
      <c r="A183" s="44" t="s">
        <v>165</v>
      </c>
      <c r="B183" s="68" t="s">
        <v>164</v>
      </c>
      <c r="C183" s="69"/>
      <c r="D183" s="69"/>
      <c r="E183" s="69"/>
      <c r="F183" s="69"/>
      <c r="G183" s="69"/>
      <c r="H183" s="70"/>
    </row>
    <row r="184" spans="1:15" s="34" customFormat="1" x14ac:dyDescent="0.25">
      <c r="A184" s="44" t="s">
        <v>165</v>
      </c>
      <c r="B184" s="68" t="s">
        <v>132</v>
      </c>
      <c r="C184" s="69"/>
      <c r="D184" s="69"/>
      <c r="E184" s="69"/>
      <c r="F184" s="69"/>
      <c r="G184" s="69"/>
      <c r="H184" s="70"/>
    </row>
    <row r="185" spans="1:15" s="34" customFormat="1" ht="34.5" hidden="1" customHeight="1" x14ac:dyDescent="0.25">
      <c r="A185" s="44" t="s">
        <v>165</v>
      </c>
      <c r="B185" s="68" t="s">
        <v>166</v>
      </c>
      <c r="C185" s="69"/>
      <c r="D185" s="69"/>
      <c r="E185" s="69"/>
      <c r="F185" s="69"/>
      <c r="G185" s="69"/>
      <c r="H185" s="70"/>
    </row>
    <row r="186" spans="1:15" s="34" customFormat="1" x14ac:dyDescent="0.25">
      <c r="A186" s="44" t="s">
        <v>165</v>
      </c>
      <c r="B186" s="68" t="s">
        <v>133</v>
      </c>
      <c r="C186" s="69"/>
      <c r="D186" s="69"/>
      <c r="E186" s="69"/>
      <c r="F186" s="69"/>
      <c r="G186" s="69"/>
      <c r="H186" s="70"/>
    </row>
    <row r="187" spans="1:15" s="34" customFormat="1" ht="32.25" customHeight="1" x14ac:dyDescent="0.25">
      <c r="A187" s="44" t="s">
        <v>165</v>
      </c>
      <c r="B187" s="55" t="s">
        <v>226</v>
      </c>
      <c r="C187" s="56"/>
      <c r="D187" s="56"/>
      <c r="E187" s="56"/>
      <c r="F187" s="56"/>
      <c r="G187" s="56"/>
      <c r="H187" s="57"/>
    </row>
    <row r="188" spans="1:15" s="34" customFormat="1" ht="32.25" customHeight="1" x14ac:dyDescent="0.25">
      <c r="A188" s="44" t="s">
        <v>165</v>
      </c>
      <c r="B188" s="71" t="s">
        <v>228</v>
      </c>
      <c r="C188" s="72"/>
      <c r="D188" s="72"/>
      <c r="E188" s="72"/>
      <c r="F188" s="72"/>
      <c r="G188" s="72"/>
      <c r="H188" s="73"/>
      <c r="I188" s="55" t="s">
        <v>230</v>
      </c>
      <c r="J188" s="56"/>
      <c r="K188" s="56"/>
      <c r="L188" s="56"/>
      <c r="M188" s="56"/>
      <c r="N188" s="56"/>
      <c r="O188" s="57"/>
    </row>
    <row r="189" spans="1:15" x14ac:dyDescent="0.25">
      <c r="A189" s="98" t="s">
        <v>63</v>
      </c>
      <c r="B189" s="98"/>
      <c r="C189" s="98"/>
      <c r="D189" s="98"/>
      <c r="E189" s="98"/>
      <c r="F189" s="98"/>
      <c r="G189" s="98"/>
      <c r="H189" s="98"/>
    </row>
    <row r="190" spans="1:15" x14ac:dyDescent="0.25">
      <c r="A190" s="83" t="s">
        <v>64</v>
      </c>
      <c r="B190" s="83"/>
      <c r="C190" s="83"/>
      <c r="D190" s="83"/>
      <c r="E190" s="83"/>
      <c r="F190" s="83"/>
      <c r="G190" s="83"/>
      <c r="H190" s="83"/>
    </row>
    <row r="191" spans="1:15" ht="15.75" customHeight="1" x14ac:dyDescent="0.25">
      <c r="A191" s="101" t="s">
        <v>65</v>
      </c>
      <c r="B191" s="101"/>
      <c r="C191" s="101"/>
      <c r="D191" s="101"/>
      <c r="E191" s="101"/>
      <c r="F191" s="101"/>
      <c r="G191" s="101"/>
      <c r="H191" s="101"/>
    </row>
    <row r="192" spans="1:15" x14ac:dyDescent="0.25">
      <c r="A192" s="83" t="s">
        <v>66</v>
      </c>
      <c r="B192" s="83"/>
      <c r="C192" s="83"/>
      <c r="D192" s="83"/>
      <c r="E192" s="83"/>
      <c r="F192" s="83"/>
      <c r="G192" s="83"/>
      <c r="H192" s="83"/>
    </row>
    <row r="193" spans="1:8" x14ac:dyDescent="0.25">
      <c r="A193" s="83" t="s">
        <v>67</v>
      </c>
      <c r="B193" s="83"/>
      <c r="C193" s="83"/>
      <c r="D193" s="83"/>
      <c r="E193" s="83"/>
      <c r="F193" s="83"/>
      <c r="G193" s="83"/>
      <c r="H193" s="83"/>
    </row>
    <row r="194" spans="1:8" x14ac:dyDescent="0.25">
      <c r="A194" s="83" t="s">
        <v>134</v>
      </c>
      <c r="B194" s="83"/>
      <c r="C194" s="83"/>
      <c r="D194" s="83"/>
      <c r="E194" s="83"/>
      <c r="F194" s="83"/>
      <c r="G194" s="83"/>
      <c r="H194" s="83"/>
    </row>
    <row r="195" spans="1:8" x14ac:dyDescent="0.25">
      <c r="A195" s="116" t="s">
        <v>135</v>
      </c>
      <c r="B195" s="116"/>
      <c r="C195" s="116"/>
      <c r="D195" s="116"/>
      <c r="E195" s="116"/>
      <c r="F195" s="116"/>
      <c r="G195" s="116"/>
      <c r="H195" s="116"/>
    </row>
    <row r="196" spans="1:8" x14ac:dyDescent="0.25">
      <c r="A196" s="127" t="s">
        <v>80</v>
      </c>
      <c r="B196" s="127"/>
      <c r="C196" s="127" t="s">
        <v>231</v>
      </c>
      <c r="D196" s="127"/>
      <c r="E196" s="127" t="s">
        <v>109</v>
      </c>
      <c r="F196" s="127"/>
      <c r="G196" s="127" t="s">
        <v>232</v>
      </c>
      <c r="H196" s="127"/>
    </row>
    <row r="197" spans="1:8" x14ac:dyDescent="0.25">
      <c r="A197" s="126" t="s">
        <v>82</v>
      </c>
      <c r="B197" s="126"/>
      <c r="C197" s="126"/>
      <c r="D197" s="126"/>
      <c r="E197" s="126"/>
      <c r="F197" s="126"/>
      <c r="G197" s="126"/>
      <c r="H197" s="126"/>
    </row>
    <row r="198" spans="1:8" x14ac:dyDescent="0.25">
      <c r="A198" s="126"/>
      <c r="B198" s="126"/>
      <c r="C198" s="126"/>
      <c r="D198" s="126"/>
      <c r="E198" s="126"/>
      <c r="F198" s="126"/>
      <c r="G198" s="126"/>
      <c r="H198" s="126"/>
    </row>
    <row r="199" spans="1:8" x14ac:dyDescent="0.25">
      <c r="A199" s="126"/>
      <c r="B199" s="126"/>
      <c r="C199" s="126"/>
      <c r="D199" s="126"/>
      <c r="E199" s="126"/>
      <c r="F199" s="126"/>
      <c r="G199" s="126"/>
      <c r="H199" s="126"/>
    </row>
    <row r="200" spans="1:8" x14ac:dyDescent="0.25">
      <c r="A200" s="126"/>
      <c r="B200" s="126"/>
      <c r="C200" s="126"/>
      <c r="D200" s="126"/>
      <c r="E200" s="126"/>
      <c r="F200" s="126"/>
      <c r="G200" s="126"/>
      <c r="H200" s="126"/>
    </row>
    <row r="201" spans="1:8" x14ac:dyDescent="0.25">
      <c r="A201" s="37" t="s">
        <v>68</v>
      </c>
      <c r="B201" s="38"/>
      <c r="C201" s="38"/>
      <c r="D201" s="37" t="str">
        <f>E8</f>
        <v>Indrayani</v>
      </c>
      <c r="F201" s="38"/>
      <c r="G201" s="38"/>
      <c r="H201" s="38"/>
    </row>
    <row r="202" spans="1:8" x14ac:dyDescent="0.25">
      <c r="A202" s="38"/>
      <c r="B202" s="38"/>
      <c r="C202" s="38"/>
      <c r="D202" s="38"/>
      <c r="E202" s="38"/>
      <c r="F202" s="38"/>
      <c r="G202" s="38"/>
      <c r="H202" s="38"/>
    </row>
    <row r="203" spans="1:8" x14ac:dyDescent="0.25">
      <c r="A203" s="38"/>
      <c r="B203" s="38"/>
      <c r="C203" s="38"/>
      <c r="D203" s="38"/>
      <c r="E203" s="38"/>
      <c r="F203" s="38"/>
      <c r="G203" s="38"/>
      <c r="H203" s="38"/>
    </row>
    <row r="204" spans="1:8" ht="15" customHeight="1" x14ac:dyDescent="0.25"/>
    <row r="244" spans="1:1" x14ac:dyDescent="0.25">
      <c r="A244" s="40" t="s">
        <v>180</v>
      </c>
    </row>
    <row r="287" spans="1:1" x14ac:dyDescent="0.25">
      <c r="A287" s="40" t="s">
        <v>69</v>
      </c>
    </row>
  </sheetData>
  <mergeCells count="389">
    <mergeCell ref="I188:O188"/>
    <mergeCell ref="A47:B47"/>
    <mergeCell ref="C47:H47"/>
    <mergeCell ref="B183:H183"/>
    <mergeCell ref="F83:H83"/>
    <mergeCell ref="A83:E83"/>
    <mergeCell ref="G161:H161"/>
    <mergeCell ref="G157:H157"/>
    <mergeCell ref="G154:H154"/>
    <mergeCell ref="D105:D106"/>
    <mergeCell ref="A85:E85"/>
    <mergeCell ref="A108:B108"/>
    <mergeCell ref="A109:B109"/>
    <mergeCell ref="A110:B110"/>
    <mergeCell ref="A111:B111"/>
    <mergeCell ref="A86:E86"/>
    <mergeCell ref="B181:H181"/>
    <mergeCell ref="B182:H182"/>
    <mergeCell ref="G172:H172"/>
    <mergeCell ref="G170:H170"/>
    <mergeCell ref="A177:H177"/>
    <mergeCell ref="A169:B169"/>
    <mergeCell ref="C105:C106"/>
    <mergeCell ref="B113:B114"/>
    <mergeCell ref="A165:H165"/>
    <mergeCell ref="A105:A106"/>
    <mergeCell ref="C113:C114"/>
    <mergeCell ref="A148:H148"/>
    <mergeCell ref="A163:B163"/>
    <mergeCell ref="A160:B160"/>
    <mergeCell ref="G152:H152"/>
    <mergeCell ref="A112:H112"/>
    <mergeCell ref="A113:A114"/>
    <mergeCell ref="A158:B158"/>
    <mergeCell ref="A155:B155"/>
    <mergeCell ref="A156:B156"/>
    <mergeCell ref="G109:H109"/>
    <mergeCell ref="G111:H111"/>
    <mergeCell ref="A159:H159"/>
    <mergeCell ref="A152:B152"/>
    <mergeCell ref="G162:H162"/>
    <mergeCell ref="G160:H160"/>
    <mergeCell ref="A149:B149"/>
    <mergeCell ref="A115:H115"/>
    <mergeCell ref="A116:H116"/>
    <mergeCell ref="A117:B117"/>
    <mergeCell ref="A120:H120"/>
    <mergeCell ref="A121:B121"/>
    <mergeCell ref="A126:B126"/>
    <mergeCell ref="A166:B166"/>
    <mergeCell ref="A167:B167"/>
    <mergeCell ref="A168:B168"/>
    <mergeCell ref="A157:B157"/>
    <mergeCell ref="G158:H158"/>
    <mergeCell ref="G164:H164"/>
    <mergeCell ref="G163:H163"/>
    <mergeCell ref="G149:H149"/>
    <mergeCell ref="A150:B150"/>
    <mergeCell ref="G150:H150"/>
    <mergeCell ref="A151:B151"/>
    <mergeCell ref="G151:H151"/>
    <mergeCell ref="G166:H166"/>
    <mergeCell ref="A164:B164"/>
    <mergeCell ref="G168:H168"/>
    <mergeCell ref="L111:M111"/>
    <mergeCell ref="L110:M110"/>
    <mergeCell ref="L109:M109"/>
    <mergeCell ref="L108:M108"/>
    <mergeCell ref="A78:B78"/>
    <mergeCell ref="C102:D102"/>
    <mergeCell ref="E102:F102"/>
    <mergeCell ref="G102:H102"/>
    <mergeCell ref="F88:H88"/>
    <mergeCell ref="A82:E82"/>
    <mergeCell ref="A107:H107"/>
    <mergeCell ref="E105:E106"/>
    <mergeCell ref="G105:H106"/>
    <mergeCell ref="F81:H81"/>
    <mergeCell ref="F86:H86"/>
    <mergeCell ref="A87:E87"/>
    <mergeCell ref="F87:H87"/>
    <mergeCell ref="A88:E88"/>
    <mergeCell ref="A90:E90"/>
    <mergeCell ref="F84:H84"/>
    <mergeCell ref="A89:E89"/>
    <mergeCell ref="A84:E84"/>
    <mergeCell ref="A81:E81"/>
    <mergeCell ref="F85:H85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D66:H66"/>
    <mergeCell ref="A44:D44"/>
    <mergeCell ref="A45:D45"/>
    <mergeCell ref="A46:H46"/>
    <mergeCell ref="D58:H58"/>
    <mergeCell ref="A58:C58"/>
    <mergeCell ref="G49:H49"/>
    <mergeCell ref="A52:B53"/>
    <mergeCell ref="A77:B77"/>
    <mergeCell ref="A70:B70"/>
    <mergeCell ref="A36:H36"/>
    <mergeCell ref="A35:B35"/>
    <mergeCell ref="C35:E35"/>
    <mergeCell ref="A34:B34"/>
    <mergeCell ref="C34:E34"/>
    <mergeCell ref="A40:D40"/>
    <mergeCell ref="E40:H40"/>
    <mergeCell ref="F32:H32"/>
    <mergeCell ref="F33:H33"/>
    <mergeCell ref="A39:H39"/>
    <mergeCell ref="F35:H35"/>
    <mergeCell ref="A37:B37"/>
    <mergeCell ref="A38:B38"/>
    <mergeCell ref="C37:H37"/>
    <mergeCell ref="C38:H38"/>
    <mergeCell ref="A29:D29"/>
    <mergeCell ref="E29:H29"/>
    <mergeCell ref="A30:D30"/>
    <mergeCell ref="E30:H30"/>
    <mergeCell ref="A26:D26"/>
    <mergeCell ref="E26:H26"/>
    <mergeCell ref="C31:E31"/>
    <mergeCell ref="F34:H34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A64:C64"/>
    <mergeCell ref="D64:H64"/>
    <mergeCell ref="A65:C65"/>
    <mergeCell ref="D65:H65"/>
    <mergeCell ref="A71:B71"/>
    <mergeCell ref="G70:H70"/>
    <mergeCell ref="A73:B73"/>
    <mergeCell ref="A197:H200"/>
    <mergeCell ref="A196:B196"/>
    <mergeCell ref="E196:F196"/>
    <mergeCell ref="C196:D196"/>
    <mergeCell ref="G196:H196"/>
    <mergeCell ref="A95:H95"/>
    <mergeCell ref="A93:E93"/>
    <mergeCell ref="F93:H93"/>
    <mergeCell ref="A94:E94"/>
    <mergeCell ref="F94:H94"/>
    <mergeCell ref="A153:H153"/>
    <mergeCell ref="A102:B102"/>
    <mergeCell ref="A162:B162"/>
    <mergeCell ref="A97:B97"/>
    <mergeCell ref="A192:H192"/>
    <mergeCell ref="A100:H100"/>
    <mergeCell ref="A195:H195"/>
    <mergeCell ref="A193:H193"/>
    <mergeCell ref="A189:H189"/>
    <mergeCell ref="A190:H190"/>
    <mergeCell ref="E101:F101"/>
    <mergeCell ref="B186:H186"/>
    <mergeCell ref="G110:H110"/>
    <mergeCell ref="G108:H108"/>
    <mergeCell ref="A103:H103"/>
    <mergeCell ref="G156:H156"/>
    <mergeCell ref="G175:H175"/>
    <mergeCell ref="B178:H178"/>
    <mergeCell ref="G117:H119"/>
    <mergeCell ref="F91:H91"/>
    <mergeCell ref="E96:F96"/>
    <mergeCell ref="A96:B96"/>
    <mergeCell ref="A98:B98"/>
    <mergeCell ref="A92:E92"/>
    <mergeCell ref="C98:D98"/>
    <mergeCell ref="E98:F98"/>
    <mergeCell ref="G98:H98"/>
    <mergeCell ref="A99:B99"/>
    <mergeCell ref="C99:D99"/>
    <mergeCell ref="E99:F99"/>
    <mergeCell ref="G99:H99"/>
    <mergeCell ref="A139:B139"/>
    <mergeCell ref="A174:B174"/>
    <mergeCell ref="G174:H174"/>
    <mergeCell ref="G173:H173"/>
    <mergeCell ref="A171:H171"/>
    <mergeCell ref="A172:B172"/>
    <mergeCell ref="A173:B173"/>
    <mergeCell ref="A56:C56"/>
    <mergeCell ref="A57:C57"/>
    <mergeCell ref="D57:H57"/>
    <mergeCell ref="G54:H54"/>
    <mergeCell ref="C53:H53"/>
    <mergeCell ref="A50:B51"/>
    <mergeCell ref="C50:E50"/>
    <mergeCell ref="G50:H50"/>
    <mergeCell ref="C51:H51"/>
    <mergeCell ref="A194:H194"/>
    <mergeCell ref="A191:H191"/>
    <mergeCell ref="G169:H169"/>
    <mergeCell ref="A154:B154"/>
    <mergeCell ref="A101:B101"/>
    <mergeCell ref="D113:D114"/>
    <mergeCell ref="E113:E114"/>
    <mergeCell ref="G113:H114"/>
    <mergeCell ref="A76:B76"/>
    <mergeCell ref="F82:H82"/>
    <mergeCell ref="G97:H97"/>
    <mergeCell ref="F89:H89"/>
    <mergeCell ref="C96:D96"/>
    <mergeCell ref="G167:H167"/>
    <mergeCell ref="F92:H92"/>
    <mergeCell ref="F90:H90"/>
    <mergeCell ref="A161:B161"/>
    <mergeCell ref="A104:H104"/>
    <mergeCell ref="G96:H96"/>
    <mergeCell ref="A91:E91"/>
    <mergeCell ref="C97:D97"/>
    <mergeCell ref="E97:F97"/>
    <mergeCell ref="G155:H155"/>
    <mergeCell ref="B105:B106"/>
    <mergeCell ref="L117:M117"/>
    <mergeCell ref="A118:B118"/>
    <mergeCell ref="L118:M118"/>
    <mergeCell ref="A119:B119"/>
    <mergeCell ref="L119:M119"/>
    <mergeCell ref="A16:B16"/>
    <mergeCell ref="C16:H16"/>
    <mergeCell ref="E41:H41"/>
    <mergeCell ref="A41:D41"/>
    <mergeCell ref="A48:B48"/>
    <mergeCell ref="C48:E48"/>
    <mergeCell ref="G48:H48"/>
    <mergeCell ref="G52:H52"/>
    <mergeCell ref="D56:H56"/>
    <mergeCell ref="C52:E52"/>
    <mergeCell ref="A59:C59"/>
    <mergeCell ref="D59:H59"/>
    <mergeCell ref="C49:E49"/>
    <mergeCell ref="A54:B54"/>
    <mergeCell ref="C54:E54"/>
    <mergeCell ref="A49:B49"/>
    <mergeCell ref="A55:H55"/>
    <mergeCell ref="C101:D101"/>
    <mergeCell ref="G101:H101"/>
    <mergeCell ref="L126:M126"/>
    <mergeCell ref="A127:B127"/>
    <mergeCell ref="L127:M127"/>
    <mergeCell ref="A128:H128"/>
    <mergeCell ref="A129:B129"/>
    <mergeCell ref="L129:M129"/>
    <mergeCell ref="A130:B130"/>
    <mergeCell ref="L130:M130"/>
    <mergeCell ref="L121:M121"/>
    <mergeCell ref="A122:B122"/>
    <mergeCell ref="L122:M122"/>
    <mergeCell ref="A123:B123"/>
    <mergeCell ref="L123:M123"/>
    <mergeCell ref="A124:H124"/>
    <mergeCell ref="A125:B125"/>
    <mergeCell ref="L125:M125"/>
    <mergeCell ref="G121:H123"/>
    <mergeCell ref="G125:H127"/>
    <mergeCell ref="L135:M135"/>
    <mergeCell ref="A136:H136"/>
    <mergeCell ref="A137:B137"/>
    <mergeCell ref="L137:M137"/>
    <mergeCell ref="A138:B138"/>
    <mergeCell ref="L138:M138"/>
    <mergeCell ref="A131:B131"/>
    <mergeCell ref="L131:M131"/>
    <mergeCell ref="A132:H132"/>
    <mergeCell ref="A133:B133"/>
    <mergeCell ref="L133:M133"/>
    <mergeCell ref="A134:B134"/>
    <mergeCell ref="L134:M134"/>
    <mergeCell ref="G129:H131"/>
    <mergeCell ref="G133:H135"/>
    <mergeCell ref="A135:B135"/>
    <mergeCell ref="L139:M139"/>
    <mergeCell ref="A140:H140"/>
    <mergeCell ref="A141:B141"/>
    <mergeCell ref="L141:M141"/>
    <mergeCell ref="A146:B146"/>
    <mergeCell ref="L146:M146"/>
    <mergeCell ref="G137:H139"/>
    <mergeCell ref="G141:H143"/>
    <mergeCell ref="G145:H147"/>
    <mergeCell ref="A147:B147"/>
    <mergeCell ref="L147:M147"/>
    <mergeCell ref="A142:B142"/>
    <mergeCell ref="L142:M142"/>
    <mergeCell ref="A143:B143"/>
    <mergeCell ref="L143:M143"/>
    <mergeCell ref="A144:H144"/>
    <mergeCell ref="A145:B145"/>
    <mergeCell ref="L145:M145"/>
    <mergeCell ref="B179:H179"/>
    <mergeCell ref="L153:M153"/>
    <mergeCell ref="L152:M152"/>
    <mergeCell ref="L149:M149"/>
    <mergeCell ref="L150:M150"/>
    <mergeCell ref="L151:M151"/>
    <mergeCell ref="A170:B170"/>
    <mergeCell ref="B187:H187"/>
    <mergeCell ref="B185:H185"/>
    <mergeCell ref="B188:H188"/>
    <mergeCell ref="B184:H184"/>
    <mergeCell ref="B180:H180"/>
    <mergeCell ref="A176:B176"/>
    <mergeCell ref="G176:H176"/>
    <mergeCell ref="A175:B17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0" max="16383" man="1"/>
    <brk id="243" max="16383" man="1"/>
    <brk id="2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2" t="s">
        <v>110</v>
      </c>
      <c r="C3" s="162"/>
      <c r="D3" s="162"/>
      <c r="E3" s="162"/>
      <c r="F3" s="162"/>
      <c r="G3" s="162"/>
      <c r="H3" s="162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2025-09-11T12:26:33Z</cp:lastPrinted>
  <dcterms:created xsi:type="dcterms:W3CDTF">2019-07-16T09:29:46Z</dcterms:created>
  <dcterms:modified xsi:type="dcterms:W3CDTF">2025-09-11T12:28:16Z</dcterms:modified>
</cp:coreProperties>
</file>