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Report!$A$1:$H$392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2" i="1" l="1"/>
  <c r="N212" i="1" s="1"/>
  <c r="O212" i="1" s="1"/>
  <c r="J204" i="1"/>
  <c r="J205" i="1"/>
  <c r="J206" i="1"/>
  <c r="J207" i="1"/>
  <c r="J208" i="1"/>
  <c r="J209" i="1"/>
  <c r="J210" i="1"/>
  <c r="J211" i="1"/>
  <c r="J212" i="1"/>
  <c r="J213" i="1"/>
  <c r="J214" i="1"/>
  <c r="J215" i="1"/>
  <c r="J216" i="1"/>
  <c r="J217" i="1"/>
  <c r="J218" i="1"/>
  <c r="J219" i="1"/>
  <c r="J220" i="1"/>
  <c r="J226" i="1"/>
  <c r="J232" i="1"/>
  <c r="J238" i="1"/>
  <c r="J244" i="1"/>
  <c r="J245" i="1"/>
  <c r="J203" i="1"/>
  <c r="L213" i="1"/>
  <c r="K215" i="1"/>
  <c r="K213" i="1"/>
  <c r="J193" i="1"/>
  <c r="K206" i="1"/>
  <c r="K205" i="1"/>
  <c r="K204" i="1"/>
  <c r="K203" i="1"/>
  <c r="K196" i="1"/>
  <c r="M197" i="1"/>
  <c r="M202" i="1"/>
  <c r="M207" i="1"/>
  <c r="G152" i="1"/>
  <c r="G177" i="1"/>
  <c r="G176" i="1"/>
  <c r="J184" i="1"/>
  <c r="I184" i="1"/>
  <c r="J188" i="1"/>
  <c r="I188" i="1"/>
  <c r="I176" i="1"/>
  <c r="I173" i="1"/>
  <c r="I165" i="1"/>
  <c r="I162" i="1"/>
  <c r="M144" i="1" l="1"/>
  <c r="G219" i="1" l="1"/>
  <c r="E219" i="1"/>
  <c r="D219" i="1"/>
  <c r="E218" i="1"/>
  <c r="D218" i="1"/>
  <c r="E216" i="1"/>
  <c r="D216" i="1"/>
  <c r="E215" i="1"/>
  <c r="D215" i="1"/>
  <c r="E214" i="1"/>
  <c r="D214" i="1"/>
  <c r="E213" i="1"/>
  <c r="D213" i="1"/>
  <c r="E211" i="1"/>
  <c r="D211" i="1"/>
  <c r="E210" i="1"/>
  <c r="D210" i="1"/>
  <c r="E209" i="1"/>
  <c r="D209" i="1"/>
  <c r="E208" i="1"/>
  <c r="D208" i="1"/>
  <c r="E206" i="1"/>
  <c r="D206" i="1"/>
  <c r="E205" i="1"/>
  <c r="D205" i="1"/>
  <c r="E204" i="1"/>
  <c r="D204" i="1"/>
  <c r="E203" i="1"/>
  <c r="D203" i="1"/>
  <c r="G201" i="1"/>
  <c r="E201" i="1"/>
  <c r="D201" i="1"/>
  <c r="E200" i="1"/>
  <c r="D200" i="1"/>
  <c r="E199" i="1"/>
  <c r="D199" i="1"/>
  <c r="E198" i="1"/>
  <c r="D198" i="1"/>
  <c r="E196" i="1"/>
  <c r="D196" i="1"/>
  <c r="E195" i="1"/>
  <c r="D195" i="1"/>
  <c r="E194" i="1"/>
  <c r="D194" i="1"/>
  <c r="E193" i="1"/>
  <c r="D193" i="1"/>
  <c r="E191" i="1"/>
  <c r="D191" i="1"/>
  <c r="E190" i="1"/>
  <c r="D190" i="1"/>
  <c r="E189" i="1"/>
  <c r="D189" i="1"/>
  <c r="E188" i="1"/>
  <c r="D188" i="1"/>
  <c r="E186" i="1"/>
  <c r="D186" i="1"/>
  <c r="E185" i="1"/>
  <c r="D185" i="1"/>
  <c r="E184" i="1"/>
  <c r="D184" i="1"/>
  <c r="E183" i="1"/>
  <c r="D183" i="1"/>
  <c r="D177" i="1"/>
  <c r="D176" i="1"/>
  <c r="D174" i="1"/>
  <c r="D173" i="1"/>
  <c r="D171" i="1"/>
  <c r="D170" i="1"/>
  <c r="D169" i="1"/>
  <c r="D168" i="1"/>
  <c r="D167" i="1"/>
  <c r="D166" i="1"/>
  <c r="D165" i="1"/>
  <c r="D164" i="1"/>
  <c r="D163" i="1"/>
  <c r="D162" i="1"/>
  <c r="D161" i="1"/>
  <c r="J185" i="1"/>
  <c r="J183" i="1"/>
  <c r="K176" i="1"/>
  <c r="J173" i="1"/>
  <c r="J171" i="1"/>
  <c r="J167" i="1"/>
  <c r="J161" i="1"/>
  <c r="C152" i="1" l="1"/>
  <c r="F195" i="1"/>
  <c r="M195" i="1" s="1"/>
  <c r="F194" i="1"/>
  <c r="M194" i="1" s="1"/>
  <c r="A194" i="1"/>
  <c r="A195" i="1" s="1"/>
  <c r="A196" i="1" s="1"/>
  <c r="F193" i="1"/>
  <c r="M193" i="1" s="1"/>
  <c r="I207" i="1"/>
  <c r="I182" i="1"/>
  <c r="F218" i="1"/>
  <c r="L218" i="1" s="1"/>
  <c r="F219" i="1"/>
  <c r="L219" i="1" s="1"/>
  <c r="A219" i="1"/>
  <c r="F216" i="1"/>
  <c r="A214" i="1"/>
  <c r="A215" i="1" s="1"/>
  <c r="A216" i="1" s="1"/>
  <c r="A209" i="1"/>
  <c r="A210" i="1" s="1"/>
  <c r="A211" i="1" s="1"/>
  <c r="F208" i="1"/>
  <c r="F206" i="1"/>
  <c r="M206" i="1" s="1"/>
  <c r="F205" i="1"/>
  <c r="M205" i="1" s="1"/>
  <c r="A204" i="1"/>
  <c r="A205" i="1" s="1"/>
  <c r="A206" i="1" s="1"/>
  <c r="A189" i="1"/>
  <c r="A190" i="1" s="1"/>
  <c r="A191" i="1" s="1"/>
  <c r="F188" i="1"/>
  <c r="F200" i="1"/>
  <c r="M200" i="1" s="1"/>
  <c r="A199" i="1"/>
  <c r="A200" i="1" s="1"/>
  <c r="A201" i="1" s="1"/>
  <c r="F177" i="1"/>
  <c r="M177" i="1" s="1"/>
  <c r="F176" i="1"/>
  <c r="M176" i="1" s="1"/>
  <c r="A177" i="1"/>
  <c r="F174" i="1"/>
  <c r="C148" i="1"/>
  <c r="A174" i="1"/>
  <c r="F173" i="1"/>
  <c r="F171" i="1"/>
  <c r="M171" i="1" s="1"/>
  <c r="F170" i="1"/>
  <c r="M170" i="1" s="1"/>
  <c r="F169" i="1"/>
  <c r="M169" i="1" s="1"/>
  <c r="F167" i="1"/>
  <c r="M167" i="1" s="1"/>
  <c r="F166" i="1"/>
  <c r="M166" i="1" s="1"/>
  <c r="C147" i="1"/>
  <c r="C149" i="1" s="1"/>
  <c r="F168" i="1"/>
  <c r="M168" i="1" s="1"/>
  <c r="F165" i="1"/>
  <c r="M165" i="1" s="1"/>
  <c r="E43" i="1"/>
  <c r="H173" i="1" l="1"/>
  <c r="M173" i="1"/>
  <c r="H174" i="1"/>
  <c r="K174" i="1" s="1"/>
  <c r="M174" i="1"/>
  <c r="C155" i="1"/>
  <c r="F196" i="1"/>
  <c r="M196" i="1" s="1"/>
  <c r="F201" i="1"/>
  <c r="M201" i="1" s="1"/>
  <c r="F214" i="1"/>
  <c r="F203" i="1"/>
  <c r="M203" i="1" s="1"/>
  <c r="F189" i="1"/>
  <c r="E148" i="1"/>
  <c r="F209" i="1"/>
  <c r="F190" i="1"/>
  <c r="F198" i="1"/>
  <c r="M198" i="1" s="1"/>
  <c r="F191" i="1"/>
  <c r="F210" i="1"/>
  <c r="F199" i="1"/>
  <c r="M199" i="1" s="1"/>
  <c r="F211" i="1"/>
  <c r="F204" i="1"/>
  <c r="M204" i="1" s="1"/>
  <c r="F213" i="1"/>
  <c r="F215" i="1"/>
  <c r="F161" i="1"/>
  <c r="M161" i="1" s="1"/>
  <c r="F183" i="1"/>
  <c r="K173" i="1" l="1"/>
  <c r="G148" i="1"/>
  <c r="M183"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I42" i="7" l="1"/>
  <c r="H42" i="7" s="1"/>
  <c r="E42" i="7"/>
  <c r="E44" i="7" s="1"/>
  <c r="L42" i="7"/>
  <c r="K42" i="7" s="1"/>
  <c r="D42" i="7"/>
  <c r="D44" i="7" s="1"/>
  <c r="E31" i="1" l="1"/>
  <c r="B246" i="1" l="1"/>
  <c r="F162" i="1" l="1"/>
  <c r="M162" i="1" s="1"/>
  <c r="F163" i="1"/>
  <c r="M163" i="1" s="1"/>
  <c r="F164" i="1"/>
  <c r="M164" i="1" s="1"/>
  <c r="G147" i="1" l="1"/>
  <c r="G149" i="1" s="1"/>
  <c r="E147" i="1"/>
  <c r="E149" i="1" s="1"/>
  <c r="G58" i="1"/>
  <c r="C58" i="1"/>
  <c r="G56" i="1"/>
  <c r="C56" i="1"/>
  <c r="C54" i="1"/>
  <c r="S33" i="1" l="1"/>
  <c r="F11" i="5" l="1"/>
  <c r="G11" i="5" s="1"/>
  <c r="F10" i="5"/>
  <c r="G10" i="5" s="1"/>
  <c r="F9" i="5"/>
  <c r="G9" i="5" s="1"/>
  <c r="F8" i="5"/>
  <c r="G8" i="5" s="1"/>
  <c r="F7" i="5"/>
  <c r="G7" i="5" s="1"/>
  <c r="F6" i="5"/>
  <c r="G6" i="5" s="1"/>
  <c r="F5" i="5"/>
  <c r="G5" i="5" s="1"/>
  <c r="G12" i="5" s="1"/>
  <c r="D267" i="1"/>
  <c r="B247" i="1"/>
  <c r="F243" i="1"/>
  <c r="H243" i="1" s="1"/>
  <c r="J243" i="1" s="1"/>
  <c r="F242" i="1"/>
  <c r="H242" i="1" s="1"/>
  <c r="J242" i="1" s="1"/>
  <c r="F241" i="1"/>
  <c r="H241" i="1" s="1"/>
  <c r="J241" i="1" s="1"/>
  <c r="F240" i="1"/>
  <c r="H240" i="1" s="1"/>
  <c r="J240" i="1" s="1"/>
  <c r="F239" i="1"/>
  <c r="H239" i="1" s="1"/>
  <c r="J239" i="1" s="1"/>
  <c r="F237" i="1"/>
  <c r="H237" i="1" s="1"/>
  <c r="J237" i="1" s="1"/>
  <c r="F236" i="1"/>
  <c r="H236" i="1" s="1"/>
  <c r="J236" i="1" s="1"/>
  <c r="F235" i="1"/>
  <c r="H235" i="1" s="1"/>
  <c r="J235" i="1" s="1"/>
  <c r="F234" i="1"/>
  <c r="H234" i="1" s="1"/>
  <c r="J234" i="1" s="1"/>
  <c r="F233" i="1"/>
  <c r="H233" i="1" s="1"/>
  <c r="J233" i="1" s="1"/>
  <c r="F231" i="1"/>
  <c r="H231" i="1" s="1"/>
  <c r="J231" i="1" s="1"/>
  <c r="F230" i="1"/>
  <c r="H230" i="1" s="1"/>
  <c r="J230" i="1" s="1"/>
  <c r="F229" i="1"/>
  <c r="H229" i="1" s="1"/>
  <c r="J229" i="1" s="1"/>
  <c r="F228" i="1"/>
  <c r="H228" i="1" s="1"/>
  <c r="J228" i="1" s="1"/>
  <c r="F227" i="1"/>
  <c r="H227" i="1" s="1"/>
  <c r="J227" i="1" s="1"/>
  <c r="F225" i="1"/>
  <c r="H225" i="1" s="1"/>
  <c r="J225" i="1" s="1"/>
  <c r="F224" i="1"/>
  <c r="H224" i="1" s="1"/>
  <c r="J224" i="1" s="1"/>
  <c r="F223" i="1"/>
  <c r="H223" i="1" s="1"/>
  <c r="J223" i="1" s="1"/>
  <c r="F222" i="1"/>
  <c r="H222" i="1" s="1"/>
  <c r="J222" i="1" s="1"/>
  <c r="F221" i="1"/>
  <c r="H221" i="1" s="1"/>
  <c r="J221" i="1" s="1"/>
  <c r="A221" i="1"/>
  <c r="A222" i="1" s="1"/>
  <c r="A223" i="1" s="1"/>
  <c r="A224" i="1" s="1"/>
  <c r="A225" i="1" s="1"/>
  <c r="F186" i="1"/>
  <c r="M186" i="1" s="1"/>
  <c r="F185" i="1"/>
  <c r="M185" i="1" s="1"/>
  <c r="F184" i="1"/>
  <c r="A184" i="1"/>
  <c r="A185" i="1" s="1"/>
  <c r="A186" i="1" s="1"/>
  <c r="A162" i="1"/>
  <c r="A163" i="1" s="1"/>
  <c r="A164" i="1" s="1"/>
  <c r="A165" i="1" s="1"/>
  <c r="A166" i="1" s="1"/>
  <c r="A167" i="1" s="1"/>
  <c r="A168" i="1" s="1"/>
  <c r="A169" i="1" s="1"/>
  <c r="A170" i="1" s="1"/>
  <c r="A171" i="1" s="1"/>
  <c r="F144" i="1"/>
  <c r="C103" i="1"/>
  <c r="C89" i="1"/>
  <c r="D69" i="1"/>
  <c r="D62" i="1"/>
  <c r="G51" i="1"/>
  <c r="G52" i="1" s="1"/>
  <c r="C51" i="1"/>
  <c r="E44" i="1"/>
  <c r="E45" i="1" s="1"/>
  <c r="E28" i="1"/>
  <c r="E26" i="1"/>
  <c r="C16" i="1"/>
  <c r="I15" i="1"/>
  <c r="Z13" i="1"/>
  <c r="E8" i="1"/>
  <c r="E3" i="1"/>
  <c r="A233" i="1"/>
  <c r="H104" i="1"/>
  <c r="H90" i="1"/>
  <c r="H76" i="1"/>
  <c r="A227" i="1"/>
  <c r="A239" i="1"/>
  <c r="M184" i="1" l="1"/>
  <c r="E152" i="1"/>
  <c r="E155" i="1" s="1"/>
  <c r="G155" i="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240" i="1"/>
  <c r="A228" i="1"/>
  <c r="A234" i="1"/>
  <c r="B118" i="1" l="1"/>
  <c r="C93" i="1"/>
  <c r="D93" i="1" s="1"/>
  <c r="I90" i="1" s="1"/>
  <c r="I91" i="1" s="1"/>
  <c r="D109" i="1"/>
  <c r="J114" i="1"/>
  <c r="J111" i="1"/>
  <c r="J113" i="1"/>
  <c r="J112" i="1"/>
  <c r="J109" i="1"/>
  <c r="J110" i="1" s="1"/>
  <c r="J115" i="1" s="1"/>
  <c r="J116" i="1" s="1"/>
  <c r="C108" i="1" s="1"/>
  <c r="E107" i="1" s="1"/>
  <c r="J100" i="1"/>
  <c r="J97" i="1"/>
  <c r="J99" i="1"/>
  <c r="J98" i="1"/>
  <c r="J95" i="1"/>
  <c r="J96" i="1" s="1"/>
  <c r="J85" i="1"/>
  <c r="J83" i="1"/>
  <c r="J84" i="1"/>
  <c r="J82" i="1"/>
  <c r="J87" i="1" s="1"/>
  <c r="J86" i="1"/>
  <c r="H118" i="1"/>
  <c r="A229" i="1"/>
  <c r="A241" i="1"/>
  <c r="A235" i="1"/>
  <c r="D129" i="1" l="1"/>
  <c r="D125" i="1"/>
  <c r="J121" i="1"/>
  <c r="D126" i="1"/>
  <c r="D128" i="1"/>
  <c r="D124" i="1"/>
  <c r="J120" i="1"/>
  <c r="D130" i="1"/>
  <c r="D127" i="1"/>
  <c r="D123" i="1"/>
  <c r="J122" i="1"/>
  <c r="C121" i="1" s="1"/>
  <c r="D121" i="1" s="1"/>
  <c r="J117" i="1"/>
  <c r="J119" i="1" s="1"/>
  <c r="J128" i="1"/>
  <c r="J126" i="1"/>
  <c r="J125" i="1"/>
  <c r="J127" i="1"/>
  <c r="J123" i="1"/>
  <c r="J124" i="1" s="1"/>
  <c r="J129" i="1" s="1"/>
  <c r="J130" i="1" s="1"/>
  <c r="C122" i="1" s="1"/>
  <c r="J88" i="1"/>
  <c r="C80" i="1" s="1"/>
  <c r="E79" i="1" s="1"/>
  <c r="D79" i="1"/>
  <c r="G93" i="1"/>
  <c r="J101" i="1"/>
  <c r="J102" i="1" s="1"/>
  <c r="J90" i="1" s="1"/>
  <c r="I89" i="1" s="1"/>
  <c r="C91" i="1" s="1"/>
  <c r="D108" i="1"/>
  <c r="I104" i="1" s="1"/>
  <c r="J104" i="1"/>
  <c r="G107" i="1"/>
  <c r="A242" i="1"/>
  <c r="A236" i="1"/>
  <c r="A230" i="1"/>
  <c r="J76" i="1" l="1"/>
  <c r="G79" i="1"/>
  <c r="E121" i="1"/>
  <c r="C131" i="1" s="1"/>
  <c r="D122" i="1"/>
  <c r="I118" i="1" s="1"/>
  <c r="G121" i="1"/>
  <c r="J118" i="1"/>
  <c r="D80" i="1"/>
  <c r="I76" i="1" s="1"/>
  <c r="I77" i="1" s="1"/>
  <c r="I105" i="1"/>
  <c r="I103" i="1" s="1"/>
  <c r="C105" i="1" s="1"/>
  <c r="A237" i="1"/>
  <c r="A231" i="1"/>
  <c r="A243" i="1"/>
  <c r="G131" i="1" l="1"/>
  <c r="D73" i="1"/>
  <c r="D74" i="1" s="1"/>
  <c r="I75" i="1"/>
  <c r="C77" i="1" s="1"/>
  <c r="I119" i="1"/>
  <c r="I117" i="1" s="1"/>
  <c r="C119" i="1" s="1"/>
  <c r="F74"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<sst xmlns="http://schemas.openxmlformats.org/spreadsheetml/2006/main" count="758" uniqueCount="401">
  <si>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</si>
  <si>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</si>
  <si>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</si>
  <si>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</si>
  <si>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</si>
  <si>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</si>
  <si>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</si>
  <si>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</si>
  <si>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</si>
  <si>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</si>
  <si>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</si>
  <si>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</si>
  <si>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</si>
  <si>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</si>
  <si>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</si>
  <si>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</si>
  <si>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</si>
  <si>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</si>
  <si>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</si>
  <si>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</si>
  <si>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</si>
  <si>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</si>
  <si>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</si>
  <si>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</si>
  <si>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</si>
  <si>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</si>
  <si>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</si>
  <si>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</si>
  <si>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</si>
  <si>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</si>
  <si>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</si>
  <si>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</si>
  <si>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</si>
  <si>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</si>
  <si>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</si>
  <si>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</si>
  <si>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</si>
  <si>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</si>
  <si>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</si>
  <si>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</si>
  <si>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</si>
  <si>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</si>
  <si>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</si>
  <si>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</si>
  <si>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</si>
  <si>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</si>
  <si>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</si>
  <si>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</si>
  <si>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</si>
  <si>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</si>
  <si>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</si>
  <si>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</si>
  <si>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</si>
  <si>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</si>
  <si>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</si>
  <si>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</si>
  <si>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</si>
  <si>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</si>
  <si>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</si>
  <si>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</si>
  <si>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</si>
  <si>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</si>
  <si>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</si>
  <si>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</si>
  <si>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</si>
  <si>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</si>
  <si>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</si>
  <si>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</si>
  <si>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</si>
  <si>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</si>
  <si>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</si>
  <si>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</si>
  <si>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</si>
  <si>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</si>
  <si>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</si>
  <si>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</si>
  <si>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</si>
  <si>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</si>
  <si>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</si>
  <si>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</si>
  <si>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</si>
  <si>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</si>
  <si>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</si>
  <si>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</si>
  <si>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</si>
  <si>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</si>
  <si>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</si>
  <si>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</si>
  <si>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</si>
  <si>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</si>
  <si>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</si>
  <si>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</si>
  <si>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</si>
  <si>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</si>
  <si>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</si>
  <si>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</si>
  <si>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</si>
  <si>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</si>
  <si>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</si>
  <si>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</si>
  <si>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</si>
  <si>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</si>
  <si>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</si>
  <si>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</si>
  <si>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</si>
  <si>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</si>
  <si>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</si>
  <si>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</si>
  <si>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</si>
  <si>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</si>
  <si>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</si>
  <si>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</si>
  <si>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</si>
  <si>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</si>
  <si>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</si>
  <si>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</si>
  <si>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</si>
  <si>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</si>
  <si>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</si>
  <si>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</si>
  <si>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</si>
  <si>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</si>
  <si>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</si>
  <si>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</si>
  <si>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</si>
  <si>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</si>
  <si>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</si>
  <si>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</si>
  <si>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</si>
  <si>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</si>
  <si>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</si>
  <si>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</si>
  <si>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</si>
  <si>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</si>
  <si>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</si>
  <si>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</si>
  <si>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</si>
  <si>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</si>
  <si>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</si>
  <si>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</si>
  <si>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</si>
  <si>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</si>
  <si>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</si>
  <si>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</si>
  <si>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</si>
  <si>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</si>
  <si>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</si>
  <si>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</si>
  <si>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</si>
  <si>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</si>
  <si>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</si>
  <si>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</si>
  <si>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</si>
  <si>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</si>
  <si>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</si>
  <si>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</si>
  <si>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</si>
  <si>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</si>
  <si>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</si>
  <si>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</si>
  <si>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</si>
  <si>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</si>
  <si>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</si>
  <si>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</si>
  <si>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</si>
  <si>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</si>
  <si>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</si>
  <si>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</si>
  <si>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</si>
  <si>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</si>
  <si>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</si>
  <si>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</si>
  <si>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</si>
  <si>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</si>
  <si>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</si>
  <si>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</si>
  <si>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</si>
  <si>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</si>
  <si>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</si>
  <si>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</si>
  <si>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</si>
  <si>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</si>
  <si>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</si>
  <si>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</si>
  <si>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</si>
  <si>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</si>
  <si>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</si>
  <si>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</si>
  <si>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</si>
  <si>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</si>
  <si>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</si>
  <si>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</si>
  <si>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</si>
  <si>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</si>
  <si>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</si>
  <si>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</si>
  <si>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</si>
  <si>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</si>
  <si>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</si>
  <si>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</si>
  <si>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</si>
  <si>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</si>
  <si>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</si>
  <si>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</si>
  <si>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</si>
  <si>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</si>
  <si>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</si>
  <si>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</si>
  <si>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</si>
  <si>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</si>
  <si>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</si>
  <si>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</si>
  <si>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</si>
  <si>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</si>
  <si>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</si>
  <si>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</si>
  <si>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</si>
  <si>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</si>
  <si>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</si>
  <si>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</si>
  <si>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</si>
  <si>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</si>
  <si>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</si>
  <si>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</si>
  <si>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</si>
  <si>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</si>
  <si>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</si>
  <si>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</si>
  <si>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</si>
  <si>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</si>
  <si>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</si>
  <si>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</si>
  <si>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</si>
  <si>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</si>
  <si>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</si>
  <si>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</si>
  <si>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</si>
  <si>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</si>
  <si>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</si>
  <si>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</si>
  <si>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</si>
  <si>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</si>
  <si>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</si>
  <si>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</si>
  <si>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</si>
  <si>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</si>
  <si>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</si>
  <si>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</si>
  <si>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</si>
  <si>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</si>
  <si>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</si>
  <si>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</si>
  <si>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</si>
  <si>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</si>
  <si>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</si>
  <si>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</si>
  <si>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</si>
  <si>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</si>
  <si>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</si>
  <si>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</si>
  <si>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</si>
  <si>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</si>
  <si>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</si>
  <si>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</si>
  <si>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</si>
  <si>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</si>
  <si>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</si>
  <si>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</si>
  <si>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</si>
  <si>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</si>
  <si>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</si>
  <si>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</si>
  <si>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</si>
  <si>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</si>
  <si>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</si>
  <si>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</si>
  <si>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</si>
  <si>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</si>
  <si>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</si>
  <si>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</si>
  <si>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</si>
  <si>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</si>
  <si>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</si>
  <si>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</si>
  <si>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</si>
  <si>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</si>
  <si>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</si>
  <si>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</si>
  <si>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</si>
  <si>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</si>
  <si>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</si>
  <si>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</si>
  <si>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</si>
  <si>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</si>
  <si>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</si>
  <si>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</si>
  <si>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</si>
  <si>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</si>
  <si>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</si>
  <si>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</si>
  <si>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</si>
  <si>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</si>
  <si>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</si>
  <si>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</si>
  <si>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</si>
  <si>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</si>
  <si>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</si>
  <si>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</si>
  <si>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</si>
  <si>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</si>
  <si>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</si>
  <si>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</si>
  <si>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</si>
  <si>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</si>
  <si>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</si>
  <si>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</si>
  <si>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</si>
  <si>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</si>
  <si>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</si>
  <si>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</si>
  <si>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</si>
  <si>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</si>
  <si>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</si>
  <si>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</si>
  <si>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</si>
  <si>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</si>
  <si>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</si>
  <si>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</si>
  <si>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</si>
  <si>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</si>
  <si>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</si>
  <si>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</si>
  <si>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</si>
  <si>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</si>
  <si>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</si>
  <si>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</si>
  <si>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Juhi Empressa</t>
  </si>
  <si>
    <t>Juhi Habitat Pvt. Ltd.</t>
  </si>
  <si>
    <t>Mr. Satish 9833927651 / 9322592240</t>
  </si>
  <si>
    <t>P51700076712</t>
  </si>
  <si>
    <t>Plot No</t>
  </si>
  <si>
    <t>11, Sector 18</t>
  </si>
  <si>
    <t>Sanpada</t>
  </si>
  <si>
    <t>19.056039,73.005804</t>
  </si>
  <si>
    <t>https://maps.app.goo.gl/x5HtSmTPrRcpH8vD7</t>
  </si>
  <si>
    <t>2.00KM from Sanpada Railway Station</t>
  </si>
  <si>
    <t>Jaipuriar School</t>
  </si>
  <si>
    <t>NRV/A-1487</t>
  </si>
  <si>
    <t>Internal Road/Open Plot</t>
  </si>
  <si>
    <t>22.00 M. Wide Road</t>
  </si>
  <si>
    <t>Other Plot</t>
  </si>
  <si>
    <t>Plot No. 12</t>
  </si>
  <si>
    <t>Tharwani Heights</t>
  </si>
  <si>
    <t>Open Plot</t>
  </si>
  <si>
    <t>Gr + 1st to 35th Floor</t>
  </si>
  <si>
    <r>
      <t xml:space="preserve">Proposed Amenities :                                                                                                                                                                                                                         </t>
    </r>
    <r>
      <rPr>
        <b/>
        <sz val="12"/>
        <rFont val="Times New Roman"/>
        <family val="1"/>
      </rPr>
      <t xml:space="preserve">                                               </t>
    </r>
  </si>
  <si>
    <t>As per RERA - 30/04/2030</t>
  </si>
  <si>
    <t>https://juhiempressapbr.com/</t>
  </si>
  <si>
    <t>Shop</t>
  </si>
  <si>
    <t>Office</t>
  </si>
  <si>
    <t>2BHK</t>
  </si>
  <si>
    <t>12th Floor</t>
  </si>
  <si>
    <t>33rd &amp; 34th Floor</t>
  </si>
  <si>
    <t>5BHK</t>
  </si>
  <si>
    <t>Offices</t>
  </si>
  <si>
    <t>Shops</t>
  </si>
  <si>
    <t>Flats</t>
  </si>
  <si>
    <t>RERA Carpet area</t>
  </si>
  <si>
    <t>Flats - 122, Shops - 11, Offices - 06</t>
  </si>
  <si>
    <t>Approved Plans, CC, Sale Plans, Builder Saleable Area, Cost Sheet.</t>
  </si>
  <si>
    <t>Ground Floor For Commercial, Entrance Lobby &amp; Parking</t>
  </si>
  <si>
    <t>1st &amp; 2nd Floor For Commercial &amp; Parking</t>
  </si>
  <si>
    <t>3rd Floor For Commercial &amp; Parking</t>
  </si>
  <si>
    <t>4th Floor For Swimming Pool, Jogging Track, Landscape Garden, 
Fitness Centre, Society Office, Drivers Room, MP Hall, etc</t>
  </si>
  <si>
    <t>Swimming Pool, Fitness Centre, Yoga &amp; Meditation Area, Sun Deck, Multipurpose Hall, Indoor Games, Jogging Track, Landscape Garden, Decorative Entrance Lobby, Etc.</t>
  </si>
  <si>
    <t>Builder Saleable Area</t>
  </si>
  <si>
    <t>We considered Gross carpet area = Net carpet + Balcony + Varandah + Chajja Area.</t>
  </si>
  <si>
    <t xml:space="preserve">Builder </t>
  </si>
  <si>
    <t xml:space="preserve">Near by Project </t>
  </si>
  <si>
    <t>Development Charges per Sqft</t>
  </si>
  <si>
    <t>Mr. Nitin 9819051163</t>
  </si>
  <si>
    <t>Construction work is in process at the time of Visit (labour found).</t>
  </si>
  <si>
    <t>Balcony + Varandah + Chajja Area.</t>
  </si>
  <si>
    <t>Internal Road</t>
  </si>
  <si>
    <t>NMMC/TPO/BP/1487/2024</t>
  </si>
  <si>
    <t xml:space="preserve">Plot Area = 3258.120 Sqm
Total Built Up Area = 15923.068 Sqm 
Residential = 122 Units, Shop = 11 Units, Office = 06 Units
</t>
  </si>
  <si>
    <t>3BHK</t>
  </si>
  <si>
    <t>6th, 16th, 21st (Refuge Balcony at midlanding of Staircase)</t>
  </si>
  <si>
    <t>5th, 7th to 10th, 13th to 15th, 17th to 20th &amp; 22nd to 24th Floor</t>
  </si>
  <si>
    <t>26th &amp; 31st Floor (Refuge Balcony @ midlanding of Staircase)</t>
  </si>
  <si>
    <t>25th, 27th to 30th &amp; 32nd Floor</t>
  </si>
  <si>
    <t>35th Floor (Refuge Balcony @ midlanding of Staircase)</t>
  </si>
  <si>
    <t>11th Floor (Refuge Area @ midlanding of Staircase)</t>
  </si>
  <si>
    <t>17300 to 17400</t>
  </si>
  <si>
    <t>Floor Rise Rate from 5th Floor</t>
  </si>
  <si>
    <t>Part 2 = Gr + 1st to 35th Floor</t>
  </si>
  <si>
    <t>Average 
Disbursement %</t>
  </si>
  <si>
    <t xml:space="preserve">Average
Progress % </t>
  </si>
  <si>
    <t>Mr. Satish 9833927651</t>
  </si>
  <si>
    <t>Pranita Mhatre</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</si>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</sst>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0"/>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7" fillId="0" borderId="0" xfId="1" applyFont="1" applyAlignment="1">
      <alignment horizontal="center"/>
    </xf>
    <xf numFmtId="0" fontId="27" fillId="0" borderId="0" xfId="10"/>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0" fontId="7" fillId="0" borderId="0" xfId="1" applyFont="1" applyAlignment="1">
      <alignment vertical="center"/>
    </xf>
    <xf numFmtId="2" fontId="7" fillId="0" borderId="0" xfId="1" applyNumberFormat="1" applyFont="1" applyAlignment="1">
      <alignment vertical="center"/>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6" fillId="0" borderId="0" xfId="1" applyFont="1" applyAlignment="1">
      <alignment horizontal="center"/>
    </xf>
    <xf numFmtId="1" fontId="12" fillId="0" borderId="1" xfId="1" applyNumberFormat="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top" wrapText="1"/>
      <protection locked="0"/>
    </xf>
    <xf numFmtId="168" fontId="7" fillId="0" borderId="0" xfId="1" applyNumberFormat="1" applyFont="1" applyAlignment="1">
      <alignment horizontal="center" vertical="center"/>
    </xf>
    <xf numFmtId="0" fontId="12" fillId="0" borderId="1" xfId="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7" fillId="0" borderId="1" xfId="9" applyNumberFormat="1" applyFont="1" applyFill="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7" fillId="0" borderId="22" xfId="1" applyFont="1" applyBorder="1" applyAlignment="1" applyProtection="1">
      <alignment horizontal="left" vertical="top" wrapText="1"/>
      <protection locked="0"/>
    </xf>
    <xf numFmtId="0" fontId="17" fillId="0" borderId="15" xfId="1" applyFont="1" applyBorder="1" applyAlignment="1" applyProtection="1">
      <alignment horizontal="left" vertical="top" wrapText="1"/>
      <protection locked="0"/>
    </xf>
    <xf numFmtId="0" fontId="17" fillId="0" borderId="13" xfId="1" applyFont="1" applyBorder="1" applyAlignment="1" applyProtection="1">
      <alignment horizontal="left" vertical="top" wrapText="1"/>
      <protection locked="0"/>
    </xf>
    <xf numFmtId="0" fontId="17" fillId="0" borderId="14" xfId="1" applyFont="1" applyBorder="1" applyAlignment="1" applyProtection="1">
      <alignment horizontal="left" vertical="top" wrapText="1"/>
      <protection locked="0"/>
    </xf>
    <xf numFmtId="0" fontId="17" fillId="0" borderId="23" xfId="1" applyFont="1" applyBorder="1" applyAlignment="1" applyProtection="1">
      <alignment horizontal="left" vertical="top" wrapText="1"/>
      <protection locked="0"/>
    </xf>
    <xf numFmtId="0" fontId="20" fillId="2" borderId="30" xfId="0" applyFont="1" applyFill="1" applyBorder="1"/>
    <xf numFmtId="0" fontId="15" fillId="0" borderId="4" xfId="1" applyFont="1" applyBorder="1" applyAlignment="1" applyProtection="1">
      <alignment horizontal="center" vertical="top"/>
      <protection locked="0"/>
    </xf>
    <xf numFmtId="0" fontId="15" fillId="0" borderId="5" xfId="1" applyFont="1" applyBorder="1" applyAlignment="1" applyProtection="1">
      <alignment horizontal="center" vertical="top"/>
      <protection locked="0"/>
    </xf>
    <xf numFmtId="0" fontId="20" fillId="0" borderId="1" xfId="0" applyFont="1" applyBorder="1"/>
    <xf numFmtId="0" fontId="17" fillId="0" borderId="4" xfId="1" applyFont="1" applyBorder="1" applyAlignment="1" applyProtection="1">
      <alignment horizontal="left" vertical="top"/>
      <protection locked="0"/>
    </xf>
    <xf numFmtId="0" fontId="17" fillId="0" borderId="1" xfId="1" applyFont="1" applyBorder="1" applyAlignment="1" applyProtection="1">
      <alignment horizontal="left" vertical="top"/>
      <protection locked="0"/>
    </xf>
    <xf numFmtId="0" fontId="17" fillId="0" borderId="1" xfId="1" applyFont="1" applyBorder="1" applyAlignment="1" applyProtection="1">
      <alignment horizontal="left" vertical="top" wrapText="1"/>
      <protection locked="0"/>
    </xf>
    <xf numFmtId="0" fontId="17" fillId="0" borderId="5" xfId="1" applyFont="1" applyBorder="1" applyAlignment="1" applyProtection="1">
      <alignment horizontal="left" vertical="top" wrapText="1"/>
      <protection locked="0"/>
    </xf>
    <xf numFmtId="0" fontId="15" fillId="0" borderId="4"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15" fillId="0" borderId="5" xfId="1" applyFont="1" applyBorder="1" applyAlignment="1" applyProtection="1">
      <alignment horizontal="center" vertical="top" wrapText="1"/>
      <protection locked="0"/>
    </xf>
    <xf numFmtId="0" fontId="32" fillId="0" borderId="0" xfId="0" applyFont="1" applyProtection="1">
      <protection hidden="1"/>
    </xf>
    <xf numFmtId="9" fontId="15" fillId="0" borderId="1" xfId="8" applyFont="1" applyFill="1" applyBorder="1" applyAlignment="1" applyProtection="1">
      <alignment horizontal="center" vertical="top" wrapText="1"/>
      <protection locked="0"/>
    </xf>
    <xf numFmtId="9" fontId="15" fillId="0" borderId="17" xfId="8" applyFont="1" applyFill="1" applyBorder="1" applyAlignment="1" applyProtection="1">
      <alignment horizontal="center" vertical="center" wrapText="1"/>
      <protection locked="0"/>
    </xf>
    <xf numFmtId="9" fontId="15" fillId="0" borderId="18" xfId="8" applyFont="1" applyFill="1" applyBorder="1" applyAlignment="1" applyProtection="1">
      <alignment horizontal="center" vertical="center" wrapText="1"/>
      <protection locked="0"/>
    </xf>
    <xf numFmtId="9" fontId="15" fillId="0" borderId="27" xfId="8" applyFont="1" applyFill="1" applyBorder="1" applyAlignment="1" applyProtection="1">
      <alignment horizontal="center" vertical="center" wrapText="1"/>
      <protection locked="0"/>
    </xf>
    <xf numFmtId="9" fontId="15" fillId="0" borderId="25" xfId="8" applyFont="1" applyFill="1" applyBorder="1" applyAlignment="1" applyProtection="1">
      <alignment horizontal="center" vertical="center" wrapText="1"/>
      <protection locked="0"/>
    </xf>
    <xf numFmtId="9" fontId="15" fillId="0" borderId="26" xfId="8" applyFont="1" applyFill="1" applyBorder="1" applyAlignment="1" applyProtection="1">
      <alignment horizontal="center" vertical="center" wrapText="1"/>
      <protection locked="0"/>
    </xf>
    <xf numFmtId="9" fontId="15" fillId="0" borderId="10" xfId="8" applyFont="1" applyFill="1" applyBorder="1" applyAlignment="1" applyProtection="1">
      <alignment horizontal="center" vertical="center" wrapText="1"/>
      <protection locked="0"/>
    </xf>
    <xf numFmtId="0" fontId="15" fillId="0" borderId="6" xfId="1" applyFont="1" applyBorder="1" applyAlignment="1" applyProtection="1">
      <alignment horizontal="center" vertical="top" wrapText="1"/>
      <protection locked="0"/>
    </xf>
    <xf numFmtId="0" fontId="15" fillId="0" borderId="7" xfId="1" applyFont="1" applyBorder="1" applyAlignment="1" applyProtection="1">
      <alignment horizontal="center" vertical="top" wrapText="1"/>
      <protection locked="0"/>
    </xf>
    <xf numFmtId="0" fontId="15" fillId="0" borderId="7" xfId="1" applyFont="1" applyBorder="1" applyAlignment="1" applyProtection="1">
      <alignment horizontal="center" vertical="top" wrapText="1"/>
      <protection locked="0"/>
    </xf>
    <xf numFmtId="9" fontId="15" fillId="0" borderId="7" xfId="8" applyFont="1" applyFill="1" applyBorder="1" applyAlignment="1" applyProtection="1">
      <alignment horizontal="center" vertical="top" wrapText="1"/>
      <protection locked="0"/>
    </xf>
    <xf numFmtId="9" fontId="15" fillId="0" borderId="28" xfId="8" applyFont="1" applyFill="1" applyBorder="1" applyAlignment="1" applyProtection="1">
      <alignment horizontal="center" vertical="center" wrapText="1"/>
      <protection locked="0"/>
    </xf>
    <xf numFmtId="9" fontId="15" fillId="0" borderId="29" xfId="8" applyFont="1" applyFill="1" applyBorder="1" applyAlignment="1" applyProtection="1">
      <alignment horizontal="center" vertical="center" wrapText="1"/>
      <protection locked="0"/>
    </xf>
    <xf numFmtId="9" fontId="15" fillId="0" borderId="12" xfId="8" applyFont="1" applyFill="1" applyBorder="1" applyAlignment="1" applyProtection="1">
      <alignment horizontal="center" vertical="center" wrapText="1"/>
      <protection locked="0"/>
    </xf>
    <xf numFmtId="0" fontId="32" fillId="0" borderId="11" xfId="0" applyFont="1" applyBorder="1" applyProtection="1">
      <protection hidden="1"/>
    </xf>
    <xf numFmtId="0" fontId="17" fillId="0" borderId="34" xfId="1" applyFont="1" applyBorder="1" applyAlignment="1" applyProtection="1">
      <alignment horizontal="center" vertical="center" wrapText="1"/>
      <protection locked="0"/>
    </xf>
    <xf numFmtId="0" fontId="17" fillId="0" borderId="35" xfId="1" applyFont="1" applyBorder="1" applyAlignment="1" applyProtection="1">
      <alignment horizontal="center" vertical="center" wrapText="1"/>
      <protection locked="0"/>
    </xf>
    <xf numFmtId="9" fontId="17" fillId="0" borderId="36" xfId="1" applyNumberFormat="1" applyFont="1" applyBorder="1" applyAlignment="1" applyProtection="1">
      <alignment horizontal="center" vertical="center"/>
      <protection locked="0"/>
    </xf>
    <xf numFmtId="0" fontId="17" fillId="0" borderId="35" xfId="1" applyFont="1" applyBorder="1" applyAlignment="1" applyProtection="1">
      <alignment horizontal="center" vertical="center"/>
      <protection locked="0"/>
    </xf>
    <xf numFmtId="0" fontId="17" fillId="0" borderId="36" xfId="1" applyFont="1" applyBorder="1" applyAlignment="1" applyProtection="1">
      <alignment horizontal="center" vertical="center" wrapText="1"/>
      <protection locked="0"/>
    </xf>
    <xf numFmtId="0" fontId="17" fillId="0" borderId="37" xfId="1" applyFont="1" applyBorder="1" applyAlignment="1" applyProtection="1">
      <alignment horizontal="center" vertical="center"/>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342900</xdr:colOff>
      <xdr:row>310</xdr:row>
      <xdr:rowOff>19050</xdr:rowOff>
    </xdr:from>
    <xdr:to>
      <xdr:col>6</xdr:col>
      <xdr:colOff>396218</xdr:colOff>
      <xdr:row>348</xdr:row>
      <xdr:rowOff>178981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04900" y="50968275"/>
          <a:ext cx="4139543" cy="7760881"/>
        </a:xfrm>
        <a:prstGeom prst="rect">
          <a:avLst/>
        </a:prstGeom>
      </xdr:spPr>
    </xdr:pic>
    <xdr:clientData/>
  </xdr:twoCellAnchor>
  <xdr:twoCellAnchor>
    <xdr:from>
      <xdr:col>0</xdr:col>
      <xdr:colOff>371475</xdr:colOff>
      <xdr:row>352</xdr:row>
      <xdr:rowOff>28575</xdr:rowOff>
    </xdr:from>
    <xdr:to>
      <xdr:col>7</xdr:col>
      <xdr:colOff>533400</xdr:colOff>
      <xdr:row>390</xdr:row>
      <xdr:rowOff>171450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71475" y="58332781"/>
          <a:ext cx="5742454" cy="7807698"/>
          <a:chOff x="508956" y="138023"/>
          <a:chExt cx="5831457" cy="8315863"/>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444685" y="138023"/>
            <a:ext cx="3960000" cy="3989882"/>
          </a:xfrm>
          <a:prstGeom prst="rect">
            <a:avLst/>
          </a:prstGeom>
          <a:ln>
            <a:solidFill>
              <a:schemeClr val="tx1"/>
            </a:solidFill>
          </a:ln>
        </xdr:spPr>
      </xdr:pic>
      <xdr:grpSp>
        <xdr:nvGrpSpPr>
          <xdr:cNvPr id="5" name="Group 4">
            <a:extLst>
              <a:ext uri="{FF2B5EF4-FFF2-40B4-BE49-F238E27FC236}">
                <a16:creationId xmlns:a16="http://schemas.microsoft.com/office/drawing/2014/main" id="{00000000-0008-0000-0000-000005000000}"/>
              </a:ext>
            </a:extLst>
          </xdr:cNvPr>
          <xdr:cNvGrpSpPr/>
        </xdr:nvGrpSpPr>
        <xdr:grpSpPr>
          <a:xfrm>
            <a:off x="508956" y="4278702"/>
            <a:ext cx="5831457" cy="4175184"/>
            <a:chOff x="508956" y="4278702"/>
            <a:chExt cx="5831457" cy="4175184"/>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08956" y="4278702"/>
              <a:ext cx="5831457" cy="4175184"/>
            </a:xfrm>
            <a:prstGeom prst="rect">
              <a:avLst/>
            </a:prstGeom>
            <a:ln>
              <a:solidFill>
                <a:schemeClr val="tx1"/>
              </a:solidFill>
            </a:ln>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rot="18711841">
              <a:off x="2950234" y="5969479"/>
              <a:ext cx="1311215" cy="1104181"/>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9</xdr:col>
      <xdr:colOff>529318</xdr:colOff>
      <xdr:row>266</xdr:row>
      <xdr:rowOff>176893</xdr:rowOff>
    </xdr:from>
    <xdr:to>
      <xdr:col>15</xdr:col>
      <xdr:colOff>687386</xdr:colOff>
      <xdr:row>305</xdr:row>
      <xdr:rowOff>83965</xdr:rowOff>
    </xdr:to>
    <xdr:grpSp>
      <xdr:nvGrpSpPr>
        <xdr:cNvPr id="26" name="Group 25">
          <a:extLst>
            <a:ext uri="{FF2B5EF4-FFF2-40B4-BE49-F238E27FC236}">
              <a16:creationId xmlns:a16="http://schemas.microsoft.com/office/drawing/2014/main" id="{B1DE758A-5D7E-4CD8-9E79-6CA606C108F6}"/>
            </a:ext>
          </a:extLst>
        </xdr:cNvPr>
        <xdr:cNvGrpSpPr/>
      </xdr:nvGrpSpPr>
      <xdr:grpSpPr>
        <a:xfrm>
          <a:off x="8003642" y="41145599"/>
          <a:ext cx="4987803" cy="7762395"/>
          <a:chOff x="814835" y="491311"/>
          <a:chExt cx="5004932" cy="7698522"/>
        </a:xfrm>
      </xdr:grpSpPr>
      <xdr:pic>
        <xdr:nvPicPr>
          <xdr:cNvPr id="33" name="Picture 32">
            <a:extLst>
              <a:ext uri="{FF2B5EF4-FFF2-40B4-BE49-F238E27FC236}">
                <a16:creationId xmlns:a16="http://schemas.microsoft.com/office/drawing/2014/main" id="{DD839552-477D-4C2C-A51D-C85E8C4B8E6C}"/>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393142" y="491311"/>
            <a:ext cx="2426625" cy="3240000"/>
          </a:xfrm>
          <a:prstGeom prst="rect">
            <a:avLst/>
          </a:prstGeom>
          <a:ln>
            <a:solidFill>
              <a:schemeClr val="tx1"/>
            </a:solidFill>
          </a:ln>
        </xdr:spPr>
      </xdr:pic>
      <xdr:pic>
        <xdr:nvPicPr>
          <xdr:cNvPr id="34" name="Picture 33">
            <a:extLst>
              <a:ext uri="{FF2B5EF4-FFF2-40B4-BE49-F238E27FC236}">
                <a16:creationId xmlns:a16="http://schemas.microsoft.com/office/drawing/2014/main" id="{E73F8914-EBBF-4770-BACB-F2BE24A4F679}"/>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14835" y="491311"/>
            <a:ext cx="2426625" cy="3240000"/>
          </a:xfrm>
          <a:prstGeom prst="rect">
            <a:avLst/>
          </a:prstGeom>
          <a:ln>
            <a:solidFill>
              <a:schemeClr val="tx1"/>
            </a:solidFill>
          </a:ln>
        </xdr:spPr>
      </xdr:pic>
      <xdr:pic>
        <xdr:nvPicPr>
          <xdr:cNvPr id="35" name="Picture 34">
            <a:extLst>
              <a:ext uri="{FF2B5EF4-FFF2-40B4-BE49-F238E27FC236}">
                <a16:creationId xmlns:a16="http://schemas.microsoft.com/office/drawing/2014/main" id="{01C3F5BE-BA23-43CA-B094-D80ACF16F7E5}"/>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043110" y="3890792"/>
            <a:ext cx="1617750" cy="2160000"/>
          </a:xfrm>
          <a:prstGeom prst="rect">
            <a:avLst/>
          </a:prstGeom>
          <a:ln>
            <a:solidFill>
              <a:schemeClr val="tx1"/>
            </a:solidFill>
          </a:ln>
        </xdr:spPr>
      </xdr:pic>
      <xdr:pic>
        <xdr:nvPicPr>
          <xdr:cNvPr id="36" name="Picture 35">
            <a:extLst>
              <a:ext uri="{FF2B5EF4-FFF2-40B4-BE49-F238E27FC236}">
                <a16:creationId xmlns:a16="http://schemas.microsoft.com/office/drawing/2014/main" id="{6DB80C77-F22A-46F4-A08B-B8974CFFC93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71306" y="3890572"/>
            <a:ext cx="2876000" cy="2160000"/>
          </a:xfrm>
          <a:prstGeom prst="rect">
            <a:avLst/>
          </a:prstGeom>
          <a:ln>
            <a:solidFill>
              <a:schemeClr val="tx1"/>
            </a:solidFill>
          </a:ln>
        </xdr:spPr>
      </xdr:pic>
      <xdr:pic>
        <xdr:nvPicPr>
          <xdr:cNvPr id="37" name="Picture 36">
            <a:extLst>
              <a:ext uri="{FF2B5EF4-FFF2-40B4-BE49-F238E27FC236}">
                <a16:creationId xmlns:a16="http://schemas.microsoft.com/office/drawing/2014/main" id="{8514A5DA-FDD3-4780-99A3-F040F1AEF4E2}"/>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730629" y="6209833"/>
            <a:ext cx="1482938" cy="1980000"/>
          </a:xfrm>
          <a:prstGeom prst="rect">
            <a:avLst/>
          </a:prstGeom>
          <a:ln>
            <a:solidFill>
              <a:schemeClr val="tx1"/>
            </a:solidFill>
          </a:ln>
        </xdr:spPr>
      </xdr:pic>
      <xdr:pic>
        <xdr:nvPicPr>
          <xdr:cNvPr id="38" name="Picture 37">
            <a:extLst>
              <a:ext uri="{FF2B5EF4-FFF2-40B4-BE49-F238E27FC236}">
                <a16:creationId xmlns:a16="http://schemas.microsoft.com/office/drawing/2014/main" id="{920C5B9C-4614-4AB5-B0A6-FAEBA16CC894}"/>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29000" y="6209833"/>
            <a:ext cx="1482938" cy="1980000"/>
          </a:xfrm>
          <a:prstGeom prst="rect">
            <a:avLst/>
          </a:prstGeom>
          <a:ln>
            <a:solidFill>
              <a:schemeClr val="tx1"/>
            </a:solidFill>
          </a:ln>
        </xdr:spPr>
      </xdr:pic>
      <xdr:sp macro="" textlink="">
        <xdr:nvSpPr>
          <xdr:cNvPr id="39" name="TextBox 88">
            <a:extLst>
              <a:ext uri="{FF2B5EF4-FFF2-40B4-BE49-F238E27FC236}">
                <a16:creationId xmlns:a16="http://schemas.microsoft.com/office/drawing/2014/main" id="{835E8000-0367-40B9-98D5-65D0C96B1754}"/>
              </a:ext>
            </a:extLst>
          </xdr:cNvPr>
          <xdr:cNvSpPr txBox="1"/>
        </xdr:nvSpPr>
        <xdr:spPr>
          <a:xfrm>
            <a:off x="3519517" y="2515954"/>
            <a:ext cx="935256"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Part 2</a:t>
            </a:r>
            <a:endParaRPr lang="en-IN" sz="2400" b="1">
              <a:solidFill>
                <a:srgbClr val="FF0000"/>
              </a:solidFill>
            </a:endParaRPr>
          </a:p>
        </xdr:txBody>
      </xdr:sp>
      <xdr:sp macro="" textlink="">
        <xdr:nvSpPr>
          <xdr:cNvPr id="40" name="TextBox 89">
            <a:extLst>
              <a:ext uri="{FF2B5EF4-FFF2-40B4-BE49-F238E27FC236}">
                <a16:creationId xmlns:a16="http://schemas.microsoft.com/office/drawing/2014/main" id="{6D6EBE8E-3F18-4CF4-9EA8-C7314D5AE4BB}"/>
              </a:ext>
            </a:extLst>
          </xdr:cNvPr>
          <xdr:cNvSpPr txBox="1"/>
        </xdr:nvSpPr>
        <xdr:spPr>
          <a:xfrm>
            <a:off x="1983764" y="814910"/>
            <a:ext cx="935256"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Part 1</a:t>
            </a:r>
            <a:endParaRPr lang="en-IN" sz="2400" b="1">
              <a:solidFill>
                <a:srgbClr val="FF0000"/>
              </a:solidFill>
            </a:endParaRPr>
          </a:p>
        </xdr:txBody>
      </xdr:sp>
      <xdr:sp macro="" textlink="">
        <xdr:nvSpPr>
          <xdr:cNvPr id="41" name="TextBox 90">
            <a:extLst>
              <a:ext uri="{FF2B5EF4-FFF2-40B4-BE49-F238E27FC236}">
                <a16:creationId xmlns:a16="http://schemas.microsoft.com/office/drawing/2014/main" id="{3F14F23E-0655-4486-9196-4C109C7B5858}"/>
              </a:ext>
            </a:extLst>
          </xdr:cNvPr>
          <xdr:cNvSpPr txBox="1"/>
        </xdr:nvSpPr>
        <xdr:spPr>
          <a:xfrm>
            <a:off x="2357954" y="3932487"/>
            <a:ext cx="935256"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Part 1</a:t>
            </a:r>
            <a:endParaRPr lang="en-IN" sz="2400" b="1">
              <a:solidFill>
                <a:srgbClr val="FF0000"/>
              </a:solidFill>
            </a:endParaRPr>
          </a:p>
        </xdr:txBody>
      </xdr:sp>
      <xdr:sp macro="" textlink="">
        <xdr:nvSpPr>
          <xdr:cNvPr id="42" name="TextBox 91">
            <a:extLst>
              <a:ext uri="{FF2B5EF4-FFF2-40B4-BE49-F238E27FC236}">
                <a16:creationId xmlns:a16="http://schemas.microsoft.com/office/drawing/2014/main" id="{B81A7521-983B-494E-9EF8-15F29AE430E2}"/>
              </a:ext>
            </a:extLst>
          </xdr:cNvPr>
          <xdr:cNvSpPr txBox="1"/>
        </xdr:nvSpPr>
        <xdr:spPr>
          <a:xfrm>
            <a:off x="4082377" y="3900756"/>
            <a:ext cx="935256"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Part 2</a:t>
            </a:r>
            <a:endParaRPr lang="en-IN" sz="2400" b="1">
              <a:solidFill>
                <a:srgbClr val="FF0000"/>
              </a:solidFill>
            </a:endParaRPr>
          </a:p>
        </xdr:txBody>
      </xdr:sp>
    </xdr:grpSp>
    <xdr:clientData/>
  </xdr:twoCellAnchor>
  <xdr:twoCellAnchor>
    <xdr:from>
      <xdr:col>0</xdr:col>
      <xdr:colOff>155864</xdr:colOff>
      <xdr:row>267</xdr:row>
      <xdr:rowOff>69272</xdr:rowOff>
    </xdr:from>
    <xdr:to>
      <xdr:col>7</xdr:col>
      <xdr:colOff>508433</xdr:colOff>
      <xdr:row>309</xdr:row>
      <xdr:rowOff>24845</xdr:rowOff>
    </xdr:to>
    <xdr:grpSp>
      <xdr:nvGrpSpPr>
        <xdr:cNvPr id="20" name="Group 19"/>
        <xdr:cNvGrpSpPr/>
      </xdr:nvGrpSpPr>
      <xdr:grpSpPr>
        <a:xfrm>
          <a:off x="155864" y="41239684"/>
          <a:ext cx="5933098" cy="8416014"/>
          <a:chOff x="311728" y="42256364"/>
          <a:chExt cx="5929048" cy="8666618"/>
        </a:xfrm>
      </xdr:grpSpPr>
      <xdr:grpSp>
        <xdr:nvGrpSpPr>
          <xdr:cNvPr id="43" name="Group 42"/>
          <xdr:cNvGrpSpPr/>
        </xdr:nvGrpSpPr>
        <xdr:grpSpPr>
          <a:xfrm>
            <a:off x="311728" y="46371246"/>
            <a:ext cx="5929048" cy="4551736"/>
            <a:chOff x="-801958" y="6066771"/>
            <a:chExt cx="7260578" cy="4948046"/>
          </a:xfrm>
        </xdr:grpSpPr>
        <xdr:pic>
          <xdr:nvPicPr>
            <xdr:cNvPr id="44" name="Picture 43" descr="https://vsjcllp.vsjadon.com/upload/insp-246830-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823701" y="8639365"/>
              <a:ext cx="1787159" cy="2375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6830-847.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4964" y="8630026"/>
              <a:ext cx="1786420" cy="23744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6830-84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614346" y="6082790"/>
              <a:ext cx="1844274" cy="24513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6830-877.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606178" y="6079030"/>
              <a:ext cx="1844274" cy="24513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6830-880.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23682" y="8634426"/>
              <a:ext cx="1779735" cy="2375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6830-88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01958" y="6066771"/>
              <a:ext cx="3253418" cy="24513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56" name="Picture 55" descr="https://vsjcllp.vsjadon.com/upload/insp-246830-1022.jpg"/>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79320" y="42256364"/>
            <a:ext cx="5091720" cy="3987509"/>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201706</xdr:colOff>
      <xdr:row>6</xdr:row>
      <xdr:rowOff>168088</xdr:rowOff>
    </xdr:from>
    <xdr:to>
      <xdr:col>6</xdr:col>
      <xdr:colOff>206272</xdr:colOff>
      <xdr:row>25</xdr:row>
      <xdr:rowOff>148588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84412" y="1322294"/>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juhiempressapbr.com/" TargetMode="External"/><Relationship Id="rId1" Type="http://schemas.openxmlformats.org/officeDocument/2006/relationships/hyperlink" Target="https://maps.app.goo.gl/x5HtSmTPrRcpH8vD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51"/>
  <sheetViews>
    <sheetView tabSelected="1" view="pageBreakPreview" topLeftCell="A274" zoomScale="85" zoomScaleNormal="100" zoomScaleSheetLayoutView="85" zoomScalePageLayoutView="85" workbookViewId="0">
      <selection activeCell="J290" sqref="J29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07" t="s">
        <v>165</v>
      </c>
      <c r="B1" s="207"/>
      <c r="C1" s="207"/>
      <c r="D1" s="207"/>
      <c r="E1" s="207"/>
      <c r="F1" s="207"/>
      <c r="G1" s="207"/>
      <c r="H1" s="207"/>
    </row>
    <row r="2" spans="1:26" ht="16.5" customHeight="1" x14ac:dyDescent="0.25">
      <c r="A2" s="208" t="s">
        <v>0</v>
      </c>
      <c r="B2" s="208"/>
      <c r="C2" s="208"/>
      <c r="D2" s="208"/>
      <c r="E2" s="208"/>
      <c r="F2" s="208"/>
      <c r="G2" s="208"/>
      <c r="H2" s="208"/>
    </row>
    <row r="3" spans="1:26" x14ac:dyDescent="0.25">
      <c r="A3" s="89" t="s">
        <v>1</v>
      </c>
      <c r="B3" s="89"/>
      <c r="C3" s="89"/>
      <c r="D3" s="89"/>
      <c r="E3" s="89" t="str">
        <f ca="1">TEXT(TODAY(),"DD/MM/YYYY")</f>
        <v>17/09/2025</v>
      </c>
      <c r="F3" s="89"/>
      <c r="G3" s="89"/>
      <c r="H3" s="89"/>
      <c r="K3" s="55" t="s">
        <v>236</v>
      </c>
      <c r="L3" s="54" t="s">
        <v>234</v>
      </c>
      <c r="M3" s="54" t="s">
        <v>239</v>
      </c>
      <c r="N3" s="54" t="s">
        <v>237</v>
      </c>
      <c r="O3" s="54" t="s">
        <v>238</v>
      </c>
      <c r="P3" s="54" t="s">
        <v>240</v>
      </c>
    </row>
    <row r="4" spans="1:26" ht="15" customHeight="1" x14ac:dyDescent="0.25">
      <c r="A4" s="89" t="s">
        <v>233</v>
      </c>
      <c r="B4" s="89"/>
      <c r="C4" s="89"/>
      <c r="D4" s="89"/>
      <c r="E4" s="89" t="s">
        <v>234</v>
      </c>
      <c r="F4" s="89"/>
      <c r="G4" s="89"/>
      <c r="H4" s="89"/>
      <c r="K4" s="53" t="s">
        <v>235</v>
      </c>
      <c r="L4" s="54" t="s">
        <v>172</v>
      </c>
      <c r="M4" s="54" t="s">
        <v>244</v>
      </c>
      <c r="N4" s="54" t="s">
        <v>246</v>
      </c>
      <c r="O4" s="54" t="s">
        <v>248</v>
      </c>
      <c r="P4" s="54"/>
    </row>
    <row r="5" spans="1:26" ht="15" customHeight="1" x14ac:dyDescent="0.25">
      <c r="A5" s="89" t="s">
        <v>2</v>
      </c>
      <c r="B5" s="89"/>
      <c r="C5" s="89"/>
      <c r="D5" s="89"/>
      <c r="E5" s="89" t="s">
        <v>242</v>
      </c>
      <c r="F5" s="89"/>
      <c r="G5" s="89"/>
      <c r="H5" s="89"/>
      <c r="K5" s="53"/>
      <c r="L5" s="54" t="s">
        <v>241</v>
      </c>
      <c r="M5" s="54" t="s">
        <v>245</v>
      </c>
      <c r="N5" s="54" t="s">
        <v>247</v>
      </c>
      <c r="O5" s="54" t="s">
        <v>249</v>
      </c>
      <c r="P5" s="54"/>
    </row>
    <row r="6" spans="1:26" x14ac:dyDescent="0.25">
      <c r="A6" s="89" t="s">
        <v>3</v>
      </c>
      <c r="B6" s="89"/>
      <c r="C6" s="89"/>
      <c r="D6" s="89"/>
      <c r="E6" s="209">
        <v>45909</v>
      </c>
      <c r="F6" s="89"/>
      <c r="G6" s="89"/>
      <c r="H6" s="89"/>
      <c r="K6" s="53"/>
      <c r="L6" s="54" t="s">
        <v>242</v>
      </c>
      <c r="M6" s="54"/>
      <c r="N6" s="54"/>
      <c r="O6" s="54" t="s">
        <v>250</v>
      </c>
      <c r="P6" s="54"/>
    </row>
    <row r="7" spans="1:26" ht="16.5" customHeight="1" x14ac:dyDescent="0.25">
      <c r="A7" s="89" t="s">
        <v>4</v>
      </c>
      <c r="B7" s="89"/>
      <c r="C7" s="89"/>
      <c r="D7" s="89"/>
      <c r="E7" s="89" t="s">
        <v>337</v>
      </c>
      <c r="F7" s="89"/>
      <c r="G7" s="89"/>
      <c r="H7" s="89"/>
      <c r="K7" s="53"/>
      <c r="L7" s="54" t="s">
        <v>243</v>
      </c>
      <c r="M7" s="54"/>
      <c r="N7" s="54"/>
      <c r="O7" s="54" t="s">
        <v>250</v>
      </c>
      <c r="P7" s="54"/>
    </row>
    <row r="8" spans="1:26" ht="15" customHeight="1" x14ac:dyDescent="0.25">
      <c r="A8" s="89" t="s">
        <v>5</v>
      </c>
      <c r="B8" s="89"/>
      <c r="C8" s="89"/>
      <c r="D8" s="89"/>
      <c r="E8" s="89" t="str">
        <f>E7</f>
        <v>Juhi Habitat Pvt. Ltd.</v>
      </c>
      <c r="F8" s="89"/>
      <c r="G8" s="89"/>
      <c r="H8" s="89"/>
      <c r="K8" s="53"/>
      <c r="L8" s="54"/>
      <c r="M8" s="54"/>
      <c r="N8" s="54"/>
      <c r="O8" s="54" t="s">
        <v>251</v>
      </c>
      <c r="P8" s="54"/>
    </row>
    <row r="9" spans="1:26" x14ac:dyDescent="0.25">
      <c r="A9" s="89" t="s">
        <v>6</v>
      </c>
      <c r="B9" s="89"/>
      <c r="C9" s="89"/>
      <c r="D9" s="89"/>
      <c r="E9" s="186" t="s">
        <v>336</v>
      </c>
      <c r="F9" s="186"/>
      <c r="G9" s="186"/>
      <c r="H9" s="186"/>
      <c r="K9" s="53"/>
      <c r="L9" s="54"/>
      <c r="M9" s="54"/>
      <c r="N9" s="54"/>
      <c r="O9" s="54" t="s">
        <v>252</v>
      </c>
      <c r="P9" s="54"/>
    </row>
    <row r="10" spans="1:26" x14ac:dyDescent="0.25">
      <c r="A10" s="89" t="s">
        <v>168</v>
      </c>
      <c r="B10" s="89"/>
      <c r="C10" s="89"/>
      <c r="D10" s="89"/>
      <c r="E10" s="89" t="s">
        <v>338</v>
      </c>
      <c r="F10" s="89"/>
      <c r="G10" s="89"/>
      <c r="H10" s="89"/>
      <c r="K10" s="53"/>
      <c r="L10" s="54"/>
      <c r="M10" s="54"/>
      <c r="N10" s="54"/>
      <c r="O10" s="54"/>
      <c r="P10" s="54"/>
    </row>
    <row r="11" spans="1:26" x14ac:dyDescent="0.25">
      <c r="A11" s="89" t="s">
        <v>169</v>
      </c>
      <c r="B11" s="89"/>
      <c r="C11" s="89"/>
      <c r="D11" s="89"/>
      <c r="E11" s="89" t="s">
        <v>398</v>
      </c>
      <c r="F11" s="89"/>
      <c r="G11" s="89"/>
      <c r="H11" s="89"/>
      <c r="I11" s="89" t="s">
        <v>380</v>
      </c>
      <c r="J11" s="89"/>
      <c r="K11" s="89"/>
      <c r="L11" s="89"/>
    </row>
    <row r="12" spans="1:26" x14ac:dyDescent="0.25">
      <c r="A12" s="89" t="s">
        <v>7</v>
      </c>
      <c r="B12" s="89"/>
      <c r="C12" s="89"/>
      <c r="D12" s="89"/>
      <c r="E12" s="89" t="s">
        <v>119</v>
      </c>
      <c r="F12" s="89"/>
      <c r="G12" s="89"/>
      <c r="H12" s="89"/>
    </row>
    <row r="13" spans="1:26" x14ac:dyDescent="0.25">
      <c r="A13" s="89" t="s">
        <v>173</v>
      </c>
      <c r="B13" s="89"/>
      <c r="C13" s="89"/>
      <c r="D13" s="89"/>
      <c r="E13" s="89" t="s">
        <v>28</v>
      </c>
      <c r="F13" s="89"/>
      <c r="G13" s="89"/>
      <c r="H13" s="89"/>
      <c r="S13" s="54" t="s">
        <v>180</v>
      </c>
      <c r="T13" s="54" t="s">
        <v>189</v>
      </c>
      <c r="U13" s="54" t="s">
        <v>174</v>
      </c>
      <c r="V13" s="54" t="s">
        <v>194</v>
      </c>
      <c r="W13" s="54" t="s">
        <v>212</v>
      </c>
      <c r="X13"/>
      <c r="Y13" t="s">
        <v>194</v>
      </c>
      <c r="Z13" t="e">
        <f ca="1">OFFSET($S$13,1,MATCH($G20,$S$13:$W$13,0)-1,15,1)</f>
        <v>#VALUE!</v>
      </c>
    </row>
    <row r="14" spans="1:26" ht="32.25" customHeight="1" x14ac:dyDescent="0.25">
      <c r="A14" s="103" t="s">
        <v>279</v>
      </c>
      <c r="B14" s="103"/>
      <c r="C14" s="103"/>
      <c r="D14" s="103"/>
      <c r="E14" s="119" t="s">
        <v>369</v>
      </c>
      <c r="F14" s="119"/>
      <c r="G14" s="119"/>
      <c r="H14" s="119"/>
      <c r="S14" s="54" t="s">
        <v>180</v>
      </c>
      <c r="T14" s="54" t="s">
        <v>187</v>
      </c>
      <c r="U14" s="54" t="s">
        <v>209</v>
      </c>
      <c r="V14" s="54" t="s">
        <v>195</v>
      </c>
      <c r="W14" s="54" t="s">
        <v>213</v>
      </c>
      <c r="X14"/>
      <c r="Y14"/>
      <c r="Z14"/>
    </row>
    <row r="15" spans="1:26" x14ac:dyDescent="0.25">
      <c r="A15" s="103" t="s">
        <v>8</v>
      </c>
      <c r="B15" s="103"/>
      <c r="C15" s="103"/>
      <c r="D15" s="103"/>
      <c r="E15" s="119" t="s">
        <v>339</v>
      </c>
      <c r="F15" s="89"/>
      <c r="G15" s="89"/>
      <c r="H15" s="89"/>
      <c r="I15" s="99" t="e">
        <f ca="1">OFFSET($D$5,1,MATCH($J13,$D$5:$H$5,0)-1,15,1)</f>
        <v>#N/A</v>
      </c>
      <c r="J15" s="100"/>
      <c r="K15" s="100"/>
      <c r="L15" s="100"/>
      <c r="M15" s="100"/>
      <c r="N15" s="100"/>
      <c r="O15" s="100"/>
      <c r="P15" s="100"/>
      <c r="S15" s="54" t="s">
        <v>181</v>
      </c>
      <c r="T15" s="54" t="s">
        <v>188</v>
      </c>
      <c r="U15" s="54" t="s">
        <v>210</v>
      </c>
      <c r="V15" s="54" t="s">
        <v>196</v>
      </c>
      <c r="W15" s="54" t="s">
        <v>226</v>
      </c>
      <c r="X15"/>
      <c r="Y15"/>
      <c r="Z15"/>
    </row>
    <row r="16" spans="1:26" ht="32.25" customHeight="1" x14ac:dyDescent="0.25">
      <c r="A16" s="118" t="s">
        <v>9</v>
      </c>
      <c r="B16" s="118"/>
      <c r="C16" s="118" t="str">
        <f>CONCATENATE((IF(OR(E9="",E9="NA"),"",E9)),", ",(IF(OR(A17="",A17="NA"),"",A17)),".",(IF(OR(C17="",C17="NA"),"",C17)),", near ",(IF(OR(C22="",C22="NA"),"",C22)),", ",(IF(OR(C19="",C19="NA"),"",C19)),", ",(IF(OR(C18="",C18="NA"),"",C18)),", ",(IF(OR(G19="",G19="NA"),"",G19)),", ",(IF(OR(C20="",C20="NA"),"",C20)),", ",(IF(OR(C21="",C21="NA"),"",C21)),", ",(IF(OR(G20="",G20="NA"),"",G20))," - ",(IF(OR(G21="",G21="NA"),"",G21)),".")</f>
        <v>Juhi Empressa, Plot No.11, Sector 18, near Jaipuriar School, Internal Road, Sanpada, Sanpada, Sanpada, Thane, Thane - 400705.</v>
      </c>
      <c r="D16" s="118"/>
      <c r="E16" s="118"/>
      <c r="F16" s="118"/>
      <c r="G16" s="118"/>
      <c r="H16" s="118"/>
      <c r="S16" s="54" t="s">
        <v>182</v>
      </c>
      <c r="T16" s="54" t="s">
        <v>190</v>
      </c>
      <c r="U16" s="54" t="s">
        <v>211</v>
      </c>
      <c r="V16" s="54" t="s">
        <v>197</v>
      </c>
      <c r="W16" s="54" t="s">
        <v>214</v>
      </c>
      <c r="X16"/>
      <c r="Y16"/>
      <c r="Z16"/>
    </row>
    <row r="17" spans="1:26" x14ac:dyDescent="0.25">
      <c r="A17" s="119" t="s">
        <v>340</v>
      </c>
      <c r="B17" s="119"/>
      <c r="C17" s="119" t="s">
        <v>341</v>
      </c>
      <c r="D17" s="119"/>
      <c r="E17" s="119"/>
      <c r="F17" s="119"/>
      <c r="G17" s="119"/>
      <c r="H17" s="119"/>
      <c r="S17" s="54" t="s">
        <v>183</v>
      </c>
      <c r="T17" s="54" t="s">
        <v>191</v>
      </c>
      <c r="U17" s="54" t="s">
        <v>174</v>
      </c>
      <c r="V17" s="54" t="s">
        <v>198</v>
      </c>
      <c r="W17" s="54" t="s">
        <v>215</v>
      </c>
      <c r="X17"/>
      <c r="Y17"/>
      <c r="Z17"/>
    </row>
    <row r="18" spans="1:26" ht="15.75" customHeight="1" x14ac:dyDescent="0.25">
      <c r="A18" s="119" t="s">
        <v>163</v>
      </c>
      <c r="B18" s="119"/>
      <c r="C18" s="119" t="s">
        <v>342</v>
      </c>
      <c r="D18" s="119"/>
      <c r="E18" s="119"/>
      <c r="F18" s="119"/>
      <c r="G18" s="119"/>
      <c r="H18" s="119"/>
      <c r="S18" s="54" t="s">
        <v>184</v>
      </c>
      <c r="T18" s="54" t="s">
        <v>189</v>
      </c>
      <c r="U18" s="54"/>
      <c r="V18" s="54" t="s">
        <v>199</v>
      </c>
      <c r="W18" s="54" t="s">
        <v>216</v>
      </c>
      <c r="X18"/>
      <c r="Y18"/>
      <c r="Z18"/>
    </row>
    <row r="19" spans="1:26" ht="15.75" customHeight="1" x14ac:dyDescent="0.25">
      <c r="A19" s="118" t="s">
        <v>10</v>
      </c>
      <c r="B19" s="118"/>
      <c r="C19" s="89" t="s">
        <v>383</v>
      </c>
      <c r="D19" s="89"/>
      <c r="E19" s="119" t="s">
        <v>70</v>
      </c>
      <c r="F19" s="119"/>
      <c r="G19" s="119" t="s">
        <v>342</v>
      </c>
      <c r="H19" s="119"/>
      <c r="S19" s="54" t="s">
        <v>185</v>
      </c>
      <c r="T19" s="54" t="s">
        <v>192</v>
      </c>
      <c r="U19" s="54"/>
      <c r="V19" s="54" t="s">
        <v>200</v>
      </c>
      <c r="W19" s="54" t="s">
        <v>217</v>
      </c>
      <c r="X19"/>
      <c r="Y19"/>
      <c r="Z19"/>
    </row>
    <row r="20" spans="1:26" x14ac:dyDescent="0.25">
      <c r="A20" s="103" t="s">
        <v>12</v>
      </c>
      <c r="B20" s="103"/>
      <c r="C20" s="119" t="s">
        <v>342</v>
      </c>
      <c r="D20" s="119"/>
      <c r="E20" s="119" t="s">
        <v>11</v>
      </c>
      <c r="F20" s="119"/>
      <c r="G20" s="213" t="s">
        <v>180</v>
      </c>
      <c r="H20" s="213"/>
      <c r="S20" s="54" t="s">
        <v>186</v>
      </c>
      <c r="T20" s="54" t="s">
        <v>193</v>
      </c>
      <c r="U20" s="54"/>
      <c r="V20" s="54" t="s">
        <v>201</v>
      </c>
      <c r="W20" s="54" t="s">
        <v>218</v>
      </c>
      <c r="X20"/>
      <c r="Y20"/>
      <c r="Z20"/>
    </row>
    <row r="21" spans="1:26" x14ac:dyDescent="0.25">
      <c r="A21" s="103" t="s">
        <v>71</v>
      </c>
      <c r="B21" s="103"/>
      <c r="C21" s="119" t="s">
        <v>180</v>
      </c>
      <c r="D21" s="119"/>
      <c r="E21" s="119" t="s">
        <v>13</v>
      </c>
      <c r="F21" s="119"/>
      <c r="G21" s="119">
        <v>400705</v>
      </c>
      <c r="H21" s="119"/>
      <c r="S21" s="54"/>
      <c r="T21" s="54"/>
      <c r="U21" s="54"/>
      <c r="V21" s="54" t="s">
        <v>202</v>
      </c>
      <c r="W21" s="54" t="s">
        <v>219</v>
      </c>
      <c r="X21"/>
      <c r="Y21"/>
      <c r="Z21"/>
    </row>
    <row r="22" spans="1:26" ht="32.25" customHeight="1" x14ac:dyDescent="0.25">
      <c r="A22" s="103" t="s">
        <v>120</v>
      </c>
      <c r="B22" s="103"/>
      <c r="C22" s="119" t="s">
        <v>346</v>
      </c>
      <c r="D22" s="119"/>
      <c r="E22" s="118" t="s">
        <v>14</v>
      </c>
      <c r="F22" s="118"/>
      <c r="G22" s="119" t="s">
        <v>345</v>
      </c>
      <c r="H22" s="119"/>
      <c r="S22" s="54"/>
      <c r="T22" s="54"/>
      <c r="U22" s="54"/>
      <c r="V22" s="54" t="s">
        <v>203</v>
      </c>
      <c r="W22" s="54" t="s">
        <v>220</v>
      </c>
      <c r="X22"/>
      <c r="Y22"/>
      <c r="Z22"/>
    </row>
    <row r="23" spans="1:26" ht="15" customHeight="1" x14ac:dyDescent="0.25">
      <c r="A23" s="118" t="s">
        <v>73</v>
      </c>
      <c r="B23" s="118"/>
      <c r="C23" s="118"/>
      <c r="D23" s="118"/>
      <c r="E23" s="89" t="s">
        <v>15</v>
      </c>
      <c r="F23" s="89"/>
      <c r="G23" s="89"/>
      <c r="H23" s="89"/>
      <c r="S23" s="54"/>
      <c r="T23" s="54"/>
      <c r="U23" s="54"/>
      <c r="V23" s="54" t="s">
        <v>204</v>
      </c>
      <c r="W23" s="54" t="s">
        <v>221</v>
      </c>
      <c r="X23"/>
      <c r="Y23"/>
      <c r="Z23"/>
    </row>
    <row r="24" spans="1:26" ht="18.75" customHeight="1" x14ac:dyDescent="0.25">
      <c r="A24" s="118"/>
      <c r="B24" s="118"/>
      <c r="C24" s="118"/>
      <c r="D24" s="118"/>
      <c r="E24" s="89"/>
      <c r="F24" s="89"/>
      <c r="G24" s="89"/>
      <c r="H24" s="89"/>
      <c r="S24" s="54"/>
      <c r="T24" s="54"/>
      <c r="U24" s="54"/>
      <c r="V24" s="54" t="s">
        <v>205</v>
      </c>
      <c r="W24" s="54" t="s">
        <v>222</v>
      </c>
      <c r="X24"/>
      <c r="Y24"/>
      <c r="Z24"/>
    </row>
    <row r="25" spans="1:26" ht="15" customHeight="1" x14ac:dyDescent="0.25">
      <c r="A25" s="118" t="s">
        <v>16</v>
      </c>
      <c r="B25" s="118"/>
      <c r="C25" s="118"/>
      <c r="D25" s="118"/>
      <c r="E25" s="119" t="s">
        <v>17</v>
      </c>
      <c r="F25" s="119"/>
      <c r="G25" s="119"/>
      <c r="H25" s="119"/>
      <c r="S25" s="54"/>
      <c r="T25" s="54"/>
      <c r="U25" s="54"/>
      <c r="V25" s="54" t="s">
        <v>206</v>
      </c>
      <c r="W25" s="54" t="s">
        <v>223</v>
      </c>
      <c r="X25"/>
      <c r="Y25"/>
      <c r="Z25"/>
    </row>
    <row r="26" spans="1:26" ht="15" customHeight="1" x14ac:dyDescent="0.25">
      <c r="A26" s="103" t="s">
        <v>18</v>
      </c>
      <c r="B26" s="103"/>
      <c r="C26" s="103"/>
      <c r="D26" s="103"/>
      <c r="E26" s="119" t="str">
        <f>IF(AND(G20="Mumbai"),"Upper Class","Middle Class")</f>
        <v>Middle Class</v>
      </c>
      <c r="F26" s="119"/>
      <c r="G26" s="119"/>
      <c r="H26" s="119"/>
      <c r="S26" s="54"/>
      <c r="T26" s="54"/>
      <c r="U26" s="54"/>
      <c r="V26" s="54" t="s">
        <v>207</v>
      </c>
      <c r="W26" s="54" t="s">
        <v>224</v>
      </c>
      <c r="X26"/>
      <c r="Y26"/>
      <c r="Z26"/>
    </row>
    <row r="27" spans="1:26" x14ac:dyDescent="0.25">
      <c r="A27" s="103" t="s">
        <v>19</v>
      </c>
      <c r="B27" s="103"/>
      <c r="C27" s="103"/>
      <c r="D27" s="103"/>
      <c r="E27" s="119" t="s">
        <v>20</v>
      </c>
      <c r="F27" s="119"/>
      <c r="G27" s="119"/>
      <c r="H27" s="119"/>
      <c r="S27" s="54"/>
      <c r="T27" s="54"/>
      <c r="U27" s="54"/>
      <c r="V27" s="54" t="s">
        <v>208</v>
      </c>
      <c r="W27" s="54" t="s">
        <v>225</v>
      </c>
      <c r="X27"/>
      <c r="Y27"/>
      <c r="Z27"/>
    </row>
    <row r="28" spans="1:26" ht="15.75" customHeight="1" x14ac:dyDescent="0.25">
      <c r="A28" s="103" t="s">
        <v>21</v>
      </c>
      <c r="B28" s="103"/>
      <c r="C28" s="103"/>
      <c r="D28" s="103"/>
      <c r="E28" s="119" t="str">
        <f>IF(AND(G20="Mumbai"),"Developed","Developing")</f>
        <v>Developing</v>
      </c>
      <c r="F28" s="119"/>
      <c r="G28" s="119"/>
      <c r="H28" s="119"/>
    </row>
    <row r="29" spans="1:26" x14ac:dyDescent="0.25">
      <c r="A29" s="103" t="s">
        <v>22</v>
      </c>
      <c r="B29" s="103"/>
      <c r="C29" s="103"/>
      <c r="D29" s="103"/>
      <c r="E29" s="119" t="s">
        <v>23</v>
      </c>
      <c r="F29" s="119"/>
      <c r="G29" s="119"/>
      <c r="H29" s="119"/>
    </row>
    <row r="30" spans="1:26" ht="15.75" customHeight="1" x14ac:dyDescent="0.25">
      <c r="A30" s="103" t="s">
        <v>78</v>
      </c>
      <c r="B30" s="103"/>
      <c r="C30" s="103"/>
      <c r="D30" s="103"/>
      <c r="E30" s="119" t="s">
        <v>79</v>
      </c>
      <c r="F30" s="119"/>
      <c r="G30" s="119"/>
      <c r="H30" s="119"/>
    </row>
    <row r="31" spans="1:26" ht="15" customHeight="1" x14ac:dyDescent="0.25">
      <c r="A31" s="103" t="s">
        <v>30</v>
      </c>
      <c r="B31" s="103"/>
      <c r="C31" s="103"/>
      <c r="D31" s="103"/>
      <c r="E31" s="11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9"/>
      <c r="G31" s="119"/>
      <c r="H31" s="119"/>
    </row>
    <row r="32" spans="1:26" ht="15.75" customHeight="1" x14ac:dyDescent="0.25">
      <c r="A32" s="103" t="s">
        <v>90</v>
      </c>
      <c r="B32" s="103"/>
      <c r="C32" s="103"/>
      <c r="D32" s="103"/>
      <c r="E32" s="119" t="s">
        <v>31</v>
      </c>
      <c r="F32" s="119"/>
      <c r="G32" s="119"/>
      <c r="H32" s="119"/>
    </row>
    <row r="33" spans="1:19" s="22" customFormat="1" x14ac:dyDescent="0.25">
      <c r="A33" s="218" t="s">
        <v>91</v>
      </c>
      <c r="B33" s="218"/>
      <c r="C33" s="215" t="s">
        <v>175</v>
      </c>
      <c r="D33" s="216"/>
      <c r="E33" s="217"/>
      <c r="F33" s="215" t="s">
        <v>29</v>
      </c>
      <c r="G33" s="216"/>
      <c r="H33" s="217"/>
      <c r="S33" s="22" t="e">
        <f ca="1">OFFSET($S$13,1,MATCH($G20,$S$13:$W$13,0)-1,15,1)</f>
        <v>#VALUE!</v>
      </c>
    </row>
    <row r="34" spans="1:19" s="22" customFormat="1" x14ac:dyDescent="0.25">
      <c r="A34" s="214" t="s">
        <v>24</v>
      </c>
      <c r="B34" s="214" t="s">
        <v>28</v>
      </c>
      <c r="C34" s="210" t="s">
        <v>350</v>
      </c>
      <c r="D34" s="211"/>
      <c r="E34" s="212"/>
      <c r="F34" s="210" t="s">
        <v>353</v>
      </c>
      <c r="G34" s="211"/>
      <c r="H34" s="212"/>
    </row>
    <row r="35" spans="1:19" x14ac:dyDescent="0.25">
      <c r="A35" s="214" t="s">
        <v>25</v>
      </c>
      <c r="B35" s="214" t="s">
        <v>28</v>
      </c>
      <c r="C35" s="210" t="s">
        <v>351</v>
      </c>
      <c r="D35" s="211"/>
      <c r="E35" s="212"/>
      <c r="F35" s="210" t="s">
        <v>346</v>
      </c>
      <c r="G35" s="211"/>
      <c r="H35" s="212"/>
    </row>
    <row r="36" spans="1:19" s="22" customFormat="1" x14ac:dyDescent="0.25">
      <c r="A36" s="214" t="s">
        <v>27</v>
      </c>
      <c r="B36" s="214" t="s">
        <v>28</v>
      </c>
      <c r="C36" s="210" t="s">
        <v>349</v>
      </c>
      <c r="D36" s="211"/>
      <c r="E36" s="212"/>
      <c r="F36" s="210" t="s">
        <v>348</v>
      </c>
      <c r="G36" s="211"/>
      <c r="H36" s="212"/>
    </row>
    <row r="37" spans="1:19" x14ac:dyDescent="0.25">
      <c r="A37" s="214" t="s">
        <v>26</v>
      </c>
      <c r="B37" s="214" t="s">
        <v>28</v>
      </c>
      <c r="C37" s="210" t="s">
        <v>350</v>
      </c>
      <c r="D37" s="211"/>
      <c r="E37" s="212"/>
      <c r="F37" s="210" t="s">
        <v>352</v>
      </c>
      <c r="G37" s="211"/>
      <c r="H37" s="212"/>
    </row>
    <row r="38" spans="1:19" x14ac:dyDescent="0.25">
      <c r="A38" s="103" t="s">
        <v>280</v>
      </c>
      <c r="B38" s="103"/>
      <c r="C38" s="103"/>
      <c r="D38" s="103"/>
      <c r="E38" s="103"/>
      <c r="F38" s="103"/>
      <c r="G38" s="103"/>
      <c r="H38" s="103"/>
    </row>
    <row r="39" spans="1:19" ht="15.75" customHeight="1" x14ac:dyDescent="0.25">
      <c r="A39" s="103" t="s">
        <v>166</v>
      </c>
      <c r="B39" s="103"/>
      <c r="C39" s="223" t="s">
        <v>343</v>
      </c>
      <c r="D39" s="223"/>
      <c r="E39" s="223"/>
      <c r="F39" s="223"/>
      <c r="G39" s="223"/>
      <c r="H39" s="223"/>
    </row>
    <row r="40" spans="1:19" x14ac:dyDescent="0.25">
      <c r="A40" s="103" t="s">
        <v>162</v>
      </c>
      <c r="B40" s="103"/>
      <c r="C40" s="229" t="s">
        <v>344</v>
      </c>
      <c r="D40" s="119"/>
      <c r="E40" s="119"/>
      <c r="F40" s="119"/>
      <c r="G40" s="119"/>
      <c r="H40" s="119"/>
    </row>
    <row r="41" spans="1:19" x14ac:dyDescent="0.25">
      <c r="A41" s="223" t="s">
        <v>32</v>
      </c>
      <c r="B41" s="223"/>
      <c r="C41" s="223"/>
      <c r="D41" s="223"/>
      <c r="E41" s="223"/>
      <c r="F41" s="223"/>
      <c r="G41" s="223"/>
      <c r="H41" s="223"/>
    </row>
    <row r="42" spans="1:19" x14ac:dyDescent="0.25">
      <c r="A42" s="103" t="s">
        <v>33</v>
      </c>
      <c r="B42" s="103"/>
      <c r="C42" s="103"/>
      <c r="D42" s="103"/>
      <c r="E42" s="222">
        <v>3258.12</v>
      </c>
      <c r="F42" s="222"/>
      <c r="G42" s="222"/>
      <c r="H42" s="222"/>
    </row>
    <row r="43" spans="1:19" x14ac:dyDescent="0.25">
      <c r="A43" s="103" t="s">
        <v>34</v>
      </c>
      <c r="B43" s="103"/>
      <c r="C43" s="103"/>
      <c r="D43" s="103"/>
      <c r="E43" s="102">
        <f>3583.932/E42</f>
        <v>1.0999999999999999</v>
      </c>
      <c r="F43" s="102"/>
      <c r="G43" s="102"/>
      <c r="H43" s="102"/>
    </row>
    <row r="44" spans="1:19" x14ac:dyDescent="0.25">
      <c r="A44" s="103" t="s">
        <v>35</v>
      </c>
      <c r="B44" s="103"/>
      <c r="C44" s="103"/>
      <c r="D44" s="103"/>
      <c r="E44" s="102">
        <f>E46/E42-E43</f>
        <v>3.7871950695493108</v>
      </c>
      <c r="F44" s="102"/>
      <c r="G44" s="102"/>
      <c r="H44" s="102"/>
    </row>
    <row r="45" spans="1:19" x14ac:dyDescent="0.25">
      <c r="A45" s="103" t="s">
        <v>36</v>
      </c>
      <c r="B45" s="103"/>
      <c r="C45" s="103"/>
      <c r="D45" s="103"/>
      <c r="E45" s="102">
        <f>E43+E44</f>
        <v>4.8871950695493105</v>
      </c>
      <c r="F45" s="102"/>
      <c r="G45" s="102"/>
      <c r="H45" s="102"/>
    </row>
    <row r="46" spans="1:19" x14ac:dyDescent="0.25">
      <c r="A46" s="103" t="s">
        <v>89</v>
      </c>
      <c r="B46" s="103"/>
      <c r="C46" s="103"/>
      <c r="D46" s="103"/>
      <c r="E46" s="226">
        <v>15923.067999999999</v>
      </c>
      <c r="F46" s="226"/>
      <c r="G46" s="226"/>
      <c r="H46" s="226"/>
    </row>
    <row r="47" spans="1:19" x14ac:dyDescent="0.25">
      <c r="A47" s="89" t="s">
        <v>37</v>
      </c>
      <c r="B47" s="89"/>
      <c r="C47" s="89"/>
      <c r="D47" s="89"/>
      <c r="E47" s="89" t="s">
        <v>119</v>
      </c>
      <c r="F47" s="89"/>
      <c r="G47" s="89"/>
      <c r="H47" s="89"/>
    </row>
    <row r="48" spans="1:19" x14ac:dyDescent="0.25">
      <c r="A48" s="223" t="s">
        <v>38</v>
      </c>
      <c r="B48" s="223"/>
      <c r="C48" s="223"/>
      <c r="D48" s="223"/>
      <c r="E48" s="223"/>
      <c r="F48" s="223"/>
      <c r="G48" s="223"/>
      <c r="H48" s="223"/>
    </row>
    <row r="49" spans="1:24" ht="33.75" customHeight="1" x14ac:dyDescent="0.25">
      <c r="A49" s="104" t="s">
        <v>151</v>
      </c>
      <c r="B49" s="105"/>
      <c r="C49" s="237" t="s">
        <v>259</v>
      </c>
      <c r="D49" s="238"/>
      <c r="E49" s="238"/>
      <c r="F49" s="238"/>
      <c r="G49" s="238"/>
      <c r="H49" s="239"/>
      <c r="R49" t="s">
        <v>253</v>
      </c>
      <c r="S49" t="s">
        <v>174</v>
      </c>
      <c r="T49" t="s">
        <v>180</v>
      </c>
      <c r="U49" t="s">
        <v>194</v>
      </c>
      <c r="V49" t="s">
        <v>189</v>
      </c>
    </row>
    <row r="50" spans="1:24" ht="15.75" customHeight="1" x14ac:dyDescent="0.25">
      <c r="A50" s="104" t="s">
        <v>39</v>
      </c>
      <c r="B50" s="105"/>
      <c r="C50" s="104" t="s">
        <v>347</v>
      </c>
      <c r="D50" s="106"/>
      <c r="E50" s="105"/>
      <c r="F50" s="18" t="s">
        <v>40</v>
      </c>
      <c r="G50" s="107">
        <v>45421</v>
      </c>
      <c r="H50" s="105"/>
      <c r="R50"/>
      <c r="S50" t="s">
        <v>254</v>
      </c>
      <c r="T50" t="s">
        <v>259</v>
      </c>
      <c r="U50" t="s">
        <v>270</v>
      </c>
      <c r="V50" t="s">
        <v>275</v>
      </c>
    </row>
    <row r="51" spans="1:24" x14ac:dyDescent="0.25">
      <c r="A51" s="104" t="s">
        <v>41</v>
      </c>
      <c r="B51" s="105"/>
      <c r="C51" s="104" t="str">
        <f>C50</f>
        <v>NRV/A-1487</v>
      </c>
      <c r="D51" s="106"/>
      <c r="E51" s="105"/>
      <c r="F51" s="18" t="s">
        <v>40</v>
      </c>
      <c r="G51" s="107">
        <f>G50</f>
        <v>45421</v>
      </c>
      <c r="H51" s="105"/>
      <c r="R51"/>
      <c r="S51" t="s">
        <v>255</v>
      </c>
      <c r="T51" t="s">
        <v>260</v>
      </c>
      <c r="U51" t="s">
        <v>268</v>
      </c>
      <c r="V51" t="s">
        <v>276</v>
      </c>
    </row>
    <row r="52" spans="1:24" s="23" customFormat="1" ht="15.75" customHeight="1" x14ac:dyDescent="0.25">
      <c r="A52" s="123" t="s">
        <v>155</v>
      </c>
      <c r="B52" s="124"/>
      <c r="C52" s="104" t="s">
        <v>384</v>
      </c>
      <c r="D52" s="106"/>
      <c r="E52" s="105"/>
      <c r="F52" s="18" t="s">
        <v>40</v>
      </c>
      <c r="G52" s="107">
        <f>G51</f>
        <v>45421</v>
      </c>
      <c r="H52" s="105"/>
      <c r="R52"/>
      <c r="S52" t="s">
        <v>256</v>
      </c>
      <c r="T52" t="s">
        <v>261</v>
      </c>
      <c r="U52" t="s">
        <v>258</v>
      </c>
      <c r="V52" t="s">
        <v>277</v>
      </c>
    </row>
    <row r="53" spans="1:24" s="23" customFormat="1" ht="48.75" customHeight="1" x14ac:dyDescent="0.25">
      <c r="A53" s="125"/>
      <c r="B53" s="126"/>
      <c r="C53" s="104" t="s">
        <v>385</v>
      </c>
      <c r="D53" s="106"/>
      <c r="E53" s="106"/>
      <c r="F53" s="106"/>
      <c r="G53" s="106"/>
      <c r="H53" s="105"/>
      <c r="R53"/>
      <c r="S53" t="s">
        <v>257</v>
      </c>
      <c r="T53" t="s">
        <v>264</v>
      </c>
      <c r="U53" t="s">
        <v>271</v>
      </c>
    </row>
    <row r="54" spans="1:24" s="23" customFormat="1" hidden="1" x14ac:dyDescent="0.25">
      <c r="A54" s="108" t="s">
        <v>281</v>
      </c>
      <c r="B54" s="109"/>
      <c r="C54" s="104" t="str">
        <f>C53</f>
        <v xml:space="preserve">Plot Area = 3258.120 Sqm
Total Built Up Area = 15923.068 Sqm 
Residential = 122 Units, Shop = 11 Units, Office = 06 Units
</v>
      </c>
      <c r="D54" s="106"/>
      <c r="E54" s="105"/>
      <c r="F54" s="18" t="s">
        <v>40</v>
      </c>
      <c r="G54" s="104"/>
      <c r="H54" s="105"/>
      <c r="R54"/>
      <c r="S54" t="s">
        <v>256</v>
      </c>
      <c r="T54" t="s">
        <v>261</v>
      </c>
      <c r="U54" t="s">
        <v>258</v>
      </c>
      <c r="V54" t="s">
        <v>277</v>
      </c>
    </row>
    <row r="55" spans="1:24" s="23" customFormat="1" ht="32.25" hidden="1" customHeight="1" x14ac:dyDescent="0.25">
      <c r="A55" s="110"/>
      <c r="B55" s="111"/>
      <c r="C55" s="232"/>
      <c r="D55" s="233"/>
      <c r="E55" s="233"/>
      <c r="F55" s="233"/>
      <c r="G55" s="233"/>
      <c r="H55" s="234"/>
      <c r="R55"/>
      <c r="S55" t="s">
        <v>258</v>
      </c>
      <c r="T55" t="s">
        <v>262</v>
      </c>
      <c r="U55" t="s">
        <v>272</v>
      </c>
      <c r="V55" s="21"/>
      <c r="W55" s="21"/>
      <c r="X55" s="21"/>
    </row>
    <row r="56" spans="1:24" s="23" customFormat="1" ht="34.5" hidden="1" customHeight="1" x14ac:dyDescent="0.25">
      <c r="A56" s="108" t="s">
        <v>282</v>
      </c>
      <c r="B56" s="109"/>
      <c r="C56" s="104">
        <f>C55</f>
        <v>0</v>
      </c>
      <c r="D56" s="106"/>
      <c r="E56" s="105"/>
      <c r="F56" s="18" t="s">
        <v>40</v>
      </c>
      <c r="G56" s="104">
        <f>G55</f>
        <v>0</v>
      </c>
      <c r="H56" s="105"/>
      <c r="R56"/>
      <c r="S56" s="21"/>
      <c r="T56" t="s">
        <v>263</v>
      </c>
      <c r="U56" t="s">
        <v>273</v>
      </c>
      <c r="V56" s="21"/>
      <c r="W56" s="21"/>
      <c r="X56" s="21"/>
    </row>
    <row r="57" spans="1:24" s="23" customFormat="1" ht="41.25" hidden="1" customHeight="1" x14ac:dyDescent="0.25">
      <c r="A57" s="110"/>
      <c r="B57" s="111"/>
      <c r="C57" s="104"/>
      <c r="D57" s="106"/>
      <c r="E57" s="106"/>
      <c r="F57" s="106"/>
      <c r="G57" s="106"/>
      <c r="H57" s="105"/>
      <c r="R57"/>
      <c r="S57" s="21"/>
      <c r="T57" t="s">
        <v>265</v>
      </c>
      <c r="U57" t="s">
        <v>274</v>
      </c>
      <c r="V57" s="21"/>
      <c r="W57" s="21"/>
      <c r="X57" s="21"/>
    </row>
    <row r="58" spans="1:24" s="23" customFormat="1" ht="15.75" hidden="1" customHeight="1" x14ac:dyDescent="0.25">
      <c r="A58" s="108" t="s">
        <v>283</v>
      </c>
      <c r="B58" s="109"/>
      <c r="C58" s="104">
        <f>C57</f>
        <v>0</v>
      </c>
      <c r="D58" s="106"/>
      <c r="E58" s="105"/>
      <c r="F58" s="18" t="s">
        <v>40</v>
      </c>
      <c r="G58" s="104">
        <f>G57</f>
        <v>0</v>
      </c>
      <c r="H58" s="105"/>
      <c r="R58"/>
      <c r="S58" s="21"/>
      <c r="T58" t="s">
        <v>266</v>
      </c>
      <c r="U58" s="21" t="s">
        <v>297</v>
      </c>
      <c r="V58" s="21"/>
      <c r="W58" s="21"/>
      <c r="X58" s="21"/>
    </row>
    <row r="59" spans="1:24" s="23" customFormat="1" ht="33.75" hidden="1" customHeight="1" x14ac:dyDescent="0.25">
      <c r="A59" s="110"/>
      <c r="B59" s="111"/>
      <c r="C59" s="104"/>
      <c r="D59" s="106"/>
      <c r="E59" s="106"/>
      <c r="F59" s="106"/>
      <c r="G59" s="106"/>
      <c r="H59" s="105"/>
      <c r="R59"/>
      <c r="S59" s="21"/>
      <c r="T59" t="s">
        <v>267</v>
      </c>
      <c r="U59" s="21"/>
      <c r="V59" s="21"/>
      <c r="W59" s="21"/>
      <c r="X59" s="21"/>
    </row>
    <row r="60" spans="1:24" x14ac:dyDescent="0.25">
      <c r="A60" s="142" t="s">
        <v>42</v>
      </c>
      <c r="B60" s="143"/>
      <c r="C60" s="142" t="s">
        <v>102</v>
      </c>
      <c r="D60" s="144"/>
      <c r="E60" s="143"/>
      <c r="F60" s="45" t="s">
        <v>40</v>
      </c>
      <c r="G60" s="120" t="s">
        <v>28</v>
      </c>
      <c r="H60" s="121"/>
      <c r="R60"/>
      <c r="T60" t="s">
        <v>269</v>
      </c>
    </row>
    <row r="61" spans="1:24" x14ac:dyDescent="0.25">
      <c r="A61" s="117" t="s">
        <v>44</v>
      </c>
      <c r="B61" s="117"/>
      <c r="C61" s="117"/>
      <c r="D61" s="117"/>
      <c r="E61" s="117"/>
      <c r="F61" s="117"/>
      <c r="G61" s="117"/>
      <c r="H61" s="117"/>
      <c r="T61" t="s">
        <v>278</v>
      </c>
    </row>
    <row r="62" spans="1:24" x14ac:dyDescent="0.25">
      <c r="A62" s="118" t="s">
        <v>88</v>
      </c>
      <c r="B62" s="118"/>
      <c r="C62" s="118"/>
      <c r="D62" s="103">
        <f>E46</f>
        <v>15923.067999999999</v>
      </c>
      <c r="E62" s="103"/>
      <c r="F62" s="103"/>
      <c r="G62" s="103"/>
      <c r="H62" s="103"/>
      <c r="R62"/>
    </row>
    <row r="63" spans="1:24" x14ac:dyDescent="0.25">
      <c r="A63" s="119" t="s">
        <v>45</v>
      </c>
      <c r="B63" s="89"/>
      <c r="C63" s="89"/>
      <c r="D63" s="89" t="s">
        <v>368</v>
      </c>
      <c r="E63" s="89"/>
      <c r="F63" s="89"/>
      <c r="G63" s="89"/>
      <c r="H63" s="89"/>
      <c r="I63" s="24"/>
      <c r="R63"/>
    </row>
    <row r="64" spans="1:24" x14ac:dyDescent="0.25">
      <c r="A64" s="130" t="s">
        <v>46</v>
      </c>
      <c r="B64" s="131"/>
      <c r="C64" s="228"/>
      <c r="D64" s="205" t="s">
        <v>354</v>
      </c>
      <c r="E64" s="227"/>
      <c r="F64" s="227"/>
      <c r="G64" s="227"/>
      <c r="H64" s="227"/>
      <c r="R64"/>
    </row>
    <row r="65" spans="1:19" ht="15.75" customHeight="1" x14ac:dyDescent="0.25">
      <c r="A65" s="130" t="s">
        <v>86</v>
      </c>
      <c r="B65" s="131"/>
      <c r="C65" s="131"/>
      <c r="D65" s="136" t="s">
        <v>354</v>
      </c>
      <c r="E65" s="137"/>
      <c r="F65" s="137"/>
      <c r="G65" s="137"/>
      <c r="H65" s="138"/>
      <c r="R65"/>
    </row>
    <row r="66" spans="1:19" ht="15.75" hidden="1" customHeight="1" x14ac:dyDescent="0.25">
      <c r="A66" s="132"/>
      <c r="B66" s="133"/>
      <c r="C66" s="133"/>
      <c r="D66" s="139" t="s">
        <v>298</v>
      </c>
      <c r="E66" s="140"/>
      <c r="F66" s="140"/>
      <c r="G66" s="140"/>
      <c r="H66" s="141"/>
      <c r="R66"/>
    </row>
    <row r="67" spans="1:19" ht="15.75" hidden="1" customHeight="1" x14ac:dyDescent="0.25">
      <c r="A67" s="134"/>
      <c r="B67" s="135"/>
      <c r="C67" s="135"/>
      <c r="D67" s="127" t="s">
        <v>170</v>
      </c>
      <c r="E67" s="128"/>
      <c r="F67" s="128"/>
      <c r="G67" s="128"/>
      <c r="H67" s="129"/>
      <c r="S67"/>
    </row>
    <row r="68" spans="1:19" ht="15.75" customHeight="1" x14ac:dyDescent="0.25">
      <c r="A68" s="103" t="s">
        <v>43</v>
      </c>
      <c r="B68" s="103"/>
      <c r="C68" s="103"/>
      <c r="D68" s="224" t="s">
        <v>356</v>
      </c>
      <c r="E68" s="224"/>
      <c r="F68" s="224"/>
      <c r="G68" s="224"/>
      <c r="H68" s="224"/>
      <c r="J68" s="25"/>
      <c r="K68" s="24"/>
      <c r="N68" s="24"/>
      <c r="S68"/>
    </row>
    <row r="69" spans="1:19" ht="15.75" customHeight="1" x14ac:dyDescent="0.25">
      <c r="A69" s="103" t="s">
        <v>84</v>
      </c>
      <c r="B69" s="103"/>
      <c r="C69" s="103"/>
      <c r="D69" s="225" t="str">
        <f>(IF(G60="NA","60 Years After Completion",IF(G60&lt;&gt;"NA",""&amp;60-ROUNDDOWN((E3-G60)/360,0)&amp;" Years"," ")))</f>
        <v>60 Years After Completion</v>
      </c>
      <c r="E69" s="225"/>
      <c r="F69" s="225"/>
      <c r="G69" s="225"/>
      <c r="H69" s="225"/>
      <c r="N69" s="24"/>
      <c r="S69"/>
    </row>
    <row r="70" spans="1:19" ht="15.75" customHeight="1" x14ac:dyDescent="0.25">
      <c r="A70" s="103" t="s">
        <v>85</v>
      </c>
      <c r="B70" s="103"/>
      <c r="C70" s="103"/>
      <c r="D70" s="118" t="s">
        <v>23</v>
      </c>
      <c r="E70" s="118"/>
      <c r="F70" s="118"/>
      <c r="G70" s="118"/>
      <c r="H70" s="118"/>
      <c r="J70" s="26"/>
      <c r="K70" s="26"/>
      <c r="S70"/>
    </row>
    <row r="71" spans="1:19" ht="48" customHeight="1" x14ac:dyDescent="0.25">
      <c r="A71" s="89" t="s">
        <v>355</v>
      </c>
      <c r="B71" s="89"/>
      <c r="C71" s="89"/>
      <c r="D71" s="119" t="s">
        <v>374</v>
      </c>
      <c r="E71" s="118"/>
      <c r="F71" s="118"/>
      <c r="G71" s="118"/>
      <c r="H71" s="118"/>
      <c r="I71" s="75" t="s">
        <v>357</v>
      </c>
      <c r="S71"/>
    </row>
    <row r="72" spans="1:19" x14ac:dyDescent="0.25">
      <c r="A72" s="118" t="s">
        <v>148</v>
      </c>
      <c r="B72" s="118"/>
      <c r="C72" s="118"/>
      <c r="D72" s="118" t="s">
        <v>28</v>
      </c>
      <c r="E72" s="118"/>
      <c r="F72" s="118"/>
      <c r="G72" s="118"/>
      <c r="H72" s="118"/>
      <c r="I72" s="27"/>
      <c r="J72" s="27"/>
      <c r="K72" s="27"/>
      <c r="L72" s="27"/>
      <c r="M72" s="27"/>
      <c r="N72" s="27"/>
    </row>
    <row r="73" spans="1:19" x14ac:dyDescent="0.25">
      <c r="A73" s="206" t="s">
        <v>83</v>
      </c>
      <c r="B73" s="206"/>
      <c r="C73" s="206"/>
      <c r="D73" s="205" t="str">
        <f ca="1">(IF(G79&gt;95%,"Nothing",IF(G79&gt;0%,"Cement, Aggregate, Steel, etc",IF(G79=0%,"Work not yet Started"))))</f>
        <v>Cement, Aggregate, Steel, etc</v>
      </c>
      <c r="E73" s="205"/>
      <c r="F73" s="205"/>
      <c r="G73" s="205"/>
      <c r="H73" s="205"/>
      <c r="J73" s="26"/>
      <c r="S73"/>
    </row>
    <row r="74" spans="1:19" ht="33.75" customHeight="1" thickBot="1" x14ac:dyDescent="0.3">
      <c r="A74" s="204" t="s">
        <v>115</v>
      </c>
      <c r="B74" s="204"/>
      <c r="C74" s="204"/>
      <c r="D74" s="205" t="str">
        <f ca="1">(IF(D73="Nothing","Yes",IF(D73="Cement, Aggregate, Steel, etc","Under Construction",IF(D73="Work not yet Started","Work not yet Started"))))</f>
        <v>Under Construction</v>
      </c>
      <c r="E74" s="205"/>
      <c r="F74" s="205" t="str">
        <f ca="1">(IF(D73="Nothing","Yes",IF(D73="Cement, Aggregate, Steel, etc","Under Construction",IF(D73="Work not yet Started","Work not yet Started"))))</f>
        <v>Under Construction</v>
      </c>
      <c r="G74" s="205"/>
      <c r="H74" s="205"/>
      <c r="S74"/>
    </row>
    <row r="75" spans="1:19" ht="15.75" customHeight="1" x14ac:dyDescent="0.25">
      <c r="A75" s="112" t="s">
        <v>138</v>
      </c>
      <c r="B75" s="113"/>
      <c r="C75" s="114" t="s">
        <v>354</v>
      </c>
      <c r="D75" s="115"/>
      <c r="E75" s="115"/>
      <c r="F75" s="115"/>
      <c r="G75" s="115"/>
      <c r="H75" s="116"/>
      <c r="I75" s="49" t="str">
        <f ca="1">IF(D88=100%,"All work Completed. Possession granted to the Building.",IF(D87=100%,"All work Completed, Waiting for OC",I76&amp;""&amp;I77&amp;""&amp;J76&amp;""&amp;J75&amp;" "&amp;J77))</f>
        <v>Excavation, Plinth Completed, RCC upto 3 Slab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3 Slab</v>
      </c>
      <c r="S75"/>
    </row>
    <row r="76" spans="1:19" x14ac:dyDescent="0.25">
      <c r="A76" s="16" t="s">
        <v>140</v>
      </c>
      <c r="B76" s="47">
        <f>IF(AND(ISNUMBER(SEARCH("1B",C75))),1,IF(AND(ISNUMBER(SEARCH("2B",C75))),2,IF(AND(ISNUMBER(SEARCH("3B",C75))),3,IF(AND(ISNUMBER(SEARCH("4B",C75))),4,IF(ISNUMBER(SEARCH("5B",C75)),5,0)))))</f>
        <v>0</v>
      </c>
      <c r="C76" s="47" t="s">
        <v>69</v>
      </c>
      <c r="D76" s="47">
        <v>1</v>
      </c>
      <c r="E76" s="47" t="s">
        <v>68</v>
      </c>
      <c r="F76" s="47">
        <v>0</v>
      </c>
      <c r="G76" s="47" t="s">
        <v>77</v>
      </c>
      <c r="H76" s="17">
        <f ca="1">--TRIM(RIGHT(SUBSTITUTE(LEFT(C75,_xlfn.AGGREGATE(16,6,FIND({0,1,2,3,4,5,6,7,8,9},C75,ROW(INDIRECT("1:"&amp;LEN(C75)))),1))," ",REPT(" ",LEN(C75))),LEN(C75)))</f>
        <v>35</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85" t="s">
        <v>87</v>
      </c>
      <c r="B77" s="186"/>
      <c r="C77" s="187" t="str">
        <f ca="1">I75</f>
        <v>Excavation, Plinth Completed, RCC upto 3 Slab Completed</v>
      </c>
      <c r="D77" s="187"/>
      <c r="E77" s="187"/>
      <c r="F77" s="187"/>
      <c r="G77" s="187"/>
      <c r="H77" s="188"/>
      <c r="I77" s="51" t="str">
        <f ca="1">IF(I76&lt;&gt;""," Completed","")</f>
        <v xml:space="preserve"> Completed</v>
      </c>
      <c r="J77" s="52" t="str">
        <f ca="1">IF(J75&lt;&gt;"","Completed","")</f>
        <v>Completed</v>
      </c>
      <c r="S77"/>
    </row>
    <row r="78" spans="1:19" ht="15.75" customHeight="1" x14ac:dyDescent="0.25">
      <c r="A78" s="90" t="s">
        <v>47</v>
      </c>
      <c r="B78" s="91"/>
      <c r="C78" s="76" t="s">
        <v>137</v>
      </c>
      <c r="D78" s="76" t="s">
        <v>80</v>
      </c>
      <c r="E78" s="91" t="s">
        <v>82</v>
      </c>
      <c r="F78" s="91"/>
      <c r="G78" s="91" t="s">
        <v>81</v>
      </c>
      <c r="H78" s="189"/>
      <c r="I78" s="13" t="s">
        <v>139</v>
      </c>
      <c r="J78" s="28">
        <f ca="1">H76*25%</f>
        <v>8.75</v>
      </c>
      <c r="S78"/>
    </row>
    <row r="79" spans="1:19" x14ac:dyDescent="0.25">
      <c r="A79" s="90" t="s">
        <v>126</v>
      </c>
      <c r="B79" s="91"/>
      <c r="C79" s="86">
        <f ca="1">J80</f>
        <v>35</v>
      </c>
      <c r="D79" s="77">
        <f ca="1">((100/H76)*C79)/100</f>
        <v>1</v>
      </c>
      <c r="E79" s="190">
        <f ca="1">(((C80/H76*10)+(40/(D76+F76+H76)*C81)+(7.5/(H76)*C82)+(7.5/(H76)*C83)+(10/H76*C84)+(10/H76*C85)+(5/H76*C86)+(5/H76*C87)+(5/H76*C88))/100)</f>
        <v>0.13333333333333333</v>
      </c>
      <c r="F79" s="191"/>
      <c r="G79" s="190">
        <f ca="1">((((C79/H76)*20)+((C80/H76)*25)+(30/(H76+F76+D76)*C81)+(5/H76*C82)+(5/H76*C83)+(5/H76*C84)+(5/H76*C85)+(0/H76*C86)+(0/H76*C87)+(5/H76*C88))/100)</f>
        <v>0.47499999999999998</v>
      </c>
      <c r="H79" s="196"/>
      <c r="I79" s="13" t="s">
        <v>97</v>
      </c>
      <c r="J79" s="29">
        <f ca="1">H76*50%</f>
        <v>17.5</v>
      </c>
    </row>
    <row r="80" spans="1:19" x14ac:dyDescent="0.25">
      <c r="A80" s="90" t="s">
        <v>48</v>
      </c>
      <c r="B80" s="91"/>
      <c r="C80" s="86">
        <f ca="1">J88</f>
        <v>35</v>
      </c>
      <c r="D80" s="77">
        <f ca="1">((100/H76)*C80)/100</f>
        <v>1</v>
      </c>
      <c r="E80" s="192"/>
      <c r="F80" s="193"/>
      <c r="G80" s="192"/>
      <c r="H80" s="197"/>
      <c r="I80" s="13" t="s">
        <v>98</v>
      </c>
      <c r="J80" s="29">
        <f ca="1">H76</f>
        <v>35</v>
      </c>
      <c r="S80"/>
    </row>
    <row r="81" spans="1:19" ht="15.75" customHeight="1" x14ac:dyDescent="0.25">
      <c r="A81" s="90" t="s">
        <v>127</v>
      </c>
      <c r="B81" s="91"/>
      <c r="C81" s="76">
        <v>3</v>
      </c>
      <c r="D81" s="77">
        <f ca="1">((100/(D76+F76+H76))*C81)/100</f>
        <v>8.3333333333333315E-2</v>
      </c>
      <c r="E81" s="192"/>
      <c r="F81" s="193"/>
      <c r="G81" s="192"/>
      <c r="H81" s="197"/>
      <c r="I81" s="13" t="s">
        <v>99</v>
      </c>
      <c r="J81" s="30">
        <f ca="1">(IF(B76&gt;1,(H76/(B76+2)),H76/4))</f>
        <v>8.75</v>
      </c>
      <c r="S81"/>
    </row>
    <row r="82" spans="1:19" ht="15.75" customHeight="1" x14ac:dyDescent="0.25">
      <c r="A82" s="90" t="s">
        <v>134</v>
      </c>
      <c r="B82" s="91" t="s">
        <v>128</v>
      </c>
      <c r="C82" s="76">
        <v>0</v>
      </c>
      <c r="D82" s="77">
        <f ca="1">((100/H76)*C82)/100</f>
        <v>0</v>
      </c>
      <c r="E82" s="192"/>
      <c r="F82" s="193"/>
      <c r="G82" s="192"/>
      <c r="H82" s="197"/>
      <c r="I82" s="13" t="s">
        <v>100</v>
      </c>
      <c r="J82" s="30">
        <f ca="1">(IF(B76&gt;1,(H76/(B76+2)+J81),H76/4+J81))</f>
        <v>17.5</v>
      </c>
    </row>
    <row r="83" spans="1:19" ht="15.75" customHeight="1" x14ac:dyDescent="0.25">
      <c r="A83" s="90" t="s">
        <v>135</v>
      </c>
      <c r="B83" s="91" t="s">
        <v>128</v>
      </c>
      <c r="C83" s="76">
        <v>0</v>
      </c>
      <c r="D83" s="77">
        <f ca="1">((100/H76)*C83)/100</f>
        <v>0</v>
      </c>
      <c r="E83" s="192"/>
      <c r="F83" s="193"/>
      <c r="G83" s="192"/>
      <c r="H83" s="197"/>
      <c r="I83" s="13" t="s">
        <v>146</v>
      </c>
      <c r="J83" s="30">
        <f>(IF(B76&gt;1,(H76/(B76+2)+J82),0))</f>
        <v>0</v>
      </c>
    </row>
    <row r="84" spans="1:19" ht="15" customHeight="1" x14ac:dyDescent="0.25">
      <c r="A84" s="90" t="s">
        <v>133</v>
      </c>
      <c r="B84" s="91" t="s">
        <v>130</v>
      </c>
      <c r="C84" s="76">
        <v>0</v>
      </c>
      <c r="D84" s="77">
        <f ca="1">((100/(H76))*C84)/100</f>
        <v>0</v>
      </c>
      <c r="E84" s="192"/>
      <c r="F84" s="193"/>
      <c r="G84" s="192"/>
      <c r="H84" s="197"/>
      <c r="I84" s="13" t="s">
        <v>141</v>
      </c>
      <c r="J84" s="30">
        <f>(IF(B76&gt;2,(H76/(B76+2)+J83),0))</f>
        <v>0</v>
      </c>
    </row>
    <row r="85" spans="1:19" ht="15.75" customHeight="1" x14ac:dyDescent="0.25">
      <c r="A85" s="90" t="s">
        <v>129</v>
      </c>
      <c r="B85" s="91" t="s">
        <v>129</v>
      </c>
      <c r="C85" s="76">
        <v>0</v>
      </c>
      <c r="D85" s="77">
        <f ca="1">((100/H76)*C85)/100</f>
        <v>0</v>
      </c>
      <c r="E85" s="192"/>
      <c r="F85" s="193"/>
      <c r="G85" s="192"/>
      <c r="H85" s="197"/>
      <c r="I85" s="13" t="s">
        <v>142</v>
      </c>
      <c r="J85" s="31">
        <f>(IF(B76&gt;3,(H76/(B76+2)+J84),0))</f>
        <v>0</v>
      </c>
    </row>
    <row r="86" spans="1:19" ht="15.75" customHeight="1" x14ac:dyDescent="0.25">
      <c r="A86" s="90" t="s">
        <v>136</v>
      </c>
      <c r="B86" s="91"/>
      <c r="C86" s="76">
        <v>0</v>
      </c>
      <c r="D86" s="77">
        <f ca="1">((100/H76)*C86)/100</f>
        <v>0</v>
      </c>
      <c r="E86" s="192"/>
      <c r="F86" s="193"/>
      <c r="G86" s="192"/>
      <c r="H86" s="197"/>
      <c r="I86" s="13" t="s">
        <v>143</v>
      </c>
      <c r="J86" s="30">
        <f>(IF(B76&gt;4,(H76/(B76+2)+J85),0))</f>
        <v>0</v>
      </c>
    </row>
    <row r="87" spans="1:19" ht="15.75" customHeight="1" x14ac:dyDescent="0.25">
      <c r="A87" s="90" t="s">
        <v>131</v>
      </c>
      <c r="B87" s="91" t="s">
        <v>131</v>
      </c>
      <c r="C87" s="76">
        <v>0</v>
      </c>
      <c r="D87" s="77">
        <f ca="1">((100/(H76))*C87)/100</f>
        <v>0</v>
      </c>
      <c r="E87" s="192"/>
      <c r="F87" s="193"/>
      <c r="G87" s="192"/>
      <c r="H87" s="197"/>
      <c r="I87" s="13" t="s">
        <v>147</v>
      </c>
      <c r="J87" s="30">
        <f ca="1">(IF(B76=1,(H76/(B76+3)+J82),IF(B76=0,(H76/4+J82),IF(B76&gt;1,0))))</f>
        <v>26.25</v>
      </c>
    </row>
    <row r="88" spans="1:19" ht="16.5" thickBot="1" x14ac:dyDescent="0.3">
      <c r="A88" s="92" t="s">
        <v>132</v>
      </c>
      <c r="B88" s="93"/>
      <c r="C88" s="78">
        <v>0</v>
      </c>
      <c r="D88" s="79">
        <f ca="1">((100/(H76))*C88)/100</f>
        <v>0</v>
      </c>
      <c r="E88" s="194"/>
      <c r="F88" s="195"/>
      <c r="G88" s="194"/>
      <c r="H88" s="198"/>
      <c r="I88" s="15" t="s">
        <v>101</v>
      </c>
      <c r="J88" s="32">
        <f ca="1">(IF(B76&gt;1.5,(H76/(B76+2)+J82+MAX(0,J83-J82)+MAX(0,J84-J83)+MAX(0,J85-J84)+MAX(0,J86-J85)+MAX(0,J87-J86)),IF(B76=1,(H76/(B76+3)+J87),IF(B76=0,H76/4+J87))))</f>
        <v>35</v>
      </c>
    </row>
    <row r="89" spans="1:19" ht="15.75" hidden="1" customHeight="1" x14ac:dyDescent="0.25">
      <c r="A89" s="112" t="s">
        <v>138</v>
      </c>
      <c r="B89" s="113"/>
      <c r="C89" s="114" t="str">
        <f>D66</f>
        <v>B Wing = 1B + G + 1st to 19th Floor</v>
      </c>
      <c r="D89" s="115"/>
      <c r="E89" s="115"/>
      <c r="F89" s="115"/>
      <c r="G89" s="115"/>
      <c r="H89" s="116"/>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25">
      <c r="A90" s="16" t="s">
        <v>140</v>
      </c>
      <c r="B90" s="47">
        <f>IF(AND(ISNUMBER(SEARCH("1B",C89))),1,IF(AND(ISNUMBER(SEARCH("2B",C89))),2,IF(AND(ISNUMBER(SEARCH("3B",C89))),3,IF(AND(ISNUMBER(SEARCH("4B",C89))),4,IF(ISNUMBER(SEARCH("5B",C89)),5,0)))))</f>
        <v>1</v>
      </c>
      <c r="C90" s="47" t="s">
        <v>69</v>
      </c>
      <c r="D90" s="47">
        <v>1</v>
      </c>
      <c r="E90" s="47" t="s">
        <v>68</v>
      </c>
      <c r="F90" s="14">
        <v>0</v>
      </c>
      <c r="G90" s="48" t="s">
        <v>77</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25">
      <c r="A91" s="185" t="s">
        <v>87</v>
      </c>
      <c r="B91" s="186"/>
      <c r="C91" s="187" t="str">
        <f ca="1">(IF($G$60="NA",I89,"All work Completed. OC Received."))</f>
        <v xml:space="preserve">Excavation, Plinth Completed </v>
      </c>
      <c r="D91" s="187"/>
      <c r="E91" s="187"/>
      <c r="F91" s="187"/>
      <c r="G91" s="187"/>
      <c r="H91" s="188"/>
      <c r="I91" s="51" t="str">
        <f ca="1">IF(I90&lt;&gt;""," Completed","")</f>
        <v xml:space="preserve"> Completed</v>
      </c>
      <c r="J91" s="52" t="str">
        <f ca="1">IF(J89&lt;&gt;"","Completed","")</f>
        <v/>
      </c>
    </row>
    <row r="92" spans="1:19" ht="15.75" hidden="1" customHeight="1" x14ac:dyDescent="0.25">
      <c r="A92" s="153" t="s">
        <v>47</v>
      </c>
      <c r="B92" s="122"/>
      <c r="C92" s="43" t="s">
        <v>137</v>
      </c>
      <c r="D92" s="43" t="s">
        <v>80</v>
      </c>
      <c r="E92" s="122" t="s">
        <v>82</v>
      </c>
      <c r="F92" s="122"/>
      <c r="G92" s="122" t="s">
        <v>81</v>
      </c>
      <c r="H92" s="145"/>
      <c r="I92" s="13" t="s">
        <v>139</v>
      </c>
      <c r="J92" s="28">
        <f ca="1">H90*25%</f>
        <v>4.75</v>
      </c>
    </row>
    <row r="93" spans="1:19" hidden="1" x14ac:dyDescent="0.25">
      <c r="A93" s="153" t="s">
        <v>126</v>
      </c>
      <c r="B93" s="122"/>
      <c r="C93" s="59">
        <f ca="1">J94</f>
        <v>19</v>
      </c>
      <c r="D93" s="19">
        <f ca="1">((100/H90)*C93)/100</f>
        <v>1</v>
      </c>
      <c r="E93" s="179">
        <f ca="1">(((C94/H90*10)+(40/(D90+F90+H90)*C95)+(7.5/(H90)*C96)+(7.5/(H90)*C97)+(10/H90*C98)+(10/H90*C99)+(5/H90*C100)+(5/H90*C101)+(5/H90*C102))/100)</f>
        <v>0.1</v>
      </c>
      <c r="F93" s="180"/>
      <c r="G93" s="179">
        <f ca="1">((((C93/H90)*20)+((C94/H90)*25)+(30/(H90+F90+D90)*C95)+(5/H90*C96)+(5/H90*C97)+(5/H90*C98)+(5/H90*C99)+(0/H90*C100)+(0/H90*C101)+(5/H90*C102))/100)</f>
        <v>0.45</v>
      </c>
      <c r="H93" s="219"/>
      <c r="I93" s="13" t="s">
        <v>97</v>
      </c>
      <c r="J93" s="29">
        <f ca="1">H90*50%</f>
        <v>9.5</v>
      </c>
    </row>
    <row r="94" spans="1:19" hidden="1" x14ac:dyDescent="0.25">
      <c r="A94" s="153" t="s">
        <v>48</v>
      </c>
      <c r="B94" s="122"/>
      <c r="C94" s="60">
        <v>19</v>
      </c>
      <c r="D94" s="19">
        <f ca="1">((100/H90)*C94)/100</f>
        <v>1</v>
      </c>
      <c r="E94" s="181"/>
      <c r="F94" s="182"/>
      <c r="G94" s="181"/>
      <c r="H94" s="220"/>
      <c r="I94" s="13" t="s">
        <v>98</v>
      </c>
      <c r="J94" s="29">
        <f ca="1">H90</f>
        <v>19</v>
      </c>
    </row>
    <row r="95" spans="1:19" ht="15.75" hidden="1" customHeight="1" x14ac:dyDescent="0.25">
      <c r="A95" s="153" t="s">
        <v>127</v>
      </c>
      <c r="B95" s="122"/>
      <c r="C95" s="43">
        <v>0</v>
      </c>
      <c r="D95" s="19">
        <f ca="1">((100/(D90+F90+H90))*C95)/100</f>
        <v>0</v>
      </c>
      <c r="E95" s="181"/>
      <c r="F95" s="182"/>
      <c r="G95" s="181"/>
      <c r="H95" s="220"/>
      <c r="I95" s="13" t="s">
        <v>99</v>
      </c>
      <c r="J95" s="30">
        <f ca="1">(IF(B90&gt;1,(H90/(B90+2)),H90/4))</f>
        <v>4.75</v>
      </c>
    </row>
    <row r="96" spans="1:19" ht="15.75" hidden="1" customHeight="1" x14ac:dyDescent="0.25">
      <c r="A96" s="153" t="s">
        <v>134</v>
      </c>
      <c r="B96" s="122" t="s">
        <v>128</v>
      </c>
      <c r="C96" s="43">
        <v>0</v>
      </c>
      <c r="D96" s="19">
        <f ca="1">((100/H90)*C96)/100</f>
        <v>0</v>
      </c>
      <c r="E96" s="181"/>
      <c r="F96" s="182"/>
      <c r="G96" s="181"/>
      <c r="H96" s="220"/>
      <c r="I96" s="13" t="s">
        <v>100</v>
      </c>
      <c r="J96" s="30">
        <f ca="1">(IF(B90&gt;1,(H90/(B90+2)+J95),H90/4+J95))</f>
        <v>9.5</v>
      </c>
    </row>
    <row r="97" spans="1:10" ht="15.75" hidden="1" customHeight="1" x14ac:dyDescent="0.25">
      <c r="A97" s="153" t="s">
        <v>135</v>
      </c>
      <c r="B97" s="122" t="s">
        <v>128</v>
      </c>
      <c r="C97" s="43">
        <v>0</v>
      </c>
      <c r="D97" s="19">
        <f ca="1">((100/H90)*C97)/100</f>
        <v>0</v>
      </c>
      <c r="E97" s="181"/>
      <c r="F97" s="182"/>
      <c r="G97" s="181"/>
      <c r="H97" s="220"/>
      <c r="I97" s="13" t="s">
        <v>146</v>
      </c>
      <c r="J97" s="30">
        <f>(IF(B90&gt;1,(H90/(B90+2)+J96),0))</f>
        <v>0</v>
      </c>
    </row>
    <row r="98" spans="1:10" ht="15" hidden="1" customHeight="1" x14ac:dyDescent="0.25">
      <c r="A98" s="153" t="s">
        <v>133</v>
      </c>
      <c r="B98" s="122" t="s">
        <v>130</v>
      </c>
      <c r="C98" s="43">
        <v>0</v>
      </c>
      <c r="D98" s="19">
        <f ca="1">((100/(H90))*C98)/100</f>
        <v>0</v>
      </c>
      <c r="E98" s="181"/>
      <c r="F98" s="182"/>
      <c r="G98" s="181"/>
      <c r="H98" s="220"/>
      <c r="I98" s="13" t="s">
        <v>141</v>
      </c>
      <c r="J98" s="30">
        <f>(IF(B90&gt;2,(H90/(B90+2)+J97),0))</f>
        <v>0</v>
      </c>
    </row>
    <row r="99" spans="1:10" ht="15.75" hidden="1" customHeight="1" x14ac:dyDescent="0.25">
      <c r="A99" s="153" t="s">
        <v>129</v>
      </c>
      <c r="B99" s="122" t="s">
        <v>129</v>
      </c>
      <c r="C99" s="43">
        <v>0</v>
      </c>
      <c r="D99" s="19">
        <f ca="1">((100/H90)*C99)/100</f>
        <v>0</v>
      </c>
      <c r="E99" s="181"/>
      <c r="F99" s="182"/>
      <c r="G99" s="181"/>
      <c r="H99" s="220"/>
      <c r="I99" s="13" t="s">
        <v>142</v>
      </c>
      <c r="J99" s="31">
        <f>(IF(B90&gt;3,(H90/(B90+2)+J98),0))</f>
        <v>0</v>
      </c>
    </row>
    <row r="100" spans="1:10" ht="15.75" hidden="1" customHeight="1" x14ac:dyDescent="0.25">
      <c r="A100" s="153" t="s">
        <v>136</v>
      </c>
      <c r="B100" s="122"/>
      <c r="C100" s="43">
        <v>0</v>
      </c>
      <c r="D100" s="19">
        <f ca="1">((100/H90)*C100)/100</f>
        <v>0</v>
      </c>
      <c r="E100" s="181"/>
      <c r="F100" s="182"/>
      <c r="G100" s="181"/>
      <c r="H100" s="220"/>
      <c r="I100" s="13" t="s">
        <v>143</v>
      </c>
      <c r="J100" s="30">
        <f>(IF(B90&gt;4,(H90/(B90+2)+J99),0))</f>
        <v>0</v>
      </c>
    </row>
    <row r="101" spans="1:10" ht="15.75" hidden="1" customHeight="1" x14ac:dyDescent="0.25">
      <c r="A101" s="153" t="s">
        <v>131</v>
      </c>
      <c r="B101" s="122" t="s">
        <v>131</v>
      </c>
      <c r="C101" s="43">
        <v>0</v>
      </c>
      <c r="D101" s="19">
        <f ca="1">((100/(H90))*C101)/100</f>
        <v>0</v>
      </c>
      <c r="E101" s="181"/>
      <c r="F101" s="182"/>
      <c r="G101" s="181"/>
      <c r="H101" s="220"/>
      <c r="I101" s="13" t="s">
        <v>147</v>
      </c>
      <c r="J101" s="30">
        <f ca="1">(IF(B90=1,(H90/(B90+3)+J96),IF(B90=0,(H90/4+J96),IF(B90&gt;1,0))))</f>
        <v>14.25</v>
      </c>
    </row>
    <row r="102" spans="1:10" ht="16.5" hidden="1" thickBot="1" x14ac:dyDescent="0.3">
      <c r="A102" s="156" t="s">
        <v>132</v>
      </c>
      <c r="B102" s="157"/>
      <c r="C102" s="44">
        <v>0</v>
      </c>
      <c r="D102" s="20">
        <f ca="1">((100/(H90))*C102)/100</f>
        <v>0</v>
      </c>
      <c r="E102" s="183"/>
      <c r="F102" s="184"/>
      <c r="G102" s="183"/>
      <c r="H102" s="221"/>
      <c r="I102" s="15" t="s">
        <v>101</v>
      </c>
      <c r="J102" s="32">
        <f ca="1">(IF(B90&gt;1.5,(H90/(B90+2)+J96+MAX(0,J97-J96)+MAX(0,J98-J97)+MAX(0,J99-J98)+MAX(0,J100-J99)+MAX(0,J101-J100)),IF(B90=1,(H90/(B90+3)+J101),IF(B90=0,H90/4+J101))))</f>
        <v>19</v>
      </c>
    </row>
    <row r="103" spans="1:10" ht="15.75" hidden="1" customHeight="1" x14ac:dyDescent="0.25">
      <c r="A103" s="112" t="s">
        <v>138</v>
      </c>
      <c r="B103" s="113"/>
      <c r="C103" s="114" t="str">
        <f>D67</f>
        <v>C Wing = 1B + G + 1st to 20th Floor</v>
      </c>
      <c r="D103" s="115"/>
      <c r="E103" s="115"/>
      <c r="F103" s="115"/>
      <c r="G103" s="115"/>
      <c r="H103" s="116"/>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25">
      <c r="A104" s="16" t="s">
        <v>140</v>
      </c>
      <c r="B104" s="47">
        <f>IF(AND(ISNUMBER(SEARCH("1B",C103))),1,IF(AND(ISNUMBER(SEARCH("2B",C103))),2,IF(AND(ISNUMBER(SEARCH("3B",C103))),3,IF(AND(ISNUMBER(SEARCH("4B",C103))),4,IF(ISNUMBER(SEARCH("5B",C103)),5,0)))))</f>
        <v>1</v>
      </c>
      <c r="C104" s="47" t="s">
        <v>69</v>
      </c>
      <c r="D104" s="47">
        <v>1</v>
      </c>
      <c r="E104" s="47" t="s">
        <v>68</v>
      </c>
      <c r="F104" s="14">
        <v>0</v>
      </c>
      <c r="G104" s="48" t="s">
        <v>77</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25">
      <c r="A105" s="185" t="s">
        <v>87</v>
      </c>
      <c r="B105" s="186"/>
      <c r="C105" s="187" t="str">
        <f ca="1">(IF($G$60="NA",I103,"All work Completed. OC Received."))</f>
        <v xml:space="preserve">Excavation, Plinth, RCC Slab Completed </v>
      </c>
      <c r="D105" s="187"/>
      <c r="E105" s="187"/>
      <c r="F105" s="187"/>
      <c r="G105" s="187"/>
      <c r="H105" s="188"/>
      <c r="I105" s="51" t="str">
        <f ca="1">IF(I104&lt;&gt;""," Completed","")</f>
        <v xml:space="preserve"> Completed</v>
      </c>
      <c r="J105" s="52" t="str">
        <f ca="1">IF(J103&lt;&gt;"","Completed","")</f>
        <v/>
      </c>
    </row>
    <row r="106" spans="1:10" ht="15.75" hidden="1" customHeight="1" x14ac:dyDescent="0.25">
      <c r="A106" s="153" t="s">
        <v>47</v>
      </c>
      <c r="B106" s="122"/>
      <c r="C106" s="43" t="s">
        <v>137</v>
      </c>
      <c r="D106" s="43" t="s">
        <v>80</v>
      </c>
      <c r="E106" s="122" t="s">
        <v>82</v>
      </c>
      <c r="F106" s="122"/>
      <c r="G106" s="122" t="s">
        <v>81</v>
      </c>
      <c r="H106" s="145"/>
      <c r="I106" s="13" t="s">
        <v>139</v>
      </c>
      <c r="J106" s="28">
        <f ca="1">H104*25%</f>
        <v>5</v>
      </c>
    </row>
    <row r="107" spans="1:10" hidden="1" x14ac:dyDescent="0.25">
      <c r="A107" s="153" t="s">
        <v>126</v>
      </c>
      <c r="B107" s="122"/>
      <c r="C107" s="43">
        <f ca="1">J108</f>
        <v>20</v>
      </c>
      <c r="D107" s="19">
        <f ca="1">((100/H104)*C107)/100</f>
        <v>1</v>
      </c>
      <c r="E107" s="179">
        <f ca="1">(((C108/H104*10)+(40/(D104+F104+H104)*C109)+(7.5/(H104)*C110)+(7.5/(H104)*C111)+(10/H104*C112)+(10/H104*C113)+(5/H104*C114)+(5/H104*C115)+(5/H104*C116))/100)</f>
        <v>0.5</v>
      </c>
      <c r="F107" s="180"/>
      <c r="G107" s="179">
        <f ca="1">((((C107/H104)*20)+((C108/H104)*25)+(30/(H104+F104+D104)*C109)+(5/H104*C110)+(5/H104*C111)+(5/H104*C112)+(5/H104*C113)+(0/H104*C114)+(0/H104*C115)+(5/H104*C116))/100)</f>
        <v>0.75</v>
      </c>
      <c r="H107" s="219"/>
      <c r="I107" s="13" t="s">
        <v>97</v>
      </c>
      <c r="J107" s="29">
        <f ca="1">H104*50%</f>
        <v>10</v>
      </c>
    </row>
    <row r="108" spans="1:10" hidden="1" x14ac:dyDescent="0.25">
      <c r="A108" s="153" t="s">
        <v>48</v>
      </c>
      <c r="B108" s="122"/>
      <c r="C108" s="43">
        <f ca="1">J116</f>
        <v>20</v>
      </c>
      <c r="D108" s="19">
        <f ca="1">((100/H104)*C108)/100</f>
        <v>1</v>
      </c>
      <c r="E108" s="181"/>
      <c r="F108" s="182"/>
      <c r="G108" s="181"/>
      <c r="H108" s="220"/>
      <c r="I108" s="13" t="s">
        <v>98</v>
      </c>
      <c r="J108" s="29">
        <f ca="1">H104</f>
        <v>20</v>
      </c>
    </row>
    <row r="109" spans="1:10" ht="15.75" hidden="1" customHeight="1" x14ac:dyDescent="0.25">
      <c r="A109" s="153" t="s">
        <v>127</v>
      </c>
      <c r="B109" s="122"/>
      <c r="C109" s="43">
        <f ca="1">D104+H104</f>
        <v>21</v>
      </c>
      <c r="D109" s="19">
        <f ca="1">((100/(D104+F104+H104))*C109)/100</f>
        <v>1</v>
      </c>
      <c r="E109" s="181"/>
      <c r="F109" s="182"/>
      <c r="G109" s="181"/>
      <c r="H109" s="220"/>
      <c r="I109" s="13" t="s">
        <v>99</v>
      </c>
      <c r="J109" s="30">
        <f ca="1">(IF(B104&gt;1,(H104/(B104+2)),H104/4))</f>
        <v>5</v>
      </c>
    </row>
    <row r="110" spans="1:10" ht="15.75" hidden="1" customHeight="1" x14ac:dyDescent="0.25">
      <c r="A110" s="153" t="s">
        <v>134</v>
      </c>
      <c r="B110" s="122" t="s">
        <v>128</v>
      </c>
      <c r="C110" s="43">
        <v>0</v>
      </c>
      <c r="D110" s="19">
        <f ca="1">((100/H104)*C110)/100</f>
        <v>0</v>
      </c>
      <c r="E110" s="181"/>
      <c r="F110" s="182"/>
      <c r="G110" s="181"/>
      <c r="H110" s="220"/>
      <c r="I110" s="13" t="s">
        <v>100</v>
      </c>
      <c r="J110" s="30">
        <f ca="1">(IF(B104&gt;1,(H104/(B104+2)+J109),H104/4+J109))</f>
        <v>10</v>
      </c>
    </row>
    <row r="111" spans="1:10" ht="15.75" hidden="1" customHeight="1" x14ac:dyDescent="0.25">
      <c r="A111" s="153" t="s">
        <v>135</v>
      </c>
      <c r="B111" s="122" t="s">
        <v>128</v>
      </c>
      <c r="C111" s="43">
        <v>0</v>
      </c>
      <c r="D111" s="19">
        <f ca="1">((100/H104)*C111)/100</f>
        <v>0</v>
      </c>
      <c r="E111" s="181"/>
      <c r="F111" s="182"/>
      <c r="G111" s="181"/>
      <c r="H111" s="220"/>
      <c r="I111" s="13" t="s">
        <v>146</v>
      </c>
      <c r="J111" s="30">
        <f>(IF(B104&gt;1,(H104/(B104+2)+J110),0))</f>
        <v>0</v>
      </c>
    </row>
    <row r="112" spans="1:10" ht="15" hidden="1" customHeight="1" x14ac:dyDescent="0.25">
      <c r="A112" s="153" t="s">
        <v>133</v>
      </c>
      <c r="B112" s="122" t="s">
        <v>130</v>
      </c>
      <c r="C112" s="43">
        <v>0</v>
      </c>
      <c r="D112" s="19">
        <f ca="1">((100/(H104))*C112)/100</f>
        <v>0</v>
      </c>
      <c r="E112" s="181"/>
      <c r="F112" s="182"/>
      <c r="G112" s="181"/>
      <c r="H112" s="220"/>
      <c r="I112" s="13" t="s">
        <v>141</v>
      </c>
      <c r="J112" s="30">
        <f>(IF(B104&gt;2,(H104/(B104+2)+J111),0))</f>
        <v>0</v>
      </c>
    </row>
    <row r="113" spans="1:19" ht="15.75" hidden="1" customHeight="1" x14ac:dyDescent="0.25">
      <c r="A113" s="153" t="s">
        <v>129</v>
      </c>
      <c r="B113" s="122" t="s">
        <v>129</v>
      </c>
      <c r="C113" s="43">
        <v>0</v>
      </c>
      <c r="D113" s="19">
        <f ca="1">((100/H104)*C113)/100</f>
        <v>0</v>
      </c>
      <c r="E113" s="181"/>
      <c r="F113" s="182"/>
      <c r="G113" s="181"/>
      <c r="H113" s="220"/>
      <c r="I113" s="13" t="s">
        <v>142</v>
      </c>
      <c r="J113" s="31">
        <f>(IF(B104&gt;3,(H104/(B104+2)+J112),0))</f>
        <v>0</v>
      </c>
    </row>
    <row r="114" spans="1:19" ht="15.75" hidden="1" customHeight="1" x14ac:dyDescent="0.25">
      <c r="A114" s="153" t="s">
        <v>136</v>
      </c>
      <c r="B114" s="122"/>
      <c r="C114" s="43">
        <v>0</v>
      </c>
      <c r="D114" s="19">
        <f ca="1">((100/H104)*C114)/100</f>
        <v>0</v>
      </c>
      <c r="E114" s="181"/>
      <c r="F114" s="182"/>
      <c r="G114" s="181"/>
      <c r="H114" s="220"/>
      <c r="I114" s="13" t="s">
        <v>143</v>
      </c>
      <c r="J114" s="30">
        <f>(IF(B104&gt;4,(H104/(B104+2)+J113),0))</f>
        <v>0</v>
      </c>
    </row>
    <row r="115" spans="1:19" ht="15.75" hidden="1" customHeight="1" x14ac:dyDescent="0.25">
      <c r="A115" s="153" t="s">
        <v>131</v>
      </c>
      <c r="B115" s="122" t="s">
        <v>131</v>
      </c>
      <c r="C115" s="43">
        <v>0</v>
      </c>
      <c r="D115" s="19">
        <f ca="1">((100/(H104))*C115)/100</f>
        <v>0</v>
      </c>
      <c r="E115" s="181"/>
      <c r="F115" s="182"/>
      <c r="G115" s="181"/>
      <c r="H115" s="220"/>
      <c r="I115" s="13" t="s">
        <v>147</v>
      </c>
      <c r="J115" s="30">
        <f ca="1">(IF(B104=1,(H104/(B104+3)+J110),IF(B104=0,(H104/4+J110),IF(B104&gt;1,0))))</f>
        <v>15</v>
      </c>
    </row>
    <row r="116" spans="1:19" ht="16.5" hidden="1" thickBot="1" x14ac:dyDescent="0.3">
      <c r="A116" s="156" t="s">
        <v>132</v>
      </c>
      <c r="B116" s="157"/>
      <c r="C116" s="44">
        <v>0</v>
      </c>
      <c r="D116" s="20">
        <f ca="1">((100/(H104))*C116)/100</f>
        <v>0</v>
      </c>
      <c r="E116" s="183"/>
      <c r="F116" s="184"/>
      <c r="G116" s="183"/>
      <c r="H116" s="221"/>
      <c r="I116" s="15" t="s">
        <v>101</v>
      </c>
      <c r="J116" s="32">
        <f ca="1">(IF(B104&gt;1.5,(H104/(B104+2)+J110+MAX(0,J111-J110)+MAX(0,J112-J111)+MAX(0,J113-J112)+MAX(0,J114-J113)+MAX(0,J115-J114)),IF(B104=1,(H104/(B104+3)+J115),IF(B104=0,H104/4+J115))))</f>
        <v>20</v>
      </c>
    </row>
    <row r="117" spans="1:19" ht="15.75" hidden="1" customHeight="1" x14ac:dyDescent="0.25">
      <c r="A117" s="255" t="s">
        <v>138</v>
      </c>
      <c r="B117" s="256"/>
      <c r="C117" s="257" t="s">
        <v>395</v>
      </c>
      <c r="D117" s="258"/>
      <c r="E117" s="258"/>
      <c r="F117" s="258"/>
      <c r="G117" s="258"/>
      <c r="H117" s="259"/>
      <c r="I117" s="260" t="str">
        <f ca="1">IF(D130=100%,"All work Completed. Possession granted to the Building.",IF(D129=100%,"All work Completed, Waiting for OC",I118&amp;""&amp;I119&amp;""&amp;J118&amp;""&amp;J117&amp;" "&amp;J119))</f>
        <v>Excavation, Plinth Completed, RCC upto 1 Slab Completed</v>
      </c>
      <c r="J117" s="50" t="str">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 RCC upto 1 Slab</v>
      </c>
      <c r="S117"/>
    </row>
    <row r="118" spans="1:19" hidden="1" x14ac:dyDescent="0.25">
      <c r="A118" s="261" t="s">
        <v>140</v>
      </c>
      <c r="B118" s="14">
        <f>IF(AND(ISNUMBER(SEARCH("1B",C117))),1,IF(AND(ISNUMBER(SEARCH("2B",C117))),2,IF(AND(ISNUMBER(SEARCH("3B",C117))),3,IF(AND(ISNUMBER(SEARCH("4B",C117))),4,IF(ISNUMBER(SEARCH("5B",C117)),5,0)))))</f>
        <v>0</v>
      </c>
      <c r="C118" s="14" t="s">
        <v>69</v>
      </c>
      <c r="D118" s="14">
        <v>1</v>
      </c>
      <c r="E118" s="14" t="s">
        <v>68</v>
      </c>
      <c r="F118" s="14">
        <v>0</v>
      </c>
      <c r="G118" s="14" t="s">
        <v>77</v>
      </c>
      <c r="H118" s="262">
        <f ca="1">--TRIM(RIGHT(SUBSTITUTE(LEFT(C117,_xlfn.AGGREGATE(16,6,FIND({0,1,2,3,4,5,6,7,8,9},C117,ROW(INDIRECT("1:"&amp;LEN(C117)))),1))," ",REPT(" ",LEN(C117))),LEN(C117)))</f>
        <v>35</v>
      </c>
      <c r="I118" s="263" t="str">
        <f ca="1">IF(D121=100%,"Excavation","")&amp;IF(D122=100%,", Plinth","")&amp;IF(D123=100%,", RCC Slab","")&amp;IF(D124=100%,", Brickwork","")&amp;IF(D125=100%,", Internal Plaster","")&amp;IF(D126=100%,", External Plaster","")&amp;IF(D127=100%,", Flooring","")&amp;IF(D128=100%,", Painting","")&amp;IF(D129=100%,", Building common Amenities","")</f>
        <v>Excavation, Plinth</v>
      </c>
      <c r="J118" s="52" t="str">
        <f ca="1">(IF(C121=0,"Work not yet Started.",IF(D121=25%,"Piling work in process",IF(D121=50%,"Excavation work in process",IF(D121=100%,"","0")))))&amp;(IF(C122=0%,"",IF(C122=J123,", Footing work is process",IF(C122=J124,", Footing work Completed",IF(C122=J125,", 1st Basement Completed",IF(C122=J126,", 1st &amp; 2nd Basement Completed",IF(C122=J127,", 1st to 3rd Basement Completed",IF(C122=J128,", 1st to 4th Basement Completed",IF(C122=J129,", Plinth work is process",IF(C122=J130,"","0"))))))))))</f>
        <v/>
      </c>
      <c r="S118"/>
    </row>
    <row r="119" spans="1:19" hidden="1" x14ac:dyDescent="0.25">
      <c r="A119" s="264" t="s">
        <v>87</v>
      </c>
      <c r="B119" s="265"/>
      <c r="C119" s="266" t="str">
        <f ca="1">I117</f>
        <v>Excavation, Plinth Completed, RCC upto 1 Slab Completed</v>
      </c>
      <c r="D119" s="266"/>
      <c r="E119" s="266"/>
      <c r="F119" s="266"/>
      <c r="G119" s="266"/>
      <c r="H119" s="267"/>
      <c r="I119" s="263" t="str">
        <f ca="1">IF(I118&lt;&gt;""," Completed","")</f>
        <v xml:space="preserve"> Completed</v>
      </c>
      <c r="J119" s="52" t="str">
        <f ca="1">IF(J117&lt;&gt;"","Completed","")</f>
        <v>Completed</v>
      </c>
      <c r="S119"/>
    </row>
    <row r="120" spans="1:19" ht="15.75" hidden="1" customHeight="1" x14ac:dyDescent="0.25">
      <c r="A120" s="268" t="s">
        <v>47</v>
      </c>
      <c r="B120" s="269"/>
      <c r="C120" s="59" t="s">
        <v>137</v>
      </c>
      <c r="D120" s="59" t="s">
        <v>80</v>
      </c>
      <c r="E120" s="269" t="s">
        <v>82</v>
      </c>
      <c r="F120" s="269"/>
      <c r="G120" s="269" t="s">
        <v>81</v>
      </c>
      <c r="H120" s="270"/>
      <c r="I120" s="271" t="s">
        <v>139</v>
      </c>
      <c r="J120" s="28">
        <f ca="1">H118*25%</f>
        <v>8.75</v>
      </c>
      <c r="S120"/>
    </row>
    <row r="121" spans="1:19" hidden="1" x14ac:dyDescent="0.25">
      <c r="A121" s="268" t="s">
        <v>126</v>
      </c>
      <c r="B121" s="269"/>
      <c r="C121" s="60">
        <f ca="1">J122</f>
        <v>35</v>
      </c>
      <c r="D121" s="272">
        <f ca="1">((100/H118)*C121)/100</f>
        <v>1</v>
      </c>
      <c r="E121" s="273">
        <f ca="1">(((C122/H118*10)+(40/(D118+F118+H118)*C123)+(7.5/(H118)*C124)+(7.5/(H118)*C125)+(10/H118*C126)+(10/H118*C127)+(5/H118*C128)+(5/H118*C129)+(5/H118*C130))/100)</f>
        <v>0.1111111111111111</v>
      </c>
      <c r="F121" s="274"/>
      <c r="G121" s="273">
        <f ca="1">((((C121/H118)*20)+((C122/H118)*25)+(30/(H118+F118+D118)*C123)+(5/H118*C124)+(5/H118*C125)+(5/H118*C126)+(5/H118*C127)+(0/H118*C128)+(0/H118*C129)+(5/H118*C130))/100)</f>
        <v>0.45833333333333337</v>
      </c>
      <c r="H121" s="275"/>
      <c r="I121" s="271" t="s">
        <v>97</v>
      </c>
      <c r="J121" s="29">
        <f ca="1">H118*50%</f>
        <v>17.5</v>
      </c>
    </row>
    <row r="122" spans="1:19" hidden="1" x14ac:dyDescent="0.25">
      <c r="A122" s="268" t="s">
        <v>48</v>
      </c>
      <c r="B122" s="269"/>
      <c r="C122" s="60">
        <f ca="1">J130</f>
        <v>35</v>
      </c>
      <c r="D122" s="272">
        <f ca="1">((100/H118)*C122)/100</f>
        <v>1</v>
      </c>
      <c r="E122" s="276"/>
      <c r="F122" s="277"/>
      <c r="G122" s="276"/>
      <c r="H122" s="278"/>
      <c r="I122" s="271" t="s">
        <v>98</v>
      </c>
      <c r="J122" s="29">
        <f ca="1">H118</f>
        <v>35</v>
      </c>
      <c r="S122"/>
    </row>
    <row r="123" spans="1:19" ht="15.75" hidden="1" customHeight="1" x14ac:dyDescent="0.25">
      <c r="A123" s="268" t="s">
        <v>127</v>
      </c>
      <c r="B123" s="269"/>
      <c r="C123" s="59">
        <v>1</v>
      </c>
      <c r="D123" s="272">
        <f ca="1">((100/(D118+F118+H118))*C123)/100</f>
        <v>2.7777777777777776E-2</v>
      </c>
      <c r="E123" s="276"/>
      <c r="F123" s="277"/>
      <c r="G123" s="276"/>
      <c r="H123" s="278"/>
      <c r="I123" s="271" t="s">
        <v>99</v>
      </c>
      <c r="J123" s="30">
        <f ca="1">(IF(B118&gt;1,(H118/(B118+2)),H118/4))</f>
        <v>8.75</v>
      </c>
      <c r="S123"/>
    </row>
    <row r="124" spans="1:19" ht="15.75" hidden="1" customHeight="1" x14ac:dyDescent="0.25">
      <c r="A124" s="268" t="s">
        <v>134</v>
      </c>
      <c r="B124" s="269" t="s">
        <v>128</v>
      </c>
      <c r="C124" s="59">
        <v>0</v>
      </c>
      <c r="D124" s="272">
        <f ca="1">((100/H118)*C124)/100</f>
        <v>0</v>
      </c>
      <c r="E124" s="276"/>
      <c r="F124" s="277"/>
      <c r="G124" s="276"/>
      <c r="H124" s="278"/>
      <c r="I124" s="271" t="s">
        <v>100</v>
      </c>
      <c r="J124" s="30">
        <f ca="1">(IF(B118&gt;1,(H118/(B118+2)+J123),H118/4+J123))</f>
        <v>17.5</v>
      </c>
    </row>
    <row r="125" spans="1:19" ht="15.75" hidden="1" customHeight="1" x14ac:dyDescent="0.25">
      <c r="A125" s="268" t="s">
        <v>135</v>
      </c>
      <c r="B125" s="269" t="s">
        <v>128</v>
      </c>
      <c r="C125" s="59">
        <v>0</v>
      </c>
      <c r="D125" s="272">
        <f ca="1">((100/H118)*C125)/100</f>
        <v>0</v>
      </c>
      <c r="E125" s="276"/>
      <c r="F125" s="277"/>
      <c r="G125" s="276"/>
      <c r="H125" s="278"/>
      <c r="I125" s="271" t="s">
        <v>146</v>
      </c>
      <c r="J125" s="30">
        <f>(IF(B118&gt;1,(H118/(B118+2)+J124),0))</f>
        <v>0</v>
      </c>
    </row>
    <row r="126" spans="1:19" ht="15" hidden="1" customHeight="1" x14ac:dyDescent="0.25">
      <c r="A126" s="268" t="s">
        <v>133</v>
      </c>
      <c r="B126" s="269" t="s">
        <v>130</v>
      </c>
      <c r="C126" s="59">
        <v>0</v>
      </c>
      <c r="D126" s="272">
        <f ca="1">((100/(H118))*C126)/100</f>
        <v>0</v>
      </c>
      <c r="E126" s="276"/>
      <c r="F126" s="277"/>
      <c r="G126" s="276"/>
      <c r="H126" s="278"/>
      <c r="I126" s="271" t="s">
        <v>141</v>
      </c>
      <c r="J126" s="30">
        <f>(IF(B118&gt;2,(H118/(B118+2)+J125),0))</f>
        <v>0</v>
      </c>
    </row>
    <row r="127" spans="1:19" ht="15.75" hidden="1" customHeight="1" x14ac:dyDescent="0.25">
      <c r="A127" s="268" t="s">
        <v>129</v>
      </c>
      <c r="B127" s="269" t="s">
        <v>129</v>
      </c>
      <c r="C127" s="59">
        <v>0</v>
      </c>
      <c r="D127" s="272">
        <f ca="1">((100/H118)*C127)/100</f>
        <v>0</v>
      </c>
      <c r="E127" s="276"/>
      <c r="F127" s="277"/>
      <c r="G127" s="276"/>
      <c r="H127" s="278"/>
      <c r="I127" s="271" t="s">
        <v>142</v>
      </c>
      <c r="J127" s="31">
        <f>(IF(B118&gt;3,(H118/(B118+2)+J126),0))</f>
        <v>0</v>
      </c>
    </row>
    <row r="128" spans="1:19" ht="15.75" hidden="1" customHeight="1" x14ac:dyDescent="0.25">
      <c r="A128" s="268" t="s">
        <v>136</v>
      </c>
      <c r="B128" s="269"/>
      <c r="C128" s="59">
        <v>0</v>
      </c>
      <c r="D128" s="272">
        <f ca="1">((100/H118)*C128)/100</f>
        <v>0</v>
      </c>
      <c r="E128" s="276"/>
      <c r="F128" s="277"/>
      <c r="G128" s="276"/>
      <c r="H128" s="278"/>
      <c r="I128" s="271" t="s">
        <v>143</v>
      </c>
      <c r="J128" s="30">
        <f>(IF(B118&gt;4,(H118/(B118+2)+J127),0))</f>
        <v>0</v>
      </c>
    </row>
    <row r="129" spans="1:22" ht="15.75" hidden="1" customHeight="1" x14ac:dyDescent="0.25">
      <c r="A129" s="268" t="s">
        <v>131</v>
      </c>
      <c r="B129" s="269" t="s">
        <v>131</v>
      </c>
      <c r="C129" s="59">
        <v>0</v>
      </c>
      <c r="D129" s="272">
        <f ca="1">((100/(H118))*C129)/100</f>
        <v>0</v>
      </c>
      <c r="E129" s="276"/>
      <c r="F129" s="277"/>
      <c r="G129" s="276"/>
      <c r="H129" s="278"/>
      <c r="I129" s="271" t="s">
        <v>147</v>
      </c>
      <c r="J129" s="30">
        <f ca="1">(IF(B118=1,(H118/(B118+3)+J124),IF(B118=0,(H118/4+J124),IF(B118&gt;1,0))))</f>
        <v>26.25</v>
      </c>
    </row>
    <row r="130" spans="1:22" ht="16.5" hidden="1" thickBot="1" x14ac:dyDescent="0.3">
      <c r="A130" s="279" t="s">
        <v>132</v>
      </c>
      <c r="B130" s="280"/>
      <c r="C130" s="281">
        <v>0</v>
      </c>
      <c r="D130" s="282">
        <f ca="1">((100/(H118))*C130)/100</f>
        <v>0</v>
      </c>
      <c r="E130" s="283"/>
      <c r="F130" s="284"/>
      <c r="G130" s="283"/>
      <c r="H130" s="285"/>
      <c r="I130" s="286" t="s">
        <v>101</v>
      </c>
      <c r="J130" s="32">
        <f ca="1">(IF(B118&gt;1.5,(H118/(B118+2)+J124+MAX(0,J125-J124)+MAX(0,J126-J125)+MAX(0,J127-J126)+MAX(0,J128-J127)+MAX(0,J129-J128)),IF(B118=1,(H118/(B118+3)+J129),IF(B118=0,H118/4+J129))))</f>
        <v>35</v>
      </c>
    </row>
    <row r="131" spans="1:22" ht="32.450000000000003" hidden="1" customHeight="1" thickBot="1" x14ac:dyDescent="0.3">
      <c r="A131" s="287" t="s">
        <v>397</v>
      </c>
      <c r="B131" s="288"/>
      <c r="C131" s="289">
        <f ca="1">AVERAGE(E79,E121)</f>
        <v>0.12222222222222222</v>
      </c>
      <c r="D131" s="290"/>
      <c r="E131" s="291" t="s">
        <v>396</v>
      </c>
      <c r="F131" s="288"/>
      <c r="G131" s="289">
        <f ca="1">AVERAGE(G79,G121)</f>
        <v>0.46666666666666667</v>
      </c>
      <c r="H131" s="292"/>
      <c r="I131" s="22"/>
      <c r="R131" t="s">
        <v>253</v>
      </c>
      <c r="S131" t="s">
        <v>174</v>
      </c>
      <c r="T131" t="s">
        <v>179</v>
      </c>
      <c r="U131" t="s">
        <v>194</v>
      </c>
      <c r="V131" t="s">
        <v>189</v>
      </c>
    </row>
    <row r="132" spans="1:22" x14ac:dyDescent="0.25">
      <c r="A132" s="240" t="s">
        <v>157</v>
      </c>
      <c r="B132" s="240"/>
      <c r="C132" s="240"/>
      <c r="D132" s="240"/>
      <c r="E132" s="240"/>
      <c r="F132" s="171" t="s">
        <v>161</v>
      </c>
      <c r="G132" s="171"/>
      <c r="H132" s="171"/>
      <c r="R132" t="s">
        <v>253</v>
      </c>
      <c r="S132" t="s">
        <v>174</v>
      </c>
      <c r="T132" t="s">
        <v>179</v>
      </c>
      <c r="U132" t="s">
        <v>194</v>
      </c>
      <c r="V132" t="s">
        <v>189</v>
      </c>
    </row>
    <row r="133" spans="1:22" x14ac:dyDescent="0.25">
      <c r="A133" s="177" t="s">
        <v>159</v>
      </c>
      <c r="B133" s="177"/>
      <c r="C133" s="177"/>
      <c r="D133" s="177"/>
      <c r="E133" s="177"/>
      <c r="F133" s="101">
        <v>16000</v>
      </c>
      <c r="G133" s="101"/>
      <c r="H133" s="101"/>
      <c r="J133" s="21" t="s">
        <v>393</v>
      </c>
      <c r="R133"/>
      <c r="S133">
        <v>800000</v>
      </c>
      <c r="T133">
        <v>150000</v>
      </c>
      <c r="U133">
        <v>100000</v>
      </c>
      <c r="V133">
        <v>100000</v>
      </c>
    </row>
    <row r="134" spans="1:22" x14ac:dyDescent="0.25">
      <c r="A134" s="177" t="s">
        <v>158</v>
      </c>
      <c r="B134" s="177"/>
      <c r="C134" s="177"/>
      <c r="D134" s="177"/>
      <c r="E134" s="177"/>
      <c r="F134" s="101">
        <v>23000</v>
      </c>
      <c r="G134" s="101"/>
      <c r="H134" s="101"/>
      <c r="J134" s="74" t="s">
        <v>377</v>
      </c>
      <c r="K134" s="74" t="s">
        <v>378</v>
      </c>
      <c r="R134"/>
      <c r="S134">
        <v>900000</v>
      </c>
      <c r="T134">
        <v>200000</v>
      </c>
      <c r="U134">
        <v>150000</v>
      </c>
      <c r="V134">
        <v>150000</v>
      </c>
    </row>
    <row r="135" spans="1:22" x14ac:dyDescent="0.25">
      <c r="A135" s="177" t="s">
        <v>160</v>
      </c>
      <c r="B135" s="177"/>
      <c r="C135" s="177"/>
      <c r="D135" s="177"/>
      <c r="E135" s="177"/>
      <c r="F135" s="101">
        <v>17000</v>
      </c>
      <c r="G135" s="101"/>
      <c r="H135" s="101"/>
      <c r="J135" s="74">
        <v>17000</v>
      </c>
      <c r="K135" s="74">
        <v>22222</v>
      </c>
      <c r="R135"/>
      <c r="S135">
        <v>1000000</v>
      </c>
      <c r="T135">
        <v>250000</v>
      </c>
      <c r="U135">
        <v>200000</v>
      </c>
      <c r="V135">
        <v>200000</v>
      </c>
    </row>
    <row r="136" spans="1:22" s="33" customFormat="1" x14ac:dyDescent="0.25">
      <c r="A136" s="177" t="s">
        <v>394</v>
      </c>
      <c r="B136" s="177"/>
      <c r="C136" s="177"/>
      <c r="D136" s="177"/>
      <c r="E136" s="177"/>
      <c r="F136" s="101">
        <v>50</v>
      </c>
      <c r="G136" s="101"/>
      <c r="H136" s="101"/>
      <c r="J136" s="85"/>
      <c r="K136" s="85">
        <v>13000</v>
      </c>
      <c r="R136"/>
      <c r="S136">
        <v>1100000</v>
      </c>
      <c r="T136">
        <v>300000</v>
      </c>
      <c r="U136">
        <v>250000</v>
      </c>
      <c r="V136" s="23">
        <v>250000</v>
      </c>
    </row>
    <row r="137" spans="1:22" s="33" customFormat="1" x14ac:dyDescent="0.25">
      <c r="A137" s="177" t="s">
        <v>379</v>
      </c>
      <c r="B137" s="177"/>
      <c r="C137" s="177"/>
      <c r="D137" s="177"/>
      <c r="E137" s="177"/>
      <c r="F137" s="101">
        <v>400000</v>
      </c>
      <c r="G137" s="101"/>
      <c r="H137" s="101"/>
      <c r="R137"/>
      <c r="S137">
        <v>1200000</v>
      </c>
      <c r="T137">
        <v>350000</v>
      </c>
      <c r="U137">
        <v>300000</v>
      </c>
      <c r="V137">
        <v>300000</v>
      </c>
    </row>
    <row r="138" spans="1:22" s="33" customFormat="1" x14ac:dyDescent="0.25">
      <c r="A138" s="177" t="s">
        <v>92</v>
      </c>
      <c r="B138" s="177"/>
      <c r="C138" s="177"/>
      <c r="D138" s="177"/>
      <c r="E138" s="177"/>
      <c r="F138" s="101">
        <v>350000</v>
      </c>
      <c r="G138" s="101"/>
      <c r="H138" s="101"/>
      <c r="R138"/>
      <c r="S138">
        <v>1300000</v>
      </c>
      <c r="T138">
        <v>400000</v>
      </c>
      <c r="U138">
        <v>350000</v>
      </c>
      <c r="V138" s="23">
        <v>400000</v>
      </c>
    </row>
    <row r="139" spans="1:22" s="33" customFormat="1" hidden="1" x14ac:dyDescent="0.25">
      <c r="A139" s="177" t="s">
        <v>93</v>
      </c>
      <c r="B139" s="177"/>
      <c r="C139" s="177"/>
      <c r="D139" s="177"/>
      <c r="E139" s="177"/>
      <c r="F139" s="101"/>
      <c r="G139" s="101"/>
      <c r="H139" s="101"/>
      <c r="R139"/>
      <c r="S139">
        <v>1400000</v>
      </c>
      <c r="T139">
        <v>500000</v>
      </c>
      <c r="U139">
        <v>400000</v>
      </c>
      <c r="V139"/>
    </row>
    <row r="140" spans="1:22" s="33" customFormat="1" hidden="1" x14ac:dyDescent="0.25">
      <c r="A140" s="177" t="s">
        <v>94</v>
      </c>
      <c r="B140" s="177"/>
      <c r="C140" s="177"/>
      <c r="D140" s="177"/>
      <c r="E140" s="177"/>
      <c r="F140" s="101"/>
      <c r="G140" s="101"/>
      <c r="H140" s="101"/>
      <c r="R140"/>
      <c r="S140">
        <v>1500000</v>
      </c>
      <c r="T140">
        <v>600000</v>
      </c>
      <c r="U140">
        <v>500000</v>
      </c>
      <c r="V140" s="23"/>
    </row>
    <row r="141" spans="1:22" s="33" customFormat="1" x14ac:dyDescent="0.25">
      <c r="A141" s="177" t="s">
        <v>95</v>
      </c>
      <c r="B141" s="177"/>
      <c r="C141" s="177"/>
      <c r="D141" s="177"/>
      <c r="E141" s="177"/>
      <c r="F141" s="101">
        <v>100000</v>
      </c>
      <c r="G141" s="101"/>
      <c r="H141" s="101"/>
      <c r="R141"/>
      <c r="S141">
        <v>1600000</v>
      </c>
      <c r="T141">
        <v>700000</v>
      </c>
      <c r="U141">
        <v>600000</v>
      </c>
      <c r="V141"/>
    </row>
    <row r="142" spans="1:22" s="33" customFormat="1" hidden="1" x14ac:dyDescent="0.25">
      <c r="A142" s="177" t="s">
        <v>96</v>
      </c>
      <c r="B142" s="177"/>
      <c r="C142" s="177"/>
      <c r="D142" s="177"/>
      <c r="E142" s="177"/>
      <c r="F142" s="101"/>
      <c r="G142" s="101"/>
      <c r="H142" s="101"/>
      <c r="R142"/>
      <c r="S142">
        <v>1700000</v>
      </c>
      <c r="T142">
        <v>800000</v>
      </c>
      <c r="U142"/>
      <c r="V142" s="23"/>
    </row>
    <row r="143" spans="1:22" x14ac:dyDescent="0.25">
      <c r="A143" s="177" t="s">
        <v>49</v>
      </c>
      <c r="B143" s="177"/>
      <c r="C143" s="177"/>
      <c r="D143" s="177"/>
      <c r="E143" s="177"/>
      <c r="F143" s="101">
        <v>700000</v>
      </c>
      <c r="G143" s="101"/>
      <c r="H143" s="101"/>
      <c r="R143"/>
      <c r="S143">
        <v>1800000</v>
      </c>
      <c r="T143">
        <v>900000</v>
      </c>
      <c r="U143"/>
    </row>
    <row r="144" spans="1:22" s="34" customFormat="1" x14ac:dyDescent="0.25">
      <c r="A144" s="202" t="s">
        <v>50</v>
      </c>
      <c r="B144" s="202"/>
      <c r="C144" s="202"/>
      <c r="D144" s="202"/>
      <c r="E144" s="202"/>
      <c r="F144" s="101">
        <f>F133*0.8</f>
        <v>12800</v>
      </c>
      <c r="G144" s="101"/>
      <c r="H144" s="101"/>
      <c r="M144" s="34" t="e">
        <f ca="1">OFFSET($S$132,1,MATCH($G20,$S$132:$W$132,0)-1,15,1)</f>
        <v>#N/A</v>
      </c>
      <c r="R144" s="21"/>
      <c r="S144" s="21"/>
      <c r="T144">
        <v>1000000</v>
      </c>
      <c r="U144"/>
      <c r="V144" s="21"/>
    </row>
    <row r="145" spans="1:22" s="35" customFormat="1" ht="15.75" customHeight="1" x14ac:dyDescent="0.25">
      <c r="A145" s="201" t="s">
        <v>72</v>
      </c>
      <c r="B145" s="201"/>
      <c r="C145" s="201"/>
      <c r="D145" s="201"/>
      <c r="E145" s="201"/>
      <c r="F145" s="201"/>
      <c r="G145" s="201"/>
      <c r="H145" s="201"/>
      <c r="R145"/>
      <c r="S145" s="21"/>
      <c r="T145"/>
      <c r="U145"/>
      <c r="V145" s="21"/>
    </row>
    <row r="146" spans="1:22" s="35" customFormat="1" ht="15.75" customHeight="1" x14ac:dyDescent="0.25">
      <c r="A146" s="148" t="s">
        <v>51</v>
      </c>
      <c r="B146" s="148"/>
      <c r="C146" s="158" t="s">
        <v>75</v>
      </c>
      <c r="D146" s="158"/>
      <c r="E146" s="173" t="s">
        <v>52</v>
      </c>
      <c r="F146" s="173"/>
      <c r="G146" s="148" t="s">
        <v>53</v>
      </c>
      <c r="H146" s="148"/>
      <c r="R146"/>
      <c r="S146" s="21"/>
      <c r="T146"/>
      <c r="U146" s="21"/>
      <c r="V146" s="21"/>
    </row>
    <row r="147" spans="1:22" s="35" customFormat="1" x14ac:dyDescent="0.25">
      <c r="A147" s="178" t="s">
        <v>365</v>
      </c>
      <c r="B147" s="178"/>
      <c r="C147" s="154">
        <f>COUNT(D161:D171)</f>
        <v>11</v>
      </c>
      <c r="D147" s="155"/>
      <c r="E147" s="154">
        <f t="shared" ref="E147" si="0">SUM(F161:F171)</f>
        <v>6230.1386159999993</v>
      </c>
      <c r="F147" s="155"/>
      <c r="G147" s="154">
        <f t="shared" ref="G147" si="1">SUM(H161:H171)</f>
        <v>12815</v>
      </c>
      <c r="H147" s="155"/>
      <c r="R147"/>
      <c r="S147" s="21"/>
      <c r="T147"/>
      <c r="U147" s="21"/>
      <c r="V147" s="21"/>
    </row>
    <row r="148" spans="1:22" s="35" customFormat="1" x14ac:dyDescent="0.25">
      <c r="A148" s="178" t="s">
        <v>364</v>
      </c>
      <c r="B148" s="178"/>
      <c r="C148" s="155">
        <f>COUNT(D173:D174)*2+COUNT(D176:D177)</f>
        <v>6</v>
      </c>
      <c r="D148" s="155"/>
      <c r="E148" s="154">
        <f t="shared" ref="E148" si="2">SUM(F173:F174)*2+SUM(F176:F177)</f>
        <v>18477.159479999998</v>
      </c>
      <c r="F148" s="154"/>
      <c r="G148" s="154">
        <f>SUM(H173:H174)*2+SUM(H176:H177)</f>
        <v>38122.574303999994</v>
      </c>
      <c r="H148" s="154"/>
      <c r="R148"/>
      <c r="S148" s="21"/>
      <c r="T148"/>
      <c r="U148" s="21"/>
      <c r="V148" s="21"/>
    </row>
    <row r="149" spans="1:22" s="35" customFormat="1" x14ac:dyDescent="0.25">
      <c r="A149" s="201" t="s">
        <v>150</v>
      </c>
      <c r="B149" s="201"/>
      <c r="C149" s="247">
        <f>SUM(C147:D148)</f>
        <v>17</v>
      </c>
      <c r="D149" s="158"/>
      <c r="E149" s="247">
        <f t="shared" ref="E149" si="3">SUM(E147:F148)</f>
        <v>24707.298095999999</v>
      </c>
      <c r="F149" s="158"/>
      <c r="G149" s="247">
        <f t="shared" ref="G149" si="4">SUM(G147:H148)</f>
        <v>50937.574303999994</v>
      </c>
      <c r="H149" s="158"/>
      <c r="R149"/>
      <c r="S149" s="21"/>
      <c r="T149"/>
      <c r="U149" s="21"/>
      <c r="V149" s="21"/>
    </row>
    <row r="150" spans="1:22" s="35" customFormat="1" x14ac:dyDescent="0.25">
      <c r="A150" s="201" t="s">
        <v>67</v>
      </c>
      <c r="B150" s="201"/>
      <c r="C150" s="201"/>
      <c r="D150" s="201"/>
      <c r="E150" s="201"/>
      <c r="F150" s="201"/>
      <c r="G150" s="201"/>
      <c r="H150" s="201"/>
      <c r="T150"/>
    </row>
    <row r="151" spans="1:22" s="35" customFormat="1" ht="15.75" customHeight="1" x14ac:dyDescent="0.25">
      <c r="A151" s="148" t="s">
        <v>51</v>
      </c>
      <c r="B151" s="148"/>
      <c r="C151" s="158" t="s">
        <v>75</v>
      </c>
      <c r="D151" s="158"/>
      <c r="E151" s="173" t="s">
        <v>52</v>
      </c>
      <c r="F151" s="173"/>
      <c r="G151" s="148" t="s">
        <v>53</v>
      </c>
      <c r="H151" s="148"/>
      <c r="T151"/>
    </row>
    <row r="152" spans="1:22" s="35" customFormat="1" ht="16.5" thickBot="1" x14ac:dyDescent="0.3">
      <c r="A152" s="178" t="s">
        <v>366</v>
      </c>
      <c r="B152" s="178"/>
      <c r="C152" s="155">
        <f>COUNT(D183:D186)*15+COUNT(D188:D191)*3+COUNT(D193:D196)+COUNT(D198:D201)+COUNT(D203:D206)*2+COUNT(D208:D211)*6+COUNT(D213:D216)*2+COUNT(D218:D219)</f>
        <v>122</v>
      </c>
      <c r="D152" s="155"/>
      <c r="E152" s="154">
        <f>SUM(F183:F186)*15+SUM(F188:F191)*3+SUM(F193:F196)+SUM(F198:F201)+SUM(F203:F206)*2+SUM(F208:F211)*6+SUM(F213:F216)*2+SUM(F218:F219)</f>
        <v>119655.02975399999</v>
      </c>
      <c r="F152" s="154"/>
      <c r="G152" s="154">
        <f>SUM(H183:H186)*15+SUM(H188:H191)*3+SUM(H193:H196)+SUM(H198:H201)+SUM(H203:H206)*2+SUM(H208:H211)*6+SUM(H213:H216)*2+SUM(H218:H219)</f>
        <v>192045</v>
      </c>
      <c r="H152" s="154"/>
      <c r="T152"/>
    </row>
    <row r="153" spans="1:22" s="35" customFormat="1" hidden="1" x14ac:dyDescent="0.25">
      <c r="A153" s="178"/>
      <c r="B153" s="178"/>
      <c r="C153" s="155"/>
      <c r="D153" s="155"/>
      <c r="E153" s="248"/>
      <c r="F153" s="248"/>
      <c r="G153" s="249"/>
      <c r="H153" s="249"/>
      <c r="T153"/>
    </row>
    <row r="154" spans="1:22" s="35" customFormat="1" ht="16.5" hidden="1" thickBot="1" x14ac:dyDescent="0.3">
      <c r="A154" s="244" t="s">
        <v>150</v>
      </c>
      <c r="B154" s="244"/>
      <c r="C154" s="159"/>
      <c r="D154" s="159"/>
      <c r="E154" s="245"/>
      <c r="F154" s="245"/>
      <c r="G154" s="246"/>
      <c r="H154" s="246"/>
      <c r="T154"/>
    </row>
    <row r="155" spans="1:22" s="35" customFormat="1" ht="16.5" thickBot="1" x14ac:dyDescent="0.3">
      <c r="A155" s="160" t="s">
        <v>167</v>
      </c>
      <c r="B155" s="161"/>
      <c r="C155" s="162">
        <f>C149+C152</f>
        <v>139</v>
      </c>
      <c r="D155" s="163"/>
      <c r="E155" s="162">
        <f t="shared" ref="E155" si="5">E149+E152</f>
        <v>144362.32785</v>
      </c>
      <c r="F155" s="163"/>
      <c r="G155" s="162">
        <f t="shared" ref="G155" si="6">G149+G152</f>
        <v>242982.57430400001</v>
      </c>
      <c r="H155" s="163"/>
      <c r="T155"/>
    </row>
    <row r="156" spans="1:22" s="34" customFormat="1" x14ac:dyDescent="0.25">
      <c r="A156" s="171" t="s">
        <v>54</v>
      </c>
      <c r="B156" s="171"/>
      <c r="C156" s="171"/>
      <c r="D156" s="171"/>
      <c r="E156" s="171"/>
      <c r="F156" s="171"/>
      <c r="G156" s="171"/>
      <c r="H156" s="171"/>
      <c r="T156" s="35"/>
    </row>
    <row r="157" spans="1:22" x14ac:dyDescent="0.25">
      <c r="A157" s="176" t="s">
        <v>176</v>
      </c>
      <c r="B157" s="176"/>
      <c r="C157" s="176"/>
      <c r="D157" s="176"/>
      <c r="E157" s="176"/>
      <c r="F157" s="176"/>
      <c r="G157" s="176"/>
      <c r="H157" s="176"/>
      <c r="T157" s="35"/>
    </row>
    <row r="158" spans="1:22" ht="47.25" customHeight="1" x14ac:dyDescent="0.25">
      <c r="A158" s="151" t="s">
        <v>117</v>
      </c>
      <c r="B158" s="151" t="s">
        <v>177</v>
      </c>
      <c r="C158" s="151" t="s">
        <v>55</v>
      </c>
      <c r="D158" s="149" t="s">
        <v>367</v>
      </c>
      <c r="E158" s="235" t="s">
        <v>156</v>
      </c>
      <c r="F158" s="149" t="s">
        <v>56</v>
      </c>
      <c r="G158" s="235" t="s">
        <v>57</v>
      </c>
      <c r="H158" s="83" t="s">
        <v>375</v>
      </c>
      <c r="T158" s="35"/>
    </row>
    <row r="159" spans="1:22" s="37" customFormat="1" x14ac:dyDescent="0.25">
      <c r="A159" s="152"/>
      <c r="B159" s="152"/>
      <c r="C159" s="152"/>
      <c r="D159" s="150"/>
      <c r="E159" s="236"/>
      <c r="F159" s="150"/>
      <c r="G159" s="236"/>
      <c r="H159" s="84">
        <v>1</v>
      </c>
      <c r="T159" s="35"/>
    </row>
    <row r="160" spans="1:22" s="37" customFormat="1" x14ac:dyDescent="0.25">
      <c r="A160" s="96" t="s">
        <v>370</v>
      </c>
      <c r="B160" s="97"/>
      <c r="C160" s="97"/>
      <c r="D160" s="97"/>
      <c r="E160" s="97"/>
      <c r="F160" s="97"/>
      <c r="G160" s="97"/>
      <c r="H160" s="98"/>
      <c r="J160" s="36"/>
      <c r="O160" s="42">
        <v>10.763999999999999</v>
      </c>
      <c r="T160" s="35"/>
    </row>
    <row r="161" spans="1:20" s="37" customFormat="1" ht="15.75" customHeight="1" x14ac:dyDescent="0.25">
      <c r="A161" s="94">
        <v>1</v>
      </c>
      <c r="B161" s="95"/>
      <c r="C161" s="42" t="s">
        <v>358</v>
      </c>
      <c r="D161" s="42">
        <f>(44.467)*10.764</f>
        <v>478.64278799999994</v>
      </c>
      <c r="E161" s="42">
        <v>0</v>
      </c>
      <c r="F161" s="42">
        <f>D161+(IF(E161&lt;201,E161,IF(E161&lt;301,E161/2,E161/3)))</f>
        <v>478.64278799999994</v>
      </c>
      <c r="G161" s="42">
        <v>0</v>
      </c>
      <c r="H161" s="42">
        <v>985</v>
      </c>
      <c r="I161" s="36"/>
      <c r="J161" s="80">
        <f>3*14.95</f>
        <v>44.849999999999994</v>
      </c>
      <c r="L161" s="42">
        <v>985</v>
      </c>
      <c r="M161" s="82">
        <f>L161/F161</f>
        <v>2.0579021029770539</v>
      </c>
      <c r="N161" s="36"/>
      <c r="T161" s="35"/>
    </row>
    <row r="162" spans="1:20" s="37" customFormat="1" ht="15.75" customHeight="1" x14ac:dyDescent="0.25">
      <c r="A162" s="94">
        <f>A161+1</f>
        <v>2</v>
      </c>
      <c r="B162" s="95"/>
      <c r="C162" s="42" t="s">
        <v>358</v>
      </c>
      <c r="D162" s="42">
        <f>(43.415)*10.764</f>
        <v>467.31905999999998</v>
      </c>
      <c r="E162" s="42">
        <v>0</v>
      </c>
      <c r="F162" s="42">
        <f t="shared" ref="F162:F164" si="7">D162+(IF(E162&lt;201,E162,IF(E162&lt;301,E162/2,E162/3)))</f>
        <v>467.31905999999998</v>
      </c>
      <c r="G162" s="42">
        <v>0</v>
      </c>
      <c r="H162" s="42">
        <v>960</v>
      </c>
      <c r="I162" s="36">
        <f>3*14.95</f>
        <v>44.849999999999994</v>
      </c>
      <c r="J162" s="80"/>
      <c r="L162" s="42">
        <v>960</v>
      </c>
      <c r="M162" s="82">
        <f t="shared" ref="M162:M177" si="8">L162/F162</f>
        <v>2.0542710156097637</v>
      </c>
      <c r="N162" s="36"/>
      <c r="T162" s="34"/>
    </row>
    <row r="163" spans="1:20" s="37" customFormat="1" ht="15.75" customHeight="1" x14ac:dyDescent="0.25">
      <c r="A163" s="94">
        <f>A162+1</f>
        <v>3</v>
      </c>
      <c r="B163" s="95"/>
      <c r="C163" s="42" t="s">
        <v>358</v>
      </c>
      <c r="D163" s="42">
        <f>(56.81)*10.764</f>
        <v>611.50283999999999</v>
      </c>
      <c r="E163" s="42">
        <v>0</v>
      </c>
      <c r="F163" s="42">
        <f t="shared" si="7"/>
        <v>611.50283999999999</v>
      </c>
      <c r="G163" s="42">
        <v>0</v>
      </c>
      <c r="H163" s="42">
        <v>1255</v>
      </c>
      <c r="I163" s="36"/>
      <c r="J163" s="80"/>
      <c r="L163" s="42">
        <v>1255</v>
      </c>
      <c r="M163" s="82">
        <f t="shared" si="8"/>
        <v>2.052320803612294</v>
      </c>
      <c r="N163" s="36"/>
      <c r="T163" s="21"/>
    </row>
    <row r="164" spans="1:20" s="37" customFormat="1" ht="15.75" customHeight="1" x14ac:dyDescent="0.25">
      <c r="A164" s="94">
        <f>A163+1</f>
        <v>4</v>
      </c>
      <c r="B164" s="95"/>
      <c r="C164" s="42" t="s">
        <v>358</v>
      </c>
      <c r="D164" s="42">
        <f>(57.656)*10.764</f>
        <v>620.60918399999991</v>
      </c>
      <c r="E164" s="42">
        <v>0</v>
      </c>
      <c r="F164" s="42">
        <f t="shared" si="7"/>
        <v>620.60918399999991</v>
      </c>
      <c r="G164" s="42">
        <v>0</v>
      </c>
      <c r="H164" s="42">
        <v>1275</v>
      </c>
      <c r="I164" s="36"/>
      <c r="J164" s="80"/>
      <c r="L164" s="42">
        <v>1275</v>
      </c>
      <c r="M164" s="82">
        <f t="shared" si="8"/>
        <v>2.0544330197988177</v>
      </c>
      <c r="N164" s="36"/>
      <c r="T164" s="21"/>
    </row>
    <row r="165" spans="1:20" s="37" customFormat="1" ht="15.75" customHeight="1" x14ac:dyDescent="0.25">
      <c r="A165" s="94">
        <f t="shared" ref="A165:A171" si="9">A164+1</f>
        <v>5</v>
      </c>
      <c r="B165" s="95"/>
      <c r="C165" s="42" t="s">
        <v>358</v>
      </c>
      <c r="D165" s="42">
        <f>(58.111)*10.764</f>
        <v>625.50680399999987</v>
      </c>
      <c r="E165" s="42">
        <v>0</v>
      </c>
      <c r="F165" s="42">
        <f t="shared" ref="F165:F171" si="10">D165+(IF(E165&lt;201,E165,IF(E165&lt;301,E165/2,E165/3)))</f>
        <v>625.50680399999987</v>
      </c>
      <c r="G165" s="42">
        <v>0</v>
      </c>
      <c r="H165" s="42">
        <v>1290</v>
      </c>
      <c r="I165" s="36">
        <f>3.95*14.95</f>
        <v>59.052500000000002</v>
      </c>
      <c r="J165" s="80"/>
      <c r="L165" s="42">
        <v>1290</v>
      </c>
      <c r="M165" s="82">
        <f t="shared" si="8"/>
        <v>2.0623276865266527</v>
      </c>
      <c r="N165" s="36"/>
      <c r="T165" s="21"/>
    </row>
    <row r="166" spans="1:20" s="37" customFormat="1" ht="15.75" customHeight="1" x14ac:dyDescent="0.25">
      <c r="A166" s="94">
        <f t="shared" si="9"/>
        <v>6</v>
      </c>
      <c r="B166" s="95"/>
      <c r="C166" s="42" t="s">
        <v>358</v>
      </c>
      <c r="D166" s="42">
        <f>(57.995)*10.764</f>
        <v>624.25817999999992</v>
      </c>
      <c r="E166" s="42">
        <v>0</v>
      </c>
      <c r="F166" s="42">
        <f t="shared" si="10"/>
        <v>624.25817999999992</v>
      </c>
      <c r="G166" s="42">
        <v>0</v>
      </c>
      <c r="H166" s="42">
        <v>1285</v>
      </c>
      <c r="I166" s="36"/>
      <c r="J166" s="80"/>
      <c r="L166" s="42">
        <v>1285</v>
      </c>
      <c r="M166" s="82">
        <f t="shared" si="8"/>
        <v>2.0584431909246268</v>
      </c>
      <c r="N166" s="36"/>
      <c r="T166" s="21"/>
    </row>
    <row r="167" spans="1:20" s="37" customFormat="1" ht="15.75" customHeight="1" x14ac:dyDescent="0.25">
      <c r="A167" s="94">
        <f t="shared" si="9"/>
        <v>7</v>
      </c>
      <c r="B167" s="95"/>
      <c r="C167" s="42" t="s">
        <v>358</v>
      </c>
      <c r="D167" s="42">
        <f>(58.126)*10.764</f>
        <v>625.66826399999991</v>
      </c>
      <c r="E167" s="42">
        <v>0</v>
      </c>
      <c r="F167" s="42">
        <f t="shared" si="10"/>
        <v>625.66826399999991</v>
      </c>
      <c r="G167" s="42">
        <v>0</v>
      </c>
      <c r="H167" s="42">
        <v>1290</v>
      </c>
      <c r="I167" s="36"/>
      <c r="J167" s="80">
        <f>3.95*14.95</f>
        <v>59.052500000000002</v>
      </c>
      <c r="L167" s="42">
        <v>1290</v>
      </c>
      <c r="M167" s="82">
        <f t="shared" si="8"/>
        <v>2.0617954820863349</v>
      </c>
      <c r="N167" s="36"/>
      <c r="T167" s="21"/>
    </row>
    <row r="168" spans="1:20" s="37" customFormat="1" ht="15.75" customHeight="1" x14ac:dyDescent="0.25">
      <c r="A168" s="94">
        <f t="shared" si="9"/>
        <v>8</v>
      </c>
      <c r="B168" s="95"/>
      <c r="C168" s="42" t="s">
        <v>358</v>
      </c>
      <c r="D168" s="42">
        <f>(57.656)*10.764</f>
        <v>620.60918399999991</v>
      </c>
      <c r="E168" s="42">
        <v>0</v>
      </c>
      <c r="F168" s="42">
        <f t="shared" si="10"/>
        <v>620.60918399999991</v>
      </c>
      <c r="G168" s="42">
        <v>0</v>
      </c>
      <c r="H168" s="42">
        <v>1275</v>
      </c>
      <c r="I168" s="36"/>
      <c r="J168" s="80"/>
      <c r="L168" s="42">
        <v>1275</v>
      </c>
      <c r="M168" s="82">
        <f t="shared" si="8"/>
        <v>2.0544330197988177</v>
      </c>
      <c r="N168" s="36"/>
      <c r="T168" s="21"/>
    </row>
    <row r="169" spans="1:20" s="37" customFormat="1" ht="15.75" customHeight="1" x14ac:dyDescent="0.25">
      <c r="A169" s="94">
        <f t="shared" si="9"/>
        <v>9</v>
      </c>
      <c r="B169" s="95"/>
      <c r="C169" s="42" t="s">
        <v>358</v>
      </c>
      <c r="D169" s="42">
        <f>(56.81)*10.764</f>
        <v>611.50283999999999</v>
      </c>
      <c r="E169" s="42">
        <v>0</v>
      </c>
      <c r="F169" s="42">
        <f t="shared" si="10"/>
        <v>611.50283999999999</v>
      </c>
      <c r="G169" s="42">
        <v>0</v>
      </c>
      <c r="H169" s="42">
        <v>1255</v>
      </c>
      <c r="I169" s="36"/>
      <c r="J169" s="80"/>
      <c r="L169" s="42">
        <v>1255</v>
      </c>
      <c r="M169" s="82">
        <f t="shared" si="8"/>
        <v>2.052320803612294</v>
      </c>
      <c r="N169" s="36"/>
      <c r="T169" s="21"/>
    </row>
    <row r="170" spans="1:20" s="37" customFormat="1" ht="15.75" customHeight="1" x14ac:dyDescent="0.25">
      <c r="A170" s="94">
        <f t="shared" si="9"/>
        <v>10</v>
      </c>
      <c r="B170" s="95"/>
      <c r="C170" s="42" t="s">
        <v>358</v>
      </c>
      <c r="D170" s="42">
        <f>(43.415)*10.764</f>
        <v>467.31905999999998</v>
      </c>
      <c r="E170" s="42">
        <v>0</v>
      </c>
      <c r="F170" s="42">
        <f t="shared" si="10"/>
        <v>467.31905999999998</v>
      </c>
      <c r="G170" s="42">
        <v>0</v>
      </c>
      <c r="H170" s="42">
        <v>960</v>
      </c>
      <c r="I170" s="36"/>
      <c r="J170" s="80"/>
      <c r="L170" s="42">
        <v>960</v>
      </c>
      <c r="M170" s="82">
        <f t="shared" si="8"/>
        <v>2.0542710156097637</v>
      </c>
      <c r="N170" s="36"/>
      <c r="T170" s="21"/>
    </row>
    <row r="171" spans="1:20" s="37" customFormat="1" ht="15.75" customHeight="1" x14ac:dyDescent="0.25">
      <c r="A171" s="94">
        <f t="shared" si="9"/>
        <v>11</v>
      </c>
      <c r="B171" s="95"/>
      <c r="C171" s="42" t="s">
        <v>358</v>
      </c>
      <c r="D171" s="42">
        <f>(44.333)*10.764</f>
        <v>477.20041199999997</v>
      </c>
      <c r="E171" s="42">
        <v>0</v>
      </c>
      <c r="F171" s="42">
        <f t="shared" si="10"/>
        <v>477.20041199999997</v>
      </c>
      <c r="G171" s="42">
        <v>0</v>
      </c>
      <c r="H171" s="42">
        <v>985</v>
      </c>
      <c r="I171" s="36"/>
      <c r="J171" s="80">
        <f>3*14.95</f>
        <v>44.849999999999994</v>
      </c>
      <c r="L171" s="42">
        <v>985</v>
      </c>
      <c r="M171" s="82">
        <f t="shared" si="8"/>
        <v>2.0641222748986228</v>
      </c>
      <c r="N171" s="36"/>
      <c r="T171" s="21"/>
    </row>
    <row r="172" spans="1:20" s="37" customFormat="1" x14ac:dyDescent="0.25">
      <c r="A172" s="96" t="s">
        <v>371</v>
      </c>
      <c r="B172" s="97"/>
      <c r="C172" s="97"/>
      <c r="D172" s="97"/>
      <c r="E172" s="97"/>
      <c r="F172" s="97"/>
      <c r="G172" s="97"/>
      <c r="H172" s="98"/>
      <c r="J172" s="36"/>
      <c r="T172" s="35"/>
    </row>
    <row r="173" spans="1:20" s="37" customFormat="1" ht="15.75" customHeight="1" x14ac:dyDescent="0.25">
      <c r="A173" s="94">
        <v>1</v>
      </c>
      <c r="B173" s="95"/>
      <c r="C173" s="42" t="s">
        <v>359</v>
      </c>
      <c r="D173" s="42">
        <f>(311.717)*10.764</f>
        <v>3355.3217879999997</v>
      </c>
      <c r="E173" s="42">
        <v>0</v>
      </c>
      <c r="F173" s="42">
        <f>D173+(IF(E173&lt;201,E173,IF(E173&lt;301,E173/2,E173/3)))</f>
        <v>3355.3217879999997</v>
      </c>
      <c r="G173" s="42">
        <v>0</v>
      </c>
      <c r="H173" s="42">
        <f>F173*2</f>
        <v>6710.6435759999995</v>
      </c>
      <c r="I173" s="36">
        <f>20.1*14.8</f>
        <v>297.48</v>
      </c>
      <c r="J173" s="36">
        <f>20.1*14.8+1.45*2.9+1.1*1.39+1.1*1.35+1.55*2.3+1.35*1.1+1.35*1.1</f>
        <v>311.23400000000004</v>
      </c>
      <c r="K173" s="88">
        <f>H173/F173</f>
        <v>2</v>
      </c>
      <c r="L173" s="42">
        <v>7000</v>
      </c>
      <c r="M173" s="82">
        <f>L173/F173</f>
        <v>2.0862380547328896</v>
      </c>
      <c r="N173" s="36"/>
      <c r="T173" s="35"/>
    </row>
    <row r="174" spans="1:20" s="37" customFormat="1" ht="15.75" customHeight="1" x14ac:dyDescent="0.25">
      <c r="A174" s="94">
        <f>A173+1</f>
        <v>2</v>
      </c>
      <c r="B174" s="95"/>
      <c r="C174" s="42" t="s">
        <v>359</v>
      </c>
      <c r="D174" s="42">
        <f>(311.717)*10.764</f>
        <v>3355.3217879999997</v>
      </c>
      <c r="E174" s="42">
        <v>0</v>
      </c>
      <c r="F174" s="42">
        <f t="shared" ref="F174" si="11">D174+(IF(E174&lt;201,E174,IF(E174&lt;301,E174/2,E174/3)))</f>
        <v>3355.3217879999997</v>
      </c>
      <c r="G174" s="42">
        <v>0</v>
      </c>
      <c r="H174" s="42">
        <f>F174*2</f>
        <v>6710.6435759999995</v>
      </c>
      <c r="I174" s="36"/>
      <c r="K174" s="88">
        <f>H174/F174</f>
        <v>2</v>
      </c>
      <c r="L174" s="42">
        <v>7000</v>
      </c>
      <c r="M174" s="82">
        <f t="shared" si="8"/>
        <v>2.0862380547328896</v>
      </c>
      <c r="N174" s="36"/>
      <c r="T174" s="34"/>
    </row>
    <row r="175" spans="1:20" s="37" customFormat="1" x14ac:dyDescent="0.25">
      <c r="A175" s="96" t="s">
        <v>372</v>
      </c>
      <c r="B175" s="97"/>
      <c r="C175" s="97"/>
      <c r="D175" s="97"/>
      <c r="E175" s="97"/>
      <c r="F175" s="97"/>
      <c r="G175" s="97"/>
      <c r="H175" s="98"/>
      <c r="J175" s="36"/>
      <c r="T175" s="35"/>
    </row>
    <row r="176" spans="1:20" s="37" customFormat="1" ht="15.75" customHeight="1" x14ac:dyDescent="0.25">
      <c r="A176" s="94">
        <v>1</v>
      </c>
      <c r="B176" s="95"/>
      <c r="C176" s="42" t="s">
        <v>359</v>
      </c>
      <c r="D176" s="42">
        <f>(234.851)*10.764</f>
        <v>2527.9361639999997</v>
      </c>
      <c r="E176" s="42">
        <v>0</v>
      </c>
      <c r="F176" s="42">
        <f>D176+(IF(E176&lt;201,E176,IF(E176&lt;301,E176/2,E176/3)))</f>
        <v>2527.9361639999997</v>
      </c>
      <c r="G176" s="42">
        <f>87.1*10.764</f>
        <v>937.54439999999988</v>
      </c>
      <c r="H176" s="42">
        <v>5640</v>
      </c>
      <c r="I176" s="36">
        <f>14.2*14.8</f>
        <v>210.16</v>
      </c>
      <c r="K176" s="37">
        <f>6.4*12.95</f>
        <v>82.88</v>
      </c>
      <c r="L176" s="42">
        <v>5640</v>
      </c>
      <c r="M176" s="82">
        <f t="shared" si="8"/>
        <v>2.2310689962501762</v>
      </c>
      <c r="N176" s="36"/>
      <c r="T176" s="35"/>
    </row>
    <row r="177" spans="1:20" s="37" customFormat="1" ht="15.75" customHeight="1" x14ac:dyDescent="0.25">
      <c r="A177" s="94">
        <f>A176+1</f>
        <v>2</v>
      </c>
      <c r="B177" s="95"/>
      <c r="C177" s="42" t="s">
        <v>359</v>
      </c>
      <c r="D177" s="42">
        <f>(234.851)*10.764</f>
        <v>2527.9361639999997</v>
      </c>
      <c r="E177" s="42">
        <v>0</v>
      </c>
      <c r="F177" s="42">
        <f t="shared" ref="F177" si="12">D177+(IF(E177&lt;201,E177,IF(E177&lt;301,E177/2,E177/3)))</f>
        <v>2527.9361639999997</v>
      </c>
      <c r="G177" s="42">
        <f>87.1*10.764</f>
        <v>937.54439999999988</v>
      </c>
      <c r="H177" s="42">
        <v>5640</v>
      </c>
      <c r="I177" s="36"/>
      <c r="L177" s="42">
        <v>5640</v>
      </c>
      <c r="M177" s="82">
        <f t="shared" si="8"/>
        <v>2.2310689962501762</v>
      </c>
      <c r="N177" s="36"/>
      <c r="T177" s="34"/>
    </row>
    <row r="178" spans="1:20" s="37" customFormat="1" x14ac:dyDescent="0.25">
      <c r="A178" s="94"/>
      <c r="B178" s="172"/>
      <c r="C178" s="172"/>
      <c r="D178" s="172"/>
      <c r="E178" s="172"/>
      <c r="F178" s="172"/>
      <c r="G178" s="172"/>
      <c r="H178" s="95"/>
      <c r="I178" s="36"/>
      <c r="N178" s="36"/>
    </row>
    <row r="179" spans="1:20" ht="67.5" customHeight="1" x14ac:dyDescent="0.25">
      <c r="A179" s="174" t="s">
        <v>118</v>
      </c>
      <c r="B179" s="151" t="s">
        <v>178</v>
      </c>
      <c r="C179" s="151" t="s">
        <v>55</v>
      </c>
      <c r="D179" s="149" t="s">
        <v>367</v>
      </c>
      <c r="E179" s="151" t="s">
        <v>382</v>
      </c>
      <c r="F179" s="151" t="s">
        <v>56</v>
      </c>
      <c r="G179" s="230" t="s">
        <v>57</v>
      </c>
      <c r="H179" s="64" t="s">
        <v>375</v>
      </c>
      <c r="I179" s="36"/>
      <c r="T179" s="37"/>
    </row>
    <row r="180" spans="1:20" s="37" customFormat="1" x14ac:dyDescent="0.25">
      <c r="A180" s="175"/>
      <c r="B180" s="152"/>
      <c r="C180" s="152"/>
      <c r="D180" s="150"/>
      <c r="E180" s="152"/>
      <c r="F180" s="152"/>
      <c r="G180" s="231"/>
      <c r="H180" s="87">
        <v>0.6</v>
      </c>
      <c r="I180" s="36"/>
    </row>
    <row r="181" spans="1:20" s="37" customFormat="1" ht="36.75" customHeight="1" x14ac:dyDescent="0.25">
      <c r="A181" s="96" t="s">
        <v>373</v>
      </c>
      <c r="B181" s="97"/>
      <c r="C181" s="97"/>
      <c r="D181" s="97"/>
      <c r="E181" s="97"/>
      <c r="F181" s="97"/>
      <c r="G181" s="97"/>
      <c r="H181" s="98"/>
      <c r="J181" s="36"/>
    </row>
    <row r="182" spans="1:20" s="37" customFormat="1" x14ac:dyDescent="0.25">
      <c r="A182" s="96" t="s">
        <v>388</v>
      </c>
      <c r="B182" s="97"/>
      <c r="C182" s="97"/>
      <c r="D182" s="97"/>
      <c r="E182" s="97"/>
      <c r="F182" s="97"/>
      <c r="G182" s="97"/>
      <c r="H182" s="98"/>
      <c r="I182" s="37">
        <f>4+2+4+4</f>
        <v>14</v>
      </c>
      <c r="J182" s="36"/>
    </row>
    <row r="183" spans="1:20" s="37" customFormat="1" ht="15.75" customHeight="1" x14ac:dyDescent="0.25">
      <c r="A183" s="94">
        <v>1</v>
      </c>
      <c r="B183" s="95"/>
      <c r="C183" s="42" t="s">
        <v>360</v>
      </c>
      <c r="D183" s="42">
        <f>(63.413)*10.764</f>
        <v>682.57753199999991</v>
      </c>
      <c r="E183" s="42">
        <f>(4.725+0.75*(2.13+3+3.1))*10.764</f>
        <v>117.30069</v>
      </c>
      <c r="F183" s="42">
        <f>D183+E183</f>
        <v>799.87822199999994</v>
      </c>
      <c r="G183" s="42">
        <v>0</v>
      </c>
      <c r="H183" s="42">
        <v>1290</v>
      </c>
      <c r="I183" s="36"/>
      <c r="J183" s="37">
        <f>3*5.55+2.3*2.45+2.13*3+3*3.25+3.1*4.25+2.4*1.2+2.4*1.2+1*3.1</f>
        <v>60.46</v>
      </c>
      <c r="L183" s="42">
        <v>1290</v>
      </c>
      <c r="M183" s="82">
        <f>L183/F183</f>
        <v>1.6127454961512879</v>
      </c>
      <c r="N183" s="36"/>
    </row>
    <row r="184" spans="1:20" s="37" customFormat="1" ht="15.75" customHeight="1" x14ac:dyDescent="0.25">
      <c r="A184" s="94">
        <f>A183+1</f>
        <v>2</v>
      </c>
      <c r="B184" s="95"/>
      <c r="C184" s="42" t="s">
        <v>360</v>
      </c>
      <c r="D184" s="42">
        <f>(63.413)*10.764</f>
        <v>682.57753199999991</v>
      </c>
      <c r="E184" s="42">
        <f>(4.725+0.75*(2.13+3+3.1))*10.764</f>
        <v>117.30069</v>
      </c>
      <c r="F184" s="42">
        <f>D184+E184</f>
        <v>799.87822199999994</v>
      </c>
      <c r="G184" s="42">
        <v>0</v>
      </c>
      <c r="H184" s="42">
        <v>1290</v>
      </c>
      <c r="I184" s="80">
        <f>3*5.55+2.13*3+3*3.25+3.1*4.25+2.4*1.2+2.4*1.2+2.3*2.45+3*0.9</f>
        <v>60.060000000000009</v>
      </c>
      <c r="J184" s="37">
        <f>3.15*1.5</f>
        <v>4.7249999999999996</v>
      </c>
      <c r="L184" s="42">
        <v>1290</v>
      </c>
      <c r="M184" s="82">
        <f>L184/F184</f>
        <v>1.6127454961512879</v>
      </c>
      <c r="N184" s="36"/>
    </row>
    <row r="185" spans="1:20" s="37" customFormat="1" ht="15.75" customHeight="1" x14ac:dyDescent="0.25">
      <c r="A185" s="94">
        <f>A184+1</f>
        <v>3</v>
      </c>
      <c r="B185" s="95"/>
      <c r="C185" s="42" t="s">
        <v>386</v>
      </c>
      <c r="D185" s="42">
        <f>(87.53)*10.764</f>
        <v>942.17291999999998</v>
      </c>
      <c r="E185" s="42">
        <f>(5.55+0.75*(2.33+3+3+3+3.1))*10.764</f>
        <v>176.23358999999996</v>
      </c>
      <c r="F185" s="42">
        <f>D185+E185</f>
        <v>1118.40651</v>
      </c>
      <c r="G185" s="42">
        <v>0</v>
      </c>
      <c r="H185" s="42">
        <v>1780</v>
      </c>
      <c r="I185" s="36"/>
      <c r="J185" s="37">
        <f>3.5*6.15+2.5*3.05+2.33*3+3*3+3*4+4.25*3+1.4*2.4+2.4*1.35+1.2*2.3+1.2*1.6+1*2</f>
        <v>83.17</v>
      </c>
      <c r="L185" s="42">
        <v>1780</v>
      </c>
      <c r="M185" s="82">
        <f>L185/F185</f>
        <v>1.5915501064098778</v>
      </c>
      <c r="N185" s="36"/>
    </row>
    <row r="186" spans="1:20" s="37" customFormat="1" ht="15.75" customHeight="1" x14ac:dyDescent="0.25">
      <c r="A186" s="94">
        <f>A185+1</f>
        <v>4</v>
      </c>
      <c r="B186" s="95"/>
      <c r="C186" s="42" t="s">
        <v>386</v>
      </c>
      <c r="D186" s="42">
        <f>(87.53)*10.764</f>
        <v>942.17291999999998</v>
      </c>
      <c r="E186" s="42">
        <f>(5.55+0.75*(2.33+3+3+3+3.1))*10.764</f>
        <v>176.23358999999996</v>
      </c>
      <c r="F186" s="42">
        <f>D186+E186</f>
        <v>1118.40651</v>
      </c>
      <c r="G186" s="42">
        <v>0</v>
      </c>
      <c r="H186" s="42">
        <v>1780</v>
      </c>
      <c r="I186" s="36"/>
      <c r="L186" s="42">
        <v>1780</v>
      </c>
      <c r="M186" s="82">
        <f>L186/F186</f>
        <v>1.5915501064098778</v>
      </c>
      <c r="N186" s="36"/>
      <c r="T186" s="21"/>
    </row>
    <row r="187" spans="1:20" s="37" customFormat="1" x14ac:dyDescent="0.25">
      <c r="A187" s="96" t="s">
        <v>387</v>
      </c>
      <c r="B187" s="97"/>
      <c r="C187" s="97"/>
      <c r="D187" s="97"/>
      <c r="E187" s="97"/>
      <c r="F187" s="97"/>
      <c r="G187" s="97"/>
      <c r="H187" s="98"/>
      <c r="I187" s="37">
        <v>4</v>
      </c>
      <c r="J187" s="36"/>
    </row>
    <row r="188" spans="1:20" s="37" customFormat="1" ht="15.75" customHeight="1" x14ac:dyDescent="0.25">
      <c r="A188" s="94">
        <v>1</v>
      </c>
      <c r="B188" s="95"/>
      <c r="C188" s="42" t="s">
        <v>360</v>
      </c>
      <c r="D188" s="42">
        <f>(63.413)*10.764</f>
        <v>682.57753199999991</v>
      </c>
      <c r="E188" s="42">
        <f>(4.725+0.75*(2.13+3+3.1))*10.764</f>
        <v>117.30069</v>
      </c>
      <c r="F188" s="42">
        <f>D188+E188</f>
        <v>799.87822199999994</v>
      </c>
      <c r="G188" s="42">
        <v>0</v>
      </c>
      <c r="H188" s="42">
        <v>1290</v>
      </c>
      <c r="I188" s="36">
        <f>3*3*10.764</f>
        <v>96.875999999999991</v>
      </c>
      <c r="J188" s="37">
        <f>3*3.25*10.764</f>
        <v>104.949</v>
      </c>
      <c r="L188" s="81"/>
      <c r="M188" s="81"/>
      <c r="N188" s="36"/>
    </row>
    <row r="189" spans="1:20" s="37" customFormat="1" ht="15.75" customHeight="1" x14ac:dyDescent="0.25">
      <c r="A189" s="94">
        <f>A188+1</f>
        <v>2</v>
      </c>
      <c r="B189" s="95"/>
      <c r="C189" s="42" t="s">
        <v>360</v>
      </c>
      <c r="D189" s="42">
        <f>(63.413)*10.764</f>
        <v>682.57753199999991</v>
      </c>
      <c r="E189" s="42">
        <f>(4.725+0.75*(2.13+3+3.1))*10.764</f>
        <v>117.30069</v>
      </c>
      <c r="F189" s="42">
        <f>D189+E189</f>
        <v>799.87822199999994</v>
      </c>
      <c r="G189" s="42">
        <v>0</v>
      </c>
      <c r="H189" s="42">
        <v>1290</v>
      </c>
      <c r="I189" s="36"/>
      <c r="L189" s="81"/>
      <c r="M189" s="81"/>
      <c r="N189" s="36"/>
    </row>
    <row r="190" spans="1:20" s="37" customFormat="1" ht="15.75" customHeight="1" x14ac:dyDescent="0.25">
      <c r="A190" s="94">
        <f>A189+1</f>
        <v>3</v>
      </c>
      <c r="B190" s="95"/>
      <c r="C190" s="42" t="s">
        <v>386</v>
      </c>
      <c r="D190" s="42">
        <f>(87.53)*10.764</f>
        <v>942.17291999999998</v>
      </c>
      <c r="E190" s="42">
        <f>(5.55+0.75*(2.33+3+3+3+3.1))*10.764</f>
        <v>176.23358999999996</v>
      </c>
      <c r="F190" s="42">
        <f>D190+E190</f>
        <v>1118.40651</v>
      </c>
      <c r="G190" s="42">
        <v>0</v>
      </c>
      <c r="H190" s="42">
        <v>1780</v>
      </c>
      <c r="I190" s="36"/>
      <c r="L190" s="81"/>
      <c r="M190" s="81"/>
      <c r="N190" s="36"/>
    </row>
    <row r="191" spans="1:20" s="37" customFormat="1" ht="15.75" customHeight="1" x14ac:dyDescent="0.25">
      <c r="A191" s="94">
        <f>A190+1</f>
        <v>4</v>
      </c>
      <c r="B191" s="95"/>
      <c r="C191" s="42" t="s">
        <v>386</v>
      </c>
      <c r="D191" s="42">
        <f>(87.53)*10.764</f>
        <v>942.17291999999998</v>
      </c>
      <c r="E191" s="42">
        <f>(5.55+0.75*(2.33+3+3+3+3.1))*10.764</f>
        <v>176.23358999999996</v>
      </c>
      <c r="F191" s="42">
        <f>D191+E191</f>
        <v>1118.40651</v>
      </c>
      <c r="G191" s="42">
        <v>0</v>
      </c>
      <c r="H191" s="42">
        <v>1780</v>
      </c>
      <c r="I191" s="36"/>
      <c r="L191" s="81"/>
      <c r="M191" s="81"/>
      <c r="N191" s="36"/>
      <c r="T191" s="21"/>
    </row>
    <row r="192" spans="1:20" s="37" customFormat="1" x14ac:dyDescent="0.25">
      <c r="A192" s="96" t="s">
        <v>392</v>
      </c>
      <c r="B192" s="97"/>
      <c r="C192" s="97"/>
      <c r="D192" s="97"/>
      <c r="E192" s="97"/>
      <c r="F192" s="97"/>
      <c r="G192" s="97"/>
      <c r="H192" s="98"/>
      <c r="I192" s="37">
        <v>1</v>
      </c>
      <c r="J192" s="36"/>
    </row>
    <row r="193" spans="1:20" s="37" customFormat="1" ht="15.75" customHeight="1" x14ac:dyDescent="0.25">
      <c r="A193" s="94">
        <v>1</v>
      </c>
      <c r="B193" s="95"/>
      <c r="C193" s="42" t="s">
        <v>360</v>
      </c>
      <c r="D193" s="42">
        <f>(63.413)*10.764</f>
        <v>682.57753199999991</v>
      </c>
      <c r="E193" s="42">
        <f>(4.725+0.75*(2.13+3+3.1))*10.764</f>
        <v>117.30069</v>
      </c>
      <c r="F193" s="42">
        <f>D193+E193</f>
        <v>799.87822199999994</v>
      </c>
      <c r="G193" s="42">
        <v>0</v>
      </c>
      <c r="H193" s="42">
        <v>1290</v>
      </c>
      <c r="I193" s="36"/>
      <c r="J193" s="37">
        <f>22000000/H193</f>
        <v>17054.263565891473</v>
      </c>
      <c r="L193" s="81">
        <v>1290</v>
      </c>
      <c r="M193" s="82">
        <f t="shared" ref="M193:M207" si="13">L193/F193</f>
        <v>1.6127454961512879</v>
      </c>
      <c r="N193" s="36"/>
    </row>
    <row r="194" spans="1:20" s="37" customFormat="1" ht="15.75" customHeight="1" x14ac:dyDescent="0.25">
      <c r="A194" s="94">
        <f>A193+1</f>
        <v>2</v>
      </c>
      <c r="B194" s="95"/>
      <c r="C194" s="42" t="s">
        <v>360</v>
      </c>
      <c r="D194" s="42">
        <f>(63.413)*10.764</f>
        <v>682.57753199999991</v>
      </c>
      <c r="E194" s="42">
        <f>(4.725+0.75*(2.13+3+3.1))*10.764</f>
        <v>117.30069</v>
      </c>
      <c r="F194" s="42">
        <f>D194+E194</f>
        <v>799.87822199999994</v>
      </c>
      <c r="G194" s="42">
        <v>0</v>
      </c>
      <c r="H194" s="42">
        <v>1290</v>
      </c>
      <c r="I194" s="36"/>
      <c r="L194" s="81">
        <v>1290</v>
      </c>
      <c r="M194" s="82">
        <f t="shared" si="13"/>
        <v>1.6127454961512879</v>
      </c>
      <c r="N194" s="36"/>
    </row>
    <row r="195" spans="1:20" s="37" customFormat="1" ht="15.75" customHeight="1" x14ac:dyDescent="0.25">
      <c r="A195" s="94">
        <f>A194+1</f>
        <v>3</v>
      </c>
      <c r="B195" s="95"/>
      <c r="C195" s="42" t="s">
        <v>386</v>
      </c>
      <c r="D195" s="42">
        <f>(87.53)*10.764</f>
        <v>942.17291999999998</v>
      </c>
      <c r="E195" s="42">
        <f>(5.55+0.75*(2.33+3+3+3+3.1))*10.764</f>
        <v>176.23358999999996</v>
      </c>
      <c r="F195" s="42">
        <f>D195+E195</f>
        <v>1118.40651</v>
      </c>
      <c r="G195" s="42">
        <v>0</v>
      </c>
      <c r="H195" s="42">
        <v>1780</v>
      </c>
      <c r="I195" s="36"/>
      <c r="L195" s="81">
        <v>1780</v>
      </c>
      <c r="M195" s="82">
        <f t="shared" si="13"/>
        <v>1.5915501064098778</v>
      </c>
      <c r="N195" s="36"/>
    </row>
    <row r="196" spans="1:20" s="37" customFormat="1" ht="15.75" customHeight="1" x14ac:dyDescent="0.25">
      <c r="A196" s="94">
        <f>A195+1</f>
        <v>4</v>
      </c>
      <c r="B196" s="95"/>
      <c r="C196" s="42" t="s">
        <v>386</v>
      </c>
      <c r="D196" s="42">
        <f>(87.53)*10.764</f>
        <v>942.17291999999998</v>
      </c>
      <c r="E196" s="42">
        <f>(5.55+6.45+0.75*(2.33+3+3+3.1))*10.764</f>
        <v>221.44238999999996</v>
      </c>
      <c r="F196" s="42">
        <f>D196+E196</f>
        <v>1163.6153099999999</v>
      </c>
      <c r="G196" s="42">
        <v>0</v>
      </c>
      <c r="H196" s="42">
        <v>1870</v>
      </c>
      <c r="I196" s="36"/>
      <c r="K196" s="37">
        <f>400*1290</f>
        <v>516000</v>
      </c>
      <c r="L196" s="81">
        <v>1870</v>
      </c>
      <c r="M196" s="82">
        <f t="shared" si="13"/>
        <v>1.6070603264922667</v>
      </c>
      <c r="N196" s="36"/>
      <c r="T196" s="21"/>
    </row>
    <row r="197" spans="1:20" s="37" customFormat="1" x14ac:dyDescent="0.25">
      <c r="A197" s="96" t="s">
        <v>361</v>
      </c>
      <c r="B197" s="97"/>
      <c r="C197" s="97"/>
      <c r="D197" s="97"/>
      <c r="E197" s="97"/>
      <c r="F197" s="97"/>
      <c r="G197" s="97"/>
      <c r="H197" s="98"/>
      <c r="I197" s="37">
        <v>1</v>
      </c>
      <c r="J197" s="36"/>
      <c r="M197" s="82" t="e">
        <f t="shared" si="13"/>
        <v>#DIV/0!</v>
      </c>
    </row>
    <row r="198" spans="1:20" s="37" customFormat="1" ht="15.75" customHeight="1" x14ac:dyDescent="0.25">
      <c r="A198" s="94">
        <v>1</v>
      </c>
      <c r="B198" s="95"/>
      <c r="C198" s="42" t="s">
        <v>360</v>
      </c>
      <c r="D198" s="42">
        <f>(63.413)*10.764</f>
        <v>682.57753199999991</v>
      </c>
      <c r="E198" s="42">
        <f>(4.725+0.75*(2.13+3+3.1))*10.764</f>
        <v>117.30069</v>
      </c>
      <c r="F198" s="42">
        <f>D198+E198</f>
        <v>799.87822199999994</v>
      </c>
      <c r="G198" s="42">
        <v>0</v>
      </c>
      <c r="H198" s="42">
        <v>1290</v>
      </c>
      <c r="I198" s="36"/>
      <c r="L198" s="81"/>
      <c r="M198" s="82">
        <f t="shared" si="13"/>
        <v>0</v>
      </c>
      <c r="N198" s="36"/>
    </row>
    <row r="199" spans="1:20" s="37" customFormat="1" ht="15.75" customHeight="1" x14ac:dyDescent="0.25">
      <c r="A199" s="94">
        <f>A198+1</f>
        <v>2</v>
      </c>
      <c r="B199" s="95"/>
      <c r="C199" s="42" t="s">
        <v>360</v>
      </c>
      <c r="D199" s="42">
        <f>(63.413)*10.764</f>
        <v>682.57753199999991</v>
      </c>
      <c r="E199" s="42">
        <f>(4.725+0.75*(2.13+3+3.1))*10.764</f>
        <v>117.30069</v>
      </c>
      <c r="F199" s="42">
        <f>D199+E199</f>
        <v>799.87822199999994</v>
      </c>
      <c r="G199" s="42">
        <v>0</v>
      </c>
      <c r="H199" s="42">
        <v>1290</v>
      </c>
      <c r="I199" s="36"/>
      <c r="L199" s="81"/>
      <c r="M199" s="82">
        <f t="shared" si="13"/>
        <v>0</v>
      </c>
      <c r="N199" s="36"/>
    </row>
    <row r="200" spans="1:20" s="37" customFormat="1" ht="15.75" customHeight="1" x14ac:dyDescent="0.25">
      <c r="A200" s="94">
        <f>A199+1</f>
        <v>3</v>
      </c>
      <c r="B200" s="95"/>
      <c r="C200" s="42" t="s">
        <v>386</v>
      </c>
      <c r="D200" s="42">
        <f>(87.53)*10.764</f>
        <v>942.17291999999998</v>
      </c>
      <c r="E200" s="42">
        <f>(5.55+0.75*(2.33+3+3+3+3.1))*10.764</f>
        <v>176.23358999999996</v>
      </c>
      <c r="F200" s="42">
        <f>D200+E200</f>
        <v>1118.40651</v>
      </c>
      <c r="G200" s="42">
        <v>0</v>
      </c>
      <c r="H200" s="42">
        <v>1780</v>
      </c>
      <c r="I200" s="36"/>
      <c r="L200" s="81"/>
      <c r="M200" s="82">
        <f t="shared" si="13"/>
        <v>0</v>
      </c>
      <c r="N200" s="36"/>
    </row>
    <row r="201" spans="1:20" s="37" customFormat="1" ht="15.75" customHeight="1" x14ac:dyDescent="0.25">
      <c r="A201" s="94">
        <f>A200+1</f>
        <v>4</v>
      </c>
      <c r="B201" s="95"/>
      <c r="C201" s="42" t="s">
        <v>386</v>
      </c>
      <c r="D201" s="42">
        <f>(87.53)*10.764</f>
        <v>942.17291999999998</v>
      </c>
      <c r="E201" s="42">
        <f>(5.55+0.75*(2.33+3+3+3.1))*10.764</f>
        <v>152.01458999999997</v>
      </c>
      <c r="F201" s="42">
        <f>D201+E201</f>
        <v>1094.18751</v>
      </c>
      <c r="G201" s="42">
        <f>(5.908)*10.764</f>
        <v>63.593712000000004</v>
      </c>
      <c r="H201" s="42">
        <v>1820</v>
      </c>
      <c r="I201" s="36"/>
      <c r="L201" s="81"/>
      <c r="M201" s="82">
        <f t="shared" si="13"/>
        <v>0</v>
      </c>
      <c r="N201" s="36"/>
      <c r="T201" s="21"/>
    </row>
    <row r="202" spans="1:20" s="37" customFormat="1" x14ac:dyDescent="0.25">
      <c r="A202" s="96" t="s">
        <v>389</v>
      </c>
      <c r="B202" s="97"/>
      <c r="C202" s="97"/>
      <c r="D202" s="97"/>
      <c r="E202" s="97"/>
      <c r="F202" s="97"/>
      <c r="G202" s="97"/>
      <c r="H202" s="98"/>
      <c r="I202" s="37">
        <v>2</v>
      </c>
      <c r="J202" s="36">
        <v>16000</v>
      </c>
      <c r="M202" s="82" t="e">
        <f t="shared" si="13"/>
        <v>#DIV/0!</v>
      </c>
    </row>
    <row r="203" spans="1:20" s="37" customFormat="1" ht="15.75" customHeight="1" x14ac:dyDescent="0.25">
      <c r="A203" s="94">
        <v>1</v>
      </c>
      <c r="B203" s="95"/>
      <c r="C203" s="42" t="s">
        <v>360</v>
      </c>
      <c r="D203" s="42">
        <f>(63.413)*10.764</f>
        <v>682.57753199999991</v>
      </c>
      <c r="E203" s="42">
        <f>(4.725+0.75*(2.13+3+3.1))*10.764</f>
        <v>117.30069</v>
      </c>
      <c r="F203" s="42">
        <f>D203+E203</f>
        <v>799.87822199999994</v>
      </c>
      <c r="G203" s="42">
        <v>0</v>
      </c>
      <c r="H203" s="42">
        <v>1290</v>
      </c>
      <c r="I203" s="36"/>
      <c r="J203" s="37">
        <f>J$202*H203</f>
        <v>20640000</v>
      </c>
      <c r="K203" s="37">
        <f>22500000/H203</f>
        <v>17441.860465116279</v>
      </c>
      <c r="L203" s="81"/>
      <c r="M203" s="82">
        <f t="shared" si="13"/>
        <v>0</v>
      </c>
      <c r="N203" s="36"/>
    </row>
    <row r="204" spans="1:20" s="37" customFormat="1" ht="15.75" customHeight="1" x14ac:dyDescent="0.25">
      <c r="A204" s="94">
        <f>A203+1</f>
        <v>2</v>
      </c>
      <c r="B204" s="95"/>
      <c r="C204" s="42" t="s">
        <v>360</v>
      </c>
      <c r="D204" s="42">
        <f>(63.413)*10.764</f>
        <v>682.57753199999991</v>
      </c>
      <c r="E204" s="42">
        <f>(4.725+0.75*(2.13+3+3.1))*10.764</f>
        <v>117.30069</v>
      </c>
      <c r="F204" s="42">
        <f>D204+E204</f>
        <v>799.87822199999994</v>
      </c>
      <c r="G204" s="42">
        <v>0</v>
      </c>
      <c r="H204" s="42">
        <v>1290</v>
      </c>
      <c r="I204" s="36"/>
      <c r="J204" s="37">
        <f t="shared" ref="J204:J245" si="14">J$202*H204</f>
        <v>20640000</v>
      </c>
      <c r="K204" s="37">
        <f t="shared" ref="K204" si="15">22500000/H204</f>
        <v>17441.860465116279</v>
      </c>
      <c r="L204" s="81"/>
      <c r="M204" s="82">
        <f t="shared" si="13"/>
        <v>0</v>
      </c>
      <c r="N204" s="36"/>
    </row>
    <row r="205" spans="1:20" s="37" customFormat="1" ht="15.75" customHeight="1" x14ac:dyDescent="0.25">
      <c r="A205" s="94">
        <f>A204+1</f>
        <v>3</v>
      </c>
      <c r="B205" s="95"/>
      <c r="C205" s="42" t="s">
        <v>386</v>
      </c>
      <c r="D205" s="42">
        <f>(87.53)*10.764</f>
        <v>942.17291999999998</v>
      </c>
      <c r="E205" s="42">
        <f>(5.55+6.45+0.75*(2.33+3+3+3.1))*10.764</f>
        <v>221.44238999999996</v>
      </c>
      <c r="F205" s="42">
        <f>D205+E205</f>
        <v>1163.6153099999999</v>
      </c>
      <c r="G205" s="42">
        <v>0</v>
      </c>
      <c r="H205" s="42">
        <v>1870</v>
      </c>
      <c r="I205" s="36"/>
      <c r="J205" s="37">
        <f t="shared" si="14"/>
        <v>29920000</v>
      </c>
      <c r="K205" s="37">
        <f>32500000/H205</f>
        <v>17379.679144385027</v>
      </c>
      <c r="L205" s="81"/>
      <c r="M205" s="82">
        <f t="shared" si="13"/>
        <v>0</v>
      </c>
      <c r="N205" s="36"/>
    </row>
    <row r="206" spans="1:20" s="37" customFormat="1" ht="15.75" customHeight="1" x14ac:dyDescent="0.25">
      <c r="A206" s="94">
        <f>A205+1</f>
        <v>4</v>
      </c>
      <c r="B206" s="95"/>
      <c r="C206" s="42" t="s">
        <v>386</v>
      </c>
      <c r="D206" s="42">
        <f>(87.53)*10.764</f>
        <v>942.17291999999998</v>
      </c>
      <c r="E206" s="42">
        <f>(5.55+0.75*(2.33+3+3+3+3.1))*10.764</f>
        <v>176.23358999999996</v>
      </c>
      <c r="F206" s="42">
        <f>D206+E206</f>
        <v>1118.40651</v>
      </c>
      <c r="G206" s="42">
        <v>0</v>
      </c>
      <c r="H206" s="42">
        <v>1780</v>
      </c>
      <c r="I206" s="36"/>
      <c r="J206" s="37">
        <f t="shared" si="14"/>
        <v>28480000</v>
      </c>
      <c r="K206" s="37">
        <f>32500000/H205</f>
        <v>17379.679144385027</v>
      </c>
      <c r="L206" s="81"/>
      <c r="M206" s="82">
        <f t="shared" si="13"/>
        <v>0</v>
      </c>
      <c r="N206" s="36"/>
      <c r="T206" s="21"/>
    </row>
    <row r="207" spans="1:20" s="37" customFormat="1" x14ac:dyDescent="0.25">
      <c r="A207" s="96" t="s">
        <v>390</v>
      </c>
      <c r="B207" s="97"/>
      <c r="C207" s="97"/>
      <c r="D207" s="97"/>
      <c r="E207" s="97"/>
      <c r="F207" s="97"/>
      <c r="G207" s="97"/>
      <c r="H207" s="98"/>
      <c r="I207" s="37">
        <f>4+2</f>
        <v>6</v>
      </c>
      <c r="J207" s="37">
        <f t="shared" si="14"/>
        <v>0</v>
      </c>
      <c r="M207" s="82" t="e">
        <f t="shared" si="13"/>
        <v>#DIV/0!</v>
      </c>
    </row>
    <row r="208" spans="1:20" s="37" customFormat="1" ht="15.75" customHeight="1" x14ac:dyDescent="0.25">
      <c r="A208" s="94">
        <v>1</v>
      </c>
      <c r="B208" s="95"/>
      <c r="C208" s="42" t="s">
        <v>360</v>
      </c>
      <c r="D208" s="42">
        <f>(63.413)*10.764</f>
        <v>682.57753199999991</v>
      </c>
      <c r="E208" s="42">
        <f>(4.725+0.75*(2.13+3+3.1))*10.764</f>
        <v>117.30069</v>
      </c>
      <c r="F208" s="42">
        <f>D208+E208</f>
        <v>799.87822199999994</v>
      </c>
      <c r="G208" s="42">
        <v>0</v>
      </c>
      <c r="H208" s="42">
        <v>1290</v>
      </c>
      <c r="I208" s="36"/>
      <c r="J208" s="37">
        <f t="shared" si="14"/>
        <v>20640000</v>
      </c>
      <c r="L208" s="81"/>
      <c r="M208" s="81"/>
      <c r="N208" s="36"/>
    </row>
    <row r="209" spans="1:20" s="37" customFormat="1" ht="15.75" customHeight="1" x14ac:dyDescent="0.25">
      <c r="A209" s="94">
        <f>A208+1</f>
        <v>2</v>
      </c>
      <c r="B209" s="95"/>
      <c r="C209" s="42" t="s">
        <v>360</v>
      </c>
      <c r="D209" s="42">
        <f>(63.413)*10.764</f>
        <v>682.57753199999991</v>
      </c>
      <c r="E209" s="42">
        <f>(4.725+0.75*(2.13+3+3.1))*10.764</f>
        <v>117.30069</v>
      </c>
      <c r="F209" s="42">
        <f>D209+E209</f>
        <v>799.87822199999994</v>
      </c>
      <c r="G209" s="42">
        <v>0</v>
      </c>
      <c r="H209" s="42">
        <v>1290</v>
      </c>
      <c r="I209" s="36"/>
      <c r="J209" s="37">
        <f t="shared" si="14"/>
        <v>20640000</v>
      </c>
      <c r="L209" s="81"/>
      <c r="M209" s="81"/>
      <c r="N209" s="36"/>
    </row>
    <row r="210" spans="1:20" s="37" customFormat="1" ht="15.75" customHeight="1" x14ac:dyDescent="0.25">
      <c r="A210" s="94">
        <f>A209+1</f>
        <v>3</v>
      </c>
      <c r="B210" s="95"/>
      <c r="C210" s="42" t="s">
        <v>386</v>
      </c>
      <c r="D210" s="42">
        <f>(87.53)*10.764</f>
        <v>942.17291999999998</v>
      </c>
      <c r="E210" s="42">
        <f>(5.55+6.45+0.75*(2.33+3+3+3.1))*10.764</f>
        <v>221.44238999999996</v>
      </c>
      <c r="F210" s="42">
        <f>D210+E210</f>
        <v>1163.6153099999999</v>
      </c>
      <c r="G210" s="42">
        <v>0</v>
      </c>
      <c r="H210" s="42">
        <v>1870</v>
      </c>
      <c r="I210" s="36"/>
      <c r="J210" s="37">
        <f t="shared" si="14"/>
        <v>29920000</v>
      </c>
      <c r="L210" s="81"/>
      <c r="M210" s="81"/>
      <c r="N210" s="36"/>
    </row>
    <row r="211" spans="1:20" s="37" customFormat="1" ht="15.75" customHeight="1" x14ac:dyDescent="0.25">
      <c r="A211" s="94">
        <f>A210+1</f>
        <v>4</v>
      </c>
      <c r="B211" s="95"/>
      <c r="C211" s="42" t="s">
        <v>386</v>
      </c>
      <c r="D211" s="42">
        <f>(87.53)*10.764</f>
        <v>942.17291999999998</v>
      </c>
      <c r="E211" s="42">
        <f>(5.55+0.75*(2.33+3+3+3+3.1))*10.764</f>
        <v>176.23358999999996</v>
      </c>
      <c r="F211" s="42">
        <f>D211+E211</f>
        <v>1118.40651</v>
      </c>
      <c r="G211" s="42">
        <v>0</v>
      </c>
      <c r="H211" s="42">
        <v>1780</v>
      </c>
      <c r="I211" s="36"/>
      <c r="J211" s="37">
        <f t="shared" si="14"/>
        <v>28480000</v>
      </c>
      <c r="L211" s="81"/>
      <c r="M211" s="81"/>
      <c r="N211" s="36"/>
      <c r="T211" s="21"/>
    </row>
    <row r="212" spans="1:20" s="37" customFormat="1" x14ac:dyDescent="0.25">
      <c r="A212" s="96" t="s">
        <v>362</v>
      </c>
      <c r="B212" s="97"/>
      <c r="C212" s="97"/>
      <c r="D212" s="97"/>
      <c r="E212" s="97"/>
      <c r="F212" s="97"/>
      <c r="G212" s="97"/>
      <c r="H212" s="98"/>
      <c r="I212" s="37">
        <v>2</v>
      </c>
      <c r="J212" s="37">
        <f t="shared" si="14"/>
        <v>0</v>
      </c>
      <c r="M212" s="37">
        <f>28600000*0.012-700000</f>
        <v>-356800</v>
      </c>
      <c r="N212" s="37">
        <f>28600000-M212</f>
        <v>28956800</v>
      </c>
      <c r="O212" s="37">
        <f>N212/H213</f>
        <v>22447.131782945737</v>
      </c>
    </row>
    <row r="213" spans="1:20" s="37" customFormat="1" ht="15.75" customHeight="1" x14ac:dyDescent="0.25">
      <c r="A213" s="94">
        <v>1</v>
      </c>
      <c r="B213" s="95"/>
      <c r="C213" s="42" t="s">
        <v>360</v>
      </c>
      <c r="D213" s="42">
        <f>(63.413)*10.764</f>
        <v>682.57753199999991</v>
      </c>
      <c r="E213" s="42">
        <f>(4.725+0.75*(2.13+3+3.1))*10.764</f>
        <v>117.30069</v>
      </c>
      <c r="F213" s="42">
        <f>D213+E213</f>
        <v>799.87822199999994</v>
      </c>
      <c r="G213" s="42">
        <v>0</v>
      </c>
      <c r="H213" s="42">
        <v>1290</v>
      </c>
      <c r="I213" s="36"/>
      <c r="J213" s="37">
        <f t="shared" si="14"/>
        <v>20640000</v>
      </c>
      <c r="K213" s="37">
        <f>28600000/H213</f>
        <v>22170.542635658916</v>
      </c>
      <c r="L213" s="81">
        <f>21300000/H213</f>
        <v>16511.627906976744</v>
      </c>
      <c r="M213" s="81"/>
      <c r="N213" s="36"/>
    </row>
    <row r="214" spans="1:20" s="37" customFormat="1" ht="15.75" customHeight="1" x14ac:dyDescent="0.25">
      <c r="A214" s="94">
        <f>A213+1</f>
        <v>2</v>
      </c>
      <c r="B214" s="95"/>
      <c r="C214" s="42" t="s">
        <v>360</v>
      </c>
      <c r="D214" s="42">
        <f>(63.413)*10.764</f>
        <v>682.57753199999991</v>
      </c>
      <c r="E214" s="42">
        <f>(4.725+0.75*(2.13+3+3.1))*10.764</f>
        <v>117.30069</v>
      </c>
      <c r="F214" s="42">
        <f>D214+E214</f>
        <v>799.87822199999994</v>
      </c>
      <c r="G214" s="42">
        <v>0</v>
      </c>
      <c r="H214" s="42">
        <v>1290</v>
      </c>
      <c r="I214" s="36"/>
      <c r="J214" s="37">
        <f t="shared" si="14"/>
        <v>20640000</v>
      </c>
      <c r="L214" s="81"/>
      <c r="M214" s="81"/>
      <c r="N214" s="36"/>
    </row>
    <row r="215" spans="1:20" s="37" customFormat="1" ht="15.75" customHeight="1" x14ac:dyDescent="0.25">
      <c r="A215" s="94">
        <f>A214+1</f>
        <v>3</v>
      </c>
      <c r="B215" s="95"/>
      <c r="C215" s="42" t="s">
        <v>386</v>
      </c>
      <c r="D215" s="42">
        <f>(87.53)*10.764</f>
        <v>942.17291999999998</v>
      </c>
      <c r="E215" s="42">
        <f>(5.55+6.45+0.75*(2.33+3+3+3.1))*10.764</f>
        <v>221.44238999999996</v>
      </c>
      <c r="F215" s="42">
        <f>D215+E215</f>
        <v>1163.6153099999999</v>
      </c>
      <c r="G215" s="42">
        <v>0</v>
      </c>
      <c r="H215" s="42">
        <v>1870</v>
      </c>
      <c r="I215" s="36"/>
      <c r="J215" s="37">
        <f t="shared" si="14"/>
        <v>29920000</v>
      </c>
      <c r="K215" s="37">
        <f>39200000/H215</f>
        <v>20962.566844919787</v>
      </c>
      <c r="L215" s="81"/>
      <c r="M215" s="81"/>
      <c r="N215" s="36"/>
    </row>
    <row r="216" spans="1:20" s="37" customFormat="1" ht="15.75" customHeight="1" x14ac:dyDescent="0.25">
      <c r="A216" s="94">
        <f>A215+1</f>
        <v>4</v>
      </c>
      <c r="B216" s="95"/>
      <c r="C216" s="42" t="s">
        <v>386</v>
      </c>
      <c r="D216" s="42">
        <f>(87.53)*10.764</f>
        <v>942.17291999999998</v>
      </c>
      <c r="E216" s="42">
        <f>(5.55+6.45+0.75*(2.33+3+3+3.1))*10.764</f>
        <v>221.44238999999996</v>
      </c>
      <c r="F216" s="42">
        <f>D216+E216</f>
        <v>1163.6153099999999</v>
      </c>
      <c r="G216" s="42">
        <v>0</v>
      </c>
      <c r="H216" s="42">
        <v>1870</v>
      </c>
      <c r="I216" s="36"/>
      <c r="J216" s="37">
        <f t="shared" si="14"/>
        <v>29920000</v>
      </c>
      <c r="L216" s="81"/>
      <c r="M216" s="81"/>
      <c r="N216" s="36"/>
      <c r="T216" s="21"/>
    </row>
    <row r="217" spans="1:20" s="37" customFormat="1" x14ac:dyDescent="0.25">
      <c r="A217" s="96" t="s">
        <v>391</v>
      </c>
      <c r="B217" s="97"/>
      <c r="C217" s="97"/>
      <c r="D217" s="97"/>
      <c r="E217" s="97"/>
      <c r="F217" s="97"/>
      <c r="G217" s="97"/>
      <c r="H217" s="98"/>
      <c r="I217" s="37">
        <v>1</v>
      </c>
      <c r="J217" s="37">
        <f t="shared" si="14"/>
        <v>0</v>
      </c>
    </row>
    <row r="218" spans="1:20" s="37" customFormat="1" ht="15.75" customHeight="1" x14ac:dyDescent="0.25">
      <c r="A218" s="94">
        <v>1</v>
      </c>
      <c r="B218" s="95"/>
      <c r="C218" s="42" t="s">
        <v>363</v>
      </c>
      <c r="D218" s="42">
        <f>(131.142)*10.764</f>
        <v>1411.6124879999998</v>
      </c>
      <c r="E218" s="42">
        <f>(18.225+0.75*(3+2.4+2.75+3))*10.764</f>
        <v>286.18785000000003</v>
      </c>
      <c r="F218" s="42">
        <f>D218+E218</f>
        <v>1697.8003379999998</v>
      </c>
      <c r="G218" s="42">
        <v>0</v>
      </c>
      <c r="H218" s="42">
        <v>2765</v>
      </c>
      <c r="I218" s="36"/>
      <c r="J218" s="37">
        <f t="shared" si="14"/>
        <v>44240000</v>
      </c>
      <c r="K218" s="37">
        <v>2765</v>
      </c>
      <c r="L218" s="81">
        <f>K218/F218</f>
        <v>1.6285778357525573</v>
      </c>
      <c r="M218" s="81"/>
      <c r="N218" s="36"/>
    </row>
    <row r="219" spans="1:20" s="37" customFormat="1" ht="15.75" customHeight="1" x14ac:dyDescent="0.25">
      <c r="A219" s="94">
        <f>A218+1</f>
        <v>2</v>
      </c>
      <c r="B219" s="95"/>
      <c r="C219" s="42" t="s">
        <v>363</v>
      </c>
      <c r="D219" s="42">
        <f>(177.914)*10.764</f>
        <v>1915.0662959999997</v>
      </c>
      <c r="E219" s="42">
        <f>(19.925+6.45+0.75*(3+3+6.1))*10.764</f>
        <v>381.5838</v>
      </c>
      <c r="F219" s="42">
        <f>D219+E219</f>
        <v>2296.6500959999998</v>
      </c>
      <c r="G219" s="42">
        <f>(18.248)*10.764</f>
        <v>196.42147199999999</v>
      </c>
      <c r="H219" s="42">
        <v>3870</v>
      </c>
      <c r="I219" s="36"/>
      <c r="J219" s="37">
        <f t="shared" si="14"/>
        <v>61920000</v>
      </c>
      <c r="K219" s="37">
        <v>3870</v>
      </c>
      <c r="L219" s="81">
        <f>K219/F219</f>
        <v>1.6850629561465424</v>
      </c>
      <c r="M219" s="81"/>
      <c r="N219" s="36"/>
    </row>
    <row r="220" spans="1:20" s="37" customFormat="1" ht="15.75" hidden="1" customHeight="1" x14ac:dyDescent="0.25">
      <c r="A220" s="203" t="s">
        <v>116</v>
      </c>
      <c r="B220" s="203"/>
      <c r="C220" s="203"/>
      <c r="D220" s="203"/>
      <c r="E220" s="203"/>
      <c r="F220" s="203"/>
      <c r="G220" s="203"/>
      <c r="H220" s="203"/>
      <c r="I220" s="36"/>
      <c r="J220" s="37">
        <f t="shared" si="14"/>
        <v>0</v>
      </c>
      <c r="L220" s="81"/>
      <c r="M220" s="81"/>
    </row>
    <row r="221" spans="1:20" s="37" customFormat="1" ht="15.75" hidden="1" customHeight="1" x14ac:dyDescent="0.25">
      <c r="A221" s="147">
        <f>LEFT(A220,SUM(LEN(A220)-LEN(SUBSTITUTE(A220,{"0","1","2","3","4","5","6","7","8","9"},""))))*100+1</f>
        <v>201</v>
      </c>
      <c r="B221" s="147"/>
      <c r="C221" s="42"/>
      <c r="D221" s="42"/>
      <c r="E221" s="42">
        <v>0</v>
      </c>
      <c r="F221" s="42">
        <f>D221+E221</f>
        <v>0</v>
      </c>
      <c r="G221" s="42">
        <v>0</v>
      </c>
      <c r="H221" s="42">
        <f>F221*(($H$180)+1)+(IF(G221&lt;101,G221,IF(G221&lt;201,G221/2,IF(G221&lt;=301,G221/3,G221/4))))</f>
        <v>0</v>
      </c>
      <c r="I221" s="36"/>
      <c r="J221" s="37">
        <f t="shared" si="14"/>
        <v>0</v>
      </c>
      <c r="N221" s="36"/>
    </row>
    <row r="222" spans="1:20" s="37" customFormat="1" ht="15.75" hidden="1" customHeight="1" x14ac:dyDescent="0.25">
      <c r="A222" s="147">
        <f>A221+1</f>
        <v>202</v>
      </c>
      <c r="B222" s="147"/>
      <c r="C222" s="42"/>
      <c r="D222" s="42"/>
      <c r="E222" s="42">
        <v>0</v>
      </c>
      <c r="F222" s="42">
        <f>D222+E222</f>
        <v>0</v>
      </c>
      <c r="G222" s="42">
        <v>0</v>
      </c>
      <c r="H222" s="42">
        <f>F222*(($H$180)+1)+(IF(G222&lt;101,G222,IF(G222&lt;201,G222/2,IF(G222&lt;=301,G222/3,G222/4))))</f>
        <v>0</v>
      </c>
      <c r="I222" s="36"/>
      <c r="J222" s="37">
        <f t="shared" si="14"/>
        <v>0</v>
      </c>
      <c r="N222" s="36"/>
    </row>
    <row r="223" spans="1:20" s="37" customFormat="1" ht="15.75" hidden="1" customHeight="1" x14ac:dyDescent="0.25">
      <c r="A223" s="147">
        <f>A222+1</f>
        <v>203</v>
      </c>
      <c r="B223" s="147"/>
      <c r="C223" s="42"/>
      <c r="D223" s="42"/>
      <c r="E223" s="42">
        <v>0</v>
      </c>
      <c r="F223" s="42">
        <f>D223+E223</f>
        <v>0</v>
      </c>
      <c r="G223" s="42">
        <v>0</v>
      </c>
      <c r="H223" s="42">
        <f>F223*(($H$180)+1)+(IF(G223&lt;101,G223,IF(G223&lt;201,G223/2,IF(G223&lt;=301,G223/3,G223/4))))</f>
        <v>0</v>
      </c>
      <c r="I223" s="36"/>
      <c r="J223" s="37">
        <f t="shared" si="14"/>
        <v>0</v>
      </c>
      <c r="N223" s="36"/>
    </row>
    <row r="224" spans="1:20" s="37" customFormat="1" ht="15.75" hidden="1" customHeight="1" x14ac:dyDescent="0.25">
      <c r="A224" s="147">
        <f>A223+1</f>
        <v>204</v>
      </c>
      <c r="B224" s="147"/>
      <c r="C224" s="42"/>
      <c r="D224" s="42"/>
      <c r="E224" s="42">
        <v>0</v>
      </c>
      <c r="F224" s="42">
        <f>D224+E224</f>
        <v>0</v>
      </c>
      <c r="G224" s="42">
        <v>0</v>
      </c>
      <c r="H224" s="42">
        <f>F224*(($H$180)+1)+(IF(G224&lt;101,G224,IF(G224&lt;201,G224/2,IF(G224&lt;=301,G224/3,G224/4))))</f>
        <v>0</v>
      </c>
      <c r="I224" s="36"/>
      <c r="J224" s="37">
        <f t="shared" si="14"/>
        <v>0</v>
      </c>
      <c r="N224" s="36"/>
    </row>
    <row r="225" spans="1:14" s="37" customFormat="1" ht="15.75" hidden="1" customHeight="1" x14ac:dyDescent="0.25">
      <c r="A225" s="147">
        <f>A224+1</f>
        <v>205</v>
      </c>
      <c r="B225" s="147"/>
      <c r="C225" s="42"/>
      <c r="D225" s="42"/>
      <c r="E225" s="42">
        <v>0</v>
      </c>
      <c r="F225" s="42">
        <f>D225+E225</f>
        <v>0</v>
      </c>
      <c r="G225" s="42">
        <v>0</v>
      </c>
      <c r="H225" s="42">
        <f>F225*(($H$180)+1)+(IF(G225&lt;101,G225,IF(G225&lt;201,G225/2,IF(G225&lt;=301,G225/3,G225/4))))</f>
        <v>0</v>
      </c>
      <c r="I225" s="36"/>
      <c r="J225" s="37">
        <f t="shared" si="14"/>
        <v>0</v>
      </c>
      <c r="N225" s="36"/>
    </row>
    <row r="226" spans="1:14" s="37" customFormat="1" ht="15.75" hidden="1" customHeight="1" x14ac:dyDescent="0.25">
      <c r="A226" s="96" t="s">
        <v>149</v>
      </c>
      <c r="B226" s="97"/>
      <c r="C226" s="97"/>
      <c r="D226" s="97"/>
      <c r="E226" s="97"/>
      <c r="F226" s="97"/>
      <c r="G226" s="97"/>
      <c r="H226" s="98"/>
      <c r="I226" s="36"/>
      <c r="J226" s="37">
        <f t="shared" si="14"/>
        <v>0</v>
      </c>
    </row>
    <row r="227" spans="1:14" s="37" customFormat="1" ht="15.75" hidden="1" customHeight="1" x14ac:dyDescent="0.25">
      <c r="A227" s="94"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10^ROW(INDIRECT("1:"&amp;LEN((LEFT(A226,SUM(LEN(A226)-LEN(SUBSTITUTE(A226,{"0","1","2"},""))))))))/10))*100+1&amp;""&amp;" ,..,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",LEN(A226))),LEN(A226)))))))/10))*100+1</f>
        <v>301 ,.., 1501</v>
      </c>
      <c r="B227" s="95"/>
      <c r="C227" s="42"/>
      <c r="D227" s="42"/>
      <c r="E227" s="42">
        <v>0</v>
      </c>
      <c r="F227" s="42">
        <f>D227+E227</f>
        <v>0</v>
      </c>
      <c r="G227" s="42">
        <v>0</v>
      </c>
      <c r="H227" s="42">
        <f>F227*(($H$180)+1)+(IF(G227&lt;101,G227,IF(G227&lt;201,G227/2,IF(G227&lt;=301,G227/3,G227/4))))</f>
        <v>0</v>
      </c>
      <c r="I227" s="36"/>
      <c r="J227" s="37">
        <f t="shared" si="14"/>
        <v>0</v>
      </c>
    </row>
    <row r="228" spans="1:14" s="37" customFormat="1" ht="15.75" hidden="1" customHeight="1" x14ac:dyDescent="0.25">
      <c r="A228" s="94"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302 ,.., 1502</v>
      </c>
      <c r="B228" s="95"/>
      <c r="C228" s="42"/>
      <c r="D228" s="42"/>
      <c r="E228" s="42">
        <v>0</v>
      </c>
      <c r="F228" s="42">
        <f>D228+E228</f>
        <v>0</v>
      </c>
      <c r="G228" s="42">
        <v>0</v>
      </c>
      <c r="H228" s="42">
        <f>F228*(($H$180)+1)+(IF(G228&lt;101,G228,IF(G228&lt;201,G228/2,IF(G228&lt;=301,G228/3,G228/4))))</f>
        <v>0</v>
      </c>
      <c r="I228" s="36"/>
      <c r="J228" s="37">
        <f t="shared" si="14"/>
        <v>0</v>
      </c>
    </row>
    <row r="229" spans="1:14" s="37" customFormat="1" ht="15.75" hidden="1" customHeight="1" x14ac:dyDescent="0.25">
      <c r="A229" s="94"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303 ,.., 1503</v>
      </c>
      <c r="B229" s="95"/>
      <c r="C229" s="42"/>
      <c r="D229" s="42"/>
      <c r="E229" s="42">
        <v>0</v>
      </c>
      <c r="F229" s="42">
        <f>D229+E229</f>
        <v>0</v>
      </c>
      <c r="G229" s="42">
        <v>0</v>
      </c>
      <c r="H229" s="42">
        <f>F229*(($H$180)+1)+(IF(G229&lt;101,G229,IF(G229&lt;201,G229/2,IF(G229&lt;=301,G229/3,G229/4))))</f>
        <v>0</v>
      </c>
      <c r="I229" s="36"/>
      <c r="J229" s="37">
        <f t="shared" si="14"/>
        <v>0</v>
      </c>
    </row>
    <row r="230" spans="1:14" s="37" customFormat="1" ht="15.75" hidden="1" customHeight="1" x14ac:dyDescent="0.25">
      <c r="A230" s="94"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304 ,.., 1504</v>
      </c>
      <c r="B230" s="95"/>
      <c r="C230" s="42"/>
      <c r="D230" s="42"/>
      <c r="E230" s="42">
        <v>0</v>
      </c>
      <c r="F230" s="42">
        <f>D230+E230</f>
        <v>0</v>
      </c>
      <c r="G230" s="42">
        <v>0</v>
      </c>
      <c r="H230" s="42">
        <f>F230*(($H$180)+1)+(IF(G230&lt;101,G230,IF(G230&lt;201,G230/2,IF(G230&lt;=301,G230/3,G230/4))))</f>
        <v>0</v>
      </c>
      <c r="I230" s="36"/>
      <c r="J230" s="37">
        <f t="shared" si="14"/>
        <v>0</v>
      </c>
    </row>
    <row r="231" spans="1:14" s="37" customFormat="1" ht="15.75" hidden="1" customHeight="1" x14ac:dyDescent="0.25">
      <c r="A231" s="94"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305 ,.., 1505</v>
      </c>
      <c r="B231" s="95"/>
      <c r="C231" s="42"/>
      <c r="D231" s="42"/>
      <c r="E231" s="42">
        <v>0</v>
      </c>
      <c r="F231" s="42">
        <f>D231+E231</f>
        <v>0</v>
      </c>
      <c r="G231" s="42">
        <v>0</v>
      </c>
      <c r="H231" s="42">
        <f>F231*(($H$180)+1)+(IF(G231&lt;101,G231,IF(G231&lt;201,G231/2,IF(G231&lt;=301,G231/3,G231/4))))</f>
        <v>0</v>
      </c>
      <c r="I231" s="36"/>
      <c r="J231" s="37">
        <f t="shared" si="14"/>
        <v>0</v>
      </c>
    </row>
    <row r="232" spans="1:14" s="37" customFormat="1" ht="15.75" hidden="1" customHeight="1" x14ac:dyDescent="0.25">
      <c r="A232" s="96" t="s">
        <v>144</v>
      </c>
      <c r="B232" s="97"/>
      <c r="C232" s="97"/>
      <c r="D232" s="97"/>
      <c r="E232" s="97"/>
      <c r="F232" s="97"/>
      <c r="G232" s="97"/>
      <c r="H232" s="98"/>
      <c r="I232" s="36"/>
      <c r="J232" s="37">
        <f t="shared" si="14"/>
        <v>0</v>
      </c>
    </row>
    <row r="233" spans="1:14" s="37" customFormat="1" ht="15.75" hidden="1" customHeight="1" x14ac:dyDescent="0.25">
      <c r="A233" s="94"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10^ROW(INDIRECT("1:"&amp;LEN((LEFT(A232,SUM(LEN(A232)-LEN(SUBSTITUTE(A232,{"0","1","2"},""))))))))/10))*100+1&amp;""&amp;" to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",LEN(A232))),LEN(A232)))))))/10))*100+1</f>
        <v>201 to 501</v>
      </c>
      <c r="B233" s="95"/>
      <c r="C233" s="42"/>
      <c r="D233" s="42"/>
      <c r="E233" s="42">
        <v>0</v>
      </c>
      <c r="F233" s="42">
        <f>D233+E233</f>
        <v>0</v>
      </c>
      <c r="G233" s="42">
        <v>0</v>
      </c>
      <c r="H233" s="42">
        <f>F233*(($H$180)+1)+(IF(G233&lt;101,G233,IF(G233&lt;201,G233/2,IF(G233&lt;=301,G233/3,G233/4))))</f>
        <v>0</v>
      </c>
      <c r="I233" s="36"/>
      <c r="J233" s="37">
        <f t="shared" si="14"/>
        <v>0</v>
      </c>
    </row>
    <row r="234" spans="1:14" s="37" customFormat="1" ht="15.75" hidden="1" customHeight="1" x14ac:dyDescent="0.25">
      <c r="A234" s="94"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202 to 502</v>
      </c>
      <c r="B234" s="95"/>
      <c r="C234" s="42"/>
      <c r="D234" s="42"/>
      <c r="E234" s="42">
        <v>0</v>
      </c>
      <c r="F234" s="42">
        <f>D234+E234</f>
        <v>0</v>
      </c>
      <c r="G234" s="42">
        <v>0</v>
      </c>
      <c r="H234" s="42">
        <f>F234*(($H$180)+1)+(IF(G234&lt;101,G234,IF(G234&lt;201,G234/2,IF(G234&lt;=301,G234/3,G234/4))))</f>
        <v>0</v>
      </c>
      <c r="I234" s="36"/>
      <c r="J234" s="37">
        <f t="shared" si="14"/>
        <v>0</v>
      </c>
    </row>
    <row r="235" spans="1:14" s="37" customFormat="1" ht="15.75" hidden="1" customHeight="1" x14ac:dyDescent="0.25">
      <c r="A235" s="94"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203 to 503</v>
      </c>
      <c r="B235" s="95"/>
      <c r="C235" s="42"/>
      <c r="D235" s="42"/>
      <c r="E235" s="42">
        <v>0</v>
      </c>
      <c r="F235" s="42">
        <f>D235+E235</f>
        <v>0</v>
      </c>
      <c r="G235" s="42">
        <v>0</v>
      </c>
      <c r="H235" s="42">
        <f>F235*(($H$180)+1)+(IF(G235&lt;101,G235,IF(G235&lt;201,G235/2,IF(G235&lt;=301,G235/3,G235/4))))</f>
        <v>0</v>
      </c>
      <c r="I235" s="36"/>
      <c r="J235" s="37">
        <f t="shared" si="14"/>
        <v>0</v>
      </c>
    </row>
    <row r="236" spans="1:14" s="37" customFormat="1" ht="15.75" hidden="1" customHeight="1" x14ac:dyDescent="0.25">
      <c r="A236" s="94"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to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204 to 504</v>
      </c>
      <c r="B236" s="95"/>
      <c r="C236" s="42"/>
      <c r="D236" s="42"/>
      <c r="E236" s="42">
        <v>0</v>
      </c>
      <c r="F236" s="42">
        <f>D236+E236</f>
        <v>0</v>
      </c>
      <c r="G236" s="42">
        <v>0</v>
      </c>
      <c r="H236" s="42">
        <f>F236*(($H$180)+1)+(IF(G236&lt;101,G236,IF(G236&lt;201,G236/2,IF(G236&lt;=301,G236/3,G236/4))))</f>
        <v>0</v>
      </c>
      <c r="I236" s="36"/>
      <c r="J236" s="37">
        <f t="shared" si="14"/>
        <v>0</v>
      </c>
    </row>
    <row r="237" spans="1:14" s="37" customFormat="1" ht="15.75" hidden="1" customHeight="1" x14ac:dyDescent="0.25">
      <c r="A237" s="94"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to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205 to 505</v>
      </c>
      <c r="B237" s="95"/>
      <c r="C237" s="42"/>
      <c r="D237" s="42"/>
      <c r="E237" s="42">
        <v>0</v>
      </c>
      <c r="F237" s="42">
        <f>D237+E237</f>
        <v>0</v>
      </c>
      <c r="G237" s="42">
        <v>0</v>
      </c>
      <c r="H237" s="42">
        <f>F237*(($H$180)+1)+(IF(G237&lt;101,G237,IF(G237&lt;201,G237/2,IF(G237&lt;=301,G237/3,G237/4))))</f>
        <v>0</v>
      </c>
      <c r="I237" s="36"/>
      <c r="J237" s="37">
        <f t="shared" si="14"/>
        <v>0</v>
      </c>
    </row>
    <row r="238" spans="1:14" s="37" customFormat="1" ht="15.75" hidden="1" customHeight="1" x14ac:dyDescent="0.25">
      <c r="A238" s="96" t="s">
        <v>145</v>
      </c>
      <c r="B238" s="97"/>
      <c r="C238" s="97"/>
      <c r="D238" s="97"/>
      <c r="E238" s="97"/>
      <c r="F238" s="97"/>
      <c r="G238" s="97"/>
      <c r="H238" s="98"/>
      <c r="I238" s="36"/>
      <c r="J238" s="37">
        <f t="shared" si="14"/>
        <v>0</v>
      </c>
    </row>
    <row r="239" spans="1:14" s="37" customFormat="1" ht="15.75" hidden="1" customHeight="1" x14ac:dyDescent="0.25">
      <c r="A239" s="94"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10^ROW(INDIRECT("1:"&amp;LEN((LEFT(A238,SUM(LEN(A238)-LEN(SUBSTITUTE(A238,{"0","1","2"},""))))))))/10))*100+1&amp;""&amp;" &amp;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",LEN(A238))),LEN(A238)))))))/10))*100+1</f>
        <v>201 &amp; 501</v>
      </c>
      <c r="B239" s="95"/>
      <c r="C239" s="42"/>
      <c r="D239" s="42"/>
      <c r="E239" s="42">
        <v>0</v>
      </c>
      <c r="F239" s="42">
        <f>D239+E239</f>
        <v>0</v>
      </c>
      <c r="G239" s="42">
        <v>0</v>
      </c>
      <c r="H239" s="42">
        <f>F239*(($H$180)+1)+(IF(G239&lt;101,G239,IF(G239&lt;201,G239/2,IF(G239&lt;=301,G239/3,G239/4))))</f>
        <v>0</v>
      </c>
      <c r="I239" s="36"/>
      <c r="J239" s="37">
        <f t="shared" si="14"/>
        <v>0</v>
      </c>
    </row>
    <row r="240" spans="1:14" s="37" customFormat="1" ht="15.75" hidden="1" customHeight="1" x14ac:dyDescent="0.25">
      <c r="A240" s="94"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&amp;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202 &amp; 502</v>
      </c>
      <c r="B240" s="95"/>
      <c r="C240" s="42"/>
      <c r="D240" s="42"/>
      <c r="E240" s="42">
        <v>0</v>
      </c>
      <c r="F240" s="42">
        <f>D240+E240</f>
        <v>0</v>
      </c>
      <c r="G240" s="42">
        <v>0</v>
      </c>
      <c r="H240" s="42">
        <f>F240*(($H$180)+1)+(IF(G240&lt;101,G240,IF(G240&lt;201,G240/2,IF(G240&lt;=301,G240/3,G240/4))))</f>
        <v>0</v>
      </c>
      <c r="I240" s="36"/>
      <c r="J240" s="37">
        <f t="shared" si="14"/>
        <v>0</v>
      </c>
    </row>
    <row r="241" spans="1:20" s="37" customFormat="1" ht="15.75" hidden="1" customHeight="1" x14ac:dyDescent="0.25">
      <c r="A241" s="94"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&amp;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203 &amp; 503</v>
      </c>
      <c r="B241" s="95"/>
      <c r="C241" s="42"/>
      <c r="D241" s="42"/>
      <c r="E241" s="42">
        <v>0</v>
      </c>
      <c r="F241" s="42">
        <f>D241+E241</f>
        <v>0</v>
      </c>
      <c r="G241" s="42">
        <v>0</v>
      </c>
      <c r="H241" s="42">
        <f>F241*(($H$180)+1)+(IF(G241&lt;101,G241,IF(G241&lt;201,G241/2,IF(G241&lt;=301,G241/3,G241/4))))</f>
        <v>0</v>
      </c>
      <c r="I241" s="36"/>
      <c r="J241" s="37">
        <f t="shared" si="14"/>
        <v>0</v>
      </c>
    </row>
    <row r="242" spans="1:20" s="37" customFormat="1" ht="15.75" hidden="1" customHeight="1" x14ac:dyDescent="0.25">
      <c r="A242" s="94"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&amp;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204 &amp; 504</v>
      </c>
      <c r="B242" s="95"/>
      <c r="C242" s="42"/>
      <c r="D242" s="42"/>
      <c r="E242" s="42">
        <v>0</v>
      </c>
      <c r="F242" s="42">
        <f>D242+E242</f>
        <v>0</v>
      </c>
      <c r="G242" s="42">
        <v>0</v>
      </c>
      <c r="H242" s="42">
        <f>F242*(($H$180)+1)+(IF(G242&lt;101,G242,IF(G242&lt;201,G242/2,IF(G242&lt;=301,G242/3,G242/4))))</f>
        <v>0</v>
      </c>
      <c r="I242" s="36"/>
      <c r="J242" s="37">
        <f t="shared" si="14"/>
        <v>0</v>
      </c>
    </row>
    <row r="243" spans="1:20" s="37" customFormat="1" ht="15.75" hidden="1" customHeight="1" x14ac:dyDescent="0.25">
      <c r="A243" s="94"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&amp;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205 &amp; 505</v>
      </c>
      <c r="B243" s="95"/>
      <c r="C243" s="42"/>
      <c r="D243" s="42"/>
      <c r="E243" s="42">
        <v>0</v>
      </c>
      <c r="F243" s="42">
        <f>D243+E243</f>
        <v>0</v>
      </c>
      <c r="G243" s="42">
        <v>0</v>
      </c>
      <c r="H243" s="42">
        <f>F243*(($H$180)+1)+(IF(G243&lt;101,G243,IF(G243&lt;201,G243/2,IF(G243&lt;=301,G243/3,G243/4))))</f>
        <v>0</v>
      </c>
      <c r="I243" s="36"/>
      <c r="J243" s="37">
        <f t="shared" si="14"/>
        <v>0</v>
      </c>
    </row>
    <row r="244" spans="1:20" s="35" customFormat="1" x14ac:dyDescent="0.25">
      <c r="A244" s="170" t="s">
        <v>65</v>
      </c>
      <c r="B244" s="170"/>
      <c r="C244" s="170"/>
      <c r="D244" s="170"/>
      <c r="E244" s="170"/>
      <c r="F244" s="170"/>
      <c r="G244" s="170"/>
      <c r="H244" s="170"/>
      <c r="J244" s="37">
        <f t="shared" si="14"/>
        <v>0</v>
      </c>
      <c r="T244" s="37"/>
    </row>
    <row r="245" spans="1:20" s="35" customFormat="1" x14ac:dyDescent="0.25">
      <c r="A245" s="46" t="s">
        <v>153</v>
      </c>
      <c r="B245" s="167" t="s">
        <v>381</v>
      </c>
      <c r="C245" s="168"/>
      <c r="D245" s="168"/>
      <c r="E245" s="168"/>
      <c r="F245" s="168"/>
      <c r="G245" s="168"/>
      <c r="H245" s="169"/>
      <c r="J245" s="37">
        <f t="shared" si="14"/>
        <v>0</v>
      </c>
      <c r="T245" s="37"/>
    </row>
    <row r="246" spans="1:20" s="35" customFormat="1" x14ac:dyDescent="0.25">
      <c r="A246" s="46" t="s">
        <v>153</v>
      </c>
      <c r="B246" s="167" t="str">
        <f>(IF(H179="Saleable area Loading :","We have considered Saleable area of Flats as per our Calculation.","We considered Saleable area of Flat as per Builder area Sheet."))</f>
        <v>We considered Saleable area of Flat as per Builder area Sheet.</v>
      </c>
      <c r="C246" s="168"/>
      <c r="D246" s="168"/>
      <c r="E246" s="168"/>
      <c r="F246" s="168"/>
      <c r="G246" s="168"/>
      <c r="H246" s="169"/>
      <c r="T246" s="37"/>
    </row>
    <row r="247" spans="1:20" s="35" customFormat="1" x14ac:dyDescent="0.25">
      <c r="A247" s="46" t="s">
        <v>153</v>
      </c>
      <c r="B247" s="167" t="str">
        <f>(IF(H158="Saleable area Loading :","We have considered Saleable area of Commercial as per our Calculation.","We considered Saleable area of Commercial as per Builder area Sheet."))</f>
        <v>We considered Saleable area of Commercial as per Builder area Sheet.</v>
      </c>
      <c r="C247" s="168"/>
      <c r="D247" s="168"/>
      <c r="E247" s="168"/>
      <c r="F247" s="168"/>
      <c r="G247" s="168"/>
      <c r="H247" s="169"/>
      <c r="T247" s="37"/>
    </row>
    <row r="248" spans="1:20" s="35" customFormat="1" x14ac:dyDescent="0.25">
      <c r="A248" s="46" t="s">
        <v>153</v>
      </c>
      <c r="B248" s="164" t="s">
        <v>121</v>
      </c>
      <c r="C248" s="165"/>
      <c r="D248" s="165"/>
      <c r="E248" s="165"/>
      <c r="F248" s="165"/>
      <c r="G248" s="165"/>
      <c r="H248" s="166"/>
      <c r="T248" s="37"/>
    </row>
    <row r="249" spans="1:20" s="35" customFormat="1" x14ac:dyDescent="0.25">
      <c r="A249" s="46" t="s">
        <v>153</v>
      </c>
      <c r="B249" s="167" t="s">
        <v>376</v>
      </c>
      <c r="C249" s="168"/>
      <c r="D249" s="168"/>
      <c r="E249" s="168"/>
      <c r="F249" s="168"/>
      <c r="G249" s="168"/>
      <c r="H249" s="169"/>
      <c r="T249" s="37"/>
    </row>
    <row r="250" spans="1:20" s="35" customFormat="1" x14ac:dyDescent="0.25">
      <c r="A250" s="46" t="s">
        <v>153</v>
      </c>
      <c r="B250" s="164" t="s">
        <v>152</v>
      </c>
      <c r="C250" s="165"/>
      <c r="D250" s="165"/>
      <c r="E250" s="165"/>
      <c r="F250" s="165"/>
      <c r="G250" s="165"/>
      <c r="H250" s="166"/>
    </row>
    <row r="251" spans="1:20" s="35" customFormat="1" x14ac:dyDescent="0.25">
      <c r="A251" s="46" t="s">
        <v>153</v>
      </c>
      <c r="B251" s="164" t="s">
        <v>122</v>
      </c>
      <c r="C251" s="165"/>
      <c r="D251" s="165"/>
      <c r="E251" s="165"/>
      <c r="F251" s="165"/>
      <c r="G251" s="165"/>
      <c r="H251" s="166"/>
    </row>
    <row r="252" spans="1:20" s="35" customFormat="1" ht="34.5" hidden="1" customHeight="1" x14ac:dyDescent="0.25">
      <c r="A252" s="46" t="s">
        <v>153</v>
      </c>
      <c r="B252" s="164" t="s">
        <v>154</v>
      </c>
      <c r="C252" s="165"/>
      <c r="D252" s="165"/>
      <c r="E252" s="165"/>
      <c r="F252" s="165"/>
      <c r="G252" s="165"/>
      <c r="H252" s="166"/>
    </row>
    <row r="253" spans="1:20" s="35" customFormat="1" x14ac:dyDescent="0.25">
      <c r="A253" s="46" t="s">
        <v>153</v>
      </c>
      <c r="B253" s="164" t="s">
        <v>123</v>
      </c>
      <c r="C253" s="165"/>
      <c r="D253" s="165"/>
      <c r="E253" s="165"/>
      <c r="F253" s="165"/>
      <c r="G253" s="165"/>
      <c r="H253" s="166"/>
    </row>
    <row r="254" spans="1:20" s="35" customFormat="1" hidden="1" x14ac:dyDescent="0.25">
      <c r="A254" s="46" t="s">
        <v>153</v>
      </c>
      <c r="B254" s="241" t="s">
        <v>232</v>
      </c>
      <c r="C254" s="242"/>
      <c r="D254" s="242"/>
      <c r="E254" s="242"/>
      <c r="F254" s="242"/>
      <c r="G254" s="242"/>
      <c r="H254" s="243"/>
    </row>
    <row r="255" spans="1:20" x14ac:dyDescent="0.25">
      <c r="A255" s="117" t="s">
        <v>58</v>
      </c>
      <c r="B255" s="117"/>
      <c r="C255" s="117"/>
      <c r="D255" s="117"/>
      <c r="E255" s="117"/>
      <c r="F255" s="117"/>
      <c r="G255" s="117"/>
      <c r="H255" s="117"/>
      <c r="T255" s="35"/>
    </row>
    <row r="256" spans="1:20" x14ac:dyDescent="0.25">
      <c r="A256" s="103" t="s">
        <v>59</v>
      </c>
      <c r="B256" s="103"/>
      <c r="C256" s="103"/>
      <c r="D256" s="103"/>
      <c r="E256" s="103"/>
      <c r="F256" s="103"/>
      <c r="G256" s="103"/>
      <c r="H256" s="103"/>
      <c r="T256" s="35"/>
    </row>
    <row r="257" spans="1:20" ht="15.75" customHeight="1" x14ac:dyDescent="0.25">
      <c r="A257" s="146" t="s">
        <v>60</v>
      </c>
      <c r="B257" s="146"/>
      <c r="C257" s="146"/>
      <c r="D257" s="146"/>
      <c r="E257" s="146"/>
      <c r="F257" s="146"/>
      <c r="G257" s="146"/>
      <c r="H257" s="146"/>
      <c r="T257" s="35"/>
    </row>
    <row r="258" spans="1:20" x14ac:dyDescent="0.25">
      <c r="A258" s="103" t="s">
        <v>61</v>
      </c>
      <c r="B258" s="103"/>
      <c r="C258" s="103"/>
      <c r="D258" s="103"/>
      <c r="E258" s="103"/>
      <c r="F258" s="103"/>
      <c r="G258" s="103"/>
      <c r="H258" s="103"/>
      <c r="T258" s="35"/>
    </row>
    <row r="259" spans="1:20" x14ac:dyDescent="0.25">
      <c r="A259" s="103" t="s">
        <v>62</v>
      </c>
      <c r="B259" s="103"/>
      <c r="C259" s="103"/>
      <c r="D259" s="103"/>
      <c r="E259" s="103"/>
      <c r="F259" s="103"/>
      <c r="G259" s="103"/>
      <c r="H259" s="103"/>
      <c r="T259" s="35"/>
    </row>
    <row r="260" spans="1:20" x14ac:dyDescent="0.25">
      <c r="A260" s="103" t="s">
        <v>124</v>
      </c>
      <c r="B260" s="103"/>
      <c r="C260" s="103"/>
      <c r="D260" s="103"/>
      <c r="E260" s="103"/>
      <c r="F260" s="103"/>
      <c r="G260" s="103"/>
      <c r="H260" s="103"/>
      <c r="T260" s="35"/>
    </row>
    <row r="261" spans="1:20" ht="33.950000000000003" customHeight="1" x14ac:dyDescent="0.25">
      <c r="A261" s="118" t="s">
        <v>125</v>
      </c>
      <c r="B261" s="118"/>
      <c r="C261" s="118"/>
      <c r="D261" s="118"/>
      <c r="E261" s="118"/>
      <c r="F261" s="118"/>
      <c r="G261" s="118"/>
      <c r="H261" s="118"/>
    </row>
    <row r="262" spans="1:20" x14ac:dyDescent="0.25">
      <c r="A262" s="200" t="s">
        <v>74</v>
      </c>
      <c r="B262" s="200"/>
      <c r="C262" s="200" t="s">
        <v>400</v>
      </c>
      <c r="D262" s="200"/>
      <c r="E262" s="200" t="s">
        <v>103</v>
      </c>
      <c r="F262" s="200"/>
      <c r="G262" s="200" t="s">
        <v>399</v>
      </c>
      <c r="H262" s="200"/>
    </row>
    <row r="263" spans="1:20" x14ac:dyDescent="0.25">
      <c r="A263" s="199" t="s">
        <v>76</v>
      </c>
      <c r="B263" s="199"/>
      <c r="C263" s="199"/>
      <c r="D263" s="199"/>
      <c r="E263" s="199"/>
      <c r="F263" s="199"/>
      <c r="G263" s="199"/>
      <c r="H263" s="199"/>
    </row>
    <row r="264" spans="1:20" x14ac:dyDescent="0.25">
      <c r="A264" s="199"/>
      <c r="B264" s="199"/>
      <c r="C264" s="199"/>
      <c r="D264" s="199"/>
      <c r="E264" s="199"/>
      <c r="F264" s="199"/>
      <c r="G264" s="199"/>
      <c r="H264" s="199"/>
    </row>
    <row r="265" spans="1:20" x14ac:dyDescent="0.25">
      <c r="A265" s="199"/>
      <c r="B265" s="199"/>
      <c r="C265" s="199"/>
      <c r="D265" s="199"/>
      <c r="E265" s="199"/>
      <c r="F265" s="199"/>
      <c r="G265" s="199"/>
      <c r="H265" s="199"/>
    </row>
    <row r="266" spans="1:20" x14ac:dyDescent="0.25">
      <c r="A266" s="199"/>
      <c r="B266" s="199"/>
      <c r="C266" s="199"/>
      <c r="D266" s="199"/>
      <c r="E266" s="199"/>
      <c r="F266" s="199"/>
      <c r="G266" s="199"/>
      <c r="H266" s="199"/>
    </row>
    <row r="267" spans="1:20" x14ac:dyDescent="0.25">
      <c r="A267" s="38" t="s">
        <v>63</v>
      </c>
      <c r="B267" s="39"/>
      <c r="C267" s="39"/>
      <c r="D267" s="38" t="str">
        <f>E9</f>
        <v>Juhi Empressa</v>
      </c>
      <c r="F267" s="39"/>
      <c r="G267" s="39"/>
      <c r="H267" s="39"/>
    </row>
    <row r="268" spans="1:20" x14ac:dyDescent="0.25">
      <c r="A268" s="39"/>
      <c r="B268" s="39"/>
      <c r="C268" s="39"/>
      <c r="D268" s="39"/>
      <c r="E268" s="39"/>
      <c r="F268" s="39"/>
      <c r="G268" s="39"/>
      <c r="H268" s="39"/>
    </row>
    <row r="269" spans="1:20" x14ac:dyDescent="0.25">
      <c r="A269" s="39"/>
      <c r="B269" s="39"/>
      <c r="C269" s="39"/>
      <c r="D269" s="39"/>
      <c r="E269" s="39"/>
      <c r="F269" s="39"/>
      <c r="G269" s="39"/>
      <c r="H269" s="39"/>
    </row>
    <row r="270" spans="1:20" ht="15" customHeight="1" x14ac:dyDescent="0.25"/>
    <row r="277" spans="9:9" x14ac:dyDescent="0.25">
      <c r="I277"/>
    </row>
    <row r="309" spans="1:1" x14ac:dyDescent="0.25">
      <c r="A309" s="41" t="s">
        <v>164</v>
      </c>
    </row>
    <row r="351" spans="1:1" x14ac:dyDescent="0.25">
      <c r="A351" s="41" t="s">
        <v>64</v>
      </c>
    </row>
  </sheetData>
  <mergeCells count="421">
    <mergeCell ref="B254:H254"/>
    <mergeCell ref="A137:E137"/>
    <mergeCell ref="A102:B102"/>
    <mergeCell ref="A107:B107"/>
    <mergeCell ref="A154:B154"/>
    <mergeCell ref="E154:F154"/>
    <mergeCell ref="C105:H105"/>
    <mergeCell ref="A106:B106"/>
    <mergeCell ref="A142:E142"/>
    <mergeCell ref="G154:H154"/>
    <mergeCell ref="C148:D148"/>
    <mergeCell ref="E148:F148"/>
    <mergeCell ref="G148:H148"/>
    <mergeCell ref="A149:B149"/>
    <mergeCell ref="C149:D149"/>
    <mergeCell ref="E149:F149"/>
    <mergeCell ref="G149:H149"/>
    <mergeCell ref="A153:B153"/>
    <mergeCell ref="C153:D153"/>
    <mergeCell ref="E153:F153"/>
    <mergeCell ref="G153:H153"/>
    <mergeCell ref="B252:H252"/>
    <mergeCell ref="A235:B235"/>
    <mergeCell ref="A224:B224"/>
    <mergeCell ref="A49:B49"/>
    <mergeCell ref="C49:H49"/>
    <mergeCell ref="B250:H250"/>
    <mergeCell ref="A108:B108"/>
    <mergeCell ref="A109:B109"/>
    <mergeCell ref="G93:H102"/>
    <mergeCell ref="A94:B94"/>
    <mergeCell ref="A95:B95"/>
    <mergeCell ref="A96:B96"/>
    <mergeCell ref="F134:H134"/>
    <mergeCell ref="A134:E134"/>
    <mergeCell ref="D158:D159"/>
    <mergeCell ref="A136:E136"/>
    <mergeCell ref="A112:B112"/>
    <mergeCell ref="A114:B114"/>
    <mergeCell ref="A115:B115"/>
    <mergeCell ref="A135:E135"/>
    <mergeCell ref="A132:E132"/>
    <mergeCell ref="F136:H136"/>
    <mergeCell ref="G106:H106"/>
    <mergeCell ref="A105:B105"/>
    <mergeCell ref="G158:G159"/>
    <mergeCell ref="A234:B234"/>
    <mergeCell ref="A81:B81"/>
    <mergeCell ref="A225:B225"/>
    <mergeCell ref="A222:B222"/>
    <mergeCell ref="A223:B223"/>
    <mergeCell ref="A233:B233"/>
    <mergeCell ref="A40:B40"/>
    <mergeCell ref="C40:H40"/>
    <mergeCell ref="F158:F159"/>
    <mergeCell ref="C147:D147"/>
    <mergeCell ref="E147:F147"/>
    <mergeCell ref="B158:B159"/>
    <mergeCell ref="A158:A159"/>
    <mergeCell ref="C179:C180"/>
    <mergeCell ref="G179:G180"/>
    <mergeCell ref="A184:B184"/>
    <mergeCell ref="G155:H155"/>
    <mergeCell ref="A185:B185"/>
    <mergeCell ref="C55:H55"/>
    <mergeCell ref="A186:B186"/>
    <mergeCell ref="A78:B78"/>
    <mergeCell ref="A160:H160"/>
    <mergeCell ref="E158:E159"/>
    <mergeCell ref="C77:H77"/>
    <mergeCell ref="A80:B80"/>
    <mergeCell ref="A82:B82"/>
    <mergeCell ref="A39:B39"/>
    <mergeCell ref="C39:H39"/>
    <mergeCell ref="A46:D46"/>
    <mergeCell ref="A86:B86"/>
    <mergeCell ref="C152:D152"/>
    <mergeCell ref="E152:F152"/>
    <mergeCell ref="G152:H152"/>
    <mergeCell ref="A133:E133"/>
    <mergeCell ref="A103:B103"/>
    <mergeCell ref="C103:H103"/>
    <mergeCell ref="A93:B93"/>
    <mergeCell ref="A47:D47"/>
    <mergeCell ref="A48:H48"/>
    <mergeCell ref="D64:H64"/>
    <mergeCell ref="A64:C64"/>
    <mergeCell ref="A85:B85"/>
    <mergeCell ref="C91:H91"/>
    <mergeCell ref="A45:D45"/>
    <mergeCell ref="A77:B77"/>
    <mergeCell ref="A75:B75"/>
    <mergeCell ref="C75:H75"/>
    <mergeCell ref="A83:B83"/>
    <mergeCell ref="A70:C70"/>
    <mergeCell ref="D70:H70"/>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63:H266"/>
    <mergeCell ref="A262:B262"/>
    <mergeCell ref="E262:F262"/>
    <mergeCell ref="C262:D262"/>
    <mergeCell ref="G262:H262"/>
    <mergeCell ref="A145:H145"/>
    <mergeCell ref="A143:E143"/>
    <mergeCell ref="F143:H143"/>
    <mergeCell ref="A144:E144"/>
    <mergeCell ref="F144:H144"/>
    <mergeCell ref="A220:H220"/>
    <mergeCell ref="A152:B152"/>
    <mergeCell ref="A229:B229"/>
    <mergeCell ref="A147:B147"/>
    <mergeCell ref="A258:H258"/>
    <mergeCell ref="A150:H150"/>
    <mergeCell ref="A261:H261"/>
    <mergeCell ref="A259:H259"/>
    <mergeCell ref="A255:H255"/>
    <mergeCell ref="G151:H151"/>
    <mergeCell ref="A231:B231"/>
    <mergeCell ref="C158:C159"/>
    <mergeCell ref="B179:B180"/>
    <mergeCell ref="A256:H256"/>
    <mergeCell ref="A138:E138"/>
    <mergeCell ref="F138:H138"/>
    <mergeCell ref="A140:E140"/>
    <mergeCell ref="F135:H135"/>
    <mergeCell ref="A139:E139"/>
    <mergeCell ref="A110:B110"/>
    <mergeCell ref="A111:B111"/>
    <mergeCell ref="E93:F102"/>
    <mergeCell ref="A100:B100"/>
    <mergeCell ref="A101:B101"/>
    <mergeCell ref="E106:F106"/>
    <mergeCell ref="E107:F116"/>
    <mergeCell ref="A117:B117"/>
    <mergeCell ref="C117:H117"/>
    <mergeCell ref="A119:B119"/>
    <mergeCell ref="C119:H119"/>
    <mergeCell ref="A120:B120"/>
    <mergeCell ref="E120:F120"/>
    <mergeCell ref="G120:H120"/>
    <mergeCell ref="A121:B121"/>
    <mergeCell ref="E121:F130"/>
    <mergeCell ref="G121:H130"/>
    <mergeCell ref="A122:B122"/>
    <mergeCell ref="A123:B123"/>
    <mergeCell ref="A236:B236"/>
    <mergeCell ref="A237:B237"/>
    <mergeCell ref="A232:H232"/>
    <mergeCell ref="A226:H226"/>
    <mergeCell ref="F132:H132"/>
    <mergeCell ref="F137:H137"/>
    <mergeCell ref="A183:B183"/>
    <mergeCell ref="A164:B164"/>
    <mergeCell ref="A163:B163"/>
    <mergeCell ref="A178:H178"/>
    <mergeCell ref="E151:F151"/>
    <mergeCell ref="A156:H156"/>
    <mergeCell ref="A179:A180"/>
    <mergeCell ref="F179:F180"/>
    <mergeCell ref="A228:B228"/>
    <mergeCell ref="A157:H157"/>
    <mergeCell ref="G146:H146"/>
    <mergeCell ref="A141:E141"/>
    <mergeCell ref="A162:B162"/>
    <mergeCell ref="F141:H141"/>
    <mergeCell ref="E146:F146"/>
    <mergeCell ref="A146:B146"/>
    <mergeCell ref="A148:B148"/>
    <mergeCell ref="C151:D151"/>
    <mergeCell ref="B251:H251"/>
    <mergeCell ref="B247:H247"/>
    <mergeCell ref="A241:B241"/>
    <mergeCell ref="A238:H238"/>
    <mergeCell ref="A239:B239"/>
    <mergeCell ref="A240:B240"/>
    <mergeCell ref="A243:B243"/>
    <mergeCell ref="A242:B242"/>
    <mergeCell ref="B245:H245"/>
    <mergeCell ref="B246:H246"/>
    <mergeCell ref="B248:H248"/>
    <mergeCell ref="B249:H249"/>
    <mergeCell ref="A244:H244"/>
    <mergeCell ref="A260:H260"/>
    <mergeCell ref="A257:H257"/>
    <mergeCell ref="A221:B221"/>
    <mergeCell ref="A151:B151"/>
    <mergeCell ref="D179:D180"/>
    <mergeCell ref="E179:E180"/>
    <mergeCell ref="A97:B97"/>
    <mergeCell ref="A98:B98"/>
    <mergeCell ref="A99:B99"/>
    <mergeCell ref="A113:B113"/>
    <mergeCell ref="F133:H133"/>
    <mergeCell ref="G147:H147"/>
    <mergeCell ref="A116:B116"/>
    <mergeCell ref="F139:H139"/>
    <mergeCell ref="C146:D146"/>
    <mergeCell ref="C154:D154"/>
    <mergeCell ref="A182:H182"/>
    <mergeCell ref="A230:B230"/>
    <mergeCell ref="A227:B227"/>
    <mergeCell ref="A161:B161"/>
    <mergeCell ref="A155:B155"/>
    <mergeCell ref="C155:D155"/>
    <mergeCell ref="E155:F155"/>
    <mergeCell ref="B253:H253"/>
    <mergeCell ref="C52:E52"/>
    <mergeCell ref="A65:C67"/>
    <mergeCell ref="D65:H65"/>
    <mergeCell ref="D66:H66"/>
    <mergeCell ref="C51:E51"/>
    <mergeCell ref="A60:B60"/>
    <mergeCell ref="C60:E60"/>
    <mergeCell ref="D62:H62"/>
    <mergeCell ref="G92:H92"/>
    <mergeCell ref="E78:F78"/>
    <mergeCell ref="A71:C71"/>
    <mergeCell ref="D71:H71"/>
    <mergeCell ref="A74:C74"/>
    <mergeCell ref="D74:H74"/>
    <mergeCell ref="A72:C72"/>
    <mergeCell ref="D73:H73"/>
    <mergeCell ref="A79:B79"/>
    <mergeCell ref="G78:H78"/>
    <mergeCell ref="D72:H72"/>
    <mergeCell ref="A73:C73"/>
    <mergeCell ref="A165:B165"/>
    <mergeCell ref="A166:B166"/>
    <mergeCell ref="A167:B167"/>
    <mergeCell ref="A168:B168"/>
    <mergeCell ref="I15:P15"/>
    <mergeCell ref="F142:H142"/>
    <mergeCell ref="F140:H140"/>
    <mergeCell ref="E43:H43"/>
    <mergeCell ref="A43:D43"/>
    <mergeCell ref="A50:B50"/>
    <mergeCell ref="C50:E50"/>
    <mergeCell ref="G50:H50"/>
    <mergeCell ref="G52:H52"/>
    <mergeCell ref="A51:B51"/>
    <mergeCell ref="A54:B55"/>
    <mergeCell ref="C54:E54"/>
    <mergeCell ref="G54:H54"/>
    <mergeCell ref="A56:B57"/>
    <mergeCell ref="C56:E56"/>
    <mergeCell ref="G56:H56"/>
    <mergeCell ref="A89:B89"/>
    <mergeCell ref="C89:H89"/>
    <mergeCell ref="A84:B84"/>
    <mergeCell ref="A61:H61"/>
    <mergeCell ref="A169:B169"/>
    <mergeCell ref="A170:B170"/>
    <mergeCell ref="A171:B171"/>
    <mergeCell ref="A172:H172"/>
    <mergeCell ref="A173:B173"/>
    <mergeCell ref="A174:B174"/>
    <mergeCell ref="A175:H175"/>
    <mergeCell ref="A176:B176"/>
    <mergeCell ref="A177:B177"/>
    <mergeCell ref="A181:H181"/>
    <mergeCell ref="A197:H197"/>
    <mergeCell ref="A196:B196"/>
    <mergeCell ref="A198:B198"/>
    <mergeCell ref="A199:B199"/>
    <mergeCell ref="A200:B200"/>
    <mergeCell ref="A201:B201"/>
    <mergeCell ref="A187:H187"/>
    <mergeCell ref="A188:B188"/>
    <mergeCell ref="A189:B189"/>
    <mergeCell ref="A190:B190"/>
    <mergeCell ref="A191:B191"/>
    <mergeCell ref="A192:H192"/>
    <mergeCell ref="A193:B193"/>
    <mergeCell ref="A194:B194"/>
    <mergeCell ref="A195:B195"/>
    <mergeCell ref="A202:H202"/>
    <mergeCell ref="A203:B203"/>
    <mergeCell ref="A204:B204"/>
    <mergeCell ref="A205:B205"/>
    <mergeCell ref="A206:B206"/>
    <mergeCell ref="A207:H207"/>
    <mergeCell ref="A208:B208"/>
    <mergeCell ref="A209:B209"/>
    <mergeCell ref="A210:B210"/>
    <mergeCell ref="A211:B211"/>
    <mergeCell ref="A217:H217"/>
    <mergeCell ref="A218:B218"/>
    <mergeCell ref="A219:B219"/>
    <mergeCell ref="A212:H212"/>
    <mergeCell ref="A213:B213"/>
    <mergeCell ref="A214:B214"/>
    <mergeCell ref="A215:B215"/>
    <mergeCell ref="A216:B216"/>
    <mergeCell ref="I11:L11"/>
    <mergeCell ref="A124:B124"/>
    <mergeCell ref="A125:B125"/>
    <mergeCell ref="A126:B126"/>
    <mergeCell ref="A127:B127"/>
    <mergeCell ref="A128:B128"/>
    <mergeCell ref="A129:B129"/>
    <mergeCell ref="A130:B130"/>
    <mergeCell ref="A131:B131"/>
    <mergeCell ref="C131:D131"/>
    <mergeCell ref="E131:F131"/>
    <mergeCell ref="G131:H131"/>
    <mergeCell ref="A62:C62"/>
    <mergeCell ref="A63:C63"/>
    <mergeCell ref="D63:H63"/>
    <mergeCell ref="G60:H60"/>
    <mergeCell ref="E92:F92"/>
    <mergeCell ref="A58:B59"/>
    <mergeCell ref="C58:E58"/>
    <mergeCell ref="G58:H58"/>
    <mergeCell ref="G51:H51"/>
    <mergeCell ref="A52:B53"/>
    <mergeCell ref="C53:H53"/>
    <mergeCell ref="D67:H67"/>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8:E159">
      <formula1>"Attached Loft area,Attached Otla area,Attached Mezzanine area"</formula1>
    </dataValidation>
    <dataValidation type="list" allowBlank="1" showInputMessage="1" showErrorMessage="1" sqref="G262:H262">
      <formula1>"Kunal Kadam,Pranita Mhatre,Shruti Fule,Pooja Kawale,Gaurav Panchal,Shruti Tathare, Hitakshi Mhatre, Sachin Sawant"</formula1>
    </dataValidation>
    <dataValidation type="list" allowBlank="1" showInputMessage="1" showErrorMessage="1" sqref="F131:F132 G132:H132">
      <formula1>"On Saleable Area,On Builtup Area,On Carpet Area,On Plot Area"</formula1>
    </dataValidation>
    <dataValidation type="list" allowBlank="1" showInputMessage="1" showErrorMessage="1" sqref="B158:B159">
      <formula1>"Shop No. (Sale Plan),Sale / Rehab,Sale / Mhada"</formula1>
    </dataValidation>
    <dataValidation type="list" allowBlank="1" showInputMessage="1" showErrorMessage="1" sqref="B179:B18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79:E180">
      <formula1>"Fungible area,Balcony + Varandah + Chajja Area.,Cornice Area,AP Area,WS Area"</formula1>
    </dataValidation>
    <dataValidation type="list" allowBlank="1" showInputMessage="1" showErrorMessage="1" sqref="H18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C126">
      <formula1>0</formula1>
      <formula2>H76</formula2>
    </dataValidation>
    <dataValidation type="list" allowBlank="1" showInputMessage="1" showErrorMessage="1" sqref="H158 H179">
      <formula1>"Saleable area Loading :,Builder Saleable Area"</formula1>
    </dataValidation>
    <dataValidation type="list" allowBlank="1" showInputMessage="1" showErrorMessage="1" sqref="D158:D159 D179:D180">
      <formula1>"Carpet area,RERA Carpet area"</formula1>
    </dataValidation>
    <dataValidation type="list" allowBlank="1" showInputMessage="1" showErrorMessage="1" sqref="F143:H143">
      <formula1>OFFSET($S$132,1,MATCH($G20,$S$132:$W$132,0)-1,15,1)</formula1>
    </dataValidation>
    <dataValidation type="list" allowBlank="1" showInputMessage="1" showErrorMessage="1" sqref="H159">
      <formula1>".45,.50,.55,.60,1"</formula1>
    </dataValidation>
  </dataValidations>
  <hyperlinks>
    <hyperlink ref="C40" r:id="rId1"/>
    <hyperlink ref="I71"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4" max="16383" man="1"/>
    <brk id="266" max="16383" man="1"/>
    <brk id="308" max="16383" man="1"/>
    <brk id="350"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19" sqref="C19"/>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0" t="s">
        <v>104</v>
      </c>
      <c r="C3" s="250"/>
      <c r="D3" s="250"/>
      <c r="E3" s="250"/>
      <c r="F3" s="250"/>
      <c r="G3" s="250"/>
      <c r="H3" s="250"/>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179</v>
      </c>
      <c r="E4" s="54" t="s">
        <v>189</v>
      </c>
      <c r="F4" s="54" t="s">
        <v>174</v>
      </c>
      <c r="G4" s="54" t="s">
        <v>194</v>
      </c>
      <c r="H4" s="54" t="s">
        <v>212</v>
      </c>
      <c r="J4" t="s">
        <v>194</v>
      </c>
      <c r="K4" t="s">
        <v>210</v>
      </c>
    </row>
    <row r="5" spans="2:11" x14ac:dyDescent="0.25">
      <c r="B5" s="53"/>
      <c r="C5" s="53"/>
      <c r="D5" s="54" t="s">
        <v>180</v>
      </c>
      <c r="E5" s="54" t="s">
        <v>187</v>
      </c>
      <c r="F5" s="54" t="s">
        <v>209</v>
      </c>
      <c r="G5" s="54" t="s">
        <v>195</v>
      </c>
      <c r="H5" s="54" t="s">
        <v>213</v>
      </c>
    </row>
    <row r="6" spans="2:11" x14ac:dyDescent="0.25">
      <c r="B6" s="53"/>
      <c r="C6" s="53"/>
      <c r="D6" s="54" t="s">
        <v>181</v>
      </c>
      <c r="E6" s="54" t="s">
        <v>188</v>
      </c>
      <c r="F6" s="54" t="s">
        <v>210</v>
      </c>
      <c r="G6" s="54" t="s">
        <v>196</v>
      </c>
      <c r="H6" s="54" t="s">
        <v>226</v>
      </c>
    </row>
    <row r="7" spans="2:11" x14ac:dyDescent="0.25">
      <c r="B7" s="53"/>
      <c r="C7" s="53"/>
      <c r="D7" s="54" t="s">
        <v>182</v>
      </c>
      <c r="E7" s="54" t="s">
        <v>190</v>
      </c>
      <c r="F7" s="54" t="s">
        <v>211</v>
      </c>
      <c r="G7" s="54" t="s">
        <v>197</v>
      </c>
      <c r="H7" s="54" t="s">
        <v>214</v>
      </c>
    </row>
    <row r="8" spans="2:11" x14ac:dyDescent="0.25">
      <c r="B8" s="53"/>
      <c r="C8" s="53"/>
      <c r="D8" s="54" t="s">
        <v>183</v>
      </c>
      <c r="E8" s="54" t="s">
        <v>191</v>
      </c>
      <c r="F8" s="54"/>
      <c r="G8" s="54" t="s">
        <v>198</v>
      </c>
      <c r="H8" s="54" t="s">
        <v>215</v>
      </c>
    </row>
    <row r="9" spans="2:11" x14ac:dyDescent="0.25">
      <c r="B9" s="53"/>
      <c r="C9" s="53"/>
      <c r="D9" s="54" t="s">
        <v>184</v>
      </c>
      <c r="E9" s="54" t="s">
        <v>189</v>
      </c>
      <c r="F9" s="54"/>
      <c r="G9" s="54" t="s">
        <v>199</v>
      </c>
      <c r="H9" s="54" t="s">
        <v>216</v>
      </c>
    </row>
    <row r="10" spans="2:11" x14ac:dyDescent="0.25">
      <c r="B10" s="53"/>
      <c r="C10" s="53"/>
      <c r="D10" s="54" t="s">
        <v>185</v>
      </c>
      <c r="E10" s="54" t="s">
        <v>192</v>
      </c>
      <c r="F10" s="54"/>
      <c r="G10" s="54" t="s">
        <v>200</v>
      </c>
      <c r="H10" s="54" t="s">
        <v>217</v>
      </c>
    </row>
    <row r="11" spans="2:11" x14ac:dyDescent="0.25">
      <c r="B11" s="53"/>
      <c r="C11" s="53"/>
      <c r="D11" s="54" t="s">
        <v>186</v>
      </c>
      <c r="E11" s="54" t="s">
        <v>193</v>
      </c>
      <c r="F11" s="54"/>
      <c r="G11" s="54" t="s">
        <v>201</v>
      </c>
      <c r="H11" s="54" t="s">
        <v>218</v>
      </c>
    </row>
    <row r="12" spans="2:11" x14ac:dyDescent="0.25">
      <c r="B12" s="53"/>
      <c r="C12" s="53"/>
      <c r="D12" s="54"/>
      <c r="E12" s="54"/>
      <c r="F12" s="54"/>
      <c r="G12" s="54" t="s">
        <v>202</v>
      </c>
      <c r="H12" s="54" t="s">
        <v>219</v>
      </c>
    </row>
    <row r="13" spans="2:11" x14ac:dyDescent="0.25">
      <c r="B13" s="53"/>
      <c r="C13" s="53"/>
      <c r="D13" s="54"/>
      <c r="E13" s="54"/>
      <c r="F13" s="54"/>
      <c r="G13" s="54" t="s">
        <v>203</v>
      </c>
      <c r="H13" s="54" t="s">
        <v>220</v>
      </c>
    </row>
    <row r="14" spans="2:11" x14ac:dyDescent="0.25">
      <c r="B14" s="53"/>
      <c r="C14" s="53"/>
      <c r="D14" s="54"/>
      <c r="E14" s="54"/>
      <c r="F14" s="54"/>
      <c r="G14" s="54" t="s">
        <v>204</v>
      </c>
      <c r="H14" s="54" t="s">
        <v>221</v>
      </c>
    </row>
    <row r="15" spans="2:11" x14ac:dyDescent="0.25">
      <c r="B15" s="53"/>
      <c r="C15" s="53"/>
      <c r="D15" s="54"/>
      <c r="E15" s="54"/>
      <c r="F15" s="54"/>
      <c r="G15" s="54" t="s">
        <v>205</v>
      </c>
      <c r="H15" s="54" t="s">
        <v>222</v>
      </c>
    </row>
    <row r="16" spans="2:11" x14ac:dyDescent="0.25">
      <c r="B16" s="53"/>
      <c r="C16" s="53"/>
      <c r="D16" s="54"/>
      <c r="E16" s="54"/>
      <c r="F16" s="54"/>
      <c r="G16" s="54" t="s">
        <v>206</v>
      </c>
      <c r="H16" s="54" t="s">
        <v>223</v>
      </c>
    </row>
    <row r="17" spans="2:8" x14ac:dyDescent="0.25">
      <c r="B17" s="53"/>
      <c r="C17" s="53"/>
      <c r="D17" s="54"/>
      <c r="E17" s="54"/>
      <c r="F17" s="54"/>
      <c r="G17" s="54" t="s">
        <v>207</v>
      </c>
      <c r="H17" s="54" t="s">
        <v>224</v>
      </c>
    </row>
    <row r="18" spans="2:8" x14ac:dyDescent="0.25">
      <c r="B18" s="53"/>
      <c r="C18" s="53"/>
      <c r="D18" s="54"/>
      <c r="E18" s="54"/>
      <c r="F18" s="54"/>
      <c r="G18" s="54" t="s">
        <v>208</v>
      </c>
      <c r="H18" s="54" t="s">
        <v>225</v>
      </c>
    </row>
    <row r="24" spans="2:8" x14ac:dyDescent="0.25">
      <c r="C24" t="s">
        <v>171</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171</v>
      </c>
    </row>
    <row r="33" spans="3:11" x14ac:dyDescent="0.25">
      <c r="J33">
        <v>1</v>
      </c>
      <c r="K33">
        <v>2</v>
      </c>
    </row>
    <row r="34" spans="3:11" x14ac:dyDescent="0.25">
      <c r="C34" s="55" t="s">
        <v>236</v>
      </c>
      <c r="D34" s="54" t="s">
        <v>234</v>
      </c>
      <c r="E34" s="54" t="s">
        <v>239</v>
      </c>
      <c r="F34" s="54" t="s">
        <v>237</v>
      </c>
      <c r="G34" s="54" t="s">
        <v>238</v>
      </c>
      <c r="H34" s="54" t="s">
        <v>240</v>
      </c>
      <c r="J34" t="s">
        <v>194</v>
      </c>
      <c r="K34" t="s">
        <v>210</v>
      </c>
    </row>
    <row r="35" spans="3:11" x14ac:dyDescent="0.25">
      <c r="C35" s="53" t="s">
        <v>235</v>
      </c>
      <c r="D35" s="54" t="s">
        <v>172</v>
      </c>
      <c r="E35" s="54" t="s">
        <v>244</v>
      </c>
      <c r="F35" s="54" t="s">
        <v>246</v>
      </c>
      <c r="G35" s="54" t="s">
        <v>248</v>
      </c>
      <c r="H35" s="54"/>
    </row>
    <row r="36" spans="3:11" x14ac:dyDescent="0.25">
      <c r="C36" s="53"/>
      <c r="D36" s="54" t="s">
        <v>241</v>
      </c>
      <c r="E36" s="54" t="s">
        <v>245</v>
      </c>
      <c r="F36" s="54" t="s">
        <v>247</v>
      </c>
      <c r="G36" s="54" t="s">
        <v>249</v>
      </c>
      <c r="H36" s="54"/>
    </row>
    <row r="37" spans="3:11" x14ac:dyDescent="0.25">
      <c r="C37" s="53"/>
      <c r="D37" s="54" t="s">
        <v>242</v>
      </c>
      <c r="E37" s="54"/>
      <c r="F37" s="54"/>
      <c r="G37" s="54" t="s">
        <v>250</v>
      </c>
      <c r="H37" s="54"/>
    </row>
    <row r="38" spans="3:11" x14ac:dyDescent="0.25">
      <c r="C38" s="53"/>
      <c r="D38" s="54" t="s">
        <v>243</v>
      </c>
      <c r="E38" s="54"/>
      <c r="F38" s="54"/>
      <c r="G38" s="54" t="s">
        <v>250</v>
      </c>
      <c r="H38" s="54"/>
    </row>
    <row r="39" spans="3:11" x14ac:dyDescent="0.25">
      <c r="C39" s="53"/>
      <c r="D39" s="54"/>
      <c r="E39" s="54"/>
      <c r="F39" s="54"/>
      <c r="G39" s="54" t="s">
        <v>251</v>
      </c>
      <c r="H39" s="54"/>
    </row>
    <row r="40" spans="3:11" x14ac:dyDescent="0.25">
      <c r="C40" s="53"/>
      <c r="D40" s="54"/>
      <c r="E40" s="54"/>
      <c r="F40" s="54"/>
      <c r="G40" s="54" t="s">
        <v>252</v>
      </c>
      <c r="H40" s="54"/>
    </row>
    <row r="41" spans="3:11" x14ac:dyDescent="0.25">
      <c r="C41" s="53"/>
      <c r="D41" s="54"/>
      <c r="E41" s="54"/>
      <c r="F41" s="54"/>
      <c r="G41" s="54"/>
      <c r="H41" s="54"/>
    </row>
    <row r="43" spans="3:11" x14ac:dyDescent="0.25">
      <c r="C43" t="s">
        <v>253</v>
      </c>
    </row>
    <row r="44" spans="3:11" x14ac:dyDescent="0.25">
      <c r="C44" t="s">
        <v>174</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179</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194</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189</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5" x14ac:dyDescent="0.25"/>
  <cols>
    <col min="2" max="2" width="3" bestFit="1" customWidth="1"/>
    <col min="3" max="3" width="155.28515625" customWidth="1"/>
  </cols>
  <sheetData>
    <row r="2" spans="2:3" ht="15" customHeight="1" x14ac:dyDescent="0.25">
      <c r="B2" s="56">
        <v>1</v>
      </c>
      <c r="C2" s="58" t="s">
        <v>284</v>
      </c>
    </row>
    <row r="3" spans="2:3" x14ac:dyDescent="0.25">
      <c r="B3" s="56">
        <v>2</v>
      </c>
      <c r="C3" s="57" t="s">
        <v>285</v>
      </c>
    </row>
    <row r="4" spans="2:3" x14ac:dyDescent="0.25">
      <c r="B4" s="56">
        <v>3</v>
      </c>
      <c r="C4" s="56" t="s">
        <v>286</v>
      </c>
    </row>
    <row r="5" spans="2:3" x14ac:dyDescent="0.25">
      <c r="B5" s="56">
        <v>4</v>
      </c>
      <c r="C5" s="57" t="s">
        <v>287</v>
      </c>
    </row>
    <row r="6" spans="2:3" x14ac:dyDescent="0.25">
      <c r="B6" s="56">
        <v>5</v>
      </c>
      <c r="C6" s="56" t="s">
        <v>288</v>
      </c>
    </row>
    <row r="7" spans="2:3" ht="30" x14ac:dyDescent="0.25">
      <c r="B7" s="56">
        <v>6</v>
      </c>
      <c r="C7" s="57" t="s">
        <v>289</v>
      </c>
    </row>
    <row r="8" spans="2:3" ht="75" x14ac:dyDescent="0.25">
      <c r="B8" s="56">
        <v>7</v>
      </c>
      <c r="C8" s="57" t="s">
        <v>290</v>
      </c>
    </row>
    <row r="9" spans="2:3" x14ac:dyDescent="0.25">
      <c r="B9" s="56">
        <v>8</v>
      </c>
      <c r="C9" s="56" t="s">
        <v>291</v>
      </c>
    </row>
    <row r="10" spans="2:3" x14ac:dyDescent="0.25">
      <c r="B10" s="56">
        <v>9</v>
      </c>
      <c r="C10" s="56" t="s">
        <v>292</v>
      </c>
    </row>
    <row r="11" spans="2:3" x14ac:dyDescent="0.25">
      <c r="B11" s="56">
        <v>10</v>
      </c>
      <c r="C11" s="56" t="s">
        <v>293</v>
      </c>
    </row>
    <row r="12" spans="2:3" x14ac:dyDescent="0.25">
      <c r="B12" s="56">
        <v>11</v>
      </c>
      <c r="C12" s="56" t="s">
        <v>294</v>
      </c>
    </row>
    <row r="13" spans="2:3" x14ac:dyDescent="0.25">
      <c r="B13" s="56">
        <v>12</v>
      </c>
      <c r="C13" s="56" t="s">
        <v>295</v>
      </c>
    </row>
    <row r="14" spans="2:3" x14ac:dyDescent="0.25">
      <c r="B14" s="56">
        <v>13</v>
      </c>
      <c r="C14" s="56" t="s">
        <v>296</v>
      </c>
    </row>
    <row r="15" spans="2:3" x14ac:dyDescent="0.25">
      <c r="B15" s="56">
        <v>14</v>
      </c>
      <c r="C15" s="56" t="s">
        <v>286</v>
      </c>
    </row>
    <row r="16" spans="2:3" x14ac:dyDescent="0.25">
      <c r="B16" s="56">
        <v>15</v>
      </c>
      <c r="C16" s="56" t="s">
        <v>299</v>
      </c>
    </row>
    <row r="17" spans="2:3" ht="31.5" customHeight="1" x14ac:dyDescent="0.25">
      <c r="B17" s="61">
        <v>16</v>
      </c>
      <c r="C17" s="63" t="s">
        <v>300</v>
      </c>
    </row>
    <row r="18" spans="2:3" x14ac:dyDescent="0.25">
      <c r="B18" s="62">
        <v>17</v>
      </c>
      <c r="C18" s="63" t="s">
        <v>301</v>
      </c>
    </row>
    <row r="19" spans="2:3" x14ac:dyDescent="0.25">
      <c r="B19" s="61">
        <v>18</v>
      </c>
      <c r="C19" s="56" t="s">
        <v>302</v>
      </c>
    </row>
    <row r="20" spans="2:3" x14ac:dyDescent="0.25">
      <c r="B20" s="62">
        <v>19</v>
      </c>
      <c r="C20" s="56" t="s">
        <v>303</v>
      </c>
    </row>
    <row r="21" spans="2:3" x14ac:dyDescent="0.25">
      <c r="B21" s="56">
        <v>20</v>
      </c>
      <c r="C21" s="56" t="s">
        <v>304</v>
      </c>
    </row>
    <row r="22" spans="2:3" x14ac:dyDescent="0.25">
      <c r="B22" s="62">
        <v>21</v>
      </c>
      <c r="C22" s="56" t="s">
        <v>302</v>
      </c>
    </row>
    <row r="23" spans="2:3" s="72" customFormat="1" ht="29.25" customHeight="1" x14ac:dyDescent="0.25">
      <c r="B23" s="71">
        <v>22</v>
      </c>
      <c r="C23" s="58" t="s">
        <v>331</v>
      </c>
    </row>
    <row r="24" spans="2:3" s="72" customFormat="1" ht="30.75" customHeight="1" x14ac:dyDescent="0.25">
      <c r="B24" s="73">
        <v>23</v>
      </c>
      <c r="C24" s="58" t="s">
        <v>332</v>
      </c>
    </row>
    <row r="25" spans="2:3" x14ac:dyDescent="0.25">
      <c r="B25" s="56">
        <v>24</v>
      </c>
      <c r="C25" s="56" t="s">
        <v>335</v>
      </c>
    </row>
    <row r="26" spans="2:3" x14ac:dyDescent="0.25">
      <c r="B26" s="62">
        <v>25</v>
      </c>
      <c r="C26" s="56" t="s">
        <v>333</v>
      </c>
    </row>
    <row r="27" spans="2:3" x14ac:dyDescent="0.25">
      <c r="B27" s="73">
        <v>26</v>
      </c>
      <c r="C27" s="56" t="s">
        <v>334</v>
      </c>
    </row>
    <row r="28" spans="2:3" x14ac:dyDescent="0.25">
      <c r="B28" s="62">
        <v>27</v>
      </c>
      <c r="C28" s="56"/>
    </row>
    <row r="29" spans="2:3" x14ac:dyDescent="0.25">
      <c r="B29" s="62">
        <v>28</v>
      </c>
      <c r="C29" s="56"/>
    </row>
    <row r="30" spans="2:3" x14ac:dyDescent="0.25">
      <c r="B30" s="73">
        <v>29</v>
      </c>
      <c r="C30" s="56"/>
    </row>
    <row r="31" spans="2:3" x14ac:dyDescent="0.25">
      <c r="B31" s="62">
        <v>30</v>
      </c>
      <c r="C31" s="56"/>
    </row>
    <row r="32" spans="2:3" x14ac:dyDescent="0.25">
      <c r="B32" s="62">
        <v>31</v>
      </c>
      <c r="C32" s="56"/>
    </row>
    <row r="33" spans="2:3" x14ac:dyDescent="0.25">
      <c r="B33" s="73">
        <v>32</v>
      </c>
      <c r="C33" s="56"/>
    </row>
    <row r="34" spans="2:3" x14ac:dyDescent="0.25">
      <c r="B34" s="62">
        <v>33</v>
      </c>
      <c r="C34" s="56"/>
    </row>
    <row r="35" spans="2:3" x14ac:dyDescent="0.25">
      <c r="B35" s="62">
        <v>34</v>
      </c>
      <c r="C35"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5" t="s">
        <v>305</v>
      </c>
      <c r="C2" s="251"/>
      <c r="D2" s="251"/>
    </row>
    <row r="3" spans="1:12" x14ac:dyDescent="0.25">
      <c r="D3" s="66"/>
      <c r="E3" s="66"/>
      <c r="F3" s="66"/>
      <c r="G3" s="66"/>
      <c r="H3" s="66"/>
      <c r="I3" s="66"/>
    </row>
    <row r="4" spans="1:12" x14ac:dyDescent="0.25">
      <c r="A4" s="65" t="s">
        <v>66</v>
      </c>
      <c r="B4" s="67" t="s">
        <v>306</v>
      </c>
      <c r="C4" s="252" t="s">
        <v>307</v>
      </c>
      <c r="D4" s="252"/>
      <c r="E4" s="252"/>
      <c r="F4" s="67"/>
      <c r="G4" s="253" t="s">
        <v>308</v>
      </c>
      <c r="H4" s="253"/>
      <c r="I4" s="253"/>
      <c r="J4" s="254" t="s">
        <v>309</v>
      </c>
      <c r="K4" s="254"/>
      <c r="L4" s="254"/>
    </row>
    <row r="5" spans="1:12" x14ac:dyDescent="0.25">
      <c r="A5" s="65"/>
      <c r="B5" s="67"/>
      <c r="C5" s="67" t="s">
        <v>310</v>
      </c>
      <c r="D5" s="67" t="s">
        <v>311</v>
      </c>
      <c r="E5" s="67" t="s">
        <v>312</v>
      </c>
      <c r="F5" s="67"/>
      <c r="G5" s="67" t="s">
        <v>310</v>
      </c>
      <c r="H5" s="67" t="s">
        <v>311</v>
      </c>
      <c r="I5" s="67" t="s">
        <v>312</v>
      </c>
      <c r="J5" s="67" t="s">
        <v>310</v>
      </c>
      <c r="K5" s="67" t="s">
        <v>311</v>
      </c>
      <c r="L5" s="67" t="s">
        <v>312</v>
      </c>
    </row>
    <row r="6" spans="1:12" x14ac:dyDescent="0.25">
      <c r="B6" s="54" t="s">
        <v>313</v>
      </c>
      <c r="C6" s="54"/>
      <c r="D6" s="54"/>
      <c r="E6" s="54">
        <f>C6*D6</f>
        <v>0</v>
      </c>
      <c r="F6" s="54" t="s">
        <v>330</v>
      </c>
      <c r="G6" s="54"/>
      <c r="H6" s="54"/>
      <c r="I6" s="54">
        <f>G6*H6</f>
        <v>0</v>
      </c>
      <c r="J6" s="54"/>
      <c r="K6" s="54"/>
      <c r="L6" s="54">
        <f>J6*K6</f>
        <v>0</v>
      </c>
    </row>
    <row r="7" spans="1:12" x14ac:dyDescent="0.25">
      <c r="B7" s="54"/>
      <c r="C7" s="54"/>
      <c r="D7" s="54"/>
      <c r="E7" s="54">
        <f t="shared" ref="E7:E41" si="0">C7*D7</f>
        <v>0</v>
      </c>
      <c r="F7" s="54" t="s">
        <v>330</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314</v>
      </c>
      <c r="G9" s="54"/>
      <c r="H9" s="54"/>
      <c r="I9" s="54">
        <f t="shared" si="1"/>
        <v>0</v>
      </c>
      <c r="J9" s="54"/>
      <c r="K9" s="54"/>
      <c r="L9" s="54">
        <f t="shared" si="2"/>
        <v>0</v>
      </c>
    </row>
    <row r="10" spans="1:12" x14ac:dyDescent="0.25">
      <c r="B10" s="54" t="s">
        <v>315</v>
      </c>
      <c r="C10" s="54"/>
      <c r="D10" s="54"/>
      <c r="E10" s="54">
        <f t="shared" si="0"/>
        <v>0</v>
      </c>
      <c r="F10" s="54" t="s">
        <v>314</v>
      </c>
      <c r="G10" s="54"/>
      <c r="H10" s="54"/>
      <c r="I10" s="54">
        <f t="shared" si="1"/>
        <v>0</v>
      </c>
      <c r="J10" s="54"/>
      <c r="K10" s="54"/>
      <c r="L10" s="54">
        <f t="shared" si="2"/>
        <v>0</v>
      </c>
    </row>
    <row r="11" spans="1:12" x14ac:dyDescent="0.25">
      <c r="B11" s="54"/>
      <c r="C11" s="54"/>
      <c r="D11" s="54"/>
      <c r="E11" s="54">
        <f t="shared" si="0"/>
        <v>0</v>
      </c>
      <c r="F11" s="54" t="s">
        <v>316</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317</v>
      </c>
      <c r="C14" s="54"/>
      <c r="D14" s="54"/>
      <c r="E14" s="54">
        <f t="shared" si="0"/>
        <v>0</v>
      </c>
      <c r="F14" s="54" t="s">
        <v>314</v>
      </c>
      <c r="G14" s="54"/>
      <c r="H14" s="54"/>
      <c r="I14" s="54">
        <f t="shared" si="1"/>
        <v>0</v>
      </c>
      <c r="J14" s="54"/>
      <c r="K14" s="54"/>
      <c r="L14" s="54">
        <f t="shared" si="2"/>
        <v>0</v>
      </c>
    </row>
    <row r="15" spans="1:12" x14ac:dyDescent="0.25">
      <c r="B15" s="54"/>
      <c r="C15" s="54"/>
      <c r="D15" s="54"/>
      <c r="E15" s="54">
        <f t="shared" si="0"/>
        <v>0</v>
      </c>
      <c r="F15" s="54" t="s">
        <v>316</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318</v>
      </c>
      <c r="C18" s="54"/>
      <c r="D18" s="54"/>
      <c r="E18" s="54">
        <f t="shared" si="0"/>
        <v>0</v>
      </c>
      <c r="F18" s="54" t="s">
        <v>314</v>
      </c>
      <c r="G18" s="54"/>
      <c r="H18" s="54"/>
      <c r="I18" s="54">
        <f t="shared" si="1"/>
        <v>0</v>
      </c>
      <c r="J18" s="54"/>
      <c r="K18" s="54"/>
      <c r="L18" s="54">
        <f t="shared" si="2"/>
        <v>0</v>
      </c>
    </row>
    <row r="19" spans="2:12" x14ac:dyDescent="0.25">
      <c r="B19" s="54"/>
      <c r="C19" s="54"/>
      <c r="D19" s="54"/>
      <c r="E19" s="54">
        <f t="shared" si="0"/>
        <v>0</v>
      </c>
      <c r="F19" s="54" t="s">
        <v>316</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319</v>
      </c>
      <c r="C21" s="54"/>
      <c r="D21" s="54"/>
      <c r="E21" s="54">
        <f t="shared" si="0"/>
        <v>0</v>
      </c>
      <c r="F21" s="54" t="s">
        <v>314</v>
      </c>
      <c r="G21" s="54"/>
      <c r="H21" s="54"/>
      <c r="I21" s="54">
        <f t="shared" si="1"/>
        <v>0</v>
      </c>
      <c r="J21" s="54"/>
      <c r="K21" s="54"/>
      <c r="L21" s="54">
        <f t="shared" si="2"/>
        <v>0</v>
      </c>
    </row>
    <row r="22" spans="2:12" x14ac:dyDescent="0.25">
      <c r="B22" s="54"/>
      <c r="C22" s="54"/>
      <c r="D22" s="54"/>
      <c r="E22" s="54">
        <f t="shared" si="0"/>
        <v>0</v>
      </c>
      <c r="F22" s="54" t="s">
        <v>316</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320</v>
      </c>
      <c r="C24" s="54"/>
      <c r="D24" s="54"/>
      <c r="E24" s="54">
        <f t="shared" si="0"/>
        <v>0</v>
      </c>
      <c r="F24" s="54" t="s">
        <v>321</v>
      </c>
      <c r="G24" s="54"/>
      <c r="H24" s="54"/>
      <c r="I24" s="54">
        <f t="shared" si="1"/>
        <v>0</v>
      </c>
      <c r="J24" s="54"/>
      <c r="K24" s="54"/>
      <c r="L24" s="54">
        <f t="shared" si="2"/>
        <v>0</v>
      </c>
    </row>
    <row r="25" spans="2:12" x14ac:dyDescent="0.25">
      <c r="B25" s="54"/>
      <c r="C25" s="54"/>
      <c r="D25" s="54"/>
      <c r="E25" s="54">
        <f t="shared" ref="E25:E27" si="3">C25*D25</f>
        <v>0</v>
      </c>
      <c r="F25" s="54" t="s">
        <v>321</v>
      </c>
      <c r="G25" s="54"/>
      <c r="H25" s="54"/>
      <c r="I25" s="54">
        <f t="shared" ref="I25:I27" si="4">G25*H25</f>
        <v>0</v>
      </c>
      <c r="J25" s="54"/>
      <c r="K25" s="54"/>
      <c r="L25" s="54">
        <f t="shared" ref="L25:L27" si="5">J25*K25</f>
        <v>0</v>
      </c>
    </row>
    <row r="26" spans="2:12" x14ac:dyDescent="0.25">
      <c r="B26" s="54"/>
      <c r="C26" s="54"/>
      <c r="D26" s="54"/>
      <c r="E26" s="54">
        <f t="shared" si="3"/>
        <v>0</v>
      </c>
      <c r="F26" s="54" t="s">
        <v>321</v>
      </c>
      <c r="G26" s="54"/>
      <c r="H26" s="54"/>
      <c r="I26" s="54">
        <f t="shared" si="4"/>
        <v>0</v>
      </c>
      <c r="J26" s="54"/>
      <c r="K26" s="54"/>
      <c r="L26" s="54">
        <f t="shared" si="5"/>
        <v>0</v>
      </c>
    </row>
    <row r="27" spans="2:12" x14ac:dyDescent="0.25">
      <c r="B27" s="54"/>
      <c r="C27" s="54"/>
      <c r="D27" s="54"/>
      <c r="E27" s="54">
        <f t="shared" si="3"/>
        <v>0</v>
      </c>
      <c r="F27" s="54" t="s">
        <v>321</v>
      </c>
      <c r="G27" s="54"/>
      <c r="H27" s="54"/>
      <c r="I27" s="54">
        <f t="shared" si="4"/>
        <v>0</v>
      </c>
      <c r="J27" s="54"/>
      <c r="K27" s="54"/>
      <c r="L27" s="54">
        <f t="shared" si="5"/>
        <v>0</v>
      </c>
    </row>
    <row r="28" spans="2:12" x14ac:dyDescent="0.25">
      <c r="B28" s="54" t="s">
        <v>322</v>
      </c>
      <c r="C28" s="54"/>
      <c r="D28" s="54"/>
      <c r="E28" s="54">
        <f t="shared" si="0"/>
        <v>0</v>
      </c>
      <c r="F28" s="54" t="s">
        <v>321</v>
      </c>
      <c r="G28" s="54"/>
      <c r="H28" s="54"/>
      <c r="I28" s="54">
        <f t="shared" si="1"/>
        <v>0</v>
      </c>
      <c r="J28" s="54"/>
      <c r="K28" s="54"/>
      <c r="L28" s="54">
        <f t="shared" si="2"/>
        <v>0</v>
      </c>
    </row>
    <row r="29" spans="2:12" x14ac:dyDescent="0.25">
      <c r="B29" s="54" t="s">
        <v>323</v>
      </c>
      <c r="C29" s="54"/>
      <c r="D29" s="54"/>
      <c r="E29" s="54">
        <f t="shared" si="0"/>
        <v>0</v>
      </c>
      <c r="F29" s="54" t="s">
        <v>321</v>
      </c>
      <c r="G29" s="54"/>
      <c r="H29" s="54"/>
      <c r="I29" s="54">
        <f t="shared" si="1"/>
        <v>0</v>
      </c>
      <c r="J29" s="54"/>
      <c r="K29" s="54"/>
      <c r="L29" s="54">
        <f t="shared" si="2"/>
        <v>0</v>
      </c>
    </row>
    <row r="30" spans="2:12" x14ac:dyDescent="0.25">
      <c r="B30" s="54" t="s">
        <v>327</v>
      </c>
      <c r="C30" s="54"/>
      <c r="D30" s="54"/>
      <c r="E30" s="54">
        <f t="shared" si="0"/>
        <v>0</v>
      </c>
      <c r="F30" s="54"/>
      <c r="G30" s="54"/>
      <c r="H30" s="54"/>
      <c r="I30" s="54">
        <f t="shared" si="1"/>
        <v>0</v>
      </c>
      <c r="J30" s="54"/>
      <c r="K30" s="54"/>
      <c r="L30" s="54">
        <f t="shared" si="2"/>
        <v>0</v>
      </c>
    </row>
    <row r="31" spans="2:12" x14ac:dyDescent="0.25">
      <c r="B31" s="54"/>
      <c r="C31" s="54"/>
      <c r="D31" s="54"/>
      <c r="E31" s="54">
        <f t="shared" ref="E31:E32" si="6">C31*D31</f>
        <v>0</v>
      </c>
      <c r="F31" s="54"/>
      <c r="G31" s="54"/>
      <c r="H31" s="54"/>
      <c r="I31" s="54">
        <f t="shared" ref="I31:I32" si="7">G31*H31</f>
        <v>0</v>
      </c>
      <c r="J31" s="54"/>
      <c r="K31" s="54"/>
      <c r="L31" s="54">
        <f t="shared" ref="L31:L32" si="8">J31*K31</f>
        <v>0</v>
      </c>
    </row>
    <row r="32" spans="2:12" x14ac:dyDescent="0.25">
      <c r="B32" s="54"/>
      <c r="C32" s="54"/>
      <c r="D32" s="54"/>
      <c r="E32" s="54">
        <f t="shared" si="6"/>
        <v>0</v>
      </c>
      <c r="F32" s="54"/>
      <c r="G32" s="54"/>
      <c r="H32" s="54"/>
      <c r="I32" s="54">
        <f t="shared" si="7"/>
        <v>0</v>
      </c>
      <c r="J32" s="54"/>
      <c r="K32" s="54"/>
      <c r="L32" s="54">
        <f t="shared" si="8"/>
        <v>0</v>
      </c>
    </row>
    <row r="33" spans="2:12" x14ac:dyDescent="0.25">
      <c r="B33" s="54" t="s">
        <v>324</v>
      </c>
      <c r="C33" s="54"/>
      <c r="D33" s="54"/>
      <c r="E33" s="54">
        <f t="shared" si="0"/>
        <v>0</v>
      </c>
      <c r="F33" s="54"/>
      <c r="G33" s="54"/>
      <c r="H33" s="54"/>
      <c r="I33" s="54">
        <f t="shared" si="1"/>
        <v>0</v>
      </c>
      <c r="J33" s="54"/>
      <c r="K33" s="54"/>
      <c r="L33" s="54">
        <f t="shared" si="2"/>
        <v>0</v>
      </c>
    </row>
    <row r="34" spans="2:12" x14ac:dyDescent="0.25">
      <c r="B34" s="54" t="s">
        <v>328</v>
      </c>
      <c r="C34" s="54"/>
      <c r="D34" s="54"/>
      <c r="E34" s="54">
        <f t="shared" si="0"/>
        <v>0</v>
      </c>
      <c r="F34" s="54"/>
      <c r="G34" s="54"/>
      <c r="H34" s="54"/>
      <c r="I34" s="54">
        <f t="shared" si="1"/>
        <v>0</v>
      </c>
      <c r="J34" s="54"/>
      <c r="K34" s="54"/>
      <c r="L34" s="54">
        <f t="shared" si="2"/>
        <v>0</v>
      </c>
    </row>
    <row r="35" spans="2:12" x14ac:dyDescent="0.25">
      <c r="B35" s="54" t="s">
        <v>325</v>
      </c>
      <c r="C35" s="54"/>
      <c r="D35" s="54"/>
      <c r="E35" s="54">
        <f t="shared" si="0"/>
        <v>0</v>
      </c>
      <c r="F35" s="54"/>
      <c r="G35" s="54"/>
      <c r="H35" s="54"/>
      <c r="I35" s="54">
        <f t="shared" si="1"/>
        <v>0</v>
      </c>
      <c r="J35" s="54"/>
      <c r="K35" s="54"/>
      <c r="L35" s="54">
        <f t="shared" si="2"/>
        <v>0</v>
      </c>
    </row>
    <row r="36" spans="2:12" x14ac:dyDescent="0.25">
      <c r="B36" s="54" t="s">
        <v>326</v>
      </c>
      <c r="C36" s="54"/>
      <c r="D36" s="54"/>
      <c r="E36" s="54">
        <f t="shared" si="0"/>
        <v>0</v>
      </c>
      <c r="F36" s="54"/>
      <c r="G36" s="54"/>
      <c r="H36" s="54"/>
      <c r="I36" s="54">
        <f>G36*H36</f>
        <v>0</v>
      </c>
      <c r="J36" s="54"/>
      <c r="K36" s="54"/>
      <c r="L36" s="54">
        <f>J36*K36</f>
        <v>0</v>
      </c>
    </row>
    <row r="37" spans="2:12" x14ac:dyDescent="0.25">
      <c r="B37" s="54"/>
      <c r="C37" s="54"/>
      <c r="D37" s="54"/>
      <c r="E37" s="54">
        <f t="shared" ref="E37:E38" si="9">C37*D37</f>
        <v>0</v>
      </c>
      <c r="F37" s="54"/>
      <c r="G37" s="54"/>
      <c r="H37" s="54"/>
      <c r="I37" s="54">
        <f t="shared" ref="I37:I38" si="10">G37*H37</f>
        <v>0</v>
      </c>
      <c r="J37" s="54"/>
      <c r="K37" s="54"/>
      <c r="L37" s="54">
        <f t="shared" ref="L37:L38" si="11">J37*K37</f>
        <v>0</v>
      </c>
    </row>
    <row r="38" spans="2:12" x14ac:dyDescent="0.25">
      <c r="B38" s="54" t="s">
        <v>329</v>
      </c>
      <c r="C38" s="54"/>
      <c r="D38" s="54"/>
      <c r="E38" s="54">
        <f t="shared" si="9"/>
        <v>0</v>
      </c>
      <c r="F38" s="54"/>
      <c r="G38" s="54"/>
      <c r="H38" s="54"/>
      <c r="I38" s="54">
        <f t="shared" si="10"/>
        <v>0</v>
      </c>
      <c r="J38" s="54"/>
      <c r="K38" s="54"/>
      <c r="L38" s="54">
        <f t="shared" si="11"/>
        <v>0</v>
      </c>
    </row>
    <row r="39" spans="2:12" x14ac:dyDescent="0.25">
      <c r="B39" s="54"/>
      <c r="C39" s="54"/>
      <c r="D39" s="54"/>
      <c r="E39" s="54">
        <f t="shared" si="0"/>
        <v>0</v>
      </c>
      <c r="F39" s="54"/>
      <c r="G39" s="54"/>
      <c r="H39" s="54"/>
      <c r="I39" s="54">
        <f>G39*H39</f>
        <v>0</v>
      </c>
      <c r="J39" s="54"/>
      <c r="K39" s="54"/>
      <c r="L39" s="54">
        <f>J39*K39</f>
        <v>0</v>
      </c>
    </row>
    <row r="40" spans="2:12" x14ac:dyDescent="0.25">
      <c r="B40" s="54"/>
      <c r="C40" s="54"/>
      <c r="D40" s="54"/>
      <c r="E40" s="54">
        <f t="shared" si="0"/>
        <v>0</v>
      </c>
      <c r="F40" s="54"/>
      <c r="G40" s="54"/>
      <c r="H40" s="54"/>
      <c r="I40" s="54">
        <f>G40*H40</f>
        <v>0</v>
      </c>
      <c r="J40" s="54"/>
      <c r="K40" s="54"/>
      <c r="L40" s="54">
        <f>J40*K40</f>
        <v>0</v>
      </c>
    </row>
    <row r="41" spans="2:12" x14ac:dyDescent="0.25">
      <c r="B41" s="54"/>
      <c r="C41" s="54"/>
      <c r="D41" s="54"/>
      <c r="E41" s="54">
        <f t="shared" si="0"/>
        <v>0</v>
      </c>
      <c r="F41" s="54"/>
      <c r="G41" s="54"/>
      <c r="H41" s="54"/>
      <c r="I41" s="54">
        <f>G41*H41</f>
        <v>0</v>
      </c>
      <c r="J41" s="54"/>
      <c r="K41" s="54"/>
      <c r="L41" s="54">
        <f>J41*K41</f>
        <v>0</v>
      </c>
    </row>
    <row r="42" spans="2:12" x14ac:dyDescent="0.25">
      <c r="B42" s="54" t="s">
        <v>150</v>
      </c>
      <c r="C42" s="54"/>
      <c r="D42" s="54">
        <f>E42*10.764</f>
        <v>0</v>
      </c>
      <c r="E42" s="70">
        <f>SUM(E6:E41)</f>
        <v>0</v>
      </c>
      <c r="F42" s="54"/>
      <c r="G42" s="54"/>
      <c r="H42" s="54">
        <f>I42*10.764</f>
        <v>0</v>
      </c>
      <c r="I42" s="69">
        <f>SUM(I6:I41)</f>
        <v>0</v>
      </c>
      <c r="J42" s="54"/>
      <c r="K42" s="54">
        <f>L42*10.764</f>
        <v>0</v>
      </c>
      <c r="L42" s="68">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2025-09-17T09:24:26Z</cp:lastPrinted>
  <dcterms:created xsi:type="dcterms:W3CDTF">2019-07-16T09:29:46Z</dcterms:created>
  <dcterms:modified xsi:type="dcterms:W3CDTF">2025-09-17T09:34:26Z</dcterms:modified>
</cp:coreProperties>
</file>