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I107" i="1"/>
  <c r="C73" i="1"/>
  <c r="A421" i="1" l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3" i="1" s="1"/>
  <c r="I395" i="1" l="1"/>
  <c r="J395" i="1" s="1"/>
  <c r="D405" i="1"/>
  <c r="F405" i="1" s="1"/>
  <c r="D404" i="1"/>
  <c r="F404" i="1" s="1"/>
  <c r="D403" i="1"/>
  <c r="F403" i="1" s="1"/>
  <c r="D402" i="1"/>
  <c r="F402" i="1" s="1"/>
  <c r="D401" i="1"/>
  <c r="F401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G394" i="1"/>
  <c r="D394" i="1"/>
  <c r="F394" i="1" s="1"/>
  <c r="D347" i="1" l="1"/>
  <c r="D346" i="1"/>
  <c r="D345" i="1"/>
  <c r="D344" i="1"/>
  <c r="D343" i="1"/>
  <c r="D342" i="1"/>
  <c r="D341" i="1"/>
  <c r="D340" i="1"/>
  <c r="D339" i="1"/>
  <c r="D392" i="1"/>
  <c r="F392" i="1" s="1"/>
  <c r="D391" i="1"/>
  <c r="F391" i="1" s="1"/>
  <c r="D390" i="1"/>
  <c r="F390" i="1" s="1"/>
  <c r="D389" i="1"/>
  <c r="F389" i="1" s="1"/>
  <c r="D388" i="1"/>
  <c r="D387" i="1"/>
  <c r="F387" i="1" s="1"/>
  <c r="D386" i="1"/>
  <c r="F386" i="1" s="1"/>
  <c r="D385" i="1"/>
  <c r="D384" i="1"/>
  <c r="F384" i="1" s="1"/>
  <c r="D383" i="1"/>
  <c r="F383" i="1" s="1"/>
  <c r="D382" i="1"/>
  <c r="F382" i="1" s="1"/>
  <c r="D381" i="1"/>
  <c r="F381" i="1" s="1"/>
  <c r="D415" i="1"/>
  <c r="F415" i="1" s="1"/>
  <c r="D414" i="1"/>
  <c r="F414" i="1" s="1"/>
  <c r="D413" i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D407" i="1"/>
  <c r="F407" i="1" s="1"/>
  <c r="I414" i="1"/>
  <c r="G407" i="1"/>
  <c r="F388" i="1"/>
  <c r="F385" i="1"/>
  <c r="G381" i="1"/>
  <c r="I300" i="1"/>
  <c r="I298" i="1"/>
  <c r="D319" i="1"/>
  <c r="F319" i="1" s="1"/>
  <c r="D318" i="1"/>
  <c r="F318" i="1" s="1"/>
  <c r="D317" i="1"/>
  <c r="F317" i="1" s="1"/>
  <c r="D316" i="1"/>
  <c r="F316" i="1" s="1"/>
  <c r="D315" i="1"/>
  <c r="D314" i="1"/>
  <c r="F314" i="1" s="1"/>
  <c r="D313" i="1"/>
  <c r="F313" i="1" s="1"/>
  <c r="D312" i="1"/>
  <c r="F312" i="1" s="1"/>
  <c r="D311" i="1"/>
  <c r="F311" i="1" s="1"/>
  <c r="D303" i="1"/>
  <c r="F303" i="1" s="1"/>
  <c r="D302" i="1"/>
  <c r="F302" i="1" s="1"/>
  <c r="D301" i="1"/>
  <c r="D300" i="1"/>
  <c r="F300" i="1" s="1"/>
  <c r="D299" i="1"/>
  <c r="F299" i="1" s="1"/>
  <c r="D298" i="1"/>
  <c r="F298" i="1" s="1"/>
  <c r="I297" i="1"/>
  <c r="F315" i="1"/>
  <c r="G311" i="1"/>
  <c r="D309" i="1"/>
  <c r="F309" i="1" s="1"/>
  <c r="D308" i="1"/>
  <c r="F308" i="1" s="1"/>
  <c r="D307" i="1"/>
  <c r="F307" i="1" s="1"/>
  <c r="D306" i="1"/>
  <c r="F306" i="1" s="1"/>
  <c r="D304" i="1"/>
  <c r="F304" i="1" s="1"/>
  <c r="D305" i="1"/>
  <c r="F305" i="1" s="1"/>
  <c r="D293" i="1"/>
  <c r="D292" i="1"/>
  <c r="D291" i="1"/>
  <c r="D290" i="1"/>
  <c r="D289" i="1"/>
  <c r="D288" i="1"/>
  <c r="D287" i="1"/>
  <c r="D286" i="1"/>
  <c r="D285" i="1"/>
  <c r="F301" i="1"/>
  <c r="G298" i="1"/>
  <c r="I271" i="1"/>
  <c r="D276" i="1"/>
  <c r="E223" i="1"/>
  <c r="D216" i="1"/>
  <c r="F216" i="1" s="1"/>
  <c r="D215" i="1"/>
  <c r="F215" i="1" s="1"/>
  <c r="D206" i="1"/>
  <c r="D205" i="1"/>
  <c r="F205" i="1" s="1"/>
  <c r="E153" i="1"/>
  <c r="D147" i="1"/>
  <c r="D146" i="1"/>
  <c r="D145" i="1"/>
  <c r="F145" i="1" s="1"/>
  <c r="D144" i="1"/>
  <c r="F144" i="1" s="1"/>
  <c r="D136" i="1"/>
  <c r="F136" i="1" s="1"/>
  <c r="D135" i="1"/>
  <c r="C88" i="1" l="1"/>
  <c r="C74" i="1"/>
  <c r="C90" i="1" l="1"/>
  <c r="C89" i="1"/>
  <c r="C76" i="1"/>
  <c r="C75" i="1"/>
  <c r="D199" i="1"/>
  <c r="F199" i="1" s="1"/>
  <c r="D198" i="1"/>
  <c r="D200" i="1"/>
  <c r="F200" i="1" s="1"/>
  <c r="A199" i="1"/>
  <c r="A200" i="1" s="1"/>
  <c r="G198" i="1"/>
  <c r="E29" i="1"/>
  <c r="I346" i="1"/>
  <c r="D330" i="1"/>
  <c r="F330" i="1" s="1"/>
  <c r="I327" i="1"/>
  <c r="D337" i="1"/>
  <c r="F337" i="1" s="1"/>
  <c r="D336" i="1"/>
  <c r="F336" i="1" s="1"/>
  <c r="D335" i="1"/>
  <c r="F335" i="1" s="1"/>
  <c r="D334" i="1"/>
  <c r="F334" i="1" s="1"/>
  <c r="D333" i="1"/>
  <c r="F333" i="1" s="1"/>
  <c r="D332" i="1"/>
  <c r="F332" i="1" s="1"/>
  <c r="D331" i="1"/>
  <c r="F331" i="1" s="1"/>
  <c r="I329" i="1"/>
  <c r="D329" i="1"/>
  <c r="F329" i="1" s="1"/>
  <c r="D328" i="1"/>
  <c r="F328" i="1" s="1"/>
  <c r="D327" i="1"/>
  <c r="F327" i="1" s="1"/>
  <c r="G326" i="1"/>
  <c r="D326" i="1"/>
  <c r="I290" i="1"/>
  <c r="I289" i="1"/>
  <c r="I275" i="1"/>
  <c r="I272" i="1"/>
  <c r="D283" i="1"/>
  <c r="D282" i="1"/>
  <c r="D281" i="1"/>
  <c r="D280" i="1"/>
  <c r="D279" i="1"/>
  <c r="D278" i="1"/>
  <c r="D277" i="1"/>
  <c r="D275" i="1"/>
  <c r="D274" i="1"/>
  <c r="D273" i="1"/>
  <c r="D272" i="1"/>
  <c r="D207" i="1"/>
  <c r="F207" i="1" s="1"/>
  <c r="D209" i="1"/>
  <c r="F209" i="1" s="1"/>
  <c r="F206" i="1"/>
  <c r="D204" i="1"/>
  <c r="F204" i="1" s="1"/>
  <c r="D203" i="1"/>
  <c r="F203" i="1" s="1"/>
  <c r="A203" i="1"/>
  <c r="G202" i="1"/>
  <c r="D202" i="1"/>
  <c r="F202" i="1" s="1"/>
  <c r="D221" i="1"/>
  <c r="F221" i="1" s="1"/>
  <c r="D220" i="1"/>
  <c r="F220" i="1" s="1"/>
  <c r="D219" i="1"/>
  <c r="F219" i="1" s="1"/>
  <c r="D218" i="1"/>
  <c r="F218" i="1" s="1"/>
  <c r="D217" i="1"/>
  <c r="F217" i="1" s="1"/>
  <c r="D214" i="1"/>
  <c r="F214" i="1" s="1"/>
  <c r="D213" i="1"/>
  <c r="F213" i="1" s="1"/>
  <c r="A212" i="1"/>
  <c r="A213" i="1" s="1"/>
  <c r="A217" i="1" s="1"/>
  <c r="G211" i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A224" i="1"/>
  <c r="A225" i="1" s="1"/>
  <c r="A226" i="1" s="1"/>
  <c r="A227" i="1" s="1"/>
  <c r="A228" i="1" s="1"/>
  <c r="A229" i="1" s="1"/>
  <c r="A230" i="1" s="1"/>
  <c r="A231" i="1" s="1"/>
  <c r="A232" i="1" s="1"/>
  <c r="G223" i="1"/>
  <c r="D223" i="1"/>
  <c r="F223" i="1" s="1"/>
  <c r="D242" i="1"/>
  <c r="D243" i="1"/>
  <c r="D241" i="1"/>
  <c r="D240" i="1"/>
  <c r="D239" i="1"/>
  <c r="D238" i="1"/>
  <c r="D237" i="1"/>
  <c r="D236" i="1"/>
  <c r="D235" i="1"/>
  <c r="D234" i="1"/>
  <c r="D245" i="1"/>
  <c r="D246" i="1"/>
  <c r="D247" i="1"/>
  <c r="D248" i="1"/>
  <c r="D249" i="1"/>
  <c r="D250" i="1"/>
  <c r="D251" i="1"/>
  <c r="F251" i="1" s="1"/>
  <c r="D265" i="1"/>
  <c r="D262" i="1"/>
  <c r="D263" i="1"/>
  <c r="D264" i="1"/>
  <c r="D261" i="1"/>
  <c r="D260" i="1"/>
  <c r="D259" i="1"/>
  <c r="D258" i="1"/>
  <c r="D257" i="1"/>
  <c r="D256" i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A187" i="1"/>
  <c r="A188" i="1" s="1"/>
  <c r="A189" i="1" s="1"/>
  <c r="A190" i="1" s="1"/>
  <c r="A191" i="1" s="1"/>
  <c r="A192" i="1" s="1"/>
  <c r="A193" i="1" s="1"/>
  <c r="A194" i="1" s="1"/>
  <c r="A195" i="1" s="1"/>
  <c r="G186" i="1"/>
  <c r="D186" i="1"/>
  <c r="F186" i="1" s="1"/>
  <c r="D181" i="1"/>
  <c r="F181" i="1" s="1"/>
  <c r="G175" i="1"/>
  <c r="D180" i="1"/>
  <c r="F180" i="1" s="1"/>
  <c r="D179" i="1"/>
  <c r="F179" i="1" s="1"/>
  <c r="D178" i="1"/>
  <c r="F178" i="1" s="1"/>
  <c r="D177" i="1"/>
  <c r="F177" i="1" s="1"/>
  <c r="D176" i="1"/>
  <c r="F176" i="1" s="1"/>
  <c r="A176" i="1"/>
  <c r="A177" i="1" s="1"/>
  <c r="A178" i="1" s="1"/>
  <c r="A179" i="1" s="1"/>
  <c r="A180" i="1" s="1"/>
  <c r="A181" i="1" s="1"/>
  <c r="A182" i="1" s="1"/>
  <c r="A183" i="1" s="1"/>
  <c r="A184" i="1" s="1"/>
  <c r="D175" i="1"/>
  <c r="D173" i="1"/>
  <c r="F173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A165" i="1"/>
  <c r="A166" i="1" s="1"/>
  <c r="A167" i="1" s="1"/>
  <c r="A168" i="1" s="1"/>
  <c r="A169" i="1" s="1"/>
  <c r="A170" i="1" s="1"/>
  <c r="A171" i="1" s="1"/>
  <c r="A172" i="1" s="1"/>
  <c r="A173" i="1" s="1"/>
  <c r="G164" i="1"/>
  <c r="D164" i="1"/>
  <c r="F164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A154" i="1"/>
  <c r="A155" i="1" s="1"/>
  <c r="A156" i="1" s="1"/>
  <c r="A157" i="1" s="1"/>
  <c r="A158" i="1" s="1"/>
  <c r="A159" i="1" s="1"/>
  <c r="A160" i="1" s="1"/>
  <c r="A161" i="1" s="1"/>
  <c r="A162" i="1" s="1"/>
  <c r="G153" i="1"/>
  <c r="D148" i="1"/>
  <c r="D149" i="1"/>
  <c r="D151" i="1"/>
  <c r="D150" i="1"/>
  <c r="D143" i="1"/>
  <c r="G141" i="1"/>
  <c r="C118" i="1" l="1"/>
  <c r="F198" i="1"/>
  <c r="C113" i="1"/>
  <c r="E113" i="1"/>
  <c r="F326" i="1"/>
  <c r="E118" i="1"/>
  <c r="E117" i="1"/>
  <c r="F175" i="1"/>
  <c r="C117" i="1"/>
  <c r="A218" i="1"/>
  <c r="A219" i="1" s="1"/>
  <c r="A220" i="1" s="1"/>
  <c r="A221" i="1" s="1"/>
  <c r="A204" i="1"/>
  <c r="F151" i="1"/>
  <c r="F150" i="1"/>
  <c r="F149" i="1"/>
  <c r="F148" i="1"/>
  <c r="F147" i="1"/>
  <c r="F146" i="1"/>
  <c r="F143" i="1"/>
  <c r="A142" i="1"/>
  <c r="G132" i="1"/>
  <c r="G128" i="1"/>
  <c r="D139" i="1"/>
  <c r="F139" i="1" s="1"/>
  <c r="D137" i="1"/>
  <c r="F137" i="1" s="1"/>
  <c r="D134" i="1"/>
  <c r="F134" i="1" s="1"/>
  <c r="D133" i="1"/>
  <c r="F133" i="1" s="1"/>
  <c r="D132" i="1"/>
  <c r="F132" i="1" s="1"/>
  <c r="F135" i="1"/>
  <c r="A133" i="1"/>
  <c r="A134" i="1" s="1"/>
  <c r="D130" i="1"/>
  <c r="F130" i="1" s="1"/>
  <c r="D129" i="1"/>
  <c r="F129" i="1" s="1"/>
  <c r="D128" i="1"/>
  <c r="A129" i="1"/>
  <c r="A130" i="1" s="1"/>
  <c r="C112" i="1" l="1"/>
  <c r="E112" i="1"/>
  <c r="A207" i="1"/>
  <c r="A209" i="1" s="1"/>
  <c r="A143" i="1"/>
  <c r="A137" i="1"/>
  <c r="F128" i="1"/>
  <c r="G112" i="1" s="1"/>
  <c r="J8" i="5"/>
  <c r="L5" i="5"/>
  <c r="F347" i="1"/>
  <c r="F346" i="1"/>
  <c r="F345" i="1"/>
  <c r="F344" i="1"/>
  <c r="F343" i="1"/>
  <c r="F342" i="1"/>
  <c r="F341" i="1"/>
  <c r="F340" i="1"/>
  <c r="G339" i="1"/>
  <c r="F293" i="1"/>
  <c r="F292" i="1"/>
  <c r="F291" i="1"/>
  <c r="F290" i="1"/>
  <c r="F289" i="1"/>
  <c r="F288" i="1"/>
  <c r="F287" i="1"/>
  <c r="F286" i="1"/>
  <c r="G285" i="1"/>
  <c r="F285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G272" i="1"/>
  <c r="F265" i="1"/>
  <c r="F264" i="1"/>
  <c r="F263" i="1"/>
  <c r="F262" i="1"/>
  <c r="F261" i="1"/>
  <c r="F260" i="1"/>
  <c r="F259" i="1"/>
  <c r="F258" i="1"/>
  <c r="F257" i="1"/>
  <c r="A257" i="1"/>
  <c r="A258" i="1" s="1"/>
  <c r="A259" i="1" s="1"/>
  <c r="A260" i="1" s="1"/>
  <c r="A261" i="1" s="1"/>
  <c r="A262" i="1" s="1"/>
  <c r="A263" i="1" s="1"/>
  <c r="A264" i="1" s="1"/>
  <c r="A265" i="1" s="1"/>
  <c r="G256" i="1"/>
  <c r="F256" i="1"/>
  <c r="G117" i="1" l="1"/>
  <c r="A147" i="1"/>
  <c r="A148" i="1" s="1"/>
  <c r="A149" i="1" s="1"/>
  <c r="A150" i="1" s="1"/>
  <c r="A151" i="1" s="1"/>
  <c r="A139" i="1"/>
  <c r="F339" i="1"/>
  <c r="G118" i="1" s="1"/>
  <c r="C119" i="1"/>
  <c r="F250" i="1"/>
  <c r="F249" i="1"/>
  <c r="F248" i="1"/>
  <c r="F247" i="1"/>
  <c r="F246" i="1"/>
  <c r="F245" i="1"/>
  <c r="F243" i="1"/>
  <c r="F242" i="1"/>
  <c r="F241" i="1"/>
  <c r="F240" i="1"/>
  <c r="F239" i="1"/>
  <c r="F237" i="1"/>
  <c r="F236" i="1"/>
  <c r="F235" i="1"/>
  <c r="A235" i="1"/>
  <c r="A236" i="1" s="1"/>
  <c r="A237" i="1" s="1"/>
  <c r="A238" i="1" s="1"/>
  <c r="A239" i="1" s="1"/>
  <c r="A240" i="1" s="1"/>
  <c r="A241" i="1" s="1"/>
  <c r="A242" i="1" s="1"/>
  <c r="A243" i="1" s="1"/>
  <c r="G234" i="1"/>
  <c r="F234" i="1"/>
  <c r="A246" i="1"/>
  <c r="A247" i="1" s="1"/>
  <c r="A248" i="1" s="1"/>
  <c r="A249" i="1" s="1"/>
  <c r="A250" i="1" s="1"/>
  <c r="A251" i="1" s="1"/>
  <c r="A252" i="1" s="1"/>
  <c r="A253" i="1" s="1"/>
  <c r="A254" i="1" s="1"/>
  <c r="G245" i="1"/>
  <c r="C49" i="1"/>
  <c r="G119" i="1" l="1"/>
  <c r="E119" i="1"/>
  <c r="F238" i="1"/>
  <c r="G113" i="1" s="1"/>
  <c r="G114" i="1" l="1"/>
  <c r="J114" i="1" s="1"/>
  <c r="C114" i="1"/>
  <c r="E114" i="1"/>
  <c r="F353" i="1"/>
  <c r="F354" i="1"/>
  <c r="F355" i="1"/>
  <c r="F352" i="1"/>
  <c r="A353" i="1"/>
  <c r="A354" i="1" s="1"/>
  <c r="A355" i="1" s="1"/>
  <c r="G352" i="1"/>
  <c r="G353" i="1" s="1"/>
  <c r="G354" i="1" s="1"/>
  <c r="G355" i="1" s="1"/>
  <c r="F109" i="1" l="1"/>
  <c r="B421" i="1" l="1"/>
  <c r="A363" i="1"/>
  <c r="A375" i="1"/>
  <c r="A369" i="1"/>
  <c r="F379" i="1" l="1"/>
  <c r="F378" i="1"/>
  <c r="F377" i="1"/>
  <c r="F376" i="1"/>
  <c r="F375" i="1"/>
  <c r="F373" i="1"/>
  <c r="F372" i="1"/>
  <c r="F371" i="1"/>
  <c r="F370" i="1"/>
  <c r="F369" i="1"/>
  <c r="F367" i="1"/>
  <c r="F366" i="1"/>
  <c r="F365" i="1"/>
  <c r="F364" i="1"/>
  <c r="F363" i="1"/>
  <c r="F361" i="1"/>
  <c r="F360" i="1"/>
  <c r="F358" i="1"/>
  <c r="F357" i="1"/>
  <c r="F359" i="1"/>
  <c r="A370" i="1"/>
  <c r="A376" i="1"/>
  <c r="A364" i="1"/>
  <c r="B422" i="1" l="1"/>
  <c r="A365" i="1"/>
  <c r="A377" i="1"/>
  <c r="A37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45" i="1"/>
  <c r="G375" i="1"/>
  <c r="G376" i="1" s="1"/>
  <c r="G377" i="1" s="1"/>
  <c r="G378" i="1" s="1"/>
  <c r="G379" i="1" s="1"/>
  <c r="G369" i="1"/>
  <c r="G370" i="1" s="1"/>
  <c r="G371" i="1" s="1"/>
  <c r="G372" i="1" s="1"/>
  <c r="G373" i="1" s="1"/>
  <c r="G363" i="1"/>
  <c r="G364" i="1" s="1"/>
  <c r="G365" i="1" s="1"/>
  <c r="G366" i="1" s="1"/>
  <c r="G367" i="1" s="1"/>
  <c r="G357" i="1"/>
  <c r="G358" i="1" s="1"/>
  <c r="G359" i="1" s="1"/>
  <c r="G360" i="1" s="1"/>
  <c r="G361" i="1" s="1"/>
  <c r="A357" i="1"/>
  <c r="A358" i="1" s="1"/>
  <c r="A359" i="1" s="1"/>
  <c r="A360" i="1" s="1"/>
  <c r="A361" i="1" s="1"/>
  <c r="J92" i="1"/>
  <c r="J91" i="1"/>
  <c r="J90" i="1"/>
  <c r="C81" i="1"/>
  <c r="J78" i="1"/>
  <c r="J77" i="1"/>
  <c r="J76" i="1"/>
  <c r="C67" i="1"/>
  <c r="D55" i="1"/>
  <c r="G49" i="1"/>
  <c r="E42" i="1"/>
  <c r="E43" i="1" s="1"/>
  <c r="E26" i="1"/>
  <c r="E24" i="1"/>
  <c r="E7" i="1"/>
  <c r="E3" i="1"/>
  <c r="H68" i="1"/>
  <c r="A366" i="1"/>
  <c r="A372" i="1"/>
  <c r="A378" i="1"/>
  <c r="H82" i="1"/>
  <c r="D61" i="1" l="1"/>
  <c r="D92" i="1"/>
  <c r="D93" i="1"/>
  <c r="D94" i="1"/>
  <c r="D88" i="1"/>
  <c r="D89" i="1"/>
  <c r="D90" i="1"/>
  <c r="D91" i="1"/>
  <c r="J81" i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7" i="1"/>
  <c r="J85" i="1"/>
  <c r="J86" i="1"/>
  <c r="C85" i="1" s="1"/>
  <c r="J84" i="1"/>
  <c r="A373" i="1"/>
  <c r="A379" i="1"/>
  <c r="A367" i="1"/>
  <c r="J75" i="1" l="1"/>
  <c r="J88" i="1"/>
  <c r="D87" i="1"/>
  <c r="J83" i="1"/>
  <c r="D73" i="1"/>
  <c r="J69" i="1"/>
  <c r="D71" i="1"/>
  <c r="D85" i="1"/>
  <c r="J80" i="1" l="1"/>
  <c r="C72" i="1" s="1"/>
  <c r="G71" i="1" s="1"/>
  <c r="D65" i="1" s="1"/>
  <c r="F66" i="1" s="1"/>
  <c r="J93" i="1"/>
  <c r="J89" i="1"/>
  <c r="E71" i="1" l="1"/>
  <c r="D66" i="1"/>
  <c r="D72" i="1"/>
  <c r="I68" i="1" s="1"/>
  <c r="I69" i="1" s="1"/>
  <c r="J68" i="1"/>
  <c r="J94" i="1"/>
  <c r="C86" i="1" s="1"/>
  <c r="G85" i="1" s="1"/>
  <c r="I67" i="1" l="1"/>
  <c r="C69" i="1" s="1"/>
  <c r="J82" i="1"/>
  <c r="D86" i="1"/>
  <c r="I82" i="1" s="1"/>
  <c r="I83" i="1" s="1"/>
  <c r="E85" i="1"/>
  <c r="I81" i="1" l="1"/>
  <c r="C83" i="1" s="1"/>
</calcChain>
</file>

<file path=xl/sharedStrings.xml><?xml version="1.0" encoding="utf-8"?>
<sst xmlns="http://schemas.openxmlformats.org/spreadsheetml/2006/main" count="478" uniqueCount="274">
  <si>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</si>
  <si>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</si>
  <si>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</si>
  <si>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</si>
  <si>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</si>
  <si>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</si>
  <si>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</si>
  <si>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</si>
  <si>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</si>
  <si>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</si>
  <si>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</si>
  <si>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</si>
  <si>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</si>
  <si>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</si>
  <si>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</si>
  <si>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</si>
  <si>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</si>
  <si>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</si>
  <si>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</si>
  <si>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</si>
  <si>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</si>
  <si>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</si>
  <si>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</si>
  <si>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</si>
  <si>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</si>
  <si>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</si>
  <si>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</si>
  <si>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</si>
  <si>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</si>
  <si>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</si>
  <si>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</si>
  <si>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</si>
  <si>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</si>
  <si>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</si>
  <si>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</si>
  <si>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</si>
  <si>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</si>
  <si>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</si>
  <si>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</si>
  <si>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</si>
  <si>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</si>
  <si>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</si>
  <si>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</si>
  <si>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</si>
  <si>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</si>
  <si>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</si>
  <si>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</si>
  <si>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</si>
  <si>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</si>
  <si>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</si>
  <si>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</si>
  <si>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</si>
  <si>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</si>
  <si>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</si>
  <si>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</si>
  <si>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</si>
  <si>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</si>
  <si>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</si>
  <si>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</si>
  <si>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</si>
  <si>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</si>
  <si>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</si>
  <si>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</si>
  <si>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</si>
  <si>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</si>
  <si>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</si>
  <si>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</si>
  <si>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</si>
  <si>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</si>
  <si>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</si>
  <si>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</si>
  <si>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</si>
  <si>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</si>
  <si>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</si>
  <si>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</si>
  <si>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</si>
  <si>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</si>
  <si>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</si>
  <si>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</si>
  <si>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</si>
  <si>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</si>
  <si>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</si>
  <si>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</si>
  <si>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</si>
  <si>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</si>
  <si>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</si>
  <si>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</si>
  <si>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</si>
  <si>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</si>
  <si>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</si>
  <si>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</si>
  <si>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</si>
  <si>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</si>
  <si>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</si>
  <si>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</si>
  <si>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</si>
  <si>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</si>
  <si>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</si>
  <si>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</si>
  <si>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</si>
  <si>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</si>
  <si>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</si>
  <si>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</si>
  <si>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</si>
  <si>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</si>
  <si>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</si>
  <si>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</si>
  <si>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</si>
  <si>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</si>
  <si>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</si>
  <si>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</si>
  <si>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</si>
  <si>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</si>
  <si>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</si>
  <si>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</si>
  <si>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</si>
  <si>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</si>
  <si>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</si>
  <si>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</si>
  <si>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</si>
  <si>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</si>
  <si>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</si>
  <si>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</si>
  <si>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</si>
  <si>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</si>
  <si>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</si>
  <si>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</si>
  <si>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</si>
  <si>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</si>
  <si>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</si>
  <si>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</si>
  <si>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</si>
  <si>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</si>
  <si>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</si>
  <si>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</si>
  <si>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</si>
  <si>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</si>
  <si>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</si>
  <si>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</si>
  <si>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</si>
  <si>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</si>
  <si>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</si>
  <si>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</si>
  <si>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</si>
  <si>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</si>
  <si>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</si>
  <si>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</si>
  <si>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</si>
  <si>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</si>
  <si>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</si>
  <si>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</si>
  <si>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</si>
  <si>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</si>
  <si>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</si>
  <si>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</si>
  <si>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</si>
  <si>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</si>
  <si>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</si>
  <si>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</si>
  <si>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</si>
  <si>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</si>
  <si>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</si>
  <si>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</si>
  <si>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</si>
  <si>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</si>
  <si>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</si>
  <si>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</si>
  <si>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</si>
  <si>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</si>
  <si>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</si>
  <si>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</si>
  <si>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</si>
  <si>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Magathane Depot</t>
  </si>
  <si>
    <t>Western Express Highway</t>
  </si>
  <si>
    <t>Devalapada</t>
  </si>
  <si>
    <t>https://goo.gl/maps/DmLj2EKWUzZJsW5t9</t>
  </si>
  <si>
    <t>Axis Goregaon</t>
  </si>
  <si>
    <t>Greenairy</t>
  </si>
  <si>
    <t>P51800035093</t>
  </si>
  <si>
    <t>Jai Maharashtra Nagar Road No.1</t>
  </si>
  <si>
    <t>CTS No</t>
  </si>
  <si>
    <t>182A(Pt), 182B(Pt) &amp; 191(Pt), 183(Pt) 181/A</t>
  </si>
  <si>
    <t>Magathane</t>
  </si>
  <si>
    <t>Borivali East</t>
  </si>
  <si>
    <t>Mumbai</t>
  </si>
  <si>
    <t>Borivali</t>
  </si>
  <si>
    <t>Ganesh Nagar</t>
  </si>
  <si>
    <t>3.1KM from Borivali Railway Station</t>
  </si>
  <si>
    <t xml:space="preserve">Magathane Bus Depot
</t>
  </si>
  <si>
    <t>Slum Rehabilitation Authority (SRA)</t>
  </si>
  <si>
    <t>R-C/MHADA/0005/20050623/AP/S</t>
  </si>
  <si>
    <t>As per RERA - 30/06/2028</t>
  </si>
  <si>
    <t>7th Floor (Part Refuge Area)</t>
  </si>
  <si>
    <t>Tower A</t>
  </si>
  <si>
    <t>Tower B</t>
  </si>
  <si>
    <t>11th Floor For Amenities</t>
  </si>
  <si>
    <t>G</t>
  </si>
  <si>
    <t>We considered Gross carpet area = Net carpet</t>
  </si>
  <si>
    <t>02 Tower</t>
  </si>
  <si>
    <t>Tower A &amp; B</t>
  </si>
  <si>
    <t>Sale Tower 
A</t>
  </si>
  <si>
    <t>Sale Tower 
B</t>
  </si>
  <si>
    <t>Sale Tower A</t>
  </si>
  <si>
    <t>Sale Tower B</t>
  </si>
  <si>
    <t>418 CA</t>
  </si>
  <si>
    <t>Proposed floors from rera</t>
  </si>
  <si>
    <t>Approved Plans, CC, Sale Plans, Cost Sheet</t>
  </si>
  <si>
    <t>Surya Builders and Developers</t>
  </si>
  <si>
    <t>Recommended rate of the Mart in Basement Per Sq. Ft.</t>
  </si>
  <si>
    <t>Recommended rate of the Retail of Ground Floor Per Sq. Ft.</t>
  </si>
  <si>
    <t>Recommended rate of the Retail &amp; Office above floor Per Sq. Ft.</t>
  </si>
  <si>
    <t>Corpus Charges</t>
  </si>
  <si>
    <t>Site Meet Contact Details ( Name &amp; Contact No.)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</si>
  <si>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E mail : vsjcapf@gmail.com. Web site : www.vsjadon.com</t>
  </si>
  <si>
    <t>Tower A &amp; B = Construction work is in process at the time of visit.</t>
  </si>
  <si>
    <t>Latitude, Longitude</t>
  </si>
  <si>
    <t>19.2190066,72.8665959</t>
  </si>
  <si>
    <t>1st &amp; 2nd Basement Floor For Parking &amp; Water Tank &amp; Flushing Tank</t>
  </si>
  <si>
    <t>1st Floor For Commercial &amp; Service Area</t>
  </si>
  <si>
    <t>-</t>
  </si>
  <si>
    <t>2nd Floor For Commercials &amp; Parking</t>
  </si>
  <si>
    <t>3rd Floor For Commercials &amp; Parking</t>
  </si>
  <si>
    <t>4th to 6th, 8th &amp; 9th Floor For Commercials &amp; Parking</t>
  </si>
  <si>
    <t>7th Floor For Commercials &amp; Parking (Part Refuge Area)</t>
  </si>
  <si>
    <t>Refuge Area</t>
  </si>
  <si>
    <t>10th Floor For Commercials &amp; Parking</t>
  </si>
  <si>
    <t>4th to 6th, 8th &amp; 9th Floor For Residential &amp; Parking</t>
  </si>
  <si>
    <t>10th Floor For Residential &amp; Parking</t>
  </si>
  <si>
    <t>12th, 13th, 15th to 20th, 22nd to 27th, 29th to 34th &amp; 36th Floor For Residential</t>
  </si>
  <si>
    <t>14th, 21st, 28th &amp; 35th Floor (Part Refuge Area)</t>
  </si>
  <si>
    <t>Mr. Dhawani - 8976967474</t>
  </si>
  <si>
    <t>DCPR 2034, for propoesd 1) Ganesh Nagar Magathane SRA CHS Ltd on plot bearing CTS No.182(Pt) &amp; 191(Pt), 2) Siddharth Welfare SRA CHS Ltd on plot bearing CTS No. 182A(Pt), 183(Pt) &amp; 191(Pt) of village magathane, Ganesh Nagar, Tata Power House at Borivali(East), Mumbai - 400066 and S.R.Scheme under 3) Reg.33(11) DCPR-2034 on plot bearing CTS No. 181/A of Jai Maharashtra Nagar Road No.1, Village-Magathane, Borivali(East) Mumbai- 400066</t>
  </si>
  <si>
    <t>Tower A + B</t>
  </si>
  <si>
    <t>Layout :</t>
  </si>
  <si>
    <t>61 M W Road</t>
  </si>
  <si>
    <t>18.30 M W Road</t>
  </si>
  <si>
    <t>Nala</t>
  </si>
  <si>
    <t>Other Plot</t>
  </si>
  <si>
    <t>Sale Tower A = 2B + G + 1st to 10th Floor (Comm.) + 11th Floor For Amenities + 12th to 55th Floor For Residential</t>
  </si>
  <si>
    <t>Sale Tower B = 2B + G + 1st to 10th Floor (Comm.) + 11th Floor For Amenities + 12th to 55th Floor For Residential</t>
  </si>
  <si>
    <t>Mr. Dhawani  8976967474
Mr. Hari  9136776847</t>
  </si>
  <si>
    <t>Rahul Salve</t>
  </si>
  <si>
    <t xml:space="preserve">RC/MHADA /0005/20050623/AP /5-1 </t>
  </si>
  <si>
    <t xml:space="preserve">This C.C. is further extended for Gr t0 14th upper Floors for brick work and 26th to 40th upper floors for R.C.C. frame work only lor Sale Bldg. Ne,1 Tower A &amp; B as per approved amended plans dtd, 07/03/2025.
Further this C,C. is lssued in the name of new Develeper M/s. Saroj Landmark Realty LLP Vide Hon'ble CEO(SRA) 's approval in Revised LOI dtd,08/11/2023, Revised LOI has been issued on 30/01/2024. </t>
  </si>
  <si>
    <t>We have changed the promoter name "Saroj Landmark Realty Llp" with reference to RERA Certificate &amp; CC, which is provided in the mail by bank officials.</t>
  </si>
  <si>
    <t>Saroj Landmark Realty LLP</t>
  </si>
  <si>
    <t>R-C/MHADA/0005/20050623/AP/S-1</t>
  </si>
  <si>
    <t>Ground Floor For Commercial, Meter Room, Service Room &amp; Double Heighted Entrance Lobby</t>
  </si>
  <si>
    <t>4B</t>
  </si>
  <si>
    <t>4A</t>
  </si>
  <si>
    <t>Double Heighte Entrance Lobby Below</t>
  </si>
  <si>
    <t>Parking</t>
  </si>
  <si>
    <t>4C</t>
  </si>
  <si>
    <t>37th to 41st &amp; 43rd to 46th Floor</t>
  </si>
  <si>
    <t>42nd Floor (Part Refuge Area)</t>
  </si>
  <si>
    <t>Unit</t>
  </si>
  <si>
    <t>We have updated revised Approved Plans &amp; C.C (on 19/03/2025).</t>
  </si>
  <si>
    <t>We have refered visit data dated 08/03/2025.</t>
  </si>
  <si>
    <t>High Tension Line Passing Near by the Greenairy Project. Please Provide Transmission Line Noc (Power Noc).</t>
  </si>
  <si>
    <t>Please check for Fire Noc &amp; Environmental Clearance Certificate.</t>
  </si>
  <si>
    <t>Sale Tower A = 2B + G  + 1st to 10th Floor (Comm.) + 11th Floor For Amenities + 12th to 46th Floor For Residential
Sale Tower B = 2B + G + 1st to 10th Floor (Comm.) + 11th Floor For Amenities + 12th to 46th Floor For Residential</t>
  </si>
  <si>
    <t xml:space="preserve">Flats - 810, Commercial Units - 192
</t>
  </si>
  <si>
    <t>18000 to 19000</t>
  </si>
  <si>
    <t xml:space="preserve">Trupti </t>
  </si>
  <si>
    <t xml:space="preserve">Staff case </t>
  </si>
  <si>
    <t>B3802</t>
  </si>
  <si>
    <t>Area Changes and park</t>
  </si>
  <si>
    <t>38th Floor</t>
  </si>
  <si>
    <t>37th, 39th to 41st &amp; 43rd to 46th Floor</t>
  </si>
  <si>
    <t>Sale area changes to 728 from 667 for staff case B3802 by Trupti 27/03/2025</t>
  </si>
  <si>
    <t>Pranita Mhatre</t>
  </si>
  <si>
    <t>Remark No.10 :</t>
  </si>
  <si>
    <t>80/- from 12th Floor</t>
  </si>
  <si>
    <t xml:space="preserve">Recommended Rates / Other charges of the Property have been revised on 27/03/2025 &amp; 10/09/2025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</si>
</sst>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  <numFmt numFmtId="169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64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8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Alignment="1" applyProtection="1">
      <protection locked="0"/>
    </xf>
    <xf numFmtId="0" fontId="7" fillId="0" borderId="0" xfId="1" applyFont="1" applyFill="1" applyAlignment="1" applyProtection="1"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Alignment="1">
      <alignment horizontal="center" vertical="center"/>
    </xf>
    <xf numFmtId="169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1" applyFont="1" applyFill="1"/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24" fillId="0" borderId="1" xfId="0" applyFont="1" applyFill="1" applyBorder="1"/>
    <xf numFmtId="0" fontId="14" fillId="0" borderId="0" xfId="0" applyFont="1" applyFill="1" applyBorder="1" applyProtection="1">
      <protection hidden="1"/>
    </xf>
    <xf numFmtId="0" fontId="14" fillId="0" borderId="11" xfId="0" applyFont="1" applyFill="1" applyBorder="1" applyProtection="1">
      <protection hidden="1"/>
    </xf>
    <xf numFmtId="1" fontId="15" fillId="2" borderId="25" xfId="1" applyNumberFormat="1" applyFont="1" applyFill="1" applyBorder="1" applyAlignment="1">
      <alignment horizontal="center" vertical="center"/>
    </xf>
    <xf numFmtId="1" fontId="15" fillId="2" borderId="0" xfId="1" applyNumberFormat="1" applyFont="1" applyFill="1" applyAlignment="1">
      <alignment horizontal="center" vertical="center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68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6" fillId="0" borderId="3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right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25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7" fillId="0" borderId="8" xfId="1" applyFont="1" applyFill="1" applyBorder="1" applyAlignment="1" applyProtection="1">
      <alignment horizontal="left"/>
      <protection locked="0"/>
    </xf>
    <xf numFmtId="0" fontId="7" fillId="0" borderId="21" xfId="1" applyFont="1" applyFill="1" applyBorder="1" applyAlignment="1" applyProtection="1">
      <alignment horizontal="left"/>
      <protection locked="0"/>
    </xf>
    <xf numFmtId="0" fontId="7" fillId="0" borderId="9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4" fontId="8" fillId="0" borderId="8" xfId="1" applyNumberFormat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67" fontId="16" fillId="0" borderId="0" xfId="1" applyNumberFormat="1" applyFont="1" applyFill="1"/>
    <xf numFmtId="1" fontId="27" fillId="0" borderId="8" xfId="0" applyNumberFormat="1" applyFont="1" applyFill="1" applyBorder="1" applyAlignment="1" applyProtection="1">
      <alignment vertical="top" wrapText="1"/>
      <protection locked="0"/>
    </xf>
    <xf numFmtId="1" fontId="27" fillId="0" borderId="21" xfId="0" applyNumberFormat="1" applyFont="1" applyFill="1" applyBorder="1" applyAlignment="1" applyProtection="1">
      <alignment vertical="top" wrapText="1"/>
      <protection locked="0"/>
    </xf>
    <xf numFmtId="1" fontId="27" fillId="0" borderId="9" xfId="0" applyNumberFormat="1" applyFont="1" applyFill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566</xdr:row>
      <xdr:rowOff>104775</xdr:rowOff>
    </xdr:from>
    <xdr:to>
      <xdr:col>7</xdr:col>
      <xdr:colOff>75525</xdr:colOff>
      <xdr:row>584</xdr:row>
      <xdr:rowOff>8569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78686025"/>
          <a:ext cx="5400000" cy="35042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668896</xdr:colOff>
      <xdr:row>543</xdr:row>
      <xdr:rowOff>4243</xdr:rowOff>
    </xdr:from>
    <xdr:to>
      <xdr:col>6</xdr:col>
      <xdr:colOff>13352</xdr:colOff>
      <xdr:row>563</xdr:row>
      <xdr:rowOff>41222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160834" y="84456255"/>
          <a:ext cx="4037480" cy="34973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5</xdr:col>
      <xdr:colOff>495300</xdr:colOff>
      <xdr:row>545</xdr:row>
      <xdr:rowOff>66676</xdr:rowOff>
    </xdr:from>
    <xdr:to>
      <xdr:col>5</xdr:col>
      <xdr:colOff>495300</xdr:colOff>
      <xdr:row>547</xdr:row>
      <xdr:rowOff>180975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V="1">
          <a:off x="4629150" y="84648676"/>
          <a:ext cx="0" cy="51434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543</xdr:row>
      <xdr:rowOff>19050</xdr:rowOff>
    </xdr:from>
    <xdr:to>
      <xdr:col>5</xdr:col>
      <xdr:colOff>733425</xdr:colOff>
      <xdr:row>545</xdr:row>
      <xdr:rowOff>123825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419600" y="84201000"/>
          <a:ext cx="4476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2800" b="1">
              <a:solidFill>
                <a:srgbClr val="FF0000"/>
              </a:solidFill>
            </a:rPr>
            <a:t>N</a:t>
          </a:r>
        </a:p>
      </xdr:txBody>
    </xdr:sp>
    <xdr:clientData/>
  </xdr:twoCellAnchor>
  <xdr:twoCellAnchor>
    <xdr:from>
      <xdr:col>1</xdr:col>
      <xdr:colOff>652741</xdr:colOff>
      <xdr:row>523</xdr:row>
      <xdr:rowOff>190500</xdr:rowOff>
    </xdr:from>
    <xdr:to>
      <xdr:col>5</xdr:col>
      <xdr:colOff>733425</xdr:colOff>
      <xdr:row>542</xdr:row>
      <xdr:rowOff>58032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/>
      </xdr:nvGrpSpPr>
      <xdr:grpSpPr>
        <a:xfrm>
          <a:off x="1414741" y="105929206"/>
          <a:ext cx="3453655" cy="3699944"/>
          <a:chOff x="1414741" y="80371950"/>
          <a:chExt cx="3452534" cy="3668007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414741" y="80416213"/>
            <a:ext cx="3402666" cy="362374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>
            <a:off x="2010335" y="80772000"/>
            <a:ext cx="903754" cy="2832286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>
            <a:off x="2066364" y="80792731"/>
            <a:ext cx="892549" cy="2779619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Straight Arrow Connector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/>
        </xdr:nvCxnSpPr>
        <xdr:spPr>
          <a:xfrm flipV="1">
            <a:off x="4629150" y="80829151"/>
            <a:ext cx="0" cy="514349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4419600" y="80371950"/>
            <a:ext cx="447675" cy="5048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2800" b="1">
                <a:solidFill>
                  <a:srgbClr val="FF0000"/>
                </a:solidFill>
              </a:rPr>
              <a:t>N</a:t>
            </a:r>
          </a:p>
        </xdr:txBody>
      </xdr:sp>
      <xdr:sp macro="" textlink="">
        <xdr:nvSpPr>
          <xdr:cNvPr id="58" name="TextBox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 rot="3914045">
            <a:off x="2171699" y="82896075"/>
            <a:ext cx="16859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0">
                <a:solidFill>
                  <a:srgbClr val="FF0000"/>
                </a:solidFill>
              </a:rPr>
              <a:t>High</a:t>
            </a:r>
            <a:r>
              <a:rPr lang="en-IN" sz="1100" b="0" baseline="0">
                <a:solidFill>
                  <a:srgbClr val="FF0000"/>
                </a:solidFill>
              </a:rPr>
              <a:t> Tension Line</a:t>
            </a:r>
            <a:endParaRPr lang="en-IN" sz="1100" b="0">
              <a:solidFill>
                <a:srgbClr val="FF0000"/>
              </a:solidFill>
            </a:endParaRP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2324100" y="81257774"/>
            <a:ext cx="581026" cy="800101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2</xdr:col>
      <xdr:colOff>790575</xdr:colOff>
      <xdr:row>529</xdr:row>
      <xdr:rowOff>114300</xdr:rowOff>
    </xdr:from>
    <xdr:to>
      <xdr:col>3</xdr:col>
      <xdr:colOff>590550</xdr:colOff>
      <xdr:row>532</xdr:row>
      <xdr:rowOff>19050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352675" y="81495900"/>
          <a:ext cx="647700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FF00"/>
              </a:solidFill>
            </a:rPr>
            <a:t>Site</a:t>
          </a:r>
          <a:endParaRPr lang="en-IN" sz="20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1</xdr:col>
      <xdr:colOff>152400</xdr:colOff>
      <xdr:row>584</xdr:row>
      <xdr:rowOff>161925</xdr:rowOff>
    </xdr:from>
    <xdr:to>
      <xdr:col>6</xdr:col>
      <xdr:colOff>762000</xdr:colOff>
      <xdr:row>605</xdr:row>
      <xdr:rowOff>19052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" y="92544900"/>
          <a:ext cx="4762500" cy="40576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385339</xdr:colOff>
      <xdr:row>593</xdr:row>
      <xdr:rowOff>88070</xdr:rowOff>
    </xdr:from>
    <xdr:to>
      <xdr:col>4</xdr:col>
      <xdr:colOff>484236</xdr:colOff>
      <xdr:row>602</xdr:row>
      <xdr:rowOff>25994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 rot="20597588">
          <a:off x="2795164" y="94271270"/>
          <a:ext cx="1041872" cy="1738149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219075</xdr:colOff>
      <xdr:row>49</xdr:row>
      <xdr:rowOff>66675</xdr:rowOff>
    </xdr:from>
    <xdr:to>
      <xdr:col>14</xdr:col>
      <xdr:colOff>523217</xdr:colOff>
      <xdr:row>57</xdr:row>
      <xdr:rowOff>18649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4C844-EBEF-416C-AC04-C3C8470A9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43700" y="11963400"/>
          <a:ext cx="5266667" cy="32095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771525</xdr:colOff>
      <xdr:row>254</xdr:row>
      <xdr:rowOff>95250</xdr:rowOff>
    </xdr:from>
    <xdr:to>
      <xdr:col>19</xdr:col>
      <xdr:colOff>589544</xdr:colOff>
      <xdr:row>265</xdr:row>
      <xdr:rowOff>199737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CC6BFC-54AD-4DE8-8E1E-0ACC8106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96150" y="55530750"/>
          <a:ext cx="8047619" cy="23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266</xdr:row>
      <xdr:rowOff>171450</xdr:rowOff>
    </xdr:from>
    <xdr:to>
      <xdr:col>16</xdr:col>
      <xdr:colOff>180329</xdr:colOff>
      <xdr:row>276</xdr:row>
      <xdr:rowOff>85434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3D8FB6-BA9F-44A6-88E4-C4A3CF94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34325" y="58007250"/>
          <a:ext cx="5171429" cy="23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828675</xdr:colOff>
      <xdr:row>277</xdr:row>
      <xdr:rowOff>28575</xdr:rowOff>
    </xdr:from>
    <xdr:to>
      <xdr:col>24</xdr:col>
      <xdr:colOff>274884</xdr:colOff>
      <xdr:row>289</xdr:row>
      <xdr:rowOff>18751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028DC5-B3D8-4DCD-BBF7-40AC5C65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53300" y="60474225"/>
          <a:ext cx="10723809" cy="2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290</xdr:row>
      <xdr:rowOff>38100</xdr:rowOff>
    </xdr:from>
    <xdr:to>
      <xdr:col>20</xdr:col>
      <xdr:colOff>541834</xdr:colOff>
      <xdr:row>302</xdr:row>
      <xdr:rowOff>94943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5AAC73-7A1F-48CF-8790-4233DF260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81850" y="63084075"/>
          <a:ext cx="8723809" cy="2457143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857250</xdr:colOff>
      <xdr:row>302</xdr:row>
      <xdr:rowOff>161925</xdr:rowOff>
    </xdr:from>
    <xdr:to>
      <xdr:col>16</xdr:col>
      <xdr:colOff>56450</xdr:colOff>
      <xdr:row>315</xdr:row>
      <xdr:rowOff>190171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A8E654-6587-4E14-AE3B-EFC675D2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81875" y="65608200"/>
          <a:ext cx="5600000" cy="2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857250</xdr:colOff>
      <xdr:row>316</xdr:row>
      <xdr:rowOff>123825</xdr:rowOff>
    </xdr:from>
    <xdr:to>
      <xdr:col>25</xdr:col>
      <xdr:colOff>312907</xdr:colOff>
      <xdr:row>329</xdr:row>
      <xdr:rowOff>56833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E72CB00-EB56-427A-AF8D-B729249B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81875" y="68370450"/>
          <a:ext cx="11342857" cy="25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895350</xdr:colOff>
      <xdr:row>339</xdr:row>
      <xdr:rowOff>180975</xdr:rowOff>
    </xdr:from>
    <xdr:to>
      <xdr:col>22</xdr:col>
      <xdr:colOff>417902</xdr:colOff>
      <xdr:row>383</xdr:row>
      <xdr:rowOff>18695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E615E1F-9C28-4FE7-99DD-4DF42AD6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19975" y="73028175"/>
          <a:ext cx="9580952" cy="283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666750</xdr:colOff>
      <xdr:row>380</xdr:row>
      <xdr:rowOff>0</xdr:rowOff>
    </xdr:from>
    <xdr:to>
      <xdr:col>21</xdr:col>
      <xdr:colOff>8755</xdr:colOff>
      <xdr:row>394</xdr:row>
      <xdr:rowOff>123459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22863F-026B-47DA-8978-D6BBA10E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20275" y="75247500"/>
          <a:ext cx="6161905" cy="29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933450</xdr:colOff>
      <xdr:row>411</xdr:row>
      <xdr:rowOff>152400</xdr:rowOff>
    </xdr:from>
    <xdr:to>
      <xdr:col>27</xdr:col>
      <xdr:colOff>303240</xdr:colOff>
      <xdr:row>425</xdr:row>
      <xdr:rowOff>113955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4AF7BE1-68E1-4533-BC4F-7BD02F503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58075" y="79000350"/>
          <a:ext cx="12476190" cy="27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819150</xdr:colOff>
      <xdr:row>58</xdr:row>
      <xdr:rowOff>38100</xdr:rowOff>
    </xdr:from>
    <xdr:to>
      <xdr:col>14</xdr:col>
      <xdr:colOff>428054</xdr:colOff>
      <xdr:row>66</xdr:row>
      <xdr:rowOff>114062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24F3AF64-D351-4267-B193-221CF1EAE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43775" y="15592425"/>
          <a:ext cx="4571429" cy="19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39</xdr:row>
      <xdr:rowOff>38100</xdr:rowOff>
    </xdr:from>
    <xdr:to>
      <xdr:col>18</xdr:col>
      <xdr:colOff>294349</xdr:colOff>
      <xdr:row>47</xdr:row>
      <xdr:rowOff>142633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4EA6C1C-307C-4523-8A7D-4775337AF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029450" y="9705975"/>
          <a:ext cx="7409524" cy="1933333"/>
        </a:xfrm>
        <a:prstGeom prst="rect">
          <a:avLst/>
        </a:prstGeom>
      </xdr:spPr>
    </xdr:pic>
    <xdr:clientData/>
  </xdr:twoCellAnchor>
  <xdr:twoCellAnchor>
    <xdr:from>
      <xdr:col>0</xdr:col>
      <xdr:colOff>523620</xdr:colOff>
      <xdr:row>484</xdr:row>
      <xdr:rowOff>11204</xdr:rowOff>
    </xdr:from>
    <xdr:to>
      <xdr:col>7</xdr:col>
      <xdr:colOff>153206</xdr:colOff>
      <xdr:row>521</xdr:row>
      <xdr:rowOff>179295</xdr:rowOff>
    </xdr:to>
    <xdr:grpSp>
      <xdr:nvGrpSpPr>
        <xdr:cNvPr id="13" name="Group 12"/>
        <xdr:cNvGrpSpPr/>
      </xdr:nvGrpSpPr>
      <xdr:grpSpPr>
        <a:xfrm>
          <a:off x="523620" y="97883380"/>
          <a:ext cx="5333380" cy="7631209"/>
          <a:chOff x="1736913" y="98174735"/>
          <a:chExt cx="2740708" cy="3629076"/>
        </a:xfrm>
      </xdr:grpSpPr>
      <xdr:pic>
        <xdr:nvPicPr>
          <xdr:cNvPr id="65" name="Picture 64">
            <a:extLst>
              <a:ext uri="{FF2B5EF4-FFF2-40B4-BE49-F238E27FC236}">
                <a16:creationId xmlns:a16="http://schemas.microsoft.com/office/drawing/2014/main" id="{F8A69D06-E0FF-4462-9A5E-A34DE7940C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6913" y="98174735"/>
            <a:ext cx="2711229" cy="362907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cxnSp macro="">
        <xdr:nvCxnSpPr>
          <xdr:cNvPr id="66" name="Straight Connector 65">
            <a:extLst>
              <a:ext uri="{FF2B5EF4-FFF2-40B4-BE49-F238E27FC236}">
                <a16:creationId xmlns:a16="http://schemas.microsoft.com/office/drawing/2014/main" id="{F013A10D-C01E-42CD-BD5F-FAF7DB42E6BB}"/>
              </a:ext>
            </a:extLst>
          </xdr:cNvPr>
          <xdr:cNvCxnSpPr>
            <a:cxnSpLocks/>
          </xdr:cNvCxnSpPr>
        </xdr:nvCxnSpPr>
        <xdr:spPr>
          <a:xfrm>
            <a:off x="1766392" y="98775964"/>
            <a:ext cx="2681751" cy="1684030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Straight Connector 66">
            <a:extLst>
              <a:ext uri="{FF2B5EF4-FFF2-40B4-BE49-F238E27FC236}">
                <a16:creationId xmlns:a16="http://schemas.microsoft.com/office/drawing/2014/main" id="{58444853-0E6F-456F-BB2B-06E13D2E4FBE}"/>
              </a:ext>
            </a:extLst>
          </xdr:cNvPr>
          <xdr:cNvCxnSpPr>
            <a:cxnSpLocks/>
          </xdr:cNvCxnSpPr>
        </xdr:nvCxnSpPr>
        <xdr:spPr>
          <a:xfrm>
            <a:off x="1766391" y="98411022"/>
            <a:ext cx="2711230" cy="1865921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8" name="TextBox 97">
            <a:extLst>
              <a:ext uri="{FF2B5EF4-FFF2-40B4-BE49-F238E27FC236}">
                <a16:creationId xmlns:a16="http://schemas.microsoft.com/office/drawing/2014/main" id="{70AF4AD8-23F4-4EF2-A5EA-9B0767545B1F}"/>
              </a:ext>
            </a:extLst>
          </xdr:cNvPr>
          <xdr:cNvSpPr txBox="1"/>
        </xdr:nvSpPr>
        <xdr:spPr>
          <a:xfrm rot="2044509">
            <a:off x="3431896" y="99738482"/>
            <a:ext cx="982699" cy="37231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HT Lines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69" name="TextBox 101">
            <a:extLst>
              <a:ext uri="{FF2B5EF4-FFF2-40B4-BE49-F238E27FC236}">
                <a16:creationId xmlns:a16="http://schemas.microsoft.com/office/drawing/2014/main" id="{B7632FB5-EAC8-48FC-B44B-C4FB0ED9E2DD}"/>
              </a:ext>
            </a:extLst>
          </xdr:cNvPr>
          <xdr:cNvSpPr txBox="1"/>
        </xdr:nvSpPr>
        <xdr:spPr>
          <a:xfrm>
            <a:off x="2847952" y="98273831"/>
            <a:ext cx="942569" cy="40334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Wing B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</xdr:col>
      <xdr:colOff>928153</xdr:colOff>
      <xdr:row>445</xdr:row>
      <xdr:rowOff>121534</xdr:rowOff>
    </xdr:from>
    <xdr:to>
      <xdr:col>16</xdr:col>
      <xdr:colOff>548171</xdr:colOff>
      <xdr:row>476</xdr:row>
      <xdr:rowOff>177562</xdr:rowOff>
    </xdr:to>
    <xdr:grpSp>
      <xdr:nvGrpSpPr>
        <xdr:cNvPr id="42" name="Group 41"/>
        <xdr:cNvGrpSpPr/>
      </xdr:nvGrpSpPr>
      <xdr:grpSpPr>
        <a:xfrm>
          <a:off x="7461182" y="90138387"/>
          <a:ext cx="6040989" cy="6297704"/>
          <a:chOff x="402376" y="3055404"/>
          <a:chExt cx="6468940" cy="5726646"/>
        </a:xfrm>
      </xdr:grpSpPr>
      <xdr:pic>
        <xdr:nvPicPr>
          <xdr:cNvPr id="44" name="Picture 43" descr="https://vsjcllp.vsjadon.com/upload/insp-23669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66266" y="7363825"/>
            <a:ext cx="1881372" cy="1418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Picture 44" descr="https://vsjcllp.vsjadon.com/upload/insp-236697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2376" y="3055405"/>
            <a:ext cx="3130204" cy="41619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45" descr="https://vsjcllp.vsjadon.com/upload/insp-236697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7978" y="7363825"/>
            <a:ext cx="1881372" cy="1418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36697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41112" y="3055404"/>
            <a:ext cx="3130204" cy="41619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36697-9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2499" y="7363825"/>
            <a:ext cx="1888340" cy="14182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135897</xdr:colOff>
      <xdr:row>445</xdr:row>
      <xdr:rowOff>171348</xdr:rowOff>
    </xdr:from>
    <xdr:to>
      <xdr:col>8</xdr:col>
      <xdr:colOff>120593</xdr:colOff>
      <xdr:row>477</xdr:row>
      <xdr:rowOff>136712</xdr:rowOff>
    </xdr:to>
    <xdr:grpSp>
      <xdr:nvGrpSpPr>
        <xdr:cNvPr id="17" name="Group 16"/>
        <xdr:cNvGrpSpPr/>
      </xdr:nvGrpSpPr>
      <xdr:grpSpPr>
        <a:xfrm>
          <a:off x="135897" y="90188201"/>
          <a:ext cx="6517725" cy="6408746"/>
          <a:chOff x="31122" y="89620623"/>
          <a:chExt cx="6509321" cy="6356639"/>
        </a:xfrm>
      </xdr:grpSpPr>
      <xdr:grpSp>
        <xdr:nvGrpSpPr>
          <xdr:cNvPr id="15" name="Group 14"/>
          <xdr:cNvGrpSpPr/>
        </xdr:nvGrpSpPr>
        <xdr:grpSpPr>
          <a:xfrm>
            <a:off x="31122" y="89620623"/>
            <a:ext cx="6198177" cy="6356639"/>
            <a:chOff x="86591" y="90219577"/>
            <a:chExt cx="6206021" cy="6408747"/>
          </a:xfrm>
        </xdr:grpSpPr>
        <xdr:grpSp>
          <xdr:nvGrpSpPr>
            <xdr:cNvPr id="49" name="Group 48"/>
            <xdr:cNvGrpSpPr/>
          </xdr:nvGrpSpPr>
          <xdr:grpSpPr>
            <a:xfrm>
              <a:off x="86591" y="90219577"/>
              <a:ext cx="6206021" cy="6408747"/>
              <a:chOff x="-87976" y="532550"/>
              <a:chExt cx="6945976" cy="6436574"/>
            </a:xfrm>
          </xdr:grpSpPr>
          <xdr:pic>
            <xdr:nvPicPr>
              <xdr:cNvPr id="50" name="Picture 49"/>
              <xdr:cNvPicPr>
                <a:picLocks noChangeAspect="1"/>
              </xdr:cNvPicPr>
            </xdr:nvPicPr>
            <xdr:blipFill>
              <a:blip xmlns:r="http://schemas.openxmlformats.org/officeDocument/2006/relationships" r:embed="rId23"/>
              <a:stretch>
                <a:fillRect/>
              </a:stretch>
            </xdr:blipFill>
            <xdr:spPr>
              <a:xfrm>
                <a:off x="-87976" y="4826999"/>
                <a:ext cx="1606594" cy="2142125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1" name="Picture 50"/>
              <xdr:cNvPicPr>
                <a:picLocks noChangeAspect="1"/>
              </xdr:cNvPicPr>
            </xdr:nvPicPr>
            <xdr:blipFill>
              <a:blip xmlns:r="http://schemas.openxmlformats.org/officeDocument/2006/relationships" r:embed="rId24"/>
              <a:stretch>
                <a:fillRect/>
              </a:stretch>
            </xdr:blipFill>
            <xdr:spPr>
              <a:xfrm>
                <a:off x="3488705" y="4800510"/>
                <a:ext cx="1606594" cy="2142125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2" name="Picture 51"/>
              <xdr:cNvPicPr>
                <a:picLocks noChangeAspect="1"/>
              </xdr:cNvPicPr>
            </xdr:nvPicPr>
            <xdr:blipFill>
              <a:blip xmlns:r="http://schemas.openxmlformats.org/officeDocument/2006/relationships" r:embed="rId25"/>
              <a:stretch>
                <a:fillRect/>
              </a:stretch>
            </xdr:blipFill>
            <xdr:spPr>
              <a:xfrm>
                <a:off x="1703803" y="4800510"/>
                <a:ext cx="1606594" cy="2142125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54" name="Picture 53"/>
              <xdr:cNvPicPr>
                <a:picLocks noChangeAspect="1"/>
              </xdr:cNvPicPr>
            </xdr:nvPicPr>
            <xdr:blipFill>
              <a:blip xmlns:r="http://schemas.openxmlformats.org/officeDocument/2006/relationships" r:embed="rId26"/>
              <a:stretch>
                <a:fillRect/>
              </a:stretch>
            </xdr:blipFill>
            <xdr:spPr>
              <a:xfrm>
                <a:off x="5251406" y="4800510"/>
                <a:ext cx="1606594" cy="2142125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64" name="Picture 63"/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7"/>
              <a:srcRect l="17361" t="2729" b="5902"/>
              <a:stretch/>
            </xdr:blipFill>
            <xdr:spPr>
              <a:xfrm>
                <a:off x="3504400" y="532550"/>
                <a:ext cx="3026599" cy="40854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70" name="Picture 69"/>
              <xdr:cNvPicPr>
                <a:picLocks noChangeAspect="1"/>
              </xdr:cNvPicPr>
            </xdr:nvPicPr>
            <xdr:blipFill>
              <a:blip xmlns:r="http://schemas.openxmlformats.org/officeDocument/2006/relationships" r:embed="rId28"/>
              <a:stretch>
                <a:fillRect/>
              </a:stretch>
            </xdr:blipFill>
            <xdr:spPr>
              <a:xfrm>
                <a:off x="238125" y="532550"/>
                <a:ext cx="3064050" cy="40854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71" name="TextBox 101">
              <a:extLst>
                <a:ext uri="{FF2B5EF4-FFF2-40B4-BE49-F238E27FC236}">
                  <a16:creationId xmlns:a16="http://schemas.microsoft.com/office/drawing/2014/main" id="{B7632FB5-EAC8-48FC-B44B-C4FB0ED9E2DD}"/>
                </a:ext>
              </a:extLst>
            </xdr:cNvPr>
            <xdr:cNvSpPr txBox="1"/>
          </xdr:nvSpPr>
          <xdr:spPr>
            <a:xfrm>
              <a:off x="288297" y="91003989"/>
              <a:ext cx="977967" cy="51445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800" b="1">
                  <a:solidFill>
                    <a:srgbClr val="FF0000"/>
                  </a:solidFill>
                </a:rPr>
                <a:t>Tower A</a:t>
              </a:r>
              <a:endParaRPr lang="en-IN" sz="1800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72" name="TextBox 101">
            <a:extLst>
              <a:ext uri="{FF2B5EF4-FFF2-40B4-BE49-F238E27FC236}">
                <a16:creationId xmlns:a16="http://schemas.microsoft.com/office/drawing/2014/main" id="{B7632FB5-EAC8-48FC-B44B-C4FB0ED9E2DD}"/>
              </a:ext>
            </a:extLst>
          </xdr:cNvPr>
          <xdr:cNvSpPr txBox="1"/>
        </xdr:nvSpPr>
        <xdr:spPr>
          <a:xfrm>
            <a:off x="4713500" y="89880039"/>
            <a:ext cx="1826943" cy="84310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Tower B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8</xdr:col>
      <xdr:colOff>879661</xdr:colOff>
      <xdr:row>93</xdr:row>
      <xdr:rowOff>90448</xdr:rowOff>
    </xdr:from>
    <xdr:to>
      <xdr:col>16</xdr:col>
      <xdr:colOff>286560</xdr:colOff>
      <xdr:row>99</xdr:row>
      <xdr:rowOff>98756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412690" y="23835713"/>
          <a:ext cx="5827870" cy="102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mLj2EKWUzZJsW5t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65"/>
  <sheetViews>
    <sheetView tabSelected="1" showWhiteSpace="0" view="pageBreakPreview" zoomScale="85" zoomScaleNormal="100" zoomScaleSheetLayoutView="85" zoomScalePageLayoutView="85" workbookViewId="0">
      <selection activeCell="K14" sqref="K14"/>
    </sheetView>
  </sheetViews>
  <sheetFormatPr defaultColWidth="9.140625" defaultRowHeight="15.75" x14ac:dyDescent="0.25"/>
  <cols>
    <col min="1" max="1" width="11.42578125" style="43" customWidth="1"/>
    <col min="2" max="2" width="12" style="43" customWidth="1"/>
    <col min="3" max="3" width="12.7109375" style="43" customWidth="1"/>
    <col min="4" max="4" width="14.140625" style="43" customWidth="1"/>
    <col min="5" max="7" width="11.7109375" style="43" customWidth="1"/>
    <col min="8" max="8" width="12.42578125" style="43" customWidth="1"/>
    <col min="9" max="9" width="17.42578125" style="23" customWidth="1"/>
    <col min="10" max="10" width="11.42578125" style="23" customWidth="1"/>
    <col min="11" max="11" width="10.5703125" style="23" bestFit="1" customWidth="1"/>
    <col min="12" max="12" width="10.5703125" style="23" customWidth="1"/>
    <col min="13" max="13" width="11.85546875" style="23" customWidth="1"/>
    <col min="14" max="14" width="12.5703125" style="23" customWidth="1"/>
    <col min="15" max="15" width="9.85546875" style="23" customWidth="1"/>
    <col min="16" max="16" width="11.7109375" style="23" customWidth="1"/>
    <col min="17" max="247" width="9.140625" style="23"/>
    <col min="248" max="248" width="8.7109375" style="23" customWidth="1"/>
    <col min="249" max="249" width="9.85546875" style="23" customWidth="1"/>
    <col min="250" max="250" width="14.42578125" style="23" customWidth="1"/>
    <col min="251" max="251" width="7.28515625" style="23" customWidth="1"/>
    <col min="252" max="252" width="5.5703125" style="23" customWidth="1"/>
    <col min="253" max="253" width="9" style="23" customWidth="1"/>
    <col min="254" max="255" width="9.85546875" style="23" customWidth="1"/>
    <col min="256" max="256" width="11.140625" style="23" customWidth="1"/>
    <col min="257" max="257" width="2.85546875" style="23" customWidth="1"/>
    <col min="258" max="258" width="3.5703125" style="23" customWidth="1"/>
    <col min="259" max="503" width="9.140625" style="23"/>
    <col min="504" max="504" width="8.7109375" style="23" customWidth="1"/>
    <col min="505" max="505" width="9.85546875" style="23" customWidth="1"/>
    <col min="506" max="506" width="14.42578125" style="23" customWidth="1"/>
    <col min="507" max="507" width="7.28515625" style="23" customWidth="1"/>
    <col min="508" max="508" width="5.5703125" style="23" customWidth="1"/>
    <col min="509" max="509" width="9" style="23" customWidth="1"/>
    <col min="510" max="511" width="9.85546875" style="23" customWidth="1"/>
    <col min="512" max="512" width="11.140625" style="23" customWidth="1"/>
    <col min="513" max="513" width="2.85546875" style="23" customWidth="1"/>
    <col min="514" max="514" width="3.5703125" style="23" customWidth="1"/>
    <col min="515" max="759" width="9.140625" style="23"/>
    <col min="760" max="760" width="8.7109375" style="23" customWidth="1"/>
    <col min="761" max="761" width="9.85546875" style="23" customWidth="1"/>
    <col min="762" max="762" width="14.42578125" style="23" customWidth="1"/>
    <col min="763" max="763" width="7.28515625" style="23" customWidth="1"/>
    <col min="764" max="764" width="5.5703125" style="23" customWidth="1"/>
    <col min="765" max="765" width="9" style="23" customWidth="1"/>
    <col min="766" max="767" width="9.85546875" style="23" customWidth="1"/>
    <col min="768" max="768" width="11.140625" style="23" customWidth="1"/>
    <col min="769" max="769" width="2.85546875" style="23" customWidth="1"/>
    <col min="770" max="770" width="3.5703125" style="23" customWidth="1"/>
    <col min="771" max="1015" width="9.140625" style="23"/>
    <col min="1016" max="1016" width="8.7109375" style="23" customWidth="1"/>
    <col min="1017" max="1017" width="9.85546875" style="23" customWidth="1"/>
    <col min="1018" max="1018" width="14.42578125" style="23" customWidth="1"/>
    <col min="1019" max="1019" width="7.28515625" style="23" customWidth="1"/>
    <col min="1020" max="1020" width="5.5703125" style="23" customWidth="1"/>
    <col min="1021" max="1021" width="9" style="23" customWidth="1"/>
    <col min="1022" max="1023" width="9.85546875" style="23" customWidth="1"/>
    <col min="1024" max="1024" width="11.140625" style="23" customWidth="1"/>
    <col min="1025" max="1025" width="2.85546875" style="23" customWidth="1"/>
    <col min="1026" max="1026" width="3.5703125" style="23" customWidth="1"/>
    <col min="1027" max="1271" width="9.140625" style="23"/>
    <col min="1272" max="1272" width="8.7109375" style="23" customWidth="1"/>
    <col min="1273" max="1273" width="9.85546875" style="23" customWidth="1"/>
    <col min="1274" max="1274" width="14.42578125" style="23" customWidth="1"/>
    <col min="1275" max="1275" width="7.28515625" style="23" customWidth="1"/>
    <col min="1276" max="1276" width="5.5703125" style="23" customWidth="1"/>
    <col min="1277" max="1277" width="9" style="23" customWidth="1"/>
    <col min="1278" max="1279" width="9.85546875" style="23" customWidth="1"/>
    <col min="1280" max="1280" width="11.140625" style="23" customWidth="1"/>
    <col min="1281" max="1281" width="2.85546875" style="23" customWidth="1"/>
    <col min="1282" max="1282" width="3.5703125" style="23" customWidth="1"/>
    <col min="1283" max="1527" width="9.140625" style="23"/>
    <col min="1528" max="1528" width="8.7109375" style="23" customWidth="1"/>
    <col min="1529" max="1529" width="9.85546875" style="23" customWidth="1"/>
    <col min="1530" max="1530" width="14.42578125" style="23" customWidth="1"/>
    <col min="1531" max="1531" width="7.28515625" style="23" customWidth="1"/>
    <col min="1532" max="1532" width="5.5703125" style="23" customWidth="1"/>
    <col min="1533" max="1533" width="9" style="23" customWidth="1"/>
    <col min="1534" max="1535" width="9.85546875" style="23" customWidth="1"/>
    <col min="1536" max="1536" width="11.140625" style="23" customWidth="1"/>
    <col min="1537" max="1537" width="2.85546875" style="23" customWidth="1"/>
    <col min="1538" max="1538" width="3.5703125" style="23" customWidth="1"/>
    <col min="1539" max="1783" width="9.140625" style="23"/>
    <col min="1784" max="1784" width="8.7109375" style="23" customWidth="1"/>
    <col min="1785" max="1785" width="9.85546875" style="23" customWidth="1"/>
    <col min="1786" max="1786" width="14.42578125" style="23" customWidth="1"/>
    <col min="1787" max="1787" width="7.28515625" style="23" customWidth="1"/>
    <col min="1788" max="1788" width="5.5703125" style="23" customWidth="1"/>
    <col min="1789" max="1789" width="9" style="23" customWidth="1"/>
    <col min="1790" max="1791" width="9.85546875" style="23" customWidth="1"/>
    <col min="1792" max="1792" width="11.140625" style="23" customWidth="1"/>
    <col min="1793" max="1793" width="2.85546875" style="23" customWidth="1"/>
    <col min="1794" max="1794" width="3.5703125" style="23" customWidth="1"/>
    <col min="1795" max="2039" width="9.140625" style="23"/>
    <col min="2040" max="2040" width="8.7109375" style="23" customWidth="1"/>
    <col min="2041" max="2041" width="9.85546875" style="23" customWidth="1"/>
    <col min="2042" max="2042" width="14.42578125" style="23" customWidth="1"/>
    <col min="2043" max="2043" width="7.28515625" style="23" customWidth="1"/>
    <col min="2044" max="2044" width="5.5703125" style="23" customWidth="1"/>
    <col min="2045" max="2045" width="9" style="23" customWidth="1"/>
    <col min="2046" max="2047" width="9.85546875" style="23" customWidth="1"/>
    <col min="2048" max="2048" width="11.140625" style="23" customWidth="1"/>
    <col min="2049" max="2049" width="2.85546875" style="23" customWidth="1"/>
    <col min="2050" max="2050" width="3.5703125" style="23" customWidth="1"/>
    <col min="2051" max="2295" width="9.140625" style="23"/>
    <col min="2296" max="2296" width="8.7109375" style="23" customWidth="1"/>
    <col min="2297" max="2297" width="9.85546875" style="23" customWidth="1"/>
    <col min="2298" max="2298" width="14.42578125" style="23" customWidth="1"/>
    <col min="2299" max="2299" width="7.28515625" style="23" customWidth="1"/>
    <col min="2300" max="2300" width="5.5703125" style="23" customWidth="1"/>
    <col min="2301" max="2301" width="9" style="23" customWidth="1"/>
    <col min="2302" max="2303" width="9.85546875" style="23" customWidth="1"/>
    <col min="2304" max="2304" width="11.140625" style="23" customWidth="1"/>
    <col min="2305" max="2305" width="2.85546875" style="23" customWidth="1"/>
    <col min="2306" max="2306" width="3.5703125" style="23" customWidth="1"/>
    <col min="2307" max="2551" width="9.140625" style="23"/>
    <col min="2552" max="2552" width="8.7109375" style="23" customWidth="1"/>
    <col min="2553" max="2553" width="9.85546875" style="23" customWidth="1"/>
    <col min="2554" max="2554" width="14.42578125" style="23" customWidth="1"/>
    <col min="2555" max="2555" width="7.28515625" style="23" customWidth="1"/>
    <col min="2556" max="2556" width="5.5703125" style="23" customWidth="1"/>
    <col min="2557" max="2557" width="9" style="23" customWidth="1"/>
    <col min="2558" max="2559" width="9.85546875" style="23" customWidth="1"/>
    <col min="2560" max="2560" width="11.140625" style="23" customWidth="1"/>
    <col min="2561" max="2561" width="2.85546875" style="23" customWidth="1"/>
    <col min="2562" max="2562" width="3.5703125" style="23" customWidth="1"/>
    <col min="2563" max="2807" width="9.140625" style="23"/>
    <col min="2808" max="2808" width="8.7109375" style="23" customWidth="1"/>
    <col min="2809" max="2809" width="9.85546875" style="23" customWidth="1"/>
    <col min="2810" max="2810" width="14.42578125" style="23" customWidth="1"/>
    <col min="2811" max="2811" width="7.28515625" style="23" customWidth="1"/>
    <col min="2812" max="2812" width="5.5703125" style="23" customWidth="1"/>
    <col min="2813" max="2813" width="9" style="23" customWidth="1"/>
    <col min="2814" max="2815" width="9.85546875" style="23" customWidth="1"/>
    <col min="2816" max="2816" width="11.140625" style="23" customWidth="1"/>
    <col min="2817" max="2817" width="2.85546875" style="23" customWidth="1"/>
    <col min="2818" max="2818" width="3.5703125" style="23" customWidth="1"/>
    <col min="2819" max="3063" width="9.140625" style="23"/>
    <col min="3064" max="3064" width="8.7109375" style="23" customWidth="1"/>
    <col min="3065" max="3065" width="9.85546875" style="23" customWidth="1"/>
    <col min="3066" max="3066" width="14.42578125" style="23" customWidth="1"/>
    <col min="3067" max="3067" width="7.28515625" style="23" customWidth="1"/>
    <col min="3068" max="3068" width="5.5703125" style="23" customWidth="1"/>
    <col min="3069" max="3069" width="9" style="23" customWidth="1"/>
    <col min="3070" max="3071" width="9.85546875" style="23" customWidth="1"/>
    <col min="3072" max="3072" width="11.140625" style="23" customWidth="1"/>
    <col min="3073" max="3073" width="2.85546875" style="23" customWidth="1"/>
    <col min="3074" max="3074" width="3.5703125" style="23" customWidth="1"/>
    <col min="3075" max="3319" width="9.140625" style="23"/>
    <col min="3320" max="3320" width="8.7109375" style="23" customWidth="1"/>
    <col min="3321" max="3321" width="9.85546875" style="23" customWidth="1"/>
    <col min="3322" max="3322" width="14.42578125" style="23" customWidth="1"/>
    <col min="3323" max="3323" width="7.28515625" style="23" customWidth="1"/>
    <col min="3324" max="3324" width="5.5703125" style="23" customWidth="1"/>
    <col min="3325" max="3325" width="9" style="23" customWidth="1"/>
    <col min="3326" max="3327" width="9.85546875" style="23" customWidth="1"/>
    <col min="3328" max="3328" width="11.140625" style="23" customWidth="1"/>
    <col min="3329" max="3329" width="2.85546875" style="23" customWidth="1"/>
    <col min="3330" max="3330" width="3.5703125" style="23" customWidth="1"/>
    <col min="3331" max="3575" width="9.140625" style="23"/>
    <col min="3576" max="3576" width="8.7109375" style="23" customWidth="1"/>
    <col min="3577" max="3577" width="9.85546875" style="23" customWidth="1"/>
    <col min="3578" max="3578" width="14.42578125" style="23" customWidth="1"/>
    <col min="3579" max="3579" width="7.28515625" style="23" customWidth="1"/>
    <col min="3580" max="3580" width="5.5703125" style="23" customWidth="1"/>
    <col min="3581" max="3581" width="9" style="23" customWidth="1"/>
    <col min="3582" max="3583" width="9.85546875" style="23" customWidth="1"/>
    <col min="3584" max="3584" width="11.140625" style="23" customWidth="1"/>
    <col min="3585" max="3585" width="2.85546875" style="23" customWidth="1"/>
    <col min="3586" max="3586" width="3.5703125" style="23" customWidth="1"/>
    <col min="3587" max="3831" width="9.140625" style="23"/>
    <col min="3832" max="3832" width="8.7109375" style="23" customWidth="1"/>
    <col min="3833" max="3833" width="9.85546875" style="23" customWidth="1"/>
    <col min="3834" max="3834" width="14.42578125" style="23" customWidth="1"/>
    <col min="3835" max="3835" width="7.28515625" style="23" customWidth="1"/>
    <col min="3836" max="3836" width="5.5703125" style="23" customWidth="1"/>
    <col min="3837" max="3837" width="9" style="23" customWidth="1"/>
    <col min="3838" max="3839" width="9.85546875" style="23" customWidth="1"/>
    <col min="3840" max="3840" width="11.140625" style="23" customWidth="1"/>
    <col min="3841" max="3841" width="2.85546875" style="23" customWidth="1"/>
    <col min="3842" max="3842" width="3.5703125" style="23" customWidth="1"/>
    <col min="3843" max="4087" width="9.140625" style="23"/>
    <col min="4088" max="4088" width="8.7109375" style="23" customWidth="1"/>
    <col min="4089" max="4089" width="9.85546875" style="23" customWidth="1"/>
    <col min="4090" max="4090" width="14.42578125" style="23" customWidth="1"/>
    <col min="4091" max="4091" width="7.28515625" style="23" customWidth="1"/>
    <col min="4092" max="4092" width="5.5703125" style="23" customWidth="1"/>
    <col min="4093" max="4093" width="9" style="23" customWidth="1"/>
    <col min="4094" max="4095" width="9.85546875" style="23" customWidth="1"/>
    <col min="4096" max="4096" width="11.140625" style="23" customWidth="1"/>
    <col min="4097" max="4097" width="2.85546875" style="23" customWidth="1"/>
    <col min="4098" max="4098" width="3.5703125" style="23" customWidth="1"/>
    <col min="4099" max="4343" width="9.140625" style="23"/>
    <col min="4344" max="4344" width="8.7109375" style="23" customWidth="1"/>
    <col min="4345" max="4345" width="9.85546875" style="23" customWidth="1"/>
    <col min="4346" max="4346" width="14.42578125" style="23" customWidth="1"/>
    <col min="4347" max="4347" width="7.28515625" style="23" customWidth="1"/>
    <col min="4348" max="4348" width="5.5703125" style="23" customWidth="1"/>
    <col min="4349" max="4349" width="9" style="23" customWidth="1"/>
    <col min="4350" max="4351" width="9.85546875" style="23" customWidth="1"/>
    <col min="4352" max="4352" width="11.140625" style="23" customWidth="1"/>
    <col min="4353" max="4353" width="2.85546875" style="23" customWidth="1"/>
    <col min="4354" max="4354" width="3.5703125" style="23" customWidth="1"/>
    <col min="4355" max="4599" width="9.140625" style="23"/>
    <col min="4600" max="4600" width="8.7109375" style="23" customWidth="1"/>
    <col min="4601" max="4601" width="9.85546875" style="23" customWidth="1"/>
    <col min="4602" max="4602" width="14.42578125" style="23" customWidth="1"/>
    <col min="4603" max="4603" width="7.28515625" style="23" customWidth="1"/>
    <col min="4604" max="4604" width="5.5703125" style="23" customWidth="1"/>
    <col min="4605" max="4605" width="9" style="23" customWidth="1"/>
    <col min="4606" max="4607" width="9.85546875" style="23" customWidth="1"/>
    <col min="4608" max="4608" width="11.140625" style="23" customWidth="1"/>
    <col min="4609" max="4609" width="2.85546875" style="23" customWidth="1"/>
    <col min="4610" max="4610" width="3.5703125" style="23" customWidth="1"/>
    <col min="4611" max="4855" width="9.140625" style="23"/>
    <col min="4856" max="4856" width="8.7109375" style="23" customWidth="1"/>
    <col min="4857" max="4857" width="9.85546875" style="23" customWidth="1"/>
    <col min="4858" max="4858" width="14.42578125" style="23" customWidth="1"/>
    <col min="4859" max="4859" width="7.28515625" style="23" customWidth="1"/>
    <col min="4860" max="4860" width="5.5703125" style="23" customWidth="1"/>
    <col min="4861" max="4861" width="9" style="23" customWidth="1"/>
    <col min="4862" max="4863" width="9.85546875" style="23" customWidth="1"/>
    <col min="4864" max="4864" width="11.140625" style="23" customWidth="1"/>
    <col min="4865" max="4865" width="2.85546875" style="23" customWidth="1"/>
    <col min="4866" max="4866" width="3.5703125" style="23" customWidth="1"/>
    <col min="4867" max="5111" width="9.140625" style="23"/>
    <col min="5112" max="5112" width="8.7109375" style="23" customWidth="1"/>
    <col min="5113" max="5113" width="9.85546875" style="23" customWidth="1"/>
    <col min="5114" max="5114" width="14.42578125" style="23" customWidth="1"/>
    <col min="5115" max="5115" width="7.28515625" style="23" customWidth="1"/>
    <col min="5116" max="5116" width="5.5703125" style="23" customWidth="1"/>
    <col min="5117" max="5117" width="9" style="23" customWidth="1"/>
    <col min="5118" max="5119" width="9.85546875" style="23" customWidth="1"/>
    <col min="5120" max="5120" width="11.140625" style="23" customWidth="1"/>
    <col min="5121" max="5121" width="2.85546875" style="23" customWidth="1"/>
    <col min="5122" max="5122" width="3.5703125" style="23" customWidth="1"/>
    <col min="5123" max="5367" width="9.140625" style="23"/>
    <col min="5368" max="5368" width="8.7109375" style="23" customWidth="1"/>
    <col min="5369" max="5369" width="9.85546875" style="23" customWidth="1"/>
    <col min="5370" max="5370" width="14.42578125" style="23" customWidth="1"/>
    <col min="5371" max="5371" width="7.28515625" style="23" customWidth="1"/>
    <col min="5372" max="5372" width="5.5703125" style="23" customWidth="1"/>
    <col min="5373" max="5373" width="9" style="23" customWidth="1"/>
    <col min="5374" max="5375" width="9.85546875" style="23" customWidth="1"/>
    <col min="5376" max="5376" width="11.140625" style="23" customWidth="1"/>
    <col min="5377" max="5377" width="2.85546875" style="23" customWidth="1"/>
    <col min="5378" max="5378" width="3.5703125" style="23" customWidth="1"/>
    <col min="5379" max="5623" width="9.140625" style="23"/>
    <col min="5624" max="5624" width="8.7109375" style="23" customWidth="1"/>
    <col min="5625" max="5625" width="9.85546875" style="23" customWidth="1"/>
    <col min="5626" max="5626" width="14.42578125" style="23" customWidth="1"/>
    <col min="5627" max="5627" width="7.28515625" style="23" customWidth="1"/>
    <col min="5628" max="5628" width="5.5703125" style="23" customWidth="1"/>
    <col min="5629" max="5629" width="9" style="23" customWidth="1"/>
    <col min="5630" max="5631" width="9.85546875" style="23" customWidth="1"/>
    <col min="5632" max="5632" width="11.140625" style="23" customWidth="1"/>
    <col min="5633" max="5633" width="2.85546875" style="23" customWidth="1"/>
    <col min="5634" max="5634" width="3.5703125" style="23" customWidth="1"/>
    <col min="5635" max="5879" width="9.140625" style="23"/>
    <col min="5880" max="5880" width="8.7109375" style="23" customWidth="1"/>
    <col min="5881" max="5881" width="9.85546875" style="23" customWidth="1"/>
    <col min="5882" max="5882" width="14.42578125" style="23" customWidth="1"/>
    <col min="5883" max="5883" width="7.28515625" style="23" customWidth="1"/>
    <col min="5884" max="5884" width="5.5703125" style="23" customWidth="1"/>
    <col min="5885" max="5885" width="9" style="23" customWidth="1"/>
    <col min="5886" max="5887" width="9.85546875" style="23" customWidth="1"/>
    <col min="5888" max="5888" width="11.140625" style="23" customWidth="1"/>
    <col min="5889" max="5889" width="2.85546875" style="23" customWidth="1"/>
    <col min="5890" max="5890" width="3.5703125" style="23" customWidth="1"/>
    <col min="5891" max="6135" width="9.140625" style="23"/>
    <col min="6136" max="6136" width="8.7109375" style="23" customWidth="1"/>
    <col min="6137" max="6137" width="9.85546875" style="23" customWidth="1"/>
    <col min="6138" max="6138" width="14.42578125" style="23" customWidth="1"/>
    <col min="6139" max="6139" width="7.28515625" style="23" customWidth="1"/>
    <col min="6140" max="6140" width="5.5703125" style="23" customWidth="1"/>
    <col min="6141" max="6141" width="9" style="23" customWidth="1"/>
    <col min="6142" max="6143" width="9.85546875" style="23" customWidth="1"/>
    <col min="6144" max="6144" width="11.140625" style="23" customWidth="1"/>
    <col min="6145" max="6145" width="2.85546875" style="23" customWidth="1"/>
    <col min="6146" max="6146" width="3.5703125" style="23" customWidth="1"/>
    <col min="6147" max="6391" width="9.140625" style="23"/>
    <col min="6392" max="6392" width="8.7109375" style="23" customWidth="1"/>
    <col min="6393" max="6393" width="9.85546875" style="23" customWidth="1"/>
    <col min="6394" max="6394" width="14.42578125" style="23" customWidth="1"/>
    <col min="6395" max="6395" width="7.28515625" style="23" customWidth="1"/>
    <col min="6396" max="6396" width="5.5703125" style="23" customWidth="1"/>
    <col min="6397" max="6397" width="9" style="23" customWidth="1"/>
    <col min="6398" max="6399" width="9.85546875" style="23" customWidth="1"/>
    <col min="6400" max="6400" width="11.140625" style="23" customWidth="1"/>
    <col min="6401" max="6401" width="2.85546875" style="23" customWidth="1"/>
    <col min="6402" max="6402" width="3.5703125" style="23" customWidth="1"/>
    <col min="6403" max="6647" width="9.140625" style="23"/>
    <col min="6648" max="6648" width="8.7109375" style="23" customWidth="1"/>
    <col min="6649" max="6649" width="9.85546875" style="23" customWidth="1"/>
    <col min="6650" max="6650" width="14.42578125" style="23" customWidth="1"/>
    <col min="6651" max="6651" width="7.28515625" style="23" customWidth="1"/>
    <col min="6652" max="6652" width="5.5703125" style="23" customWidth="1"/>
    <col min="6653" max="6653" width="9" style="23" customWidth="1"/>
    <col min="6654" max="6655" width="9.85546875" style="23" customWidth="1"/>
    <col min="6656" max="6656" width="11.140625" style="23" customWidth="1"/>
    <col min="6657" max="6657" width="2.85546875" style="23" customWidth="1"/>
    <col min="6658" max="6658" width="3.5703125" style="23" customWidth="1"/>
    <col min="6659" max="6903" width="9.140625" style="23"/>
    <col min="6904" max="6904" width="8.7109375" style="23" customWidth="1"/>
    <col min="6905" max="6905" width="9.85546875" style="23" customWidth="1"/>
    <col min="6906" max="6906" width="14.42578125" style="23" customWidth="1"/>
    <col min="6907" max="6907" width="7.28515625" style="23" customWidth="1"/>
    <col min="6908" max="6908" width="5.5703125" style="23" customWidth="1"/>
    <col min="6909" max="6909" width="9" style="23" customWidth="1"/>
    <col min="6910" max="6911" width="9.85546875" style="23" customWidth="1"/>
    <col min="6912" max="6912" width="11.140625" style="23" customWidth="1"/>
    <col min="6913" max="6913" width="2.85546875" style="23" customWidth="1"/>
    <col min="6914" max="6914" width="3.5703125" style="23" customWidth="1"/>
    <col min="6915" max="7159" width="9.140625" style="23"/>
    <col min="7160" max="7160" width="8.7109375" style="23" customWidth="1"/>
    <col min="7161" max="7161" width="9.85546875" style="23" customWidth="1"/>
    <col min="7162" max="7162" width="14.42578125" style="23" customWidth="1"/>
    <col min="7163" max="7163" width="7.28515625" style="23" customWidth="1"/>
    <col min="7164" max="7164" width="5.5703125" style="23" customWidth="1"/>
    <col min="7165" max="7165" width="9" style="23" customWidth="1"/>
    <col min="7166" max="7167" width="9.85546875" style="23" customWidth="1"/>
    <col min="7168" max="7168" width="11.140625" style="23" customWidth="1"/>
    <col min="7169" max="7169" width="2.85546875" style="23" customWidth="1"/>
    <col min="7170" max="7170" width="3.5703125" style="23" customWidth="1"/>
    <col min="7171" max="7415" width="9.140625" style="23"/>
    <col min="7416" max="7416" width="8.7109375" style="23" customWidth="1"/>
    <col min="7417" max="7417" width="9.85546875" style="23" customWidth="1"/>
    <col min="7418" max="7418" width="14.42578125" style="23" customWidth="1"/>
    <col min="7419" max="7419" width="7.28515625" style="23" customWidth="1"/>
    <col min="7420" max="7420" width="5.5703125" style="23" customWidth="1"/>
    <col min="7421" max="7421" width="9" style="23" customWidth="1"/>
    <col min="7422" max="7423" width="9.85546875" style="23" customWidth="1"/>
    <col min="7424" max="7424" width="11.140625" style="23" customWidth="1"/>
    <col min="7425" max="7425" width="2.85546875" style="23" customWidth="1"/>
    <col min="7426" max="7426" width="3.5703125" style="23" customWidth="1"/>
    <col min="7427" max="7671" width="9.140625" style="23"/>
    <col min="7672" max="7672" width="8.7109375" style="23" customWidth="1"/>
    <col min="7673" max="7673" width="9.85546875" style="23" customWidth="1"/>
    <col min="7674" max="7674" width="14.42578125" style="23" customWidth="1"/>
    <col min="7675" max="7675" width="7.28515625" style="23" customWidth="1"/>
    <col min="7676" max="7676" width="5.5703125" style="23" customWidth="1"/>
    <col min="7677" max="7677" width="9" style="23" customWidth="1"/>
    <col min="7678" max="7679" width="9.85546875" style="23" customWidth="1"/>
    <col min="7680" max="7680" width="11.140625" style="23" customWidth="1"/>
    <col min="7681" max="7681" width="2.85546875" style="23" customWidth="1"/>
    <col min="7682" max="7682" width="3.5703125" style="23" customWidth="1"/>
    <col min="7683" max="7927" width="9.140625" style="23"/>
    <col min="7928" max="7928" width="8.7109375" style="23" customWidth="1"/>
    <col min="7929" max="7929" width="9.85546875" style="23" customWidth="1"/>
    <col min="7930" max="7930" width="14.42578125" style="23" customWidth="1"/>
    <col min="7931" max="7931" width="7.28515625" style="23" customWidth="1"/>
    <col min="7932" max="7932" width="5.5703125" style="23" customWidth="1"/>
    <col min="7933" max="7933" width="9" style="23" customWidth="1"/>
    <col min="7934" max="7935" width="9.85546875" style="23" customWidth="1"/>
    <col min="7936" max="7936" width="11.140625" style="23" customWidth="1"/>
    <col min="7937" max="7937" width="2.85546875" style="23" customWidth="1"/>
    <col min="7938" max="7938" width="3.5703125" style="23" customWidth="1"/>
    <col min="7939" max="8183" width="9.140625" style="23"/>
    <col min="8184" max="8184" width="8.7109375" style="23" customWidth="1"/>
    <col min="8185" max="8185" width="9.85546875" style="23" customWidth="1"/>
    <col min="8186" max="8186" width="14.42578125" style="23" customWidth="1"/>
    <col min="8187" max="8187" width="7.28515625" style="23" customWidth="1"/>
    <col min="8188" max="8188" width="5.5703125" style="23" customWidth="1"/>
    <col min="8189" max="8189" width="9" style="23" customWidth="1"/>
    <col min="8190" max="8191" width="9.85546875" style="23" customWidth="1"/>
    <col min="8192" max="8192" width="11.140625" style="23" customWidth="1"/>
    <col min="8193" max="8193" width="2.85546875" style="23" customWidth="1"/>
    <col min="8194" max="8194" width="3.5703125" style="23" customWidth="1"/>
    <col min="8195" max="8439" width="9.140625" style="23"/>
    <col min="8440" max="8440" width="8.7109375" style="23" customWidth="1"/>
    <col min="8441" max="8441" width="9.85546875" style="23" customWidth="1"/>
    <col min="8442" max="8442" width="14.42578125" style="23" customWidth="1"/>
    <col min="8443" max="8443" width="7.28515625" style="23" customWidth="1"/>
    <col min="8444" max="8444" width="5.5703125" style="23" customWidth="1"/>
    <col min="8445" max="8445" width="9" style="23" customWidth="1"/>
    <col min="8446" max="8447" width="9.85546875" style="23" customWidth="1"/>
    <col min="8448" max="8448" width="11.140625" style="23" customWidth="1"/>
    <col min="8449" max="8449" width="2.85546875" style="23" customWidth="1"/>
    <col min="8450" max="8450" width="3.5703125" style="23" customWidth="1"/>
    <col min="8451" max="8695" width="9.140625" style="23"/>
    <col min="8696" max="8696" width="8.7109375" style="23" customWidth="1"/>
    <col min="8697" max="8697" width="9.85546875" style="23" customWidth="1"/>
    <col min="8698" max="8698" width="14.42578125" style="23" customWidth="1"/>
    <col min="8699" max="8699" width="7.28515625" style="23" customWidth="1"/>
    <col min="8700" max="8700" width="5.5703125" style="23" customWidth="1"/>
    <col min="8701" max="8701" width="9" style="23" customWidth="1"/>
    <col min="8702" max="8703" width="9.85546875" style="23" customWidth="1"/>
    <col min="8704" max="8704" width="11.140625" style="23" customWidth="1"/>
    <col min="8705" max="8705" width="2.85546875" style="23" customWidth="1"/>
    <col min="8706" max="8706" width="3.5703125" style="23" customWidth="1"/>
    <col min="8707" max="8951" width="9.140625" style="23"/>
    <col min="8952" max="8952" width="8.7109375" style="23" customWidth="1"/>
    <col min="8953" max="8953" width="9.85546875" style="23" customWidth="1"/>
    <col min="8954" max="8954" width="14.42578125" style="23" customWidth="1"/>
    <col min="8955" max="8955" width="7.28515625" style="23" customWidth="1"/>
    <col min="8956" max="8956" width="5.5703125" style="23" customWidth="1"/>
    <col min="8957" max="8957" width="9" style="23" customWidth="1"/>
    <col min="8958" max="8959" width="9.85546875" style="23" customWidth="1"/>
    <col min="8960" max="8960" width="11.140625" style="23" customWidth="1"/>
    <col min="8961" max="8961" width="2.85546875" style="23" customWidth="1"/>
    <col min="8962" max="8962" width="3.5703125" style="23" customWidth="1"/>
    <col min="8963" max="9207" width="9.140625" style="23"/>
    <col min="9208" max="9208" width="8.7109375" style="23" customWidth="1"/>
    <col min="9209" max="9209" width="9.85546875" style="23" customWidth="1"/>
    <col min="9210" max="9210" width="14.42578125" style="23" customWidth="1"/>
    <col min="9211" max="9211" width="7.28515625" style="23" customWidth="1"/>
    <col min="9212" max="9212" width="5.5703125" style="23" customWidth="1"/>
    <col min="9213" max="9213" width="9" style="23" customWidth="1"/>
    <col min="9214" max="9215" width="9.85546875" style="23" customWidth="1"/>
    <col min="9216" max="9216" width="11.140625" style="23" customWidth="1"/>
    <col min="9217" max="9217" width="2.85546875" style="23" customWidth="1"/>
    <col min="9218" max="9218" width="3.5703125" style="23" customWidth="1"/>
    <col min="9219" max="9463" width="9.140625" style="23"/>
    <col min="9464" max="9464" width="8.7109375" style="23" customWidth="1"/>
    <col min="9465" max="9465" width="9.85546875" style="23" customWidth="1"/>
    <col min="9466" max="9466" width="14.42578125" style="23" customWidth="1"/>
    <col min="9467" max="9467" width="7.28515625" style="23" customWidth="1"/>
    <col min="9468" max="9468" width="5.5703125" style="23" customWidth="1"/>
    <col min="9469" max="9469" width="9" style="23" customWidth="1"/>
    <col min="9470" max="9471" width="9.85546875" style="23" customWidth="1"/>
    <col min="9472" max="9472" width="11.140625" style="23" customWidth="1"/>
    <col min="9473" max="9473" width="2.85546875" style="23" customWidth="1"/>
    <col min="9474" max="9474" width="3.5703125" style="23" customWidth="1"/>
    <col min="9475" max="9719" width="9.140625" style="23"/>
    <col min="9720" max="9720" width="8.7109375" style="23" customWidth="1"/>
    <col min="9721" max="9721" width="9.85546875" style="23" customWidth="1"/>
    <col min="9722" max="9722" width="14.42578125" style="23" customWidth="1"/>
    <col min="9723" max="9723" width="7.28515625" style="23" customWidth="1"/>
    <col min="9724" max="9724" width="5.5703125" style="23" customWidth="1"/>
    <col min="9725" max="9725" width="9" style="23" customWidth="1"/>
    <col min="9726" max="9727" width="9.85546875" style="23" customWidth="1"/>
    <col min="9728" max="9728" width="11.140625" style="23" customWidth="1"/>
    <col min="9729" max="9729" width="2.85546875" style="23" customWidth="1"/>
    <col min="9730" max="9730" width="3.5703125" style="23" customWidth="1"/>
    <col min="9731" max="9975" width="9.140625" style="23"/>
    <col min="9976" max="9976" width="8.7109375" style="23" customWidth="1"/>
    <col min="9977" max="9977" width="9.85546875" style="23" customWidth="1"/>
    <col min="9978" max="9978" width="14.42578125" style="23" customWidth="1"/>
    <col min="9979" max="9979" width="7.28515625" style="23" customWidth="1"/>
    <col min="9980" max="9980" width="5.5703125" style="23" customWidth="1"/>
    <col min="9981" max="9981" width="9" style="23" customWidth="1"/>
    <col min="9982" max="9983" width="9.85546875" style="23" customWidth="1"/>
    <col min="9984" max="9984" width="11.140625" style="23" customWidth="1"/>
    <col min="9985" max="9985" width="2.85546875" style="23" customWidth="1"/>
    <col min="9986" max="9986" width="3.5703125" style="23" customWidth="1"/>
    <col min="9987" max="10231" width="9.140625" style="23"/>
    <col min="10232" max="10232" width="8.7109375" style="23" customWidth="1"/>
    <col min="10233" max="10233" width="9.85546875" style="23" customWidth="1"/>
    <col min="10234" max="10234" width="14.42578125" style="23" customWidth="1"/>
    <col min="10235" max="10235" width="7.28515625" style="23" customWidth="1"/>
    <col min="10236" max="10236" width="5.5703125" style="23" customWidth="1"/>
    <col min="10237" max="10237" width="9" style="23" customWidth="1"/>
    <col min="10238" max="10239" width="9.85546875" style="23" customWidth="1"/>
    <col min="10240" max="10240" width="11.140625" style="23" customWidth="1"/>
    <col min="10241" max="10241" width="2.85546875" style="23" customWidth="1"/>
    <col min="10242" max="10242" width="3.5703125" style="23" customWidth="1"/>
    <col min="10243" max="10487" width="9.140625" style="23"/>
    <col min="10488" max="10488" width="8.7109375" style="23" customWidth="1"/>
    <col min="10489" max="10489" width="9.85546875" style="23" customWidth="1"/>
    <col min="10490" max="10490" width="14.42578125" style="23" customWidth="1"/>
    <col min="10491" max="10491" width="7.28515625" style="23" customWidth="1"/>
    <col min="10492" max="10492" width="5.5703125" style="23" customWidth="1"/>
    <col min="10493" max="10493" width="9" style="23" customWidth="1"/>
    <col min="10494" max="10495" width="9.85546875" style="23" customWidth="1"/>
    <col min="10496" max="10496" width="11.140625" style="23" customWidth="1"/>
    <col min="10497" max="10497" width="2.85546875" style="23" customWidth="1"/>
    <col min="10498" max="10498" width="3.5703125" style="23" customWidth="1"/>
    <col min="10499" max="10743" width="9.140625" style="23"/>
    <col min="10744" max="10744" width="8.7109375" style="23" customWidth="1"/>
    <col min="10745" max="10745" width="9.85546875" style="23" customWidth="1"/>
    <col min="10746" max="10746" width="14.42578125" style="23" customWidth="1"/>
    <col min="10747" max="10747" width="7.28515625" style="23" customWidth="1"/>
    <col min="10748" max="10748" width="5.5703125" style="23" customWidth="1"/>
    <col min="10749" max="10749" width="9" style="23" customWidth="1"/>
    <col min="10750" max="10751" width="9.85546875" style="23" customWidth="1"/>
    <col min="10752" max="10752" width="11.140625" style="23" customWidth="1"/>
    <col min="10753" max="10753" width="2.85546875" style="23" customWidth="1"/>
    <col min="10754" max="10754" width="3.5703125" style="23" customWidth="1"/>
    <col min="10755" max="10999" width="9.140625" style="23"/>
    <col min="11000" max="11000" width="8.7109375" style="23" customWidth="1"/>
    <col min="11001" max="11001" width="9.85546875" style="23" customWidth="1"/>
    <col min="11002" max="11002" width="14.42578125" style="23" customWidth="1"/>
    <col min="11003" max="11003" width="7.28515625" style="23" customWidth="1"/>
    <col min="11004" max="11004" width="5.5703125" style="23" customWidth="1"/>
    <col min="11005" max="11005" width="9" style="23" customWidth="1"/>
    <col min="11006" max="11007" width="9.85546875" style="23" customWidth="1"/>
    <col min="11008" max="11008" width="11.140625" style="23" customWidth="1"/>
    <col min="11009" max="11009" width="2.85546875" style="23" customWidth="1"/>
    <col min="11010" max="11010" width="3.5703125" style="23" customWidth="1"/>
    <col min="11011" max="11255" width="9.140625" style="23"/>
    <col min="11256" max="11256" width="8.7109375" style="23" customWidth="1"/>
    <col min="11257" max="11257" width="9.85546875" style="23" customWidth="1"/>
    <col min="11258" max="11258" width="14.42578125" style="23" customWidth="1"/>
    <col min="11259" max="11259" width="7.28515625" style="23" customWidth="1"/>
    <col min="11260" max="11260" width="5.5703125" style="23" customWidth="1"/>
    <col min="11261" max="11261" width="9" style="23" customWidth="1"/>
    <col min="11262" max="11263" width="9.85546875" style="23" customWidth="1"/>
    <col min="11264" max="11264" width="11.140625" style="23" customWidth="1"/>
    <col min="11265" max="11265" width="2.85546875" style="23" customWidth="1"/>
    <col min="11266" max="11266" width="3.5703125" style="23" customWidth="1"/>
    <col min="11267" max="11511" width="9.140625" style="23"/>
    <col min="11512" max="11512" width="8.7109375" style="23" customWidth="1"/>
    <col min="11513" max="11513" width="9.85546875" style="23" customWidth="1"/>
    <col min="11514" max="11514" width="14.42578125" style="23" customWidth="1"/>
    <col min="11515" max="11515" width="7.28515625" style="23" customWidth="1"/>
    <col min="11516" max="11516" width="5.5703125" style="23" customWidth="1"/>
    <col min="11517" max="11517" width="9" style="23" customWidth="1"/>
    <col min="11518" max="11519" width="9.85546875" style="23" customWidth="1"/>
    <col min="11520" max="11520" width="11.140625" style="23" customWidth="1"/>
    <col min="11521" max="11521" width="2.85546875" style="23" customWidth="1"/>
    <col min="11522" max="11522" width="3.5703125" style="23" customWidth="1"/>
    <col min="11523" max="11767" width="9.140625" style="23"/>
    <col min="11768" max="11768" width="8.7109375" style="23" customWidth="1"/>
    <col min="11769" max="11769" width="9.85546875" style="23" customWidth="1"/>
    <col min="11770" max="11770" width="14.42578125" style="23" customWidth="1"/>
    <col min="11771" max="11771" width="7.28515625" style="23" customWidth="1"/>
    <col min="11772" max="11772" width="5.5703125" style="23" customWidth="1"/>
    <col min="11773" max="11773" width="9" style="23" customWidth="1"/>
    <col min="11774" max="11775" width="9.85546875" style="23" customWidth="1"/>
    <col min="11776" max="11776" width="11.140625" style="23" customWidth="1"/>
    <col min="11777" max="11777" width="2.85546875" style="23" customWidth="1"/>
    <col min="11778" max="11778" width="3.5703125" style="23" customWidth="1"/>
    <col min="11779" max="12023" width="9.140625" style="23"/>
    <col min="12024" max="12024" width="8.7109375" style="23" customWidth="1"/>
    <col min="12025" max="12025" width="9.85546875" style="23" customWidth="1"/>
    <col min="12026" max="12026" width="14.42578125" style="23" customWidth="1"/>
    <col min="12027" max="12027" width="7.28515625" style="23" customWidth="1"/>
    <col min="12028" max="12028" width="5.5703125" style="23" customWidth="1"/>
    <col min="12029" max="12029" width="9" style="23" customWidth="1"/>
    <col min="12030" max="12031" width="9.85546875" style="23" customWidth="1"/>
    <col min="12032" max="12032" width="11.140625" style="23" customWidth="1"/>
    <col min="12033" max="12033" width="2.85546875" style="23" customWidth="1"/>
    <col min="12034" max="12034" width="3.5703125" style="23" customWidth="1"/>
    <col min="12035" max="12279" width="9.140625" style="23"/>
    <col min="12280" max="12280" width="8.7109375" style="23" customWidth="1"/>
    <col min="12281" max="12281" width="9.85546875" style="23" customWidth="1"/>
    <col min="12282" max="12282" width="14.42578125" style="23" customWidth="1"/>
    <col min="12283" max="12283" width="7.28515625" style="23" customWidth="1"/>
    <col min="12284" max="12284" width="5.5703125" style="23" customWidth="1"/>
    <col min="12285" max="12285" width="9" style="23" customWidth="1"/>
    <col min="12286" max="12287" width="9.85546875" style="23" customWidth="1"/>
    <col min="12288" max="12288" width="11.140625" style="23" customWidth="1"/>
    <col min="12289" max="12289" width="2.85546875" style="23" customWidth="1"/>
    <col min="12290" max="12290" width="3.5703125" style="23" customWidth="1"/>
    <col min="12291" max="12535" width="9.140625" style="23"/>
    <col min="12536" max="12536" width="8.7109375" style="23" customWidth="1"/>
    <col min="12537" max="12537" width="9.85546875" style="23" customWidth="1"/>
    <col min="12538" max="12538" width="14.42578125" style="23" customWidth="1"/>
    <col min="12539" max="12539" width="7.28515625" style="23" customWidth="1"/>
    <col min="12540" max="12540" width="5.5703125" style="23" customWidth="1"/>
    <col min="12541" max="12541" width="9" style="23" customWidth="1"/>
    <col min="12542" max="12543" width="9.85546875" style="23" customWidth="1"/>
    <col min="12544" max="12544" width="11.140625" style="23" customWidth="1"/>
    <col min="12545" max="12545" width="2.85546875" style="23" customWidth="1"/>
    <col min="12546" max="12546" width="3.5703125" style="23" customWidth="1"/>
    <col min="12547" max="12791" width="9.140625" style="23"/>
    <col min="12792" max="12792" width="8.7109375" style="23" customWidth="1"/>
    <col min="12793" max="12793" width="9.85546875" style="23" customWidth="1"/>
    <col min="12794" max="12794" width="14.42578125" style="23" customWidth="1"/>
    <col min="12795" max="12795" width="7.28515625" style="23" customWidth="1"/>
    <col min="12796" max="12796" width="5.5703125" style="23" customWidth="1"/>
    <col min="12797" max="12797" width="9" style="23" customWidth="1"/>
    <col min="12798" max="12799" width="9.85546875" style="23" customWidth="1"/>
    <col min="12800" max="12800" width="11.140625" style="23" customWidth="1"/>
    <col min="12801" max="12801" width="2.85546875" style="23" customWidth="1"/>
    <col min="12802" max="12802" width="3.5703125" style="23" customWidth="1"/>
    <col min="12803" max="13047" width="9.140625" style="23"/>
    <col min="13048" max="13048" width="8.7109375" style="23" customWidth="1"/>
    <col min="13049" max="13049" width="9.85546875" style="23" customWidth="1"/>
    <col min="13050" max="13050" width="14.42578125" style="23" customWidth="1"/>
    <col min="13051" max="13051" width="7.28515625" style="23" customWidth="1"/>
    <col min="13052" max="13052" width="5.5703125" style="23" customWidth="1"/>
    <col min="13053" max="13053" width="9" style="23" customWidth="1"/>
    <col min="13054" max="13055" width="9.85546875" style="23" customWidth="1"/>
    <col min="13056" max="13056" width="11.140625" style="23" customWidth="1"/>
    <col min="13057" max="13057" width="2.85546875" style="23" customWidth="1"/>
    <col min="13058" max="13058" width="3.5703125" style="23" customWidth="1"/>
    <col min="13059" max="13303" width="9.140625" style="23"/>
    <col min="13304" max="13304" width="8.7109375" style="23" customWidth="1"/>
    <col min="13305" max="13305" width="9.85546875" style="23" customWidth="1"/>
    <col min="13306" max="13306" width="14.42578125" style="23" customWidth="1"/>
    <col min="13307" max="13307" width="7.28515625" style="23" customWidth="1"/>
    <col min="13308" max="13308" width="5.5703125" style="23" customWidth="1"/>
    <col min="13309" max="13309" width="9" style="23" customWidth="1"/>
    <col min="13310" max="13311" width="9.85546875" style="23" customWidth="1"/>
    <col min="13312" max="13312" width="11.140625" style="23" customWidth="1"/>
    <col min="13313" max="13313" width="2.85546875" style="23" customWidth="1"/>
    <col min="13314" max="13314" width="3.5703125" style="23" customWidth="1"/>
    <col min="13315" max="13559" width="9.140625" style="23"/>
    <col min="13560" max="13560" width="8.7109375" style="23" customWidth="1"/>
    <col min="13561" max="13561" width="9.85546875" style="23" customWidth="1"/>
    <col min="13562" max="13562" width="14.42578125" style="23" customWidth="1"/>
    <col min="13563" max="13563" width="7.28515625" style="23" customWidth="1"/>
    <col min="13564" max="13564" width="5.5703125" style="23" customWidth="1"/>
    <col min="13565" max="13565" width="9" style="23" customWidth="1"/>
    <col min="13566" max="13567" width="9.85546875" style="23" customWidth="1"/>
    <col min="13568" max="13568" width="11.140625" style="23" customWidth="1"/>
    <col min="13569" max="13569" width="2.85546875" style="23" customWidth="1"/>
    <col min="13570" max="13570" width="3.5703125" style="23" customWidth="1"/>
    <col min="13571" max="13815" width="9.140625" style="23"/>
    <col min="13816" max="13816" width="8.7109375" style="23" customWidth="1"/>
    <col min="13817" max="13817" width="9.85546875" style="23" customWidth="1"/>
    <col min="13818" max="13818" width="14.42578125" style="23" customWidth="1"/>
    <col min="13819" max="13819" width="7.28515625" style="23" customWidth="1"/>
    <col min="13820" max="13820" width="5.5703125" style="23" customWidth="1"/>
    <col min="13821" max="13821" width="9" style="23" customWidth="1"/>
    <col min="13822" max="13823" width="9.85546875" style="23" customWidth="1"/>
    <col min="13824" max="13824" width="11.140625" style="23" customWidth="1"/>
    <col min="13825" max="13825" width="2.85546875" style="23" customWidth="1"/>
    <col min="13826" max="13826" width="3.5703125" style="23" customWidth="1"/>
    <col min="13827" max="14071" width="9.140625" style="23"/>
    <col min="14072" max="14072" width="8.7109375" style="23" customWidth="1"/>
    <col min="14073" max="14073" width="9.85546875" style="23" customWidth="1"/>
    <col min="14074" max="14074" width="14.42578125" style="23" customWidth="1"/>
    <col min="14075" max="14075" width="7.28515625" style="23" customWidth="1"/>
    <col min="14076" max="14076" width="5.5703125" style="23" customWidth="1"/>
    <col min="14077" max="14077" width="9" style="23" customWidth="1"/>
    <col min="14078" max="14079" width="9.85546875" style="23" customWidth="1"/>
    <col min="14080" max="14080" width="11.140625" style="23" customWidth="1"/>
    <col min="14081" max="14081" width="2.85546875" style="23" customWidth="1"/>
    <col min="14082" max="14082" width="3.5703125" style="23" customWidth="1"/>
    <col min="14083" max="14327" width="9.140625" style="23"/>
    <col min="14328" max="14328" width="8.7109375" style="23" customWidth="1"/>
    <col min="14329" max="14329" width="9.85546875" style="23" customWidth="1"/>
    <col min="14330" max="14330" width="14.42578125" style="23" customWidth="1"/>
    <col min="14331" max="14331" width="7.28515625" style="23" customWidth="1"/>
    <col min="14332" max="14332" width="5.5703125" style="23" customWidth="1"/>
    <col min="14333" max="14333" width="9" style="23" customWidth="1"/>
    <col min="14334" max="14335" width="9.85546875" style="23" customWidth="1"/>
    <col min="14336" max="14336" width="11.140625" style="23" customWidth="1"/>
    <col min="14337" max="14337" width="2.85546875" style="23" customWidth="1"/>
    <col min="14338" max="14338" width="3.5703125" style="23" customWidth="1"/>
    <col min="14339" max="14583" width="9.140625" style="23"/>
    <col min="14584" max="14584" width="8.7109375" style="23" customWidth="1"/>
    <col min="14585" max="14585" width="9.85546875" style="23" customWidth="1"/>
    <col min="14586" max="14586" width="14.42578125" style="23" customWidth="1"/>
    <col min="14587" max="14587" width="7.28515625" style="23" customWidth="1"/>
    <col min="14588" max="14588" width="5.5703125" style="23" customWidth="1"/>
    <col min="14589" max="14589" width="9" style="23" customWidth="1"/>
    <col min="14590" max="14591" width="9.85546875" style="23" customWidth="1"/>
    <col min="14592" max="14592" width="11.140625" style="23" customWidth="1"/>
    <col min="14593" max="14593" width="2.85546875" style="23" customWidth="1"/>
    <col min="14594" max="14594" width="3.5703125" style="23" customWidth="1"/>
    <col min="14595" max="14839" width="9.140625" style="23"/>
    <col min="14840" max="14840" width="8.7109375" style="23" customWidth="1"/>
    <col min="14841" max="14841" width="9.85546875" style="23" customWidth="1"/>
    <col min="14842" max="14842" width="14.42578125" style="23" customWidth="1"/>
    <col min="14843" max="14843" width="7.28515625" style="23" customWidth="1"/>
    <col min="14844" max="14844" width="5.5703125" style="23" customWidth="1"/>
    <col min="14845" max="14845" width="9" style="23" customWidth="1"/>
    <col min="14846" max="14847" width="9.85546875" style="23" customWidth="1"/>
    <col min="14848" max="14848" width="11.140625" style="23" customWidth="1"/>
    <col min="14849" max="14849" width="2.85546875" style="23" customWidth="1"/>
    <col min="14850" max="14850" width="3.5703125" style="23" customWidth="1"/>
    <col min="14851" max="15095" width="9.140625" style="23"/>
    <col min="15096" max="15096" width="8.7109375" style="23" customWidth="1"/>
    <col min="15097" max="15097" width="9.85546875" style="23" customWidth="1"/>
    <col min="15098" max="15098" width="14.42578125" style="23" customWidth="1"/>
    <col min="15099" max="15099" width="7.28515625" style="23" customWidth="1"/>
    <col min="15100" max="15100" width="5.5703125" style="23" customWidth="1"/>
    <col min="15101" max="15101" width="9" style="23" customWidth="1"/>
    <col min="15102" max="15103" width="9.85546875" style="23" customWidth="1"/>
    <col min="15104" max="15104" width="11.140625" style="23" customWidth="1"/>
    <col min="15105" max="15105" width="2.85546875" style="23" customWidth="1"/>
    <col min="15106" max="15106" width="3.5703125" style="23" customWidth="1"/>
    <col min="15107" max="15351" width="9.140625" style="23"/>
    <col min="15352" max="15352" width="8.7109375" style="23" customWidth="1"/>
    <col min="15353" max="15353" width="9.85546875" style="23" customWidth="1"/>
    <col min="15354" max="15354" width="14.42578125" style="23" customWidth="1"/>
    <col min="15355" max="15355" width="7.28515625" style="23" customWidth="1"/>
    <col min="15356" max="15356" width="5.5703125" style="23" customWidth="1"/>
    <col min="15357" max="15357" width="9" style="23" customWidth="1"/>
    <col min="15358" max="15359" width="9.85546875" style="23" customWidth="1"/>
    <col min="15360" max="15360" width="11.140625" style="23" customWidth="1"/>
    <col min="15361" max="15361" width="2.85546875" style="23" customWidth="1"/>
    <col min="15362" max="15362" width="3.5703125" style="23" customWidth="1"/>
    <col min="15363" max="15607" width="9.140625" style="23"/>
    <col min="15608" max="15608" width="8.7109375" style="23" customWidth="1"/>
    <col min="15609" max="15609" width="9.85546875" style="23" customWidth="1"/>
    <col min="15610" max="15610" width="14.42578125" style="23" customWidth="1"/>
    <col min="15611" max="15611" width="7.28515625" style="23" customWidth="1"/>
    <col min="15612" max="15612" width="5.5703125" style="23" customWidth="1"/>
    <col min="15613" max="15613" width="9" style="23" customWidth="1"/>
    <col min="15614" max="15615" width="9.85546875" style="23" customWidth="1"/>
    <col min="15616" max="15616" width="11.140625" style="23" customWidth="1"/>
    <col min="15617" max="15617" width="2.85546875" style="23" customWidth="1"/>
    <col min="15618" max="15618" width="3.5703125" style="23" customWidth="1"/>
    <col min="15619" max="15863" width="9.140625" style="23"/>
    <col min="15864" max="15864" width="8.7109375" style="23" customWidth="1"/>
    <col min="15865" max="15865" width="9.85546875" style="23" customWidth="1"/>
    <col min="15866" max="15866" width="14.42578125" style="23" customWidth="1"/>
    <col min="15867" max="15867" width="7.28515625" style="23" customWidth="1"/>
    <col min="15868" max="15868" width="5.5703125" style="23" customWidth="1"/>
    <col min="15869" max="15869" width="9" style="23" customWidth="1"/>
    <col min="15870" max="15871" width="9.85546875" style="23" customWidth="1"/>
    <col min="15872" max="15872" width="11.140625" style="23" customWidth="1"/>
    <col min="15873" max="15873" width="2.85546875" style="23" customWidth="1"/>
    <col min="15874" max="15874" width="3.5703125" style="23" customWidth="1"/>
    <col min="15875" max="16119" width="9.140625" style="23"/>
    <col min="16120" max="16120" width="8.7109375" style="23" customWidth="1"/>
    <col min="16121" max="16121" width="9.85546875" style="23" customWidth="1"/>
    <col min="16122" max="16122" width="14.42578125" style="23" customWidth="1"/>
    <col min="16123" max="16123" width="7.28515625" style="23" customWidth="1"/>
    <col min="16124" max="16124" width="5.5703125" style="23" customWidth="1"/>
    <col min="16125" max="16125" width="9" style="23" customWidth="1"/>
    <col min="16126" max="16127" width="9.85546875" style="23" customWidth="1"/>
    <col min="16128" max="16128" width="11.140625" style="23" customWidth="1"/>
    <col min="16129" max="16129" width="2.85546875" style="23" customWidth="1"/>
    <col min="16130" max="16130" width="3.5703125" style="23" customWidth="1"/>
    <col min="16131" max="16384" width="9.140625" style="23"/>
  </cols>
  <sheetData>
    <row r="1" spans="1:12" ht="46.5" customHeight="1" x14ac:dyDescent="0.25">
      <c r="A1" s="247" t="s">
        <v>213</v>
      </c>
      <c r="B1" s="247"/>
      <c r="C1" s="247"/>
      <c r="D1" s="247"/>
      <c r="E1" s="247"/>
      <c r="F1" s="247"/>
      <c r="G1" s="247"/>
      <c r="H1" s="247"/>
    </row>
    <row r="2" spans="1:12" ht="16.5" customHeight="1" x14ac:dyDescent="0.25">
      <c r="A2" s="203" t="s">
        <v>0</v>
      </c>
      <c r="B2" s="203"/>
      <c r="C2" s="203"/>
      <c r="D2" s="203"/>
      <c r="E2" s="203"/>
      <c r="F2" s="203"/>
      <c r="G2" s="203"/>
      <c r="H2" s="203"/>
    </row>
    <row r="3" spans="1:12" x14ac:dyDescent="0.25">
      <c r="A3" s="231" t="s">
        <v>1</v>
      </c>
      <c r="B3" s="231"/>
      <c r="C3" s="231"/>
      <c r="D3" s="231"/>
      <c r="E3" s="231" t="str">
        <f ca="1">TEXT(TODAY(),"DD/MM/YYYY")</f>
        <v>10/09/2025</v>
      </c>
      <c r="F3" s="231"/>
      <c r="G3" s="231"/>
      <c r="H3" s="231"/>
    </row>
    <row r="4" spans="1:12" ht="15" customHeight="1" x14ac:dyDescent="0.25">
      <c r="A4" s="231" t="s">
        <v>2</v>
      </c>
      <c r="B4" s="231"/>
      <c r="C4" s="231"/>
      <c r="D4" s="231"/>
      <c r="E4" s="231" t="s">
        <v>176</v>
      </c>
      <c r="F4" s="231"/>
      <c r="G4" s="231"/>
      <c r="H4" s="231"/>
    </row>
    <row r="5" spans="1:12" x14ac:dyDescent="0.25">
      <c r="A5" s="231" t="s">
        <v>3</v>
      </c>
      <c r="B5" s="231"/>
      <c r="C5" s="231"/>
      <c r="D5" s="231"/>
      <c r="E5" s="248">
        <v>45910</v>
      </c>
      <c r="F5" s="231"/>
      <c r="G5" s="231"/>
      <c r="H5" s="231"/>
    </row>
    <row r="6" spans="1:12" ht="16.5" customHeight="1" x14ac:dyDescent="0.25">
      <c r="A6" s="231" t="s">
        <v>4</v>
      </c>
      <c r="B6" s="231"/>
      <c r="C6" s="231"/>
      <c r="D6" s="231"/>
      <c r="E6" s="231" t="s">
        <v>245</v>
      </c>
      <c r="F6" s="231"/>
      <c r="G6" s="231"/>
      <c r="H6" s="231"/>
      <c r="I6" s="231" t="s">
        <v>207</v>
      </c>
      <c r="J6" s="231"/>
      <c r="K6" s="231"/>
      <c r="L6" s="231"/>
    </row>
    <row r="7" spans="1:12" ht="15" customHeight="1" x14ac:dyDescent="0.25">
      <c r="A7" s="231" t="s">
        <v>5</v>
      </c>
      <c r="B7" s="231"/>
      <c r="C7" s="231"/>
      <c r="D7" s="231"/>
      <c r="E7" s="231" t="str">
        <f>E6</f>
        <v>Saroj Landmark Realty LLP</v>
      </c>
      <c r="F7" s="231"/>
      <c r="G7" s="231"/>
      <c r="H7" s="231"/>
    </row>
    <row r="8" spans="1:12" x14ac:dyDescent="0.25">
      <c r="A8" s="231" t="s">
        <v>6</v>
      </c>
      <c r="B8" s="231"/>
      <c r="C8" s="231"/>
      <c r="D8" s="231"/>
      <c r="E8" s="185" t="s">
        <v>177</v>
      </c>
      <c r="F8" s="185"/>
      <c r="G8" s="185"/>
      <c r="H8" s="185"/>
    </row>
    <row r="9" spans="1:12" x14ac:dyDescent="0.25">
      <c r="A9" s="231" t="s">
        <v>124</v>
      </c>
      <c r="B9" s="231"/>
      <c r="C9" s="231"/>
      <c r="D9" s="231"/>
      <c r="E9" s="231">
        <v>9152010697</v>
      </c>
      <c r="F9" s="231"/>
      <c r="G9" s="231"/>
      <c r="H9" s="231"/>
    </row>
    <row r="10" spans="1:12" ht="33" customHeight="1" x14ac:dyDescent="0.25">
      <c r="A10" s="231" t="s">
        <v>212</v>
      </c>
      <c r="B10" s="231"/>
      <c r="C10" s="231"/>
      <c r="D10" s="231"/>
      <c r="E10" s="163" t="s">
        <v>240</v>
      </c>
      <c r="F10" s="231"/>
      <c r="G10" s="231"/>
      <c r="H10" s="231"/>
      <c r="I10" s="231" t="s">
        <v>230</v>
      </c>
      <c r="J10" s="231"/>
      <c r="K10" s="231"/>
      <c r="L10" s="231"/>
    </row>
    <row r="11" spans="1:12" x14ac:dyDescent="0.25">
      <c r="A11" s="231" t="s">
        <v>7</v>
      </c>
      <c r="B11" s="231"/>
      <c r="C11" s="231"/>
      <c r="D11" s="231"/>
      <c r="E11" s="231" t="s">
        <v>199</v>
      </c>
      <c r="F11" s="231"/>
      <c r="G11" s="231"/>
      <c r="H11" s="231"/>
    </row>
    <row r="12" spans="1:12" x14ac:dyDescent="0.25">
      <c r="A12" s="156" t="s">
        <v>8</v>
      </c>
      <c r="B12" s="156"/>
      <c r="C12" s="156"/>
      <c r="D12" s="156"/>
      <c r="E12" s="163" t="s">
        <v>206</v>
      </c>
      <c r="F12" s="163"/>
      <c r="G12" s="163"/>
      <c r="H12" s="163"/>
    </row>
    <row r="13" spans="1:12" x14ac:dyDescent="0.25">
      <c r="A13" s="156" t="s">
        <v>9</v>
      </c>
      <c r="B13" s="156"/>
      <c r="C13" s="156"/>
      <c r="D13" s="156"/>
      <c r="E13" s="163" t="s">
        <v>178</v>
      </c>
      <c r="F13" s="231"/>
      <c r="G13" s="231"/>
      <c r="H13" s="231"/>
    </row>
    <row r="14" spans="1:12" ht="98.25" customHeight="1" x14ac:dyDescent="0.25">
      <c r="A14" s="174" t="s">
        <v>10</v>
      </c>
      <c r="B14" s="174"/>
      <c r="C14" s="174" t="s">
        <v>231</v>
      </c>
      <c r="D14" s="174"/>
      <c r="E14" s="174"/>
      <c r="F14" s="174"/>
      <c r="G14" s="174"/>
      <c r="H14" s="174"/>
    </row>
    <row r="15" spans="1:12" x14ac:dyDescent="0.25">
      <c r="A15" s="163" t="s">
        <v>180</v>
      </c>
      <c r="B15" s="163"/>
      <c r="C15" s="163" t="s">
        <v>181</v>
      </c>
      <c r="D15" s="163"/>
      <c r="E15" s="163"/>
      <c r="F15" s="163"/>
      <c r="G15" s="163"/>
      <c r="H15" s="163"/>
    </row>
    <row r="16" spans="1:12" ht="15.75" customHeight="1" x14ac:dyDescent="0.25">
      <c r="A16" s="158" t="s">
        <v>169</v>
      </c>
      <c r="B16" s="159"/>
      <c r="C16" s="158" t="s">
        <v>186</v>
      </c>
      <c r="D16" s="160"/>
      <c r="E16" s="160"/>
      <c r="F16" s="160"/>
      <c r="G16" s="160"/>
      <c r="H16" s="159"/>
    </row>
    <row r="17" spans="1:8" ht="15.75" customHeight="1" x14ac:dyDescent="0.25">
      <c r="A17" s="174" t="s">
        <v>11</v>
      </c>
      <c r="B17" s="174"/>
      <c r="C17" s="231" t="s">
        <v>173</v>
      </c>
      <c r="D17" s="231"/>
      <c r="E17" s="174" t="s">
        <v>170</v>
      </c>
      <c r="F17" s="174"/>
      <c r="G17" s="163" t="s">
        <v>182</v>
      </c>
      <c r="H17" s="163"/>
    </row>
    <row r="18" spans="1:8" x14ac:dyDescent="0.25">
      <c r="A18" s="156" t="s">
        <v>13</v>
      </c>
      <c r="B18" s="156"/>
      <c r="C18" s="163" t="s">
        <v>183</v>
      </c>
      <c r="D18" s="163"/>
      <c r="E18" s="174" t="s">
        <v>12</v>
      </c>
      <c r="F18" s="174"/>
      <c r="G18" s="246" t="s">
        <v>184</v>
      </c>
      <c r="H18" s="246"/>
    </row>
    <row r="19" spans="1:8" x14ac:dyDescent="0.25">
      <c r="A19" s="156" t="s">
        <v>74</v>
      </c>
      <c r="B19" s="156"/>
      <c r="C19" s="163" t="s">
        <v>185</v>
      </c>
      <c r="D19" s="163"/>
      <c r="E19" s="174" t="s">
        <v>14</v>
      </c>
      <c r="F19" s="174"/>
      <c r="G19" s="163">
        <v>400066</v>
      </c>
      <c r="H19" s="163"/>
    </row>
    <row r="20" spans="1:8" ht="32.25" customHeight="1" x14ac:dyDescent="0.25">
      <c r="A20" s="156" t="s">
        <v>125</v>
      </c>
      <c r="B20" s="156"/>
      <c r="C20" s="163" t="s">
        <v>188</v>
      </c>
      <c r="D20" s="163"/>
      <c r="E20" s="174" t="s">
        <v>15</v>
      </c>
      <c r="F20" s="174"/>
      <c r="G20" s="163" t="s">
        <v>187</v>
      </c>
      <c r="H20" s="163"/>
    </row>
    <row r="21" spans="1:8" ht="15" customHeight="1" x14ac:dyDescent="0.25">
      <c r="A21" s="174" t="s">
        <v>77</v>
      </c>
      <c r="B21" s="174"/>
      <c r="C21" s="174"/>
      <c r="D21" s="174"/>
      <c r="E21" s="231" t="s">
        <v>16</v>
      </c>
      <c r="F21" s="231"/>
      <c r="G21" s="231"/>
      <c r="H21" s="231"/>
    </row>
    <row r="22" spans="1:8" ht="18.75" customHeight="1" x14ac:dyDescent="0.25">
      <c r="A22" s="174"/>
      <c r="B22" s="174"/>
      <c r="C22" s="174"/>
      <c r="D22" s="174"/>
      <c r="E22" s="231"/>
      <c r="F22" s="231"/>
      <c r="G22" s="231"/>
      <c r="H22" s="231"/>
    </row>
    <row r="23" spans="1:8" ht="15" customHeight="1" x14ac:dyDescent="0.25">
      <c r="A23" s="174" t="s">
        <v>17</v>
      </c>
      <c r="B23" s="174"/>
      <c r="C23" s="174"/>
      <c r="D23" s="174"/>
      <c r="E23" s="163" t="s">
        <v>18</v>
      </c>
      <c r="F23" s="163"/>
      <c r="G23" s="163"/>
      <c r="H23" s="163"/>
    </row>
    <row r="24" spans="1:8" ht="15" customHeight="1" x14ac:dyDescent="0.25">
      <c r="A24" s="156" t="s">
        <v>19</v>
      </c>
      <c r="B24" s="156"/>
      <c r="C24" s="156"/>
      <c r="D24" s="156"/>
      <c r="E24" s="163" t="str">
        <f>IF(AND(G18="Mumbai"),"Upper Class","Middle Class")</f>
        <v>Upper Class</v>
      </c>
      <c r="F24" s="163"/>
      <c r="G24" s="163"/>
      <c r="H24" s="163"/>
    </row>
    <row r="25" spans="1:8" x14ac:dyDescent="0.25">
      <c r="A25" s="156" t="s">
        <v>20</v>
      </c>
      <c r="B25" s="156"/>
      <c r="C25" s="156"/>
      <c r="D25" s="156"/>
      <c r="E25" s="163" t="s">
        <v>21</v>
      </c>
      <c r="F25" s="163"/>
      <c r="G25" s="163"/>
      <c r="H25" s="163"/>
    </row>
    <row r="26" spans="1:8" ht="15.75" customHeight="1" x14ac:dyDescent="0.25">
      <c r="A26" s="156" t="s">
        <v>22</v>
      </c>
      <c r="B26" s="156"/>
      <c r="C26" s="156"/>
      <c r="D26" s="156"/>
      <c r="E26" s="163" t="str">
        <f>IF(AND(G18="Mumbai"),"Developed","Developing")</f>
        <v>Developed</v>
      </c>
      <c r="F26" s="163"/>
      <c r="G26" s="163"/>
      <c r="H26" s="163"/>
    </row>
    <row r="27" spans="1:8" x14ac:dyDescent="0.25">
      <c r="A27" s="156" t="s">
        <v>23</v>
      </c>
      <c r="B27" s="156"/>
      <c r="C27" s="156"/>
      <c r="D27" s="156"/>
      <c r="E27" s="163" t="s">
        <v>24</v>
      </c>
      <c r="F27" s="163"/>
      <c r="G27" s="163"/>
      <c r="H27" s="163"/>
    </row>
    <row r="28" spans="1:8" ht="15.75" customHeight="1" x14ac:dyDescent="0.25">
      <c r="A28" s="156" t="s">
        <v>82</v>
      </c>
      <c r="B28" s="156"/>
      <c r="C28" s="156"/>
      <c r="D28" s="156"/>
      <c r="E28" s="163" t="s">
        <v>83</v>
      </c>
      <c r="F28" s="163"/>
      <c r="G28" s="163"/>
      <c r="H28" s="163"/>
    </row>
    <row r="29" spans="1:8" ht="15" customHeight="1" x14ac:dyDescent="0.25">
      <c r="A29" s="156" t="s">
        <v>33</v>
      </c>
      <c r="B29" s="156"/>
      <c r="C29" s="156"/>
      <c r="D29" s="156"/>
      <c r="E29" s="16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63"/>
      <c r="G29" s="163"/>
      <c r="H29" s="163"/>
    </row>
    <row r="30" spans="1:8" ht="15.75" customHeight="1" x14ac:dyDescent="0.25">
      <c r="A30" s="156" t="s">
        <v>94</v>
      </c>
      <c r="B30" s="156"/>
      <c r="C30" s="156"/>
      <c r="D30" s="156"/>
      <c r="E30" s="163" t="s">
        <v>34</v>
      </c>
      <c r="F30" s="163"/>
      <c r="G30" s="163"/>
      <c r="H30" s="163"/>
    </row>
    <row r="31" spans="1:8" s="24" customFormat="1" x14ac:dyDescent="0.25">
      <c r="A31" s="245" t="s">
        <v>95</v>
      </c>
      <c r="B31" s="245"/>
      <c r="C31" s="244" t="s">
        <v>29</v>
      </c>
      <c r="D31" s="244"/>
      <c r="E31" s="244"/>
      <c r="F31" s="244" t="s">
        <v>31</v>
      </c>
      <c r="G31" s="244"/>
      <c r="H31" s="244"/>
    </row>
    <row r="32" spans="1:8" s="24" customFormat="1" x14ac:dyDescent="0.25">
      <c r="A32" s="205" t="s">
        <v>25</v>
      </c>
      <c r="B32" s="205" t="s">
        <v>30</v>
      </c>
      <c r="C32" s="206" t="s">
        <v>235</v>
      </c>
      <c r="D32" s="206"/>
      <c r="E32" s="206"/>
      <c r="F32" s="206" t="s">
        <v>179</v>
      </c>
      <c r="G32" s="206"/>
      <c r="H32" s="206"/>
    </row>
    <row r="33" spans="1:13" x14ac:dyDescent="0.25">
      <c r="A33" s="205" t="s">
        <v>26</v>
      </c>
      <c r="B33" s="205" t="s">
        <v>30</v>
      </c>
      <c r="C33" s="206" t="s">
        <v>234</v>
      </c>
      <c r="D33" s="206"/>
      <c r="E33" s="206"/>
      <c r="F33" s="206" t="s">
        <v>173</v>
      </c>
      <c r="G33" s="206"/>
      <c r="H33" s="206"/>
    </row>
    <row r="34" spans="1:13" s="24" customFormat="1" x14ac:dyDescent="0.25">
      <c r="A34" s="205" t="s">
        <v>28</v>
      </c>
      <c r="B34" s="205" t="s">
        <v>30</v>
      </c>
      <c r="C34" s="206" t="s">
        <v>237</v>
      </c>
      <c r="D34" s="206"/>
      <c r="E34" s="206"/>
      <c r="F34" s="206" t="s">
        <v>172</v>
      </c>
      <c r="G34" s="206"/>
      <c r="H34" s="206"/>
    </row>
    <row r="35" spans="1:13" x14ac:dyDescent="0.25">
      <c r="A35" s="205" t="s">
        <v>27</v>
      </c>
      <c r="B35" s="205" t="s">
        <v>30</v>
      </c>
      <c r="C35" s="206" t="s">
        <v>236</v>
      </c>
      <c r="D35" s="206"/>
      <c r="E35" s="206"/>
      <c r="F35" s="206" t="s">
        <v>174</v>
      </c>
      <c r="G35" s="206"/>
      <c r="H35" s="206"/>
    </row>
    <row r="36" spans="1:13" x14ac:dyDescent="0.25">
      <c r="A36" s="156" t="s">
        <v>32</v>
      </c>
      <c r="B36" s="156"/>
      <c r="C36" s="156"/>
      <c r="D36" s="156"/>
      <c r="E36" s="156"/>
      <c r="F36" s="156"/>
      <c r="G36" s="156"/>
      <c r="H36" s="156"/>
    </row>
    <row r="37" spans="1:13" ht="15.75" customHeight="1" x14ac:dyDescent="0.25">
      <c r="A37" s="161" t="s">
        <v>215</v>
      </c>
      <c r="B37" s="161"/>
      <c r="C37" s="228" t="s">
        <v>216</v>
      </c>
      <c r="D37" s="229"/>
      <c r="E37" s="229"/>
      <c r="F37" s="229"/>
      <c r="G37" s="229"/>
      <c r="H37" s="230"/>
    </row>
    <row r="38" spans="1:13" x14ac:dyDescent="0.25">
      <c r="A38" s="161" t="s">
        <v>168</v>
      </c>
      <c r="B38" s="161"/>
      <c r="C38" s="162" t="s">
        <v>175</v>
      </c>
      <c r="D38" s="163"/>
      <c r="E38" s="163"/>
      <c r="F38" s="163"/>
      <c r="G38" s="163"/>
      <c r="H38" s="163"/>
    </row>
    <row r="39" spans="1:13" x14ac:dyDescent="0.25">
      <c r="A39" s="161" t="s">
        <v>35</v>
      </c>
      <c r="B39" s="161"/>
      <c r="C39" s="161"/>
      <c r="D39" s="161"/>
      <c r="E39" s="161"/>
      <c r="F39" s="161"/>
      <c r="G39" s="161"/>
      <c r="H39" s="161"/>
    </row>
    <row r="40" spans="1:13" x14ac:dyDescent="0.25">
      <c r="A40" s="156" t="s">
        <v>36</v>
      </c>
      <c r="B40" s="156"/>
      <c r="C40" s="156"/>
      <c r="D40" s="156"/>
      <c r="E40" s="207">
        <v>15803.75</v>
      </c>
      <c r="F40" s="207"/>
      <c r="G40" s="207"/>
      <c r="H40" s="207"/>
    </row>
    <row r="41" spans="1:13" x14ac:dyDescent="0.25">
      <c r="A41" s="156" t="s">
        <v>37</v>
      </c>
      <c r="B41" s="156"/>
      <c r="C41" s="156"/>
      <c r="D41" s="156"/>
      <c r="E41" s="238">
        <v>4</v>
      </c>
      <c r="F41" s="238"/>
      <c r="G41" s="238"/>
      <c r="H41" s="238"/>
    </row>
    <row r="42" spans="1:13" x14ac:dyDescent="0.25">
      <c r="A42" s="156" t="s">
        <v>38</v>
      </c>
      <c r="B42" s="156"/>
      <c r="C42" s="156"/>
      <c r="D42" s="156"/>
      <c r="E42" s="238">
        <f>E44/E40-E41</f>
        <v>2.3581162698726565</v>
      </c>
      <c r="F42" s="238"/>
      <c r="G42" s="238"/>
      <c r="H42" s="238"/>
    </row>
    <row r="43" spans="1:13" x14ac:dyDescent="0.25">
      <c r="A43" s="156" t="s">
        <v>39</v>
      </c>
      <c r="B43" s="156"/>
      <c r="C43" s="156"/>
      <c r="D43" s="156"/>
      <c r="E43" s="238">
        <f>E41+E42</f>
        <v>6.3581162698726565</v>
      </c>
      <c r="F43" s="238"/>
      <c r="G43" s="238"/>
      <c r="H43" s="238"/>
    </row>
    <row r="44" spans="1:13" x14ac:dyDescent="0.25">
      <c r="A44" s="156" t="s">
        <v>93</v>
      </c>
      <c r="B44" s="156"/>
      <c r="C44" s="156"/>
      <c r="D44" s="156"/>
      <c r="E44" s="239">
        <v>100482.08</v>
      </c>
      <c r="F44" s="239"/>
      <c r="G44" s="239"/>
      <c r="H44" s="239"/>
    </row>
    <row r="45" spans="1:13" x14ac:dyDescent="0.25">
      <c r="A45" s="231" t="s">
        <v>40</v>
      </c>
      <c r="B45" s="231"/>
      <c r="C45" s="231"/>
      <c r="D45" s="231"/>
      <c r="E45" s="231" t="s">
        <v>198</v>
      </c>
      <c r="F45" s="231"/>
      <c r="G45" s="231"/>
      <c r="H45" s="231"/>
    </row>
    <row r="46" spans="1:13" x14ac:dyDescent="0.25">
      <c r="A46" s="161" t="s">
        <v>41</v>
      </c>
      <c r="B46" s="161"/>
      <c r="C46" s="161"/>
      <c r="D46" s="161"/>
      <c r="E46" s="161"/>
      <c r="F46" s="161"/>
      <c r="G46" s="161"/>
      <c r="H46" s="161"/>
    </row>
    <row r="47" spans="1:13" ht="33.75" customHeight="1" x14ac:dyDescent="0.25">
      <c r="A47" s="121" t="s">
        <v>158</v>
      </c>
      <c r="B47" s="123"/>
      <c r="C47" s="188" t="s">
        <v>189</v>
      </c>
      <c r="D47" s="189"/>
      <c r="E47" s="189"/>
      <c r="F47" s="189"/>
      <c r="G47" s="189"/>
      <c r="H47" s="190"/>
    </row>
    <row r="48" spans="1:13" ht="15.75" customHeight="1" x14ac:dyDescent="0.25">
      <c r="A48" s="121" t="s">
        <v>42</v>
      </c>
      <c r="B48" s="123"/>
      <c r="C48" s="121" t="s">
        <v>246</v>
      </c>
      <c r="D48" s="122"/>
      <c r="E48" s="123"/>
      <c r="F48" s="20" t="s">
        <v>43</v>
      </c>
      <c r="G48" s="124">
        <v>45723</v>
      </c>
      <c r="H48" s="123"/>
      <c r="I48" s="121" t="s">
        <v>190</v>
      </c>
      <c r="J48" s="122"/>
      <c r="K48" s="123"/>
      <c r="L48" s="124">
        <v>45343</v>
      </c>
      <c r="M48" s="123"/>
    </row>
    <row r="49" spans="1:14" x14ac:dyDescent="0.25">
      <c r="A49" s="121" t="s">
        <v>44</v>
      </c>
      <c r="B49" s="123"/>
      <c r="C49" s="121" t="str">
        <f>C48</f>
        <v>R-C/MHADA/0005/20050623/AP/S-1</v>
      </c>
      <c r="D49" s="122"/>
      <c r="E49" s="123"/>
      <c r="F49" s="20" t="s">
        <v>43</v>
      </c>
      <c r="G49" s="124">
        <f>G48</f>
        <v>45723</v>
      </c>
      <c r="H49" s="233"/>
    </row>
    <row r="50" spans="1:14" s="25" customFormat="1" ht="15.75" customHeight="1" x14ac:dyDescent="0.25">
      <c r="A50" s="234" t="s">
        <v>161</v>
      </c>
      <c r="B50" s="235"/>
      <c r="C50" s="121" t="s">
        <v>242</v>
      </c>
      <c r="D50" s="122"/>
      <c r="E50" s="123"/>
      <c r="F50" s="20" t="s">
        <v>43</v>
      </c>
      <c r="G50" s="124">
        <v>45723</v>
      </c>
      <c r="H50" s="233"/>
    </row>
    <row r="51" spans="1:14" s="25" customFormat="1" ht="96.75" customHeight="1" x14ac:dyDescent="0.25">
      <c r="A51" s="236"/>
      <c r="B51" s="237"/>
      <c r="C51" s="158" t="s">
        <v>243</v>
      </c>
      <c r="D51" s="160"/>
      <c r="E51" s="160"/>
      <c r="F51" s="160"/>
      <c r="G51" s="160"/>
      <c r="H51" s="159"/>
    </row>
    <row r="52" spans="1:14" x14ac:dyDescent="0.25">
      <c r="A52" s="253" t="s">
        <v>171</v>
      </c>
      <c r="B52" s="254"/>
      <c r="C52" s="240" t="s">
        <v>30</v>
      </c>
      <c r="D52" s="241"/>
      <c r="E52" s="242"/>
      <c r="F52" s="54" t="s">
        <v>43</v>
      </c>
      <c r="G52" s="251" t="s">
        <v>30</v>
      </c>
      <c r="H52" s="252"/>
    </row>
    <row r="53" spans="1:14" x14ac:dyDescent="0.25">
      <c r="A53" s="255"/>
      <c r="B53" s="256"/>
      <c r="C53" s="240" t="s">
        <v>30</v>
      </c>
      <c r="D53" s="241"/>
      <c r="E53" s="241"/>
      <c r="F53" s="241"/>
      <c r="G53" s="241"/>
      <c r="H53" s="242"/>
    </row>
    <row r="54" spans="1:14" x14ac:dyDescent="0.25">
      <c r="A54" s="243" t="s">
        <v>46</v>
      </c>
      <c r="B54" s="243"/>
      <c r="C54" s="243"/>
      <c r="D54" s="243"/>
      <c r="E54" s="243"/>
      <c r="F54" s="243"/>
      <c r="G54" s="243"/>
      <c r="H54" s="243"/>
    </row>
    <row r="55" spans="1:14" x14ac:dyDescent="0.25">
      <c r="A55" s="174" t="s">
        <v>92</v>
      </c>
      <c r="B55" s="174"/>
      <c r="C55" s="174"/>
      <c r="D55" s="156">
        <f>E44</f>
        <v>100482.08</v>
      </c>
      <c r="E55" s="156"/>
      <c r="F55" s="156"/>
      <c r="G55" s="156"/>
      <c r="H55" s="156"/>
    </row>
    <row r="56" spans="1:14" ht="17.25" customHeight="1" x14ac:dyDescent="0.25">
      <c r="A56" s="163" t="s">
        <v>47</v>
      </c>
      <c r="B56" s="231"/>
      <c r="C56" s="231"/>
      <c r="D56" s="163" t="s">
        <v>261</v>
      </c>
      <c r="E56" s="231"/>
      <c r="F56" s="231"/>
      <c r="G56" s="231"/>
      <c r="H56" s="231"/>
      <c r="I56" s="26"/>
    </row>
    <row r="57" spans="1:14" ht="63.75" customHeight="1" x14ac:dyDescent="0.25">
      <c r="A57" s="210" t="s">
        <v>48</v>
      </c>
      <c r="B57" s="211"/>
      <c r="C57" s="224"/>
      <c r="D57" s="176" t="s">
        <v>260</v>
      </c>
      <c r="E57" s="232"/>
      <c r="F57" s="232"/>
      <c r="G57" s="232"/>
      <c r="H57" s="232"/>
      <c r="I57" s="27"/>
    </row>
    <row r="58" spans="1:14" ht="31.5" customHeight="1" x14ac:dyDescent="0.25">
      <c r="A58" s="210" t="s">
        <v>90</v>
      </c>
      <c r="B58" s="211"/>
      <c r="C58" s="211"/>
      <c r="D58" s="210" t="s">
        <v>238</v>
      </c>
      <c r="E58" s="211"/>
      <c r="F58" s="211"/>
      <c r="G58" s="211"/>
      <c r="H58" s="224"/>
      <c r="I58" s="27"/>
      <c r="J58" s="23" t="s">
        <v>205</v>
      </c>
    </row>
    <row r="59" spans="1:14" ht="31.5" customHeight="1" x14ac:dyDescent="0.25">
      <c r="A59" s="212"/>
      <c r="B59" s="213"/>
      <c r="C59" s="213"/>
      <c r="D59" s="225" t="s">
        <v>239</v>
      </c>
      <c r="E59" s="226"/>
      <c r="F59" s="226"/>
      <c r="G59" s="226"/>
      <c r="H59" s="227"/>
      <c r="I59" s="27"/>
    </row>
    <row r="60" spans="1:14" ht="15.75" customHeight="1" x14ac:dyDescent="0.25">
      <c r="A60" s="156" t="s">
        <v>45</v>
      </c>
      <c r="B60" s="156"/>
      <c r="C60" s="156"/>
      <c r="D60" s="214" t="s">
        <v>191</v>
      </c>
      <c r="E60" s="214"/>
      <c r="F60" s="214"/>
      <c r="G60" s="214"/>
      <c r="H60" s="214"/>
      <c r="J60" s="28"/>
      <c r="K60" s="26"/>
      <c r="N60" s="26"/>
    </row>
    <row r="61" spans="1:14" ht="15.75" customHeight="1" x14ac:dyDescent="0.25">
      <c r="A61" s="156" t="s">
        <v>88</v>
      </c>
      <c r="B61" s="156"/>
      <c r="C61" s="156"/>
      <c r="D61" s="192" t="str">
        <f>(IF(G52="NA","60 Years After Completion",IF(G52&lt;&gt;"NA",""&amp;60-ROUNDDOWN((E3-G52)/360,0)&amp;" Years"," ")))</f>
        <v>60 Years After Completion</v>
      </c>
      <c r="E61" s="192"/>
      <c r="F61" s="192"/>
      <c r="G61" s="192"/>
      <c r="H61" s="192"/>
      <c r="N61" s="26"/>
    </row>
    <row r="62" spans="1:14" ht="15.75" customHeight="1" x14ac:dyDescent="0.25">
      <c r="A62" s="156" t="s">
        <v>89</v>
      </c>
      <c r="B62" s="156"/>
      <c r="C62" s="156"/>
      <c r="D62" s="174" t="s">
        <v>24</v>
      </c>
      <c r="E62" s="174"/>
      <c r="F62" s="174"/>
      <c r="G62" s="174"/>
      <c r="H62" s="174"/>
      <c r="J62" s="29"/>
      <c r="K62" s="29"/>
    </row>
    <row r="63" spans="1:14" ht="15" hidden="1" customHeight="1" x14ac:dyDescent="0.25">
      <c r="A63" s="156" t="s">
        <v>75</v>
      </c>
      <c r="B63" s="156"/>
      <c r="C63" s="156"/>
      <c r="D63" s="163" t="s">
        <v>153</v>
      </c>
      <c r="E63" s="174"/>
      <c r="F63" s="174"/>
      <c r="G63" s="174"/>
      <c r="H63" s="174"/>
    </row>
    <row r="64" spans="1:14" x14ac:dyDescent="0.25">
      <c r="A64" s="174" t="s">
        <v>154</v>
      </c>
      <c r="B64" s="174"/>
      <c r="C64" s="174"/>
      <c r="D64" s="174" t="s">
        <v>30</v>
      </c>
      <c r="E64" s="174"/>
      <c r="F64" s="174"/>
      <c r="G64" s="174"/>
      <c r="H64" s="174"/>
      <c r="I64" s="30"/>
      <c r="J64" s="30"/>
      <c r="K64" s="30"/>
      <c r="L64" s="30"/>
      <c r="M64" s="30"/>
      <c r="N64" s="30"/>
    </row>
    <row r="65" spans="1:10" ht="15.75" customHeight="1" x14ac:dyDescent="0.25">
      <c r="A65" s="177" t="s">
        <v>87</v>
      </c>
      <c r="B65" s="177"/>
      <c r="C65" s="177"/>
      <c r="D65" s="176" t="str">
        <f ca="1">(IF(G71&gt;95%,"Nothing",IF(G71&gt;0%,"Cement, Aggregate, Steel, etc",IF(G71=0%,"Work not yet Started"))))</f>
        <v>Cement, Aggregate, Steel, etc</v>
      </c>
      <c r="E65" s="176"/>
      <c r="F65" s="176"/>
      <c r="G65" s="176"/>
      <c r="H65" s="176"/>
      <c r="J65" s="29"/>
    </row>
    <row r="66" spans="1:10" ht="33.75" customHeight="1" thickBot="1" x14ac:dyDescent="0.3">
      <c r="A66" s="175" t="s">
        <v>118</v>
      </c>
      <c r="B66" s="175"/>
      <c r="C66" s="175"/>
      <c r="D66" s="176" t="str">
        <f ca="1">(IF(D65="Nothing","Yes",IF(D65="Cement, Aggregate, Steel, etc","Under Construction",IF(D65="Work not yet Started","Work not yet Started"))))</f>
        <v>Under Construction</v>
      </c>
      <c r="E66" s="176"/>
      <c r="F66" s="176" t="str">
        <f ca="1">(IF(D65="Nothing","Yes",IF(D65="Cement, Aggregate, Steel, etc","Under Construction",IF(D65="Work not yet Started","Work not yet Started"))))</f>
        <v>Under Construction</v>
      </c>
      <c r="G66" s="176"/>
      <c r="H66" s="176"/>
    </row>
    <row r="67" spans="1:10" ht="33.75" customHeight="1" x14ac:dyDescent="0.25">
      <c r="A67" s="208" t="s">
        <v>143</v>
      </c>
      <c r="B67" s="209"/>
      <c r="C67" s="181" t="str">
        <f>D58</f>
        <v>Sale Tower A = 2B + G + 1st to 10th Floor (Comm.) + 11th Floor For Amenities + 12th to 55th Floor For Residential</v>
      </c>
      <c r="D67" s="182"/>
      <c r="E67" s="182"/>
      <c r="F67" s="182"/>
      <c r="G67" s="182"/>
      <c r="H67" s="183"/>
      <c r="I67" s="50" t="str">
        <f ca="1">IF(D80=100%,"All work Completed. Possession granted to the Building.",IF(D79=100%,"All work Completed, Waiting for OC",I68&amp;""&amp;I69&amp;""&amp;J68&amp;""&amp;J67&amp;" "&amp;J69))</f>
        <v>Excavation, Plinth Completed, RCC upto 36 Slab, Brickwork upto 33 Floor, Internal Plaster upto 24.75 Floor, External Plaster upto 21.45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36 Slab, Brickwork upto 33 Floor, Internal Plaster upto 24.75 Floor, External Plaster upto 21.45 Floor</v>
      </c>
    </row>
    <row r="68" spans="1:10" x14ac:dyDescent="0.25">
      <c r="A68" s="18" t="s">
        <v>145</v>
      </c>
      <c r="B68" s="86">
        <v>2</v>
      </c>
      <c r="C68" s="86" t="s">
        <v>73</v>
      </c>
      <c r="D68" s="86">
        <v>1</v>
      </c>
      <c r="E68" s="86" t="s">
        <v>72</v>
      </c>
      <c r="F68" s="86">
        <v>0</v>
      </c>
      <c r="G68" s="86" t="s">
        <v>81</v>
      </c>
      <c r="H68" s="19">
        <f ca="1">--TRIM(RIGHT(SUBSTITUTE(LEFT(C67,_xlfn.AGGREGATE(16,6,FIND({0,1,2,3,4,5,6,7,8,9},C67,ROW(INDIRECT("1:"&amp;LEN(C67)))),1))," ",REPT(" ",LEN(C67))),LEN(C67)))</f>
        <v>55</v>
      </c>
      <c r="I68" s="88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75" customHeight="1" x14ac:dyDescent="0.25">
      <c r="A69" s="184" t="s">
        <v>91</v>
      </c>
      <c r="B69" s="185"/>
      <c r="C69" s="186" t="str">
        <f ca="1">(IF($C$53=C67,"All work Completed. OC Received.",I67))</f>
        <v>Excavation, Plinth Completed, RCC upto 36 Slab, Brickwork upto 33 Floor, Internal Plaster upto 24.75 Floor, External Plaster upto 21.45 Floor Completed</v>
      </c>
      <c r="D69" s="186"/>
      <c r="E69" s="186"/>
      <c r="F69" s="186"/>
      <c r="G69" s="186"/>
      <c r="H69" s="187"/>
      <c r="I69" s="88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25">
      <c r="A70" s="178" t="s">
        <v>49</v>
      </c>
      <c r="B70" s="179"/>
      <c r="C70" s="84" t="s">
        <v>142</v>
      </c>
      <c r="D70" s="84" t="s">
        <v>84</v>
      </c>
      <c r="E70" s="179" t="s">
        <v>86</v>
      </c>
      <c r="F70" s="179"/>
      <c r="G70" s="179" t="s">
        <v>85</v>
      </c>
      <c r="H70" s="180"/>
      <c r="I70" s="89" t="s">
        <v>144</v>
      </c>
      <c r="J70" s="31">
        <f ca="1">H68*25%</f>
        <v>13.75</v>
      </c>
    </row>
    <row r="71" spans="1:10" x14ac:dyDescent="0.25">
      <c r="A71" s="178" t="s">
        <v>131</v>
      </c>
      <c r="B71" s="179"/>
      <c r="C71" s="84">
        <f ca="1">J72</f>
        <v>55</v>
      </c>
      <c r="D71" s="64">
        <f ca="1">((100/H68)*C71)/100</f>
        <v>1</v>
      </c>
      <c r="E71" s="215">
        <f ca="1">(((C72/H68*10)+(40/(D68+F68+H68)*C73)+(7.5/(H68)*C74)+(7.5/(H68)*C75)+(10/H68*C76)+(10/H68*C77)+(5/H68*C78)+(5/H68*C79)+(5/H68*C80))/100)</f>
        <v>0.47489285714285712</v>
      </c>
      <c r="F71" s="216"/>
      <c r="G71" s="215">
        <f ca="1">((((C71/H68)*20)+((C72/H68)*25)+(30/(H68+F68+D68)*C73)+(5/H68*C74)+(5/H68*C75)+(5/H68*C76)+(5/H68*C77)+(0/H68*C78)+(0/H68*C79)+(5/H68*C80))/100)</f>
        <v>0.71485714285714286</v>
      </c>
      <c r="H71" s="221"/>
      <c r="I71" s="89" t="s">
        <v>101</v>
      </c>
      <c r="J71" s="32">
        <f ca="1">H68*50%</f>
        <v>27.5</v>
      </c>
    </row>
    <row r="72" spans="1:10" x14ac:dyDescent="0.25">
      <c r="A72" s="178" t="s">
        <v>50</v>
      </c>
      <c r="B72" s="179"/>
      <c r="C72" s="66">
        <f ca="1">J80</f>
        <v>55</v>
      </c>
      <c r="D72" s="64">
        <f ca="1">((100/H68)*C72)/100</f>
        <v>1</v>
      </c>
      <c r="E72" s="217"/>
      <c r="F72" s="218"/>
      <c r="G72" s="217"/>
      <c r="H72" s="222"/>
      <c r="I72" s="89" t="s">
        <v>102</v>
      </c>
      <c r="J72" s="32">
        <f ca="1">H68</f>
        <v>55</v>
      </c>
    </row>
    <row r="73" spans="1:10" ht="15.75" customHeight="1" x14ac:dyDescent="0.25">
      <c r="A73" s="178" t="s">
        <v>132</v>
      </c>
      <c r="B73" s="179"/>
      <c r="C73" s="84">
        <f>D68+35</f>
        <v>36</v>
      </c>
      <c r="D73" s="64">
        <f ca="1">((100/(D68+F68+H68))*C73)/100</f>
        <v>0.6428571428571429</v>
      </c>
      <c r="E73" s="217"/>
      <c r="F73" s="218"/>
      <c r="G73" s="217"/>
      <c r="H73" s="222"/>
      <c r="I73" s="89" t="s">
        <v>103</v>
      </c>
      <c r="J73" s="33">
        <f ca="1">(IF(B68&gt;1,(H68/(B68+2)),H68/4))</f>
        <v>13.75</v>
      </c>
    </row>
    <row r="74" spans="1:10" ht="15.75" customHeight="1" x14ac:dyDescent="0.25">
      <c r="A74" s="178" t="s">
        <v>139</v>
      </c>
      <c r="B74" s="179" t="s">
        <v>133</v>
      </c>
      <c r="C74" s="84">
        <f>C73-3</f>
        <v>33</v>
      </c>
      <c r="D74" s="64">
        <f ca="1">((100/H68)*C74)/100</f>
        <v>0.6</v>
      </c>
      <c r="E74" s="217"/>
      <c r="F74" s="218"/>
      <c r="G74" s="217"/>
      <c r="H74" s="222"/>
      <c r="I74" s="89" t="s">
        <v>104</v>
      </c>
      <c r="J74" s="33">
        <f ca="1">(IF(B68&gt;1,(H68/(B68+2)+J73),H68/4+J73))</f>
        <v>27.5</v>
      </c>
    </row>
    <row r="75" spans="1:10" ht="15.75" customHeight="1" x14ac:dyDescent="0.25">
      <c r="A75" s="178" t="s">
        <v>140</v>
      </c>
      <c r="B75" s="179" t="s">
        <v>133</v>
      </c>
      <c r="C75" s="66">
        <f>C74*0.75</f>
        <v>24.75</v>
      </c>
      <c r="D75" s="64">
        <f ca="1">((100/H68)*C75)/100</f>
        <v>0.45</v>
      </c>
      <c r="E75" s="217"/>
      <c r="F75" s="218"/>
      <c r="G75" s="217"/>
      <c r="H75" s="222"/>
      <c r="I75" s="89" t="s">
        <v>151</v>
      </c>
      <c r="J75" s="33">
        <f ca="1">(IF(B68&gt;1,(H68/(B68+2)+J74),0))</f>
        <v>41.25</v>
      </c>
    </row>
    <row r="76" spans="1:10" ht="15" customHeight="1" x14ac:dyDescent="0.25">
      <c r="A76" s="178" t="s">
        <v>138</v>
      </c>
      <c r="B76" s="179" t="s">
        <v>135</v>
      </c>
      <c r="C76" s="66">
        <f>C74*0.65</f>
        <v>21.45</v>
      </c>
      <c r="D76" s="64">
        <f ca="1">((100/(H68))*C76)/100</f>
        <v>0.39</v>
      </c>
      <c r="E76" s="217"/>
      <c r="F76" s="218"/>
      <c r="G76" s="217"/>
      <c r="H76" s="222"/>
      <c r="I76" s="89" t="s">
        <v>146</v>
      </c>
      <c r="J76" s="33">
        <f>(IF(B68&gt;2,(H68/(B68+2)+J75),0))</f>
        <v>0</v>
      </c>
    </row>
    <row r="77" spans="1:10" ht="15.75" customHeight="1" x14ac:dyDescent="0.25">
      <c r="A77" s="178" t="s">
        <v>134</v>
      </c>
      <c r="B77" s="179" t="s">
        <v>134</v>
      </c>
      <c r="C77" s="84">
        <v>0</v>
      </c>
      <c r="D77" s="64">
        <f ca="1">((100/H68)*C77)/100</f>
        <v>0</v>
      </c>
      <c r="E77" s="217"/>
      <c r="F77" s="218"/>
      <c r="G77" s="217"/>
      <c r="H77" s="222"/>
      <c r="I77" s="89" t="s">
        <v>147</v>
      </c>
      <c r="J77" s="34">
        <f>(IF(B68&gt;3,(H68/(B68+2)+J76),0))</f>
        <v>0</v>
      </c>
    </row>
    <row r="78" spans="1:10" ht="15.75" customHeight="1" x14ac:dyDescent="0.25">
      <c r="A78" s="178" t="s">
        <v>141</v>
      </c>
      <c r="B78" s="179"/>
      <c r="C78" s="84">
        <v>0</v>
      </c>
      <c r="D78" s="64">
        <f ca="1">((100/H68)*C78)/100</f>
        <v>0</v>
      </c>
      <c r="E78" s="217"/>
      <c r="F78" s="218"/>
      <c r="G78" s="217"/>
      <c r="H78" s="222"/>
      <c r="I78" s="89" t="s">
        <v>148</v>
      </c>
      <c r="J78" s="33">
        <f>(IF(B68&gt;4,(H68/(B68+2)+J77),0))</f>
        <v>0</v>
      </c>
    </row>
    <row r="79" spans="1:10" ht="15.75" customHeight="1" x14ac:dyDescent="0.25">
      <c r="A79" s="178" t="s">
        <v>136</v>
      </c>
      <c r="B79" s="179" t="s">
        <v>136</v>
      </c>
      <c r="C79" s="84">
        <v>0</v>
      </c>
      <c r="D79" s="64">
        <f ca="1">((100/(H68))*C79)/100</f>
        <v>0</v>
      </c>
      <c r="E79" s="217"/>
      <c r="F79" s="218"/>
      <c r="G79" s="217"/>
      <c r="H79" s="222"/>
      <c r="I79" s="89" t="s">
        <v>152</v>
      </c>
      <c r="J79" s="33">
        <f>(IF(B68=1,(H68/(B68+3)+J74),IF(B68=0,(H68/4+J74),IF(B68&gt;1,0))))</f>
        <v>0</v>
      </c>
    </row>
    <row r="80" spans="1:10" ht="16.5" thickBot="1" x14ac:dyDescent="0.3">
      <c r="A80" s="197" t="s">
        <v>137</v>
      </c>
      <c r="B80" s="198"/>
      <c r="C80" s="85">
        <v>0</v>
      </c>
      <c r="D80" s="65">
        <f ca="1">((100/(H68))*C80)/100</f>
        <v>0</v>
      </c>
      <c r="E80" s="219"/>
      <c r="F80" s="220"/>
      <c r="G80" s="219"/>
      <c r="H80" s="223"/>
      <c r="I80" s="90" t="s">
        <v>105</v>
      </c>
      <c r="J80" s="35">
        <f ca="1">(IF(B68&gt;1.5,(H68/(B68+2)+J74+MAX(0,J75-J74)+MAX(0,J76-J75)+MAX(0,J77-J76)+MAX(0,J78-J77)+MAX(0,J79-J78)),IF(B68=1,(H68/(B68+3)+J79),IF(B68=0,H68/4+J79))))</f>
        <v>55</v>
      </c>
    </row>
    <row r="81" spans="1:14" ht="30.75" customHeight="1" x14ac:dyDescent="0.25">
      <c r="A81" s="208" t="s">
        <v>143</v>
      </c>
      <c r="B81" s="209"/>
      <c r="C81" s="181" t="str">
        <f>D59</f>
        <v>Sale Tower B = 2B + G + 1st to 10th Floor (Comm.) + 11th Floor For Amenities + 12th to 55th Floor For Residential</v>
      </c>
      <c r="D81" s="182"/>
      <c r="E81" s="182"/>
      <c r="F81" s="182"/>
      <c r="G81" s="182"/>
      <c r="H81" s="183"/>
      <c r="I81" s="50" t="str">
        <f ca="1">IF(D94=100%,"All work Completed. Possession granted to the Building.",IF(D93=100%,"All work Completed, Waiting for OC",I82&amp;""&amp;I83&amp;""&amp;J82&amp;""&amp;J81&amp;" "&amp;J83))</f>
        <v>Excavation, Plinth Completed, RCC upto 39 Slab, Brickwork upto 36 Floor, Internal Plaster upto 27 Floor, External Plaster upto 23.4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39 Slab, Brickwork upto 36 Floor, Internal Plaster upto 27 Floor, External Plaster upto 23.4 Floor</v>
      </c>
    </row>
    <row r="82" spans="1:14" x14ac:dyDescent="0.25">
      <c r="A82" s="18" t="s">
        <v>145</v>
      </c>
      <c r="B82" s="62">
        <v>2</v>
      </c>
      <c r="C82" s="62" t="s">
        <v>73</v>
      </c>
      <c r="D82" s="62">
        <v>1</v>
      </c>
      <c r="E82" s="62" t="s">
        <v>72</v>
      </c>
      <c r="F82" s="62">
        <v>0</v>
      </c>
      <c r="G82" s="62" t="s">
        <v>81</v>
      </c>
      <c r="H82" s="19">
        <f ca="1">--TRIM(RIGHT(SUBSTITUTE(LEFT(C81,_xlfn.AGGREGATE(16,6,FIND({0,1,2,3,4,5,6,7,8,9},C81,ROW(INDIRECT("1:"&amp;LEN(C81)))),1))," ",REPT(" ",LEN(C81))),LEN(C81)))</f>
        <v>55</v>
      </c>
      <c r="I82" s="52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4" ht="31.5" customHeight="1" x14ac:dyDescent="0.25">
      <c r="A83" s="184" t="s">
        <v>91</v>
      </c>
      <c r="B83" s="185"/>
      <c r="C83" s="186" t="str">
        <f ca="1">(IF($C$53=C81,"All work Completed. OC Received.",I81))</f>
        <v>Excavation, Plinth Completed, RCC upto 39 Slab, Brickwork upto 36 Floor, Internal Plaster upto 27 Floor, External Plaster upto 23.4 Floor Completed</v>
      </c>
      <c r="D83" s="186"/>
      <c r="E83" s="186"/>
      <c r="F83" s="186"/>
      <c r="G83" s="186"/>
      <c r="H83" s="187"/>
      <c r="I83" s="52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4" ht="15.75" customHeight="1" x14ac:dyDescent="0.25">
      <c r="A84" s="178" t="s">
        <v>49</v>
      </c>
      <c r="B84" s="179"/>
      <c r="C84" s="63" t="s">
        <v>142</v>
      </c>
      <c r="D84" s="63" t="s">
        <v>84</v>
      </c>
      <c r="E84" s="179" t="s">
        <v>86</v>
      </c>
      <c r="F84" s="179"/>
      <c r="G84" s="179" t="s">
        <v>85</v>
      </c>
      <c r="H84" s="180"/>
      <c r="I84" s="16" t="s">
        <v>144</v>
      </c>
      <c r="J84" s="31">
        <f ca="1">H82*25%</f>
        <v>13.75</v>
      </c>
    </row>
    <row r="85" spans="1:14" x14ac:dyDescent="0.25">
      <c r="A85" s="164" t="s">
        <v>131</v>
      </c>
      <c r="B85" s="165"/>
      <c r="C85" s="87">
        <f ca="1">J86</f>
        <v>55</v>
      </c>
      <c r="D85" s="21">
        <f ca="1">((100/H82)*C85)/100</f>
        <v>1</v>
      </c>
      <c r="E85" s="166">
        <f ca="1">(((C86/H82*10)+(40/(D82+F82+H82)*C87)+(7.5/(H82)*C88)+(7.5/(H82)*C89)+(10/H82*C90)+(10/H82*C91)+(5/H82*C92)+(5/H82*C93)+(5/H82*C94))/100)</f>
        <v>0.50702597402597405</v>
      </c>
      <c r="F85" s="167"/>
      <c r="G85" s="166">
        <f ca="1">((((C85/H82)*20)+((C86/H82)*25)+(30/(H82+F82+D82)*C87)+(5/H82*C88)+(5/H82*C89)+(5/H82*C90)+(5/H82*C91)+(0/H82*C92)+(0/H82*C93)+(5/H82*C94))/100)</f>
        <v>0.73747402597402578</v>
      </c>
      <c r="H85" s="194"/>
      <c r="I85" s="16" t="s">
        <v>101</v>
      </c>
      <c r="J85" s="32">
        <f ca="1">H82*50%</f>
        <v>27.5</v>
      </c>
    </row>
    <row r="86" spans="1:14" x14ac:dyDescent="0.25">
      <c r="A86" s="164" t="s">
        <v>50</v>
      </c>
      <c r="B86" s="165"/>
      <c r="C86" s="66">
        <f ca="1">J94</f>
        <v>55</v>
      </c>
      <c r="D86" s="21">
        <f ca="1">((100/H82)*C86)/100</f>
        <v>1</v>
      </c>
      <c r="E86" s="168"/>
      <c r="F86" s="169"/>
      <c r="G86" s="168"/>
      <c r="H86" s="195"/>
      <c r="I86" s="16" t="s">
        <v>102</v>
      </c>
      <c r="J86" s="32">
        <f ca="1">H82</f>
        <v>55</v>
      </c>
    </row>
    <row r="87" spans="1:14" ht="15.75" customHeight="1" x14ac:dyDescent="0.25">
      <c r="A87" s="164" t="s">
        <v>132</v>
      </c>
      <c r="B87" s="165"/>
      <c r="C87" s="87">
        <f>D82+38</f>
        <v>39</v>
      </c>
      <c r="D87" s="21">
        <f ca="1">((100/(D82+F82+H82))*C87)/100</f>
        <v>0.69642857142857151</v>
      </c>
      <c r="E87" s="168"/>
      <c r="F87" s="169"/>
      <c r="G87" s="168"/>
      <c r="H87" s="195"/>
      <c r="I87" s="16" t="s">
        <v>103</v>
      </c>
      <c r="J87" s="33">
        <f ca="1">(IF(B82&gt;1,(H82/(B82+2)),H82/4))</f>
        <v>13.75</v>
      </c>
    </row>
    <row r="88" spans="1:14" ht="15.75" customHeight="1" x14ac:dyDescent="0.25">
      <c r="A88" s="164" t="s">
        <v>139</v>
      </c>
      <c r="B88" s="165" t="s">
        <v>133</v>
      </c>
      <c r="C88" s="87">
        <f>C87-3</f>
        <v>36</v>
      </c>
      <c r="D88" s="21">
        <f ca="1">((100/H82)*C88)/100</f>
        <v>0.65454545454545454</v>
      </c>
      <c r="E88" s="168"/>
      <c r="F88" s="169"/>
      <c r="G88" s="168"/>
      <c r="H88" s="195"/>
      <c r="I88" s="16" t="s">
        <v>104</v>
      </c>
      <c r="J88" s="33">
        <f ca="1">(IF(B82&gt;1,(H82/(B82+2)+J87),H82/4+J87))</f>
        <v>27.5</v>
      </c>
    </row>
    <row r="89" spans="1:14" ht="15.75" customHeight="1" x14ac:dyDescent="0.25">
      <c r="A89" s="164" t="s">
        <v>140</v>
      </c>
      <c r="B89" s="165" t="s">
        <v>133</v>
      </c>
      <c r="C89" s="66">
        <f>C88*0.75</f>
        <v>27</v>
      </c>
      <c r="D89" s="21">
        <f ca="1">((100/H82)*C89)/100</f>
        <v>0.49090909090909085</v>
      </c>
      <c r="E89" s="168"/>
      <c r="F89" s="169"/>
      <c r="G89" s="168"/>
      <c r="H89" s="195"/>
      <c r="I89" s="16" t="s">
        <v>151</v>
      </c>
      <c r="J89" s="33">
        <f ca="1">(IF(B82&gt;1,(H82/(B82+2)+J88),0))</f>
        <v>41.25</v>
      </c>
    </row>
    <row r="90" spans="1:14" ht="15" customHeight="1" x14ac:dyDescent="0.25">
      <c r="A90" s="164" t="s">
        <v>138</v>
      </c>
      <c r="B90" s="165" t="s">
        <v>135</v>
      </c>
      <c r="C90" s="66">
        <f>C88*0.65</f>
        <v>23.400000000000002</v>
      </c>
      <c r="D90" s="21">
        <f ca="1">((100/(H82))*C90)/100</f>
        <v>0.42545454545454547</v>
      </c>
      <c r="E90" s="168"/>
      <c r="F90" s="169"/>
      <c r="G90" s="168"/>
      <c r="H90" s="195"/>
      <c r="I90" s="16" t="s">
        <v>146</v>
      </c>
      <c r="J90" s="33">
        <f>(IF(B82&gt;2,(H82/(B82+2)+J89),0))</f>
        <v>0</v>
      </c>
    </row>
    <row r="91" spans="1:14" ht="15.75" customHeight="1" x14ac:dyDescent="0.25">
      <c r="A91" s="164" t="s">
        <v>134</v>
      </c>
      <c r="B91" s="165" t="s">
        <v>134</v>
      </c>
      <c r="C91" s="87">
        <v>0</v>
      </c>
      <c r="D91" s="21">
        <f ca="1">((100/H82)*C91)/100</f>
        <v>0</v>
      </c>
      <c r="E91" s="168"/>
      <c r="F91" s="169"/>
      <c r="G91" s="168"/>
      <c r="H91" s="195"/>
      <c r="I91" s="16" t="s">
        <v>147</v>
      </c>
      <c r="J91" s="34">
        <f>(IF(B82&gt;3,(H82/(B82+2)+J90),0))</f>
        <v>0</v>
      </c>
    </row>
    <row r="92" spans="1:14" ht="15.75" customHeight="1" x14ac:dyDescent="0.25">
      <c r="A92" s="164" t="s">
        <v>141</v>
      </c>
      <c r="B92" s="165"/>
      <c r="C92" s="47">
        <v>0</v>
      </c>
      <c r="D92" s="21">
        <f ca="1">((100/H82)*C92)/100</f>
        <v>0</v>
      </c>
      <c r="E92" s="168"/>
      <c r="F92" s="169"/>
      <c r="G92" s="168"/>
      <c r="H92" s="195"/>
      <c r="I92" s="16" t="s">
        <v>148</v>
      </c>
      <c r="J92" s="33">
        <f>(IF(B82&gt;4,(H82/(B82+2)+J91),0))</f>
        <v>0</v>
      </c>
    </row>
    <row r="93" spans="1:14" ht="15.75" customHeight="1" x14ac:dyDescent="0.25">
      <c r="A93" s="164" t="s">
        <v>136</v>
      </c>
      <c r="B93" s="165" t="s">
        <v>136</v>
      </c>
      <c r="C93" s="47">
        <v>0</v>
      </c>
      <c r="D93" s="21">
        <f ca="1">((100/(H82))*C93)/100</f>
        <v>0</v>
      </c>
      <c r="E93" s="168"/>
      <c r="F93" s="169"/>
      <c r="G93" s="168"/>
      <c r="H93" s="195"/>
      <c r="I93" s="16" t="s">
        <v>152</v>
      </c>
      <c r="J93" s="33">
        <f>(IF(B82=1,(H82/(B82+3)+J88),IF(B82=0,(H82/4+J88),IF(B82&gt;1,0))))</f>
        <v>0</v>
      </c>
    </row>
    <row r="94" spans="1:14" ht="16.5" thickBot="1" x14ac:dyDescent="0.3">
      <c r="A94" s="172" t="s">
        <v>137</v>
      </c>
      <c r="B94" s="173"/>
      <c r="C94" s="48">
        <v>0</v>
      </c>
      <c r="D94" s="22">
        <f ca="1">((100/(H82))*C94)/100</f>
        <v>0</v>
      </c>
      <c r="E94" s="170"/>
      <c r="F94" s="171"/>
      <c r="G94" s="170"/>
      <c r="H94" s="196"/>
      <c r="I94" s="17" t="s">
        <v>105</v>
      </c>
      <c r="J94" s="35">
        <f ca="1">(IF(B82&gt;1.5,(H82/(B82+2)+J88+MAX(0,J89-J88)+MAX(0,J90-J89)+MAX(0,J91-J90)+MAX(0,J92-J91)+MAX(0,J93-J92)),IF(B82=1,(H82/(B82+3)+J93),IF(B82=0,H82/4+J93))))</f>
        <v>55</v>
      </c>
    </row>
    <row r="95" spans="1:14" x14ac:dyDescent="0.25">
      <c r="A95" s="200" t="s">
        <v>163</v>
      </c>
      <c r="B95" s="200"/>
      <c r="C95" s="200"/>
      <c r="D95" s="200"/>
      <c r="E95" s="200"/>
      <c r="F95" s="193" t="s">
        <v>166</v>
      </c>
      <c r="G95" s="193"/>
      <c r="H95" s="193"/>
    </row>
    <row r="96" spans="1:14" x14ac:dyDescent="0.25">
      <c r="A96" s="156" t="s">
        <v>165</v>
      </c>
      <c r="B96" s="156"/>
      <c r="C96" s="156"/>
      <c r="D96" s="156"/>
      <c r="E96" s="156"/>
      <c r="F96" s="191">
        <v>21000</v>
      </c>
      <c r="G96" s="191"/>
      <c r="H96" s="191"/>
      <c r="I96" s="83" t="s">
        <v>262</v>
      </c>
      <c r="J96" s="83" t="s">
        <v>263</v>
      </c>
      <c r="K96" s="83" t="s">
        <v>264</v>
      </c>
      <c r="L96" s="83" t="s">
        <v>265</v>
      </c>
      <c r="M96" s="83" t="s">
        <v>266</v>
      </c>
      <c r="N96" s="83"/>
    </row>
    <row r="97" spans="1:9" hidden="1" x14ac:dyDescent="0.25">
      <c r="A97" s="156" t="s">
        <v>208</v>
      </c>
      <c r="B97" s="156"/>
      <c r="C97" s="156"/>
      <c r="D97" s="156"/>
      <c r="E97" s="156"/>
      <c r="F97" s="147">
        <v>26000</v>
      </c>
      <c r="G97" s="147"/>
      <c r="H97" s="147"/>
    </row>
    <row r="98" spans="1:9" x14ac:dyDescent="0.25">
      <c r="A98" s="156" t="s">
        <v>209</v>
      </c>
      <c r="B98" s="156"/>
      <c r="C98" s="156"/>
      <c r="D98" s="156"/>
      <c r="E98" s="156"/>
      <c r="F98" s="191">
        <v>30000</v>
      </c>
      <c r="G98" s="191"/>
      <c r="H98" s="191"/>
    </row>
    <row r="99" spans="1:9" x14ac:dyDescent="0.25">
      <c r="A99" s="156" t="s">
        <v>210</v>
      </c>
      <c r="B99" s="156"/>
      <c r="C99" s="156"/>
      <c r="D99" s="156"/>
      <c r="E99" s="156"/>
      <c r="F99" s="147">
        <v>23000</v>
      </c>
      <c r="G99" s="147"/>
      <c r="H99" s="147"/>
    </row>
    <row r="100" spans="1:9" s="36" customFormat="1" x14ac:dyDescent="0.25">
      <c r="A100" s="156" t="s">
        <v>164</v>
      </c>
      <c r="B100" s="156"/>
      <c r="C100" s="156"/>
      <c r="D100" s="156"/>
      <c r="E100" s="156"/>
      <c r="F100" s="147" t="s">
        <v>272</v>
      </c>
      <c r="G100" s="147"/>
      <c r="H100" s="147"/>
    </row>
    <row r="101" spans="1:9" s="36" customFormat="1" hidden="1" x14ac:dyDescent="0.25">
      <c r="A101" s="156" t="s">
        <v>96</v>
      </c>
      <c r="B101" s="156"/>
      <c r="C101" s="156"/>
      <c r="D101" s="156"/>
      <c r="E101" s="156"/>
      <c r="F101" s="147"/>
      <c r="G101" s="147"/>
      <c r="H101" s="147"/>
    </row>
    <row r="102" spans="1:9" s="36" customFormat="1" hidden="1" x14ac:dyDescent="0.25">
      <c r="A102" s="156" t="s">
        <v>97</v>
      </c>
      <c r="B102" s="156"/>
      <c r="C102" s="156"/>
      <c r="D102" s="156"/>
      <c r="E102" s="156"/>
      <c r="F102" s="147"/>
      <c r="G102" s="147"/>
      <c r="H102" s="147"/>
    </row>
    <row r="103" spans="1:9" s="36" customFormat="1" hidden="1" x14ac:dyDescent="0.25">
      <c r="A103" s="156" t="s">
        <v>167</v>
      </c>
      <c r="B103" s="156"/>
      <c r="C103" s="156"/>
      <c r="D103" s="156"/>
      <c r="E103" s="156"/>
      <c r="F103" s="147"/>
      <c r="G103" s="147"/>
      <c r="H103" s="147"/>
    </row>
    <row r="104" spans="1:9" s="36" customFormat="1" hidden="1" x14ac:dyDescent="0.25">
      <c r="A104" s="156" t="s">
        <v>98</v>
      </c>
      <c r="B104" s="156"/>
      <c r="C104" s="156"/>
      <c r="D104" s="156"/>
      <c r="E104" s="156"/>
      <c r="F104" s="147"/>
      <c r="G104" s="147"/>
      <c r="H104" s="147"/>
    </row>
    <row r="105" spans="1:9" s="36" customFormat="1" hidden="1" x14ac:dyDescent="0.25">
      <c r="A105" s="156" t="s">
        <v>99</v>
      </c>
      <c r="B105" s="156"/>
      <c r="C105" s="156"/>
      <c r="D105" s="156"/>
      <c r="E105" s="156"/>
      <c r="F105" s="147"/>
      <c r="G105" s="147"/>
      <c r="H105" s="147"/>
    </row>
    <row r="106" spans="1:9" s="36" customFormat="1" x14ac:dyDescent="0.25">
      <c r="A106" s="156" t="s">
        <v>211</v>
      </c>
      <c r="B106" s="156"/>
      <c r="C106" s="156"/>
      <c r="D106" s="156"/>
      <c r="E106" s="156"/>
      <c r="F106" s="147">
        <v>200000</v>
      </c>
      <c r="G106" s="147"/>
      <c r="H106" s="147"/>
    </row>
    <row r="107" spans="1:9" s="36" customFormat="1" x14ac:dyDescent="0.25">
      <c r="A107" s="156" t="s">
        <v>100</v>
      </c>
      <c r="B107" s="156"/>
      <c r="C107" s="156"/>
      <c r="D107" s="156"/>
      <c r="E107" s="156"/>
      <c r="F107" s="147">
        <v>150000</v>
      </c>
      <c r="G107" s="147"/>
      <c r="H107" s="147"/>
      <c r="I107" s="260">
        <f>F106+F107</f>
        <v>350000</v>
      </c>
    </row>
    <row r="108" spans="1:9" x14ac:dyDescent="0.25">
      <c r="A108" s="156" t="s">
        <v>51</v>
      </c>
      <c r="B108" s="156"/>
      <c r="C108" s="156"/>
      <c r="D108" s="156"/>
      <c r="E108" s="156"/>
      <c r="F108" s="147">
        <v>1000000</v>
      </c>
      <c r="G108" s="147"/>
      <c r="H108" s="147"/>
    </row>
    <row r="109" spans="1:9" s="37" customFormat="1" x14ac:dyDescent="0.25">
      <c r="A109" s="161" t="s">
        <v>52</v>
      </c>
      <c r="B109" s="161"/>
      <c r="C109" s="161"/>
      <c r="D109" s="161"/>
      <c r="E109" s="161"/>
      <c r="F109" s="147">
        <f>F98*0.8</f>
        <v>24000</v>
      </c>
      <c r="G109" s="147"/>
      <c r="H109" s="147"/>
    </row>
    <row r="110" spans="1:9" s="38" customFormat="1" ht="15.75" customHeight="1" x14ac:dyDescent="0.25">
      <c r="A110" s="150" t="s">
        <v>76</v>
      </c>
      <c r="B110" s="150"/>
      <c r="C110" s="150"/>
      <c r="D110" s="150"/>
      <c r="E110" s="150"/>
      <c r="F110" s="150"/>
      <c r="G110" s="150"/>
      <c r="H110" s="150"/>
    </row>
    <row r="111" spans="1:9" s="38" customFormat="1" ht="15.75" customHeight="1" x14ac:dyDescent="0.25">
      <c r="A111" s="148" t="s">
        <v>53</v>
      </c>
      <c r="B111" s="148"/>
      <c r="C111" s="143" t="s">
        <v>79</v>
      </c>
      <c r="D111" s="143"/>
      <c r="E111" s="149" t="s">
        <v>54</v>
      </c>
      <c r="F111" s="149"/>
      <c r="G111" s="148" t="s">
        <v>55</v>
      </c>
      <c r="H111" s="148"/>
    </row>
    <row r="112" spans="1:9" s="38" customFormat="1" ht="31.5" x14ac:dyDescent="0.25">
      <c r="A112" s="77" t="s">
        <v>200</v>
      </c>
      <c r="B112" s="59" t="s">
        <v>255</v>
      </c>
      <c r="C112" s="155">
        <f>COUNT(D128:D130)+COUNT(D132:D137,D139)+COUNT(D143:D151)+COUNT(D153:D162)+COUNT(D164:D173)*5+COUNT(D175:D181)+COUNT(D186:D195)</f>
        <v>96</v>
      </c>
      <c r="D112" s="155"/>
      <c r="E112" s="201">
        <f>SUM(D128:D130)+SUM(D132:D137,D139)+SUM(D143:D151)+SUM(D153:D162)+SUM(D164:D173)*5+SUM(D175:D181)+SUM(D186:D195)</f>
        <v>73896.582240000018</v>
      </c>
      <c r="F112" s="202"/>
      <c r="G112" s="201">
        <f>SUM(F128:F130)+SUM(F132:F137,F139)+SUM(F143:F151)+SUM(F153:F162)+SUM(F164:F173)*5+SUM(F175:F181)+SUM(F186:F195)</f>
        <v>120044.43360000002</v>
      </c>
      <c r="H112" s="202"/>
    </row>
    <row r="113" spans="1:14" s="38" customFormat="1" ht="31.5" x14ac:dyDescent="0.25">
      <c r="A113" s="77" t="s">
        <v>201</v>
      </c>
      <c r="B113" s="59" t="s">
        <v>255</v>
      </c>
      <c r="C113" s="155">
        <f>COUNT(D198:D200)+COUNT(D202:D207,D209)+COUNT(D213:D221)+COUNT(D223:D232)+COUNT(D234:D243)*5+COUNT(D245:D251)+COUNT(D256:D265)</f>
        <v>96</v>
      </c>
      <c r="D113" s="155"/>
      <c r="E113" s="201">
        <f>SUM(D198:D200)+SUM(D202:D207,D209)+SUM(D213:D221)+SUM(D223:D232)+SUM(D234:D243)*5+SUM(D245:D251)+SUM(D256:D265)</f>
        <v>75531.310919999989</v>
      </c>
      <c r="F113" s="202"/>
      <c r="G113" s="201">
        <f>SUM(F198:F200)+SUM(F202:F207,F209)+SUM(F213:F221)+SUM(F223:F232)+SUM(F234:F243)*5+SUM(F245:F251)+SUM(F256:F265)</f>
        <v>122659.999488</v>
      </c>
      <c r="H113" s="202"/>
    </row>
    <row r="114" spans="1:14" s="38" customFormat="1" x14ac:dyDescent="0.25">
      <c r="A114" s="150" t="s">
        <v>157</v>
      </c>
      <c r="B114" s="150"/>
      <c r="C114" s="142">
        <f>SUM(C112:D113)</f>
        <v>192</v>
      </c>
      <c r="D114" s="143"/>
      <c r="E114" s="142">
        <f>SUM(E112:F113)</f>
        <v>149427.89316000001</v>
      </c>
      <c r="F114" s="143"/>
      <c r="G114" s="142">
        <f>SUM(G112:H113)</f>
        <v>242704.43308800002</v>
      </c>
      <c r="H114" s="143"/>
      <c r="J114" s="67">
        <f>SUM(G114,G119)</f>
        <v>927370.61164800008</v>
      </c>
    </row>
    <row r="115" spans="1:14" s="38" customFormat="1" x14ac:dyDescent="0.25">
      <c r="A115" s="150" t="s">
        <v>71</v>
      </c>
      <c r="B115" s="150"/>
      <c r="C115" s="150"/>
      <c r="D115" s="150"/>
      <c r="E115" s="150"/>
      <c r="F115" s="150"/>
      <c r="G115" s="150"/>
      <c r="H115" s="150"/>
    </row>
    <row r="116" spans="1:14" s="38" customFormat="1" ht="15.75" customHeight="1" x14ac:dyDescent="0.25">
      <c r="A116" s="148" t="s">
        <v>53</v>
      </c>
      <c r="B116" s="148"/>
      <c r="C116" s="143" t="s">
        <v>79</v>
      </c>
      <c r="D116" s="143"/>
      <c r="E116" s="149" t="s">
        <v>54</v>
      </c>
      <c r="F116" s="149"/>
      <c r="G116" s="148" t="s">
        <v>55</v>
      </c>
      <c r="H116" s="148"/>
    </row>
    <row r="117" spans="1:14" s="38" customFormat="1" x14ac:dyDescent="0.25">
      <c r="A117" s="144" t="s">
        <v>202</v>
      </c>
      <c r="B117" s="145"/>
      <c r="C117" s="146">
        <f>COUNT(D272:D283)*21+COUNT(D285:D293)*4+COUNT(D298:D309)*9+COUNT(D311:D319)</f>
        <v>405</v>
      </c>
      <c r="D117" s="146"/>
      <c r="E117" s="146">
        <f>SUM(D272:D283)*21+SUM(D285:D293)*4+SUM(D298:D309)*9+SUM(D311:D319)</f>
        <v>220860.0576</v>
      </c>
      <c r="F117" s="146"/>
      <c r="G117" s="146">
        <f>SUM(F272:F283)*21+SUM(F285:F293)*4+SUM(F298:F309)*9+SUM(F311:F319)</f>
        <v>342333.08928000001</v>
      </c>
      <c r="H117" s="146"/>
    </row>
    <row r="118" spans="1:14" s="38" customFormat="1" x14ac:dyDescent="0.25">
      <c r="A118" s="144" t="s">
        <v>203</v>
      </c>
      <c r="B118" s="145"/>
      <c r="C118" s="155">
        <f>COUNT(D326:D337)*21+COUNT(D339:D347)*4+COUNT(D381:D392)*9+COUNT(D407:D415)</f>
        <v>405</v>
      </c>
      <c r="D118" s="155"/>
      <c r="E118" s="146">
        <f>SUM(D326:D337)*21+SUM(D339:D347)*4+SUM(D381:D392)*9+SUM(D407:D415)</f>
        <v>220860.0576</v>
      </c>
      <c r="F118" s="146"/>
      <c r="G118" s="146">
        <f>SUM(F326:F337)*21+SUM(F339:F347)*4+SUM(F381:F392)*9+SUM(F407:F415)</f>
        <v>342333.08928000001</v>
      </c>
      <c r="H118" s="146"/>
    </row>
    <row r="119" spans="1:14" s="38" customFormat="1" x14ac:dyDescent="0.25">
      <c r="A119" s="150" t="s">
        <v>157</v>
      </c>
      <c r="B119" s="150"/>
      <c r="C119" s="142">
        <f>SUM(C117:D118)</f>
        <v>810</v>
      </c>
      <c r="D119" s="143"/>
      <c r="E119" s="142">
        <f t="shared" ref="E119" si="0">SUM(E117:F118)</f>
        <v>441720.1152</v>
      </c>
      <c r="F119" s="143"/>
      <c r="G119" s="142">
        <f t="shared" ref="G119" si="1">SUM(G117:H118)</f>
        <v>684666.17856000003</v>
      </c>
      <c r="H119" s="143"/>
    </row>
    <row r="120" spans="1:14" s="37" customFormat="1" x14ac:dyDescent="0.25">
      <c r="A120" s="203" t="s">
        <v>56</v>
      </c>
      <c r="B120" s="203"/>
      <c r="C120" s="203"/>
      <c r="D120" s="203"/>
      <c r="E120" s="203"/>
      <c r="F120" s="203"/>
      <c r="G120" s="203"/>
      <c r="H120" s="203"/>
    </row>
    <row r="121" spans="1:14" x14ac:dyDescent="0.25">
      <c r="A121" s="203" t="s">
        <v>57</v>
      </c>
      <c r="B121" s="203"/>
      <c r="C121" s="203"/>
      <c r="D121" s="203"/>
      <c r="E121" s="203"/>
      <c r="F121" s="203"/>
      <c r="G121" s="203"/>
      <c r="H121" s="203"/>
    </row>
    <row r="122" spans="1:14" ht="47.25" customHeight="1" x14ac:dyDescent="0.25">
      <c r="A122" s="151" t="s">
        <v>121</v>
      </c>
      <c r="B122" s="151" t="s">
        <v>120</v>
      </c>
      <c r="C122" s="151" t="s">
        <v>58</v>
      </c>
      <c r="D122" s="151" t="s">
        <v>59</v>
      </c>
      <c r="E122" s="153" t="s">
        <v>162</v>
      </c>
      <c r="F122" s="46" t="s">
        <v>155</v>
      </c>
      <c r="G122" s="138" t="s">
        <v>61</v>
      </c>
      <c r="H122" s="139"/>
    </row>
    <row r="123" spans="1:14" s="49" customFormat="1" x14ac:dyDescent="0.25">
      <c r="A123" s="152"/>
      <c r="B123" s="152"/>
      <c r="C123" s="152"/>
      <c r="D123" s="152"/>
      <c r="E123" s="154"/>
      <c r="F123" s="15">
        <v>0.6</v>
      </c>
      <c r="G123" s="140"/>
      <c r="H123" s="141"/>
    </row>
    <row r="124" spans="1:14" s="70" customFormat="1" x14ac:dyDescent="0.25">
      <c r="A124" s="131" t="s">
        <v>232</v>
      </c>
      <c r="B124" s="132"/>
      <c r="C124" s="132"/>
      <c r="D124" s="132"/>
      <c r="E124" s="132"/>
      <c r="F124" s="132"/>
      <c r="G124" s="132"/>
      <c r="H124" s="133"/>
    </row>
    <row r="125" spans="1:14" s="49" customFormat="1" x14ac:dyDescent="0.25">
      <c r="A125" s="96" t="s">
        <v>217</v>
      </c>
      <c r="B125" s="97"/>
      <c r="C125" s="97"/>
      <c r="D125" s="97"/>
      <c r="E125" s="97"/>
      <c r="F125" s="97"/>
      <c r="G125" s="97"/>
      <c r="H125" s="98"/>
      <c r="J125" s="39"/>
    </row>
    <row r="126" spans="1:14" s="57" customFormat="1" x14ac:dyDescent="0.25">
      <c r="A126" s="131" t="s">
        <v>193</v>
      </c>
      <c r="B126" s="132"/>
      <c r="C126" s="132"/>
      <c r="D126" s="132"/>
      <c r="E126" s="132"/>
      <c r="F126" s="132"/>
      <c r="G126" s="132"/>
      <c r="H126" s="133"/>
      <c r="I126" s="39"/>
      <c r="L126" s="119"/>
      <c r="M126" s="119"/>
      <c r="N126" s="39"/>
    </row>
    <row r="127" spans="1:14" s="68" customFormat="1" x14ac:dyDescent="0.25">
      <c r="A127" s="131" t="s">
        <v>247</v>
      </c>
      <c r="B127" s="132"/>
      <c r="C127" s="132"/>
      <c r="D127" s="132"/>
      <c r="E127" s="132"/>
      <c r="F127" s="132"/>
      <c r="G127" s="132"/>
      <c r="H127" s="133"/>
      <c r="I127" s="39"/>
      <c r="L127" s="119"/>
      <c r="M127" s="119"/>
      <c r="N127" s="39"/>
    </row>
    <row r="128" spans="1:14" s="68" customFormat="1" ht="15.75" customHeight="1" x14ac:dyDescent="0.25">
      <c r="A128" s="136">
        <v>1</v>
      </c>
      <c r="B128" s="137"/>
      <c r="C128" s="61" t="s">
        <v>255</v>
      </c>
      <c r="D128" s="61">
        <f>280.91*10.764</f>
        <v>3023.71524</v>
      </c>
      <c r="E128" s="61">
        <v>0</v>
      </c>
      <c r="F128" s="61">
        <f>(D128+E128)*(($F$123)+1)</f>
        <v>4837.9443840000004</v>
      </c>
      <c r="G128" s="125" t="str">
        <f>A127</f>
        <v>Ground Floor For Commercial, Meter Room, Service Room &amp; Double Heighted Entrance Lobby</v>
      </c>
      <c r="H128" s="126"/>
      <c r="I128" s="39"/>
      <c r="L128" s="119"/>
      <c r="M128" s="119"/>
      <c r="N128" s="39"/>
    </row>
    <row r="129" spans="1:14" s="68" customFormat="1" ht="15.75" customHeight="1" x14ac:dyDescent="0.25">
      <c r="A129" s="136">
        <f t="shared" ref="A129:A130" si="2">A128+1</f>
        <v>2</v>
      </c>
      <c r="B129" s="137"/>
      <c r="C129" s="61" t="s">
        <v>255</v>
      </c>
      <c r="D129" s="61">
        <f>279.13*10.764</f>
        <v>3004.5553199999999</v>
      </c>
      <c r="E129" s="61">
        <v>0</v>
      </c>
      <c r="F129" s="61">
        <f t="shared" ref="F129:F130" si="3">(D129+E129)*(($F$123)+1)</f>
        <v>4807.2885120000001</v>
      </c>
      <c r="G129" s="127"/>
      <c r="H129" s="128"/>
      <c r="J129" s="39"/>
    </row>
    <row r="130" spans="1:14" s="68" customFormat="1" ht="15.75" customHeight="1" x14ac:dyDescent="0.25">
      <c r="A130" s="99">
        <f t="shared" si="2"/>
        <v>3</v>
      </c>
      <c r="B130" s="100"/>
      <c r="C130" s="61" t="s">
        <v>255</v>
      </c>
      <c r="D130" s="69">
        <f>364.33*10.764</f>
        <v>3921.6481199999994</v>
      </c>
      <c r="E130" s="69">
        <v>0</v>
      </c>
      <c r="F130" s="69">
        <f t="shared" si="3"/>
        <v>6274.6369919999997</v>
      </c>
      <c r="G130" s="129"/>
      <c r="H130" s="130"/>
      <c r="I130" s="39"/>
      <c r="L130" s="119"/>
      <c r="M130" s="119"/>
      <c r="N130" s="39"/>
    </row>
    <row r="131" spans="1:14" s="68" customFormat="1" x14ac:dyDescent="0.25">
      <c r="A131" s="131" t="s">
        <v>218</v>
      </c>
      <c r="B131" s="132"/>
      <c r="C131" s="132"/>
      <c r="D131" s="132"/>
      <c r="E131" s="132"/>
      <c r="F131" s="132"/>
      <c r="G131" s="132"/>
      <c r="H131" s="133"/>
      <c r="I131" s="39"/>
      <c r="L131" s="119"/>
      <c r="M131" s="119"/>
      <c r="N131" s="39"/>
    </row>
    <row r="132" spans="1:14" s="68" customFormat="1" x14ac:dyDescent="0.25">
      <c r="A132" s="99">
        <v>1</v>
      </c>
      <c r="B132" s="100"/>
      <c r="C132" s="61" t="s">
        <v>255</v>
      </c>
      <c r="D132" s="69">
        <f>312.95*10.764</f>
        <v>3368.5937999999996</v>
      </c>
      <c r="E132" s="69">
        <v>0</v>
      </c>
      <c r="F132" s="69">
        <f>(D132+E132)*(($F$123)+1)</f>
        <v>5389.7500799999998</v>
      </c>
      <c r="G132" s="125" t="str">
        <f>A131</f>
        <v>1st Floor For Commercial &amp; Service Area</v>
      </c>
      <c r="H132" s="126"/>
      <c r="I132" s="39"/>
      <c r="L132" s="119"/>
      <c r="M132" s="119"/>
      <c r="N132" s="39"/>
    </row>
    <row r="133" spans="1:14" s="68" customFormat="1" x14ac:dyDescent="0.25">
      <c r="A133" s="99">
        <f t="shared" ref="A133:A134" si="4">A132+1</f>
        <v>2</v>
      </c>
      <c r="B133" s="100"/>
      <c r="C133" s="61" t="s">
        <v>255</v>
      </c>
      <c r="D133" s="69">
        <f>343.57*10.764</f>
        <v>3698.1874799999996</v>
      </c>
      <c r="E133" s="69">
        <v>0</v>
      </c>
      <c r="F133" s="69">
        <f t="shared" ref="F133:F139" si="5">(D133+E133)*(($F$123)+1)</f>
        <v>5917.0999679999995</v>
      </c>
      <c r="G133" s="127"/>
      <c r="H133" s="128"/>
      <c r="J133" s="39"/>
    </row>
    <row r="134" spans="1:14" s="68" customFormat="1" x14ac:dyDescent="0.25">
      <c r="A134" s="99">
        <f t="shared" si="4"/>
        <v>3</v>
      </c>
      <c r="B134" s="100"/>
      <c r="C134" s="61" t="s">
        <v>255</v>
      </c>
      <c r="D134" s="69">
        <f>59.49*10.764</f>
        <v>640.35036000000002</v>
      </c>
      <c r="E134" s="69">
        <v>0</v>
      </c>
      <c r="F134" s="69">
        <f t="shared" si="5"/>
        <v>1024.5605760000001</v>
      </c>
      <c r="G134" s="127"/>
      <c r="H134" s="128"/>
      <c r="I134" s="39"/>
      <c r="L134" s="119"/>
      <c r="M134" s="119"/>
      <c r="N134" s="39"/>
    </row>
    <row r="135" spans="1:14" s="68" customFormat="1" x14ac:dyDescent="0.25">
      <c r="A135" s="99" t="s">
        <v>249</v>
      </c>
      <c r="B135" s="100"/>
      <c r="C135" s="61" t="s">
        <v>255</v>
      </c>
      <c r="D135" s="69">
        <f>71.98*10.764</f>
        <v>774.79272000000003</v>
      </c>
      <c r="E135" s="69">
        <v>0</v>
      </c>
      <c r="F135" s="69">
        <f t="shared" si="5"/>
        <v>1239.6683520000001</v>
      </c>
      <c r="G135" s="127"/>
      <c r="H135" s="128"/>
      <c r="I135" s="39"/>
      <c r="L135" s="119"/>
      <c r="M135" s="119"/>
      <c r="N135" s="39"/>
    </row>
    <row r="136" spans="1:14" s="75" customFormat="1" x14ac:dyDescent="0.25">
      <c r="A136" s="99" t="s">
        <v>248</v>
      </c>
      <c r="B136" s="100"/>
      <c r="C136" s="61" t="s">
        <v>255</v>
      </c>
      <c r="D136" s="76">
        <f>55.05*10.764</f>
        <v>592.55819999999994</v>
      </c>
      <c r="E136" s="76">
        <v>0</v>
      </c>
      <c r="F136" s="76">
        <f t="shared" ref="F136" si="6">(D136+E136)*(($F$123)+1)</f>
        <v>948.09312</v>
      </c>
      <c r="G136" s="127"/>
      <c r="H136" s="128"/>
      <c r="I136" s="39"/>
      <c r="L136" s="119"/>
      <c r="M136" s="119"/>
      <c r="N136" s="39"/>
    </row>
    <row r="137" spans="1:14" s="68" customFormat="1" x14ac:dyDescent="0.25">
      <c r="A137" s="99">
        <f>A134+2</f>
        <v>5</v>
      </c>
      <c r="B137" s="100"/>
      <c r="C137" s="61" t="s">
        <v>255</v>
      </c>
      <c r="D137" s="69">
        <f>76.72*10.764</f>
        <v>825.81407999999999</v>
      </c>
      <c r="E137" s="69">
        <v>0</v>
      </c>
      <c r="F137" s="69">
        <f t="shared" si="5"/>
        <v>1321.3025280000002</v>
      </c>
      <c r="G137" s="127"/>
      <c r="H137" s="128"/>
      <c r="J137" s="39"/>
    </row>
    <row r="138" spans="1:14" s="75" customFormat="1" x14ac:dyDescent="0.25">
      <c r="A138" s="99" t="s">
        <v>219</v>
      </c>
      <c r="B138" s="100"/>
      <c r="C138" s="99" t="s">
        <v>250</v>
      </c>
      <c r="D138" s="120"/>
      <c r="E138" s="120"/>
      <c r="F138" s="100"/>
      <c r="G138" s="127"/>
      <c r="H138" s="128"/>
      <c r="J138" s="39"/>
    </row>
    <row r="139" spans="1:14" s="68" customFormat="1" x14ac:dyDescent="0.25">
      <c r="A139" s="99">
        <f>A137+1</f>
        <v>6</v>
      </c>
      <c r="B139" s="100"/>
      <c r="C139" s="61" t="s">
        <v>255</v>
      </c>
      <c r="D139" s="69">
        <f>52.72*10.764</f>
        <v>567.47807999999998</v>
      </c>
      <c r="E139" s="69">
        <v>0</v>
      </c>
      <c r="F139" s="69">
        <f t="shared" si="5"/>
        <v>907.96492799999999</v>
      </c>
      <c r="G139" s="129"/>
      <c r="H139" s="130"/>
      <c r="I139" s="39"/>
      <c r="L139" s="119"/>
      <c r="M139" s="119"/>
      <c r="N139" s="39"/>
    </row>
    <row r="140" spans="1:14" s="68" customFormat="1" x14ac:dyDescent="0.25">
      <c r="A140" s="131" t="s">
        <v>220</v>
      </c>
      <c r="B140" s="132"/>
      <c r="C140" s="132"/>
      <c r="D140" s="132"/>
      <c r="E140" s="132"/>
      <c r="F140" s="132"/>
      <c r="G140" s="132"/>
      <c r="H140" s="133"/>
      <c r="I140" s="39"/>
      <c r="L140" s="119"/>
      <c r="M140" s="119"/>
      <c r="N140" s="39"/>
    </row>
    <row r="141" spans="1:14" s="68" customFormat="1" x14ac:dyDescent="0.25">
      <c r="A141" s="99">
        <v>1</v>
      </c>
      <c r="B141" s="100"/>
      <c r="C141" s="101" t="s">
        <v>251</v>
      </c>
      <c r="D141" s="134"/>
      <c r="E141" s="134"/>
      <c r="F141" s="102"/>
      <c r="G141" s="125" t="str">
        <f>A140</f>
        <v>2nd Floor For Commercials &amp; Parking</v>
      </c>
      <c r="H141" s="126"/>
      <c r="I141" s="39"/>
      <c r="L141" s="119"/>
      <c r="M141" s="119"/>
      <c r="N141" s="39"/>
    </row>
    <row r="142" spans="1:14" s="68" customFormat="1" x14ac:dyDescent="0.25">
      <c r="A142" s="99">
        <f t="shared" ref="A142:A151" si="7">A141+1</f>
        <v>2</v>
      </c>
      <c r="B142" s="100"/>
      <c r="C142" s="105"/>
      <c r="D142" s="135"/>
      <c r="E142" s="135"/>
      <c r="F142" s="106"/>
      <c r="G142" s="127"/>
      <c r="H142" s="128"/>
      <c r="J142" s="39"/>
    </row>
    <row r="143" spans="1:14" s="68" customFormat="1" x14ac:dyDescent="0.25">
      <c r="A143" s="99">
        <f t="shared" si="7"/>
        <v>3</v>
      </c>
      <c r="B143" s="100"/>
      <c r="C143" s="61" t="s">
        <v>255</v>
      </c>
      <c r="D143" s="69">
        <f>229.35*10.764</f>
        <v>2468.7233999999999</v>
      </c>
      <c r="E143" s="69">
        <v>0</v>
      </c>
      <c r="F143" s="69">
        <f t="shared" ref="F143:F151" si="8">(D143+E143)*(($F$123)+1)</f>
        <v>3949.9574400000001</v>
      </c>
      <c r="G143" s="127"/>
      <c r="H143" s="128"/>
      <c r="I143" s="39"/>
      <c r="L143" s="119"/>
      <c r="M143" s="119"/>
      <c r="N143" s="39"/>
    </row>
    <row r="144" spans="1:14" s="75" customFormat="1" x14ac:dyDescent="0.25">
      <c r="A144" s="99" t="s">
        <v>249</v>
      </c>
      <c r="B144" s="100"/>
      <c r="C144" s="61" t="s">
        <v>255</v>
      </c>
      <c r="D144" s="76">
        <f>78.95*10.764</f>
        <v>849.81780000000003</v>
      </c>
      <c r="E144" s="76">
        <v>0</v>
      </c>
      <c r="F144" s="76">
        <f t="shared" ref="F144:F145" si="9">(D144+E144)*(($F$123)+1)</f>
        <v>1359.7084800000002</v>
      </c>
      <c r="G144" s="127"/>
      <c r="H144" s="128"/>
      <c r="I144" s="39"/>
      <c r="L144" s="119"/>
      <c r="M144" s="119"/>
      <c r="N144" s="39"/>
    </row>
    <row r="145" spans="1:14" s="75" customFormat="1" x14ac:dyDescent="0.25">
      <c r="A145" s="99" t="s">
        <v>248</v>
      </c>
      <c r="B145" s="100"/>
      <c r="C145" s="61" t="s">
        <v>255</v>
      </c>
      <c r="D145" s="76">
        <f>70.51*10.764</f>
        <v>758.96964000000003</v>
      </c>
      <c r="E145" s="76">
        <v>0</v>
      </c>
      <c r="F145" s="76">
        <f t="shared" si="9"/>
        <v>1214.3514240000002</v>
      </c>
      <c r="G145" s="127"/>
      <c r="H145" s="128"/>
      <c r="I145" s="39"/>
      <c r="L145" s="119"/>
      <c r="M145" s="119"/>
      <c r="N145" s="39"/>
    </row>
    <row r="146" spans="1:14" s="68" customFormat="1" x14ac:dyDescent="0.25">
      <c r="A146" s="99" t="s">
        <v>252</v>
      </c>
      <c r="B146" s="100"/>
      <c r="C146" s="61" t="s">
        <v>255</v>
      </c>
      <c r="D146" s="69">
        <f>55.05*10.764</f>
        <v>592.55819999999994</v>
      </c>
      <c r="E146" s="69">
        <v>0</v>
      </c>
      <c r="F146" s="69">
        <f t="shared" si="8"/>
        <v>948.09312</v>
      </c>
      <c r="G146" s="127"/>
      <c r="H146" s="128"/>
      <c r="I146" s="39"/>
      <c r="L146" s="119"/>
      <c r="M146" s="119"/>
      <c r="N146" s="39"/>
    </row>
    <row r="147" spans="1:14" s="68" customFormat="1" x14ac:dyDescent="0.25">
      <c r="A147" s="99">
        <f>A143+2</f>
        <v>5</v>
      </c>
      <c r="B147" s="100"/>
      <c r="C147" s="61" t="s">
        <v>255</v>
      </c>
      <c r="D147" s="69">
        <f>65.58*10.764</f>
        <v>705.90311999999994</v>
      </c>
      <c r="E147" s="69">
        <v>0</v>
      </c>
      <c r="F147" s="69">
        <f t="shared" si="8"/>
        <v>1129.444992</v>
      </c>
      <c r="G147" s="127"/>
      <c r="H147" s="128"/>
      <c r="J147" s="39"/>
    </row>
    <row r="148" spans="1:14" s="68" customFormat="1" x14ac:dyDescent="0.25">
      <c r="A148" s="99">
        <f t="shared" si="7"/>
        <v>6</v>
      </c>
      <c r="B148" s="100"/>
      <c r="C148" s="61" t="s">
        <v>255</v>
      </c>
      <c r="D148" s="69">
        <f>27.61*10.764</f>
        <v>297.19403999999997</v>
      </c>
      <c r="E148" s="69">
        <v>0</v>
      </c>
      <c r="F148" s="69">
        <f t="shared" si="8"/>
        <v>475.51046399999996</v>
      </c>
      <c r="G148" s="127"/>
      <c r="H148" s="128"/>
      <c r="I148" s="39"/>
      <c r="L148" s="119"/>
      <c r="M148" s="119"/>
      <c r="N148" s="39"/>
    </row>
    <row r="149" spans="1:14" s="68" customFormat="1" x14ac:dyDescent="0.25">
      <c r="A149" s="99">
        <f t="shared" si="7"/>
        <v>7</v>
      </c>
      <c r="B149" s="100"/>
      <c r="C149" s="61" t="s">
        <v>255</v>
      </c>
      <c r="D149" s="69">
        <f>26.62*10.764</f>
        <v>286.53767999999997</v>
      </c>
      <c r="E149" s="69">
        <v>0</v>
      </c>
      <c r="F149" s="69">
        <f t="shared" si="8"/>
        <v>458.46028799999999</v>
      </c>
      <c r="G149" s="127"/>
      <c r="H149" s="128"/>
      <c r="I149" s="39"/>
      <c r="L149" s="119"/>
      <c r="M149" s="119"/>
      <c r="N149" s="39"/>
    </row>
    <row r="150" spans="1:14" s="68" customFormat="1" x14ac:dyDescent="0.25">
      <c r="A150" s="99">
        <f t="shared" si="7"/>
        <v>8</v>
      </c>
      <c r="B150" s="100"/>
      <c r="C150" s="61" t="s">
        <v>255</v>
      </c>
      <c r="D150" s="69">
        <f>27.06*10.764</f>
        <v>291.27383999999995</v>
      </c>
      <c r="E150" s="69">
        <v>0</v>
      </c>
      <c r="F150" s="69">
        <f t="shared" si="8"/>
        <v>466.03814399999993</v>
      </c>
      <c r="G150" s="127"/>
      <c r="H150" s="128"/>
      <c r="J150" s="39"/>
    </row>
    <row r="151" spans="1:14" s="68" customFormat="1" x14ac:dyDescent="0.25">
      <c r="A151" s="99">
        <f t="shared" si="7"/>
        <v>9</v>
      </c>
      <c r="B151" s="100"/>
      <c r="C151" s="61" t="s">
        <v>255</v>
      </c>
      <c r="D151" s="69">
        <f>42.47*10.764</f>
        <v>457.14707999999996</v>
      </c>
      <c r="E151" s="69">
        <v>0</v>
      </c>
      <c r="F151" s="69">
        <f t="shared" si="8"/>
        <v>731.43532800000003</v>
      </c>
      <c r="G151" s="129"/>
      <c r="H151" s="130"/>
      <c r="I151" s="39"/>
      <c r="L151" s="119"/>
      <c r="M151" s="119"/>
      <c r="N151" s="39"/>
    </row>
    <row r="152" spans="1:14" s="70" customFormat="1" x14ac:dyDescent="0.25">
      <c r="A152" s="131" t="s">
        <v>221</v>
      </c>
      <c r="B152" s="132"/>
      <c r="C152" s="132"/>
      <c r="D152" s="132"/>
      <c r="E152" s="132"/>
      <c r="F152" s="132"/>
      <c r="G152" s="132"/>
      <c r="H152" s="133"/>
      <c r="I152" s="39"/>
      <c r="L152" s="119"/>
      <c r="M152" s="119"/>
      <c r="N152" s="39"/>
    </row>
    <row r="153" spans="1:14" s="70" customFormat="1" ht="15.75" customHeight="1" x14ac:dyDescent="0.25">
      <c r="A153" s="99">
        <v>1</v>
      </c>
      <c r="B153" s="100"/>
      <c r="C153" s="61" t="s">
        <v>255</v>
      </c>
      <c r="D153" s="71">
        <f>139.87*10.764</f>
        <v>1505.56068</v>
      </c>
      <c r="E153" s="71">
        <f>18.6*5.65*10.764</f>
        <v>1131.1887600000002</v>
      </c>
      <c r="F153" s="71">
        <f t="shared" ref="F153:F161" si="10">(D153+E153)*(($F$123)+1)</f>
        <v>4218.7991040000006</v>
      </c>
      <c r="G153" s="125" t="str">
        <f>A152</f>
        <v>3rd Floor For Commercials &amp; Parking</v>
      </c>
      <c r="H153" s="126"/>
      <c r="I153" s="39"/>
      <c r="L153" s="119"/>
      <c r="M153" s="119"/>
      <c r="N153" s="39"/>
    </row>
    <row r="154" spans="1:14" s="70" customFormat="1" x14ac:dyDescent="0.25">
      <c r="A154" s="99">
        <f t="shared" ref="A154:A162" si="11">A153+1</f>
        <v>2</v>
      </c>
      <c r="B154" s="100"/>
      <c r="C154" s="61" t="s">
        <v>255</v>
      </c>
      <c r="D154" s="71">
        <f>37.55*10.764</f>
        <v>404.18819999999994</v>
      </c>
      <c r="E154" s="71">
        <v>0</v>
      </c>
      <c r="F154" s="71">
        <f t="shared" si="10"/>
        <v>646.70111999999995</v>
      </c>
      <c r="G154" s="127"/>
      <c r="H154" s="128"/>
      <c r="J154" s="74"/>
    </row>
    <row r="155" spans="1:14" s="70" customFormat="1" x14ac:dyDescent="0.25">
      <c r="A155" s="99">
        <f t="shared" si="11"/>
        <v>3</v>
      </c>
      <c r="B155" s="100"/>
      <c r="C155" s="61" t="s">
        <v>255</v>
      </c>
      <c r="D155" s="71">
        <f>51.78*10.764</f>
        <v>557.35991999999999</v>
      </c>
      <c r="E155" s="71">
        <v>0</v>
      </c>
      <c r="F155" s="71">
        <f t="shared" si="10"/>
        <v>891.77587200000005</v>
      </c>
      <c r="G155" s="127"/>
      <c r="H155" s="128"/>
      <c r="I155" s="39"/>
      <c r="J155" s="74"/>
      <c r="L155" s="119"/>
      <c r="M155" s="119"/>
      <c r="N155" s="39"/>
    </row>
    <row r="156" spans="1:14" s="70" customFormat="1" x14ac:dyDescent="0.25">
      <c r="A156" s="99">
        <f t="shared" si="11"/>
        <v>4</v>
      </c>
      <c r="B156" s="100"/>
      <c r="C156" s="61" t="s">
        <v>255</v>
      </c>
      <c r="D156" s="71">
        <f>72.51*10.764</f>
        <v>780.49764000000005</v>
      </c>
      <c r="E156" s="71">
        <v>0</v>
      </c>
      <c r="F156" s="71">
        <f t="shared" si="10"/>
        <v>1248.7962240000002</v>
      </c>
      <c r="G156" s="127"/>
      <c r="H156" s="128"/>
      <c r="I156" s="39"/>
      <c r="J156" s="74"/>
      <c r="L156" s="119"/>
      <c r="M156" s="119"/>
      <c r="N156" s="39"/>
    </row>
    <row r="157" spans="1:14" s="70" customFormat="1" x14ac:dyDescent="0.25">
      <c r="A157" s="99">
        <f t="shared" si="11"/>
        <v>5</v>
      </c>
      <c r="B157" s="100"/>
      <c r="C157" s="61" t="s">
        <v>255</v>
      </c>
      <c r="D157" s="71">
        <f>56.59*10.764</f>
        <v>609.13476000000003</v>
      </c>
      <c r="E157" s="71">
        <v>0</v>
      </c>
      <c r="F157" s="71">
        <f t="shared" si="10"/>
        <v>974.61561600000005</v>
      </c>
      <c r="G157" s="127"/>
      <c r="H157" s="128"/>
      <c r="J157" s="74"/>
    </row>
    <row r="158" spans="1:14" s="70" customFormat="1" x14ac:dyDescent="0.25">
      <c r="A158" s="99">
        <f t="shared" si="11"/>
        <v>6</v>
      </c>
      <c r="B158" s="100"/>
      <c r="C158" s="61" t="s">
        <v>255</v>
      </c>
      <c r="D158" s="71">
        <f>67.35*10.764</f>
        <v>724.95539999999994</v>
      </c>
      <c r="E158" s="71">
        <v>0</v>
      </c>
      <c r="F158" s="71">
        <f t="shared" si="10"/>
        <v>1159.9286399999999</v>
      </c>
      <c r="G158" s="127"/>
      <c r="H158" s="128"/>
      <c r="I158" s="39"/>
      <c r="J158" s="74"/>
      <c r="L158" s="119"/>
      <c r="M158" s="119"/>
      <c r="N158" s="39"/>
    </row>
    <row r="159" spans="1:14" s="70" customFormat="1" x14ac:dyDescent="0.25">
      <c r="A159" s="99">
        <f t="shared" si="11"/>
        <v>7</v>
      </c>
      <c r="B159" s="100"/>
      <c r="C159" s="61" t="s">
        <v>255</v>
      </c>
      <c r="D159" s="71">
        <f>30*10.764</f>
        <v>322.91999999999996</v>
      </c>
      <c r="E159" s="71">
        <v>0</v>
      </c>
      <c r="F159" s="71">
        <f t="shared" si="10"/>
        <v>516.67199999999991</v>
      </c>
      <c r="G159" s="127"/>
      <c r="H159" s="128"/>
      <c r="I159" s="39"/>
      <c r="J159" s="74"/>
      <c r="L159" s="119"/>
      <c r="M159" s="119"/>
      <c r="N159" s="39"/>
    </row>
    <row r="160" spans="1:14" s="70" customFormat="1" x14ac:dyDescent="0.25">
      <c r="A160" s="99">
        <f t="shared" si="11"/>
        <v>8</v>
      </c>
      <c r="B160" s="100"/>
      <c r="C160" s="61" t="s">
        <v>255</v>
      </c>
      <c r="D160" s="71">
        <f>26.66*10.764</f>
        <v>286.96823999999998</v>
      </c>
      <c r="E160" s="71">
        <v>0</v>
      </c>
      <c r="F160" s="71">
        <f t="shared" si="10"/>
        <v>459.14918399999999</v>
      </c>
      <c r="G160" s="127"/>
      <c r="H160" s="128"/>
      <c r="J160" s="74"/>
    </row>
    <row r="161" spans="1:14" s="70" customFormat="1" x14ac:dyDescent="0.25">
      <c r="A161" s="99">
        <f t="shared" si="11"/>
        <v>9</v>
      </c>
      <c r="B161" s="100"/>
      <c r="C161" s="61" t="s">
        <v>255</v>
      </c>
      <c r="D161" s="71">
        <f>29.86*10.764</f>
        <v>321.41303999999997</v>
      </c>
      <c r="E161" s="71">
        <v>0</v>
      </c>
      <c r="F161" s="71">
        <f t="shared" si="10"/>
        <v>514.26086399999997</v>
      </c>
      <c r="G161" s="127"/>
      <c r="H161" s="128"/>
      <c r="I161" s="39"/>
      <c r="J161" s="74"/>
      <c r="L161" s="119"/>
      <c r="M161" s="119"/>
      <c r="N161" s="39"/>
    </row>
    <row r="162" spans="1:14" s="70" customFormat="1" x14ac:dyDescent="0.25">
      <c r="A162" s="99">
        <f t="shared" si="11"/>
        <v>10</v>
      </c>
      <c r="B162" s="100"/>
      <c r="C162" s="61" t="s">
        <v>255</v>
      </c>
      <c r="D162" s="71">
        <f>44.95*10.764</f>
        <v>483.84179999999998</v>
      </c>
      <c r="E162" s="71">
        <v>0</v>
      </c>
      <c r="F162" s="71">
        <f t="shared" ref="F162" si="12">(D162+E162)*(($F$123)+1)</f>
        <v>774.14688000000001</v>
      </c>
      <c r="G162" s="129"/>
      <c r="H162" s="130"/>
      <c r="I162" s="39"/>
      <c r="J162" s="74"/>
      <c r="L162" s="119"/>
      <c r="M162" s="119"/>
      <c r="N162" s="39"/>
    </row>
    <row r="163" spans="1:14" s="70" customFormat="1" x14ac:dyDescent="0.25">
      <c r="A163" s="131" t="s">
        <v>222</v>
      </c>
      <c r="B163" s="132"/>
      <c r="C163" s="132"/>
      <c r="D163" s="132"/>
      <c r="E163" s="132"/>
      <c r="F163" s="132"/>
      <c r="G163" s="132"/>
      <c r="H163" s="133"/>
      <c r="I163" s="39"/>
      <c r="L163" s="119"/>
      <c r="M163" s="119"/>
      <c r="N163" s="39"/>
    </row>
    <row r="164" spans="1:14" s="70" customFormat="1" ht="15.75" customHeight="1" x14ac:dyDescent="0.25">
      <c r="A164" s="99">
        <v>1</v>
      </c>
      <c r="B164" s="100"/>
      <c r="C164" s="61" t="s">
        <v>255</v>
      </c>
      <c r="D164" s="71">
        <f>139.87*10.764</f>
        <v>1505.56068</v>
      </c>
      <c r="E164" s="71">
        <v>0</v>
      </c>
      <c r="F164" s="71">
        <f t="shared" ref="F164:F173" si="13">(D164+E164)*(($F$123)+1)</f>
        <v>2408.8970880000002</v>
      </c>
      <c r="G164" s="125" t="str">
        <f>A163</f>
        <v>4th to 6th, 8th &amp; 9th Floor For Commercials &amp; Parking</v>
      </c>
      <c r="H164" s="126"/>
      <c r="I164" s="39"/>
      <c r="L164" s="119"/>
      <c r="M164" s="119"/>
      <c r="N164" s="39"/>
    </row>
    <row r="165" spans="1:14" s="70" customFormat="1" x14ac:dyDescent="0.25">
      <c r="A165" s="99">
        <f t="shared" ref="A165:A173" si="14">A164+1</f>
        <v>2</v>
      </c>
      <c r="B165" s="100"/>
      <c r="C165" s="61" t="s">
        <v>255</v>
      </c>
      <c r="D165" s="71">
        <f>37.55*10.764</f>
        <v>404.18819999999994</v>
      </c>
      <c r="E165" s="71">
        <v>0</v>
      </c>
      <c r="F165" s="71">
        <f t="shared" si="13"/>
        <v>646.70111999999995</v>
      </c>
      <c r="G165" s="127"/>
      <c r="H165" s="128"/>
      <c r="J165" s="39"/>
    </row>
    <row r="166" spans="1:14" s="70" customFormat="1" x14ac:dyDescent="0.25">
      <c r="A166" s="99">
        <f t="shared" si="14"/>
        <v>3</v>
      </c>
      <c r="B166" s="100"/>
      <c r="C166" s="61" t="s">
        <v>255</v>
      </c>
      <c r="D166" s="71">
        <f>51.78*10.764</f>
        <v>557.35991999999999</v>
      </c>
      <c r="E166" s="71">
        <v>0</v>
      </c>
      <c r="F166" s="71">
        <f t="shared" si="13"/>
        <v>891.77587200000005</v>
      </c>
      <c r="G166" s="127"/>
      <c r="H166" s="128"/>
      <c r="I166" s="39"/>
      <c r="L166" s="119"/>
      <c r="M166" s="119"/>
      <c r="N166" s="39"/>
    </row>
    <row r="167" spans="1:14" s="70" customFormat="1" x14ac:dyDescent="0.25">
      <c r="A167" s="99">
        <f t="shared" si="14"/>
        <v>4</v>
      </c>
      <c r="B167" s="100"/>
      <c r="C167" s="61" t="s">
        <v>255</v>
      </c>
      <c r="D167" s="71">
        <f>72.51*10.764</f>
        <v>780.49764000000005</v>
      </c>
      <c r="E167" s="71">
        <v>0</v>
      </c>
      <c r="F167" s="71">
        <f t="shared" si="13"/>
        <v>1248.7962240000002</v>
      </c>
      <c r="G167" s="127"/>
      <c r="H167" s="128"/>
      <c r="I167" s="39"/>
      <c r="L167" s="119"/>
      <c r="M167" s="119"/>
      <c r="N167" s="39"/>
    </row>
    <row r="168" spans="1:14" s="70" customFormat="1" x14ac:dyDescent="0.25">
      <c r="A168" s="99">
        <f t="shared" si="14"/>
        <v>5</v>
      </c>
      <c r="B168" s="100"/>
      <c r="C168" s="61" t="s">
        <v>255</v>
      </c>
      <c r="D168" s="71">
        <f>56.59*10.764</f>
        <v>609.13476000000003</v>
      </c>
      <c r="E168" s="71">
        <v>0</v>
      </c>
      <c r="F168" s="71">
        <f t="shared" si="13"/>
        <v>974.61561600000005</v>
      </c>
      <c r="G168" s="127"/>
      <c r="H168" s="128"/>
      <c r="J168" s="39"/>
    </row>
    <row r="169" spans="1:14" s="70" customFormat="1" x14ac:dyDescent="0.25">
      <c r="A169" s="99">
        <f t="shared" si="14"/>
        <v>6</v>
      </c>
      <c r="B169" s="100"/>
      <c r="C169" s="61" t="s">
        <v>255</v>
      </c>
      <c r="D169" s="71">
        <f>67.35*10.764</f>
        <v>724.95539999999994</v>
      </c>
      <c r="E169" s="71">
        <v>0</v>
      </c>
      <c r="F169" s="71">
        <f t="shared" si="13"/>
        <v>1159.9286399999999</v>
      </c>
      <c r="G169" s="127"/>
      <c r="H169" s="128"/>
      <c r="I169" s="39"/>
      <c r="L169" s="119"/>
      <c r="M169" s="119"/>
      <c r="N169" s="39"/>
    </row>
    <row r="170" spans="1:14" s="70" customFormat="1" x14ac:dyDescent="0.25">
      <c r="A170" s="99">
        <f t="shared" si="14"/>
        <v>7</v>
      </c>
      <c r="B170" s="100"/>
      <c r="C170" s="61" t="s">
        <v>255</v>
      </c>
      <c r="D170" s="71">
        <f>30*10.764</f>
        <v>322.91999999999996</v>
      </c>
      <c r="E170" s="71">
        <v>0</v>
      </c>
      <c r="F170" s="71">
        <f t="shared" si="13"/>
        <v>516.67199999999991</v>
      </c>
      <c r="G170" s="127"/>
      <c r="H170" s="128"/>
      <c r="I170" s="39"/>
      <c r="L170" s="119"/>
      <c r="M170" s="119"/>
      <c r="N170" s="39"/>
    </row>
    <row r="171" spans="1:14" s="70" customFormat="1" x14ac:dyDescent="0.25">
      <c r="A171" s="99">
        <f t="shared" si="14"/>
        <v>8</v>
      </c>
      <c r="B171" s="100"/>
      <c r="C171" s="61" t="s">
        <v>255</v>
      </c>
      <c r="D171" s="71">
        <f>26.66*10.764</f>
        <v>286.96823999999998</v>
      </c>
      <c r="E171" s="71">
        <v>0</v>
      </c>
      <c r="F171" s="71">
        <f t="shared" si="13"/>
        <v>459.14918399999999</v>
      </c>
      <c r="G171" s="127"/>
      <c r="H171" s="128"/>
      <c r="J171" s="39"/>
    </row>
    <row r="172" spans="1:14" s="70" customFormat="1" x14ac:dyDescent="0.25">
      <c r="A172" s="99">
        <f t="shared" si="14"/>
        <v>9</v>
      </c>
      <c r="B172" s="100"/>
      <c r="C172" s="61" t="s">
        <v>255</v>
      </c>
      <c r="D172" s="71">
        <f>29.86*10.764</f>
        <v>321.41303999999997</v>
      </c>
      <c r="E172" s="71">
        <v>0</v>
      </c>
      <c r="F172" s="71">
        <f t="shared" si="13"/>
        <v>514.26086399999997</v>
      </c>
      <c r="G172" s="127"/>
      <c r="H172" s="128"/>
      <c r="I172" s="39"/>
      <c r="L172" s="119"/>
      <c r="M172" s="119"/>
      <c r="N172" s="39"/>
    </row>
    <row r="173" spans="1:14" s="70" customFormat="1" x14ac:dyDescent="0.25">
      <c r="A173" s="99">
        <f t="shared" si="14"/>
        <v>10</v>
      </c>
      <c r="B173" s="100"/>
      <c r="C173" s="61" t="s">
        <v>255</v>
      </c>
      <c r="D173" s="71">
        <f>44.95*10.764</f>
        <v>483.84179999999998</v>
      </c>
      <c r="E173" s="71">
        <v>0</v>
      </c>
      <c r="F173" s="71">
        <f t="shared" si="13"/>
        <v>774.14688000000001</v>
      </c>
      <c r="G173" s="129"/>
      <c r="H173" s="130"/>
      <c r="I173" s="39"/>
      <c r="L173" s="119"/>
      <c r="M173" s="119"/>
      <c r="N173" s="39"/>
    </row>
    <row r="174" spans="1:14" s="70" customFormat="1" x14ac:dyDescent="0.25">
      <c r="A174" s="131" t="s">
        <v>223</v>
      </c>
      <c r="B174" s="132"/>
      <c r="C174" s="132"/>
      <c r="D174" s="132"/>
      <c r="E174" s="132"/>
      <c r="F174" s="132"/>
      <c r="G174" s="132"/>
      <c r="H174" s="133"/>
      <c r="I174" s="39"/>
      <c r="L174" s="119"/>
      <c r="M174" s="119"/>
      <c r="N174" s="39"/>
    </row>
    <row r="175" spans="1:14" s="70" customFormat="1" ht="15.75" customHeight="1" x14ac:dyDescent="0.25">
      <c r="A175" s="99">
        <v>1</v>
      </c>
      <c r="B175" s="100"/>
      <c r="C175" s="61" t="s">
        <v>255</v>
      </c>
      <c r="D175" s="71">
        <f>139.87*10.764</f>
        <v>1505.56068</v>
      </c>
      <c r="E175" s="71">
        <v>0</v>
      </c>
      <c r="F175" s="71">
        <f t="shared" ref="F175:F181" si="15">(D175+E175)*(($F$123)+1)</f>
        <v>2408.8970880000002</v>
      </c>
      <c r="G175" s="125" t="str">
        <f>A174</f>
        <v>7th Floor For Commercials &amp; Parking (Part Refuge Area)</v>
      </c>
      <c r="H175" s="126"/>
      <c r="I175" s="39"/>
      <c r="L175" s="119"/>
      <c r="M175" s="119"/>
      <c r="N175" s="39"/>
    </row>
    <row r="176" spans="1:14" s="70" customFormat="1" x14ac:dyDescent="0.25">
      <c r="A176" s="99">
        <f t="shared" ref="A176:A184" si="16">A175+1</f>
        <v>2</v>
      </c>
      <c r="B176" s="100"/>
      <c r="C176" s="61" t="s">
        <v>255</v>
      </c>
      <c r="D176" s="71">
        <f>37.55*10.764</f>
        <v>404.18819999999994</v>
      </c>
      <c r="E176" s="71">
        <v>0</v>
      </c>
      <c r="F176" s="71">
        <f t="shared" si="15"/>
        <v>646.70111999999995</v>
      </c>
      <c r="G176" s="127"/>
      <c r="H176" s="128"/>
      <c r="J176" s="39"/>
    </row>
    <row r="177" spans="1:14" s="70" customFormat="1" x14ac:dyDescent="0.25">
      <c r="A177" s="99">
        <f t="shared" si="16"/>
        <v>3</v>
      </c>
      <c r="B177" s="100"/>
      <c r="C177" s="61" t="s">
        <v>255</v>
      </c>
      <c r="D177" s="71">
        <f>51.78*10.764</f>
        <v>557.35991999999999</v>
      </c>
      <c r="E177" s="71">
        <v>0</v>
      </c>
      <c r="F177" s="71">
        <f t="shared" si="15"/>
        <v>891.77587200000005</v>
      </c>
      <c r="G177" s="127"/>
      <c r="H177" s="128"/>
      <c r="I177" s="39"/>
      <c r="L177" s="119"/>
      <c r="M177" s="119"/>
      <c r="N177" s="39"/>
    </row>
    <row r="178" spans="1:14" s="70" customFormat="1" x14ac:dyDescent="0.25">
      <c r="A178" s="99">
        <f t="shared" si="16"/>
        <v>4</v>
      </c>
      <c r="B178" s="100"/>
      <c r="C178" s="61" t="s">
        <v>255</v>
      </c>
      <c r="D178" s="71">
        <f>72.51*10.764</f>
        <v>780.49764000000005</v>
      </c>
      <c r="E178" s="71">
        <v>0</v>
      </c>
      <c r="F178" s="71">
        <f t="shared" si="15"/>
        <v>1248.7962240000002</v>
      </c>
      <c r="G178" s="127"/>
      <c r="H178" s="128"/>
      <c r="I178" s="39"/>
      <c r="L178" s="119"/>
      <c r="M178" s="119"/>
      <c r="N178" s="39"/>
    </row>
    <row r="179" spans="1:14" s="70" customFormat="1" x14ac:dyDescent="0.25">
      <c r="A179" s="99">
        <f t="shared" si="16"/>
        <v>5</v>
      </c>
      <c r="B179" s="100"/>
      <c r="C179" s="61" t="s">
        <v>255</v>
      </c>
      <c r="D179" s="71">
        <f>56.59*10.764</f>
        <v>609.13476000000003</v>
      </c>
      <c r="E179" s="71">
        <v>0</v>
      </c>
      <c r="F179" s="71">
        <f t="shared" si="15"/>
        <v>974.61561600000005</v>
      </c>
      <c r="G179" s="127"/>
      <c r="H179" s="128"/>
      <c r="J179" s="39"/>
    </row>
    <row r="180" spans="1:14" s="70" customFormat="1" x14ac:dyDescent="0.25">
      <c r="A180" s="99">
        <f t="shared" si="16"/>
        <v>6</v>
      </c>
      <c r="B180" s="100"/>
      <c r="C180" s="61" t="s">
        <v>255</v>
      </c>
      <c r="D180" s="71">
        <f>67.35*10.764</f>
        <v>724.95539999999994</v>
      </c>
      <c r="E180" s="71">
        <v>0</v>
      </c>
      <c r="F180" s="71">
        <f t="shared" si="15"/>
        <v>1159.9286399999999</v>
      </c>
      <c r="G180" s="127"/>
      <c r="H180" s="128"/>
      <c r="I180" s="39"/>
      <c r="L180" s="119"/>
      <c r="M180" s="119"/>
      <c r="N180" s="39"/>
    </row>
    <row r="181" spans="1:14" s="70" customFormat="1" x14ac:dyDescent="0.25">
      <c r="A181" s="99">
        <f t="shared" si="16"/>
        <v>7</v>
      </c>
      <c r="B181" s="100"/>
      <c r="C181" s="61" t="s">
        <v>255</v>
      </c>
      <c r="D181" s="71">
        <f>19.62*10.764</f>
        <v>211.18968000000001</v>
      </c>
      <c r="E181" s="71">
        <v>0</v>
      </c>
      <c r="F181" s="71">
        <f t="shared" si="15"/>
        <v>337.90348800000004</v>
      </c>
      <c r="G181" s="127"/>
      <c r="H181" s="128"/>
      <c r="I181" s="39"/>
      <c r="L181" s="119"/>
      <c r="M181" s="119"/>
      <c r="N181" s="39"/>
    </row>
    <row r="182" spans="1:14" s="70" customFormat="1" x14ac:dyDescent="0.25">
      <c r="A182" s="99">
        <f t="shared" si="16"/>
        <v>8</v>
      </c>
      <c r="B182" s="100"/>
      <c r="C182" s="101" t="s">
        <v>224</v>
      </c>
      <c r="D182" s="134"/>
      <c r="E182" s="134"/>
      <c r="F182" s="102"/>
      <c r="G182" s="127"/>
      <c r="H182" s="128"/>
      <c r="J182" s="39"/>
    </row>
    <row r="183" spans="1:14" s="70" customFormat="1" x14ac:dyDescent="0.25">
      <c r="A183" s="99">
        <f t="shared" si="16"/>
        <v>9</v>
      </c>
      <c r="B183" s="100"/>
      <c r="C183" s="103"/>
      <c r="D183" s="199"/>
      <c r="E183" s="199"/>
      <c r="F183" s="104"/>
      <c r="G183" s="127"/>
      <c r="H183" s="128"/>
      <c r="I183" s="39"/>
      <c r="L183" s="119"/>
      <c r="M183" s="119"/>
      <c r="N183" s="39"/>
    </row>
    <row r="184" spans="1:14" s="70" customFormat="1" x14ac:dyDescent="0.25">
      <c r="A184" s="99">
        <f t="shared" si="16"/>
        <v>10</v>
      </c>
      <c r="B184" s="100"/>
      <c r="C184" s="105"/>
      <c r="D184" s="135"/>
      <c r="E184" s="135"/>
      <c r="F184" s="106"/>
      <c r="G184" s="129"/>
      <c r="H184" s="130"/>
      <c r="I184" s="39"/>
      <c r="L184" s="119"/>
      <c r="M184" s="119"/>
      <c r="N184" s="39"/>
    </row>
    <row r="185" spans="1:14" s="70" customFormat="1" x14ac:dyDescent="0.25">
      <c r="A185" s="131" t="s">
        <v>225</v>
      </c>
      <c r="B185" s="132"/>
      <c r="C185" s="132"/>
      <c r="D185" s="132"/>
      <c r="E185" s="132"/>
      <c r="F185" s="132"/>
      <c r="G185" s="132"/>
      <c r="H185" s="133"/>
      <c r="I185" s="39"/>
      <c r="L185" s="119"/>
      <c r="M185" s="119"/>
      <c r="N185" s="39"/>
    </row>
    <row r="186" spans="1:14" s="70" customFormat="1" ht="15.75" customHeight="1" x14ac:dyDescent="0.25">
      <c r="A186" s="99">
        <v>1</v>
      </c>
      <c r="B186" s="100"/>
      <c r="C186" s="61" t="s">
        <v>255</v>
      </c>
      <c r="D186" s="71">
        <f>139.87*10.764</f>
        <v>1505.56068</v>
      </c>
      <c r="E186" s="71">
        <v>0</v>
      </c>
      <c r="F186" s="71">
        <f t="shared" ref="F186:F195" si="17">(D186+E186)*(($F$123)+1)</f>
        <v>2408.8970880000002</v>
      </c>
      <c r="G186" s="125" t="str">
        <f>A185</f>
        <v>10th Floor For Commercials &amp; Parking</v>
      </c>
      <c r="H186" s="126"/>
      <c r="I186" s="39"/>
      <c r="L186" s="119"/>
      <c r="M186" s="119"/>
      <c r="N186" s="39"/>
    </row>
    <row r="187" spans="1:14" s="70" customFormat="1" x14ac:dyDescent="0.25">
      <c r="A187" s="99">
        <f t="shared" ref="A187:A195" si="18">A186+1</f>
        <v>2</v>
      </c>
      <c r="B187" s="100"/>
      <c r="C187" s="61" t="s">
        <v>255</v>
      </c>
      <c r="D187" s="71">
        <f>37.55*10.764</f>
        <v>404.18819999999994</v>
      </c>
      <c r="E187" s="71">
        <v>0</v>
      </c>
      <c r="F187" s="71">
        <f t="shared" si="17"/>
        <v>646.70111999999995</v>
      </c>
      <c r="G187" s="127"/>
      <c r="H187" s="128"/>
      <c r="J187" s="39"/>
    </row>
    <row r="188" spans="1:14" s="70" customFormat="1" x14ac:dyDescent="0.25">
      <c r="A188" s="99">
        <f t="shared" si="18"/>
        <v>3</v>
      </c>
      <c r="B188" s="100"/>
      <c r="C188" s="61" t="s">
        <v>255</v>
      </c>
      <c r="D188" s="71">
        <f>51.78*10.764</f>
        <v>557.35991999999999</v>
      </c>
      <c r="E188" s="71">
        <v>0</v>
      </c>
      <c r="F188" s="71">
        <f t="shared" si="17"/>
        <v>891.77587200000005</v>
      </c>
      <c r="G188" s="127"/>
      <c r="H188" s="128"/>
      <c r="I188" s="39"/>
      <c r="L188" s="119"/>
      <c r="M188" s="119"/>
      <c r="N188" s="39"/>
    </row>
    <row r="189" spans="1:14" s="70" customFormat="1" x14ac:dyDescent="0.25">
      <c r="A189" s="99">
        <f t="shared" si="18"/>
        <v>4</v>
      </c>
      <c r="B189" s="100"/>
      <c r="C189" s="61" t="s">
        <v>255</v>
      </c>
      <c r="D189" s="71">
        <f>72.51*10.764</f>
        <v>780.49764000000005</v>
      </c>
      <c r="E189" s="71">
        <v>0</v>
      </c>
      <c r="F189" s="71">
        <f t="shared" si="17"/>
        <v>1248.7962240000002</v>
      </c>
      <c r="G189" s="127"/>
      <c r="H189" s="128"/>
      <c r="I189" s="39"/>
      <c r="L189" s="119"/>
      <c r="M189" s="119"/>
      <c r="N189" s="39"/>
    </row>
    <row r="190" spans="1:14" s="70" customFormat="1" x14ac:dyDescent="0.25">
      <c r="A190" s="99">
        <f t="shared" si="18"/>
        <v>5</v>
      </c>
      <c r="B190" s="100"/>
      <c r="C190" s="61" t="s">
        <v>255</v>
      </c>
      <c r="D190" s="71">
        <f>56.59*10.764</f>
        <v>609.13476000000003</v>
      </c>
      <c r="E190" s="71">
        <v>0</v>
      </c>
      <c r="F190" s="71">
        <f t="shared" si="17"/>
        <v>974.61561600000005</v>
      </c>
      <c r="G190" s="127"/>
      <c r="H190" s="128"/>
      <c r="J190" s="39"/>
    </row>
    <row r="191" spans="1:14" s="70" customFormat="1" x14ac:dyDescent="0.25">
      <c r="A191" s="99">
        <f t="shared" si="18"/>
        <v>6</v>
      </c>
      <c r="B191" s="100"/>
      <c r="C191" s="61" t="s">
        <v>255</v>
      </c>
      <c r="D191" s="71">
        <f>67.35*10.764</f>
        <v>724.95539999999994</v>
      </c>
      <c r="E191" s="71">
        <v>0</v>
      </c>
      <c r="F191" s="71">
        <f t="shared" si="17"/>
        <v>1159.9286399999999</v>
      </c>
      <c r="G191" s="127"/>
      <c r="H191" s="128"/>
      <c r="I191" s="39"/>
      <c r="L191" s="119"/>
      <c r="M191" s="119"/>
      <c r="N191" s="39"/>
    </row>
    <row r="192" spans="1:14" s="70" customFormat="1" x14ac:dyDescent="0.25">
      <c r="A192" s="99">
        <f t="shared" si="18"/>
        <v>7</v>
      </c>
      <c r="B192" s="100"/>
      <c r="C192" s="61" t="s">
        <v>255</v>
      </c>
      <c r="D192" s="71">
        <f>30*10.764</f>
        <v>322.91999999999996</v>
      </c>
      <c r="E192" s="71">
        <v>0</v>
      </c>
      <c r="F192" s="71">
        <f t="shared" si="17"/>
        <v>516.67199999999991</v>
      </c>
      <c r="G192" s="127"/>
      <c r="H192" s="128"/>
      <c r="I192" s="39"/>
      <c r="L192" s="119"/>
      <c r="M192" s="119"/>
      <c r="N192" s="39"/>
    </row>
    <row r="193" spans="1:14" s="70" customFormat="1" x14ac:dyDescent="0.25">
      <c r="A193" s="99">
        <f t="shared" si="18"/>
        <v>8</v>
      </c>
      <c r="B193" s="100"/>
      <c r="C193" s="61" t="s">
        <v>255</v>
      </c>
      <c r="D193" s="71">
        <f>26.66*10.764</f>
        <v>286.96823999999998</v>
      </c>
      <c r="E193" s="71">
        <v>0</v>
      </c>
      <c r="F193" s="71">
        <f t="shared" si="17"/>
        <v>459.14918399999999</v>
      </c>
      <c r="G193" s="127"/>
      <c r="H193" s="128"/>
      <c r="J193" s="39"/>
    </row>
    <row r="194" spans="1:14" s="70" customFormat="1" x14ac:dyDescent="0.25">
      <c r="A194" s="99">
        <f t="shared" si="18"/>
        <v>9</v>
      </c>
      <c r="B194" s="100"/>
      <c r="C194" s="61" t="s">
        <v>255</v>
      </c>
      <c r="D194" s="71">
        <f>29.86*10.764</f>
        <v>321.41303999999997</v>
      </c>
      <c r="E194" s="71">
        <v>0</v>
      </c>
      <c r="F194" s="71">
        <f t="shared" si="17"/>
        <v>514.26086399999997</v>
      </c>
      <c r="G194" s="127"/>
      <c r="H194" s="128"/>
      <c r="I194" s="39"/>
      <c r="L194" s="119"/>
      <c r="M194" s="119"/>
      <c r="N194" s="39"/>
    </row>
    <row r="195" spans="1:14" s="70" customFormat="1" x14ac:dyDescent="0.25">
      <c r="A195" s="99">
        <f t="shared" si="18"/>
        <v>10</v>
      </c>
      <c r="B195" s="100"/>
      <c r="C195" s="61" t="s">
        <v>255</v>
      </c>
      <c r="D195" s="71">
        <f>44.95*10.764</f>
        <v>483.84179999999998</v>
      </c>
      <c r="E195" s="71">
        <v>0</v>
      </c>
      <c r="F195" s="71">
        <f t="shared" si="17"/>
        <v>774.14688000000001</v>
      </c>
      <c r="G195" s="129"/>
      <c r="H195" s="130"/>
      <c r="I195" s="39"/>
      <c r="L195" s="119"/>
      <c r="M195" s="119"/>
      <c r="N195" s="39"/>
    </row>
    <row r="196" spans="1:14" s="57" customFormat="1" x14ac:dyDescent="0.25">
      <c r="A196" s="131" t="s">
        <v>194</v>
      </c>
      <c r="B196" s="132"/>
      <c r="C196" s="132"/>
      <c r="D196" s="132"/>
      <c r="E196" s="132"/>
      <c r="F196" s="132"/>
      <c r="G196" s="132"/>
      <c r="H196" s="133"/>
      <c r="I196" s="39"/>
      <c r="L196" s="119"/>
      <c r="M196" s="119"/>
      <c r="N196" s="39"/>
    </row>
    <row r="197" spans="1:14" s="70" customFormat="1" ht="15.75" customHeight="1" x14ac:dyDescent="0.25">
      <c r="A197" s="131" t="s">
        <v>247</v>
      </c>
      <c r="B197" s="132"/>
      <c r="C197" s="132"/>
      <c r="D197" s="132"/>
      <c r="E197" s="132"/>
      <c r="F197" s="132"/>
      <c r="G197" s="132"/>
      <c r="H197" s="133"/>
      <c r="I197" s="39"/>
      <c r="L197" s="119"/>
      <c r="M197" s="119"/>
      <c r="N197" s="39"/>
    </row>
    <row r="198" spans="1:14" s="70" customFormat="1" ht="15.75" customHeight="1" x14ac:dyDescent="0.25">
      <c r="A198" s="136">
        <v>1</v>
      </c>
      <c r="B198" s="137"/>
      <c r="C198" s="61" t="s">
        <v>255</v>
      </c>
      <c r="D198" s="61">
        <f>257.1*10.764</f>
        <v>2767.4243999999999</v>
      </c>
      <c r="E198" s="61">
        <v>0</v>
      </c>
      <c r="F198" s="61">
        <f>(D198+E198)*(($F$123)+1)</f>
        <v>4427.8790399999998</v>
      </c>
      <c r="G198" s="125" t="str">
        <f>A197</f>
        <v>Ground Floor For Commercial, Meter Room, Service Room &amp; Double Heighted Entrance Lobby</v>
      </c>
      <c r="H198" s="126"/>
      <c r="I198" s="39"/>
      <c r="L198" s="119"/>
      <c r="M198" s="119"/>
      <c r="N198" s="39"/>
    </row>
    <row r="199" spans="1:14" s="70" customFormat="1" ht="15.75" customHeight="1" x14ac:dyDescent="0.25">
      <c r="A199" s="136">
        <f t="shared" ref="A199:A200" si="19">A198+1</f>
        <v>2</v>
      </c>
      <c r="B199" s="137"/>
      <c r="C199" s="61" t="s">
        <v>255</v>
      </c>
      <c r="D199" s="61">
        <f>256.06*10.764</f>
        <v>2756.22984</v>
      </c>
      <c r="E199" s="61">
        <v>0</v>
      </c>
      <c r="F199" s="61">
        <f t="shared" ref="F199:F200" si="20">(D199+E199)*(($F$123)+1)</f>
        <v>4409.9677440000005</v>
      </c>
      <c r="G199" s="127"/>
      <c r="H199" s="128"/>
      <c r="J199" s="39"/>
    </row>
    <row r="200" spans="1:14" s="70" customFormat="1" ht="15.75" customHeight="1" x14ac:dyDescent="0.25">
      <c r="A200" s="99">
        <f t="shared" si="19"/>
        <v>3</v>
      </c>
      <c r="B200" s="100"/>
      <c r="C200" s="61" t="s">
        <v>255</v>
      </c>
      <c r="D200" s="71">
        <f>364.33*10.764</f>
        <v>3921.6481199999994</v>
      </c>
      <c r="E200" s="71">
        <v>0</v>
      </c>
      <c r="F200" s="71">
        <f t="shared" si="20"/>
        <v>6274.6369919999997</v>
      </c>
      <c r="G200" s="129"/>
      <c r="H200" s="130"/>
      <c r="I200" s="39"/>
      <c r="L200" s="119"/>
      <c r="M200" s="119"/>
      <c r="N200" s="39"/>
    </row>
    <row r="201" spans="1:14" s="70" customFormat="1" x14ac:dyDescent="0.25">
      <c r="A201" s="131" t="s">
        <v>218</v>
      </c>
      <c r="B201" s="132"/>
      <c r="C201" s="132"/>
      <c r="D201" s="132"/>
      <c r="E201" s="132"/>
      <c r="F201" s="132"/>
      <c r="G201" s="132"/>
      <c r="H201" s="133"/>
      <c r="I201" s="39"/>
      <c r="L201" s="119"/>
      <c r="M201" s="119"/>
      <c r="N201" s="39"/>
    </row>
    <row r="202" spans="1:14" s="70" customFormat="1" x14ac:dyDescent="0.25">
      <c r="A202" s="99">
        <v>1</v>
      </c>
      <c r="B202" s="100"/>
      <c r="C202" s="61" t="s">
        <v>255</v>
      </c>
      <c r="D202" s="71">
        <f>312.95*10.764</f>
        <v>3368.5937999999996</v>
      </c>
      <c r="E202" s="71">
        <v>0</v>
      </c>
      <c r="F202" s="71">
        <f>(D202+E202)*(($F$123)+1)</f>
        <v>5389.7500799999998</v>
      </c>
      <c r="G202" s="125" t="str">
        <f>A201</f>
        <v>1st Floor For Commercial &amp; Service Area</v>
      </c>
      <c r="H202" s="126"/>
      <c r="I202" s="39"/>
      <c r="L202" s="119"/>
      <c r="M202" s="119"/>
      <c r="N202" s="39"/>
    </row>
    <row r="203" spans="1:14" s="70" customFormat="1" x14ac:dyDescent="0.25">
      <c r="A203" s="99">
        <f t="shared" ref="A203:A204" si="21">A202+1</f>
        <v>2</v>
      </c>
      <c r="B203" s="100"/>
      <c r="C203" s="61" t="s">
        <v>255</v>
      </c>
      <c r="D203" s="71">
        <f>343.57*10.764</f>
        <v>3698.1874799999996</v>
      </c>
      <c r="E203" s="71">
        <v>0</v>
      </c>
      <c r="F203" s="71">
        <f t="shared" ref="F203:F209" si="22">(D203+E203)*(($F$123)+1)</f>
        <v>5917.0999679999995</v>
      </c>
      <c r="G203" s="127"/>
      <c r="H203" s="128"/>
      <c r="J203" s="39"/>
    </row>
    <row r="204" spans="1:14" s="70" customFormat="1" x14ac:dyDescent="0.25">
      <c r="A204" s="99">
        <f t="shared" si="21"/>
        <v>3</v>
      </c>
      <c r="B204" s="100"/>
      <c r="C204" s="61" t="s">
        <v>255</v>
      </c>
      <c r="D204" s="71">
        <f>59.49*10.764</f>
        <v>640.35036000000002</v>
      </c>
      <c r="E204" s="71">
        <v>0</v>
      </c>
      <c r="F204" s="71">
        <f t="shared" si="22"/>
        <v>1024.5605760000001</v>
      </c>
      <c r="G204" s="127"/>
      <c r="H204" s="128"/>
      <c r="I204" s="39"/>
      <c r="L204" s="119"/>
      <c r="M204" s="119"/>
      <c r="N204" s="39"/>
    </row>
    <row r="205" spans="1:14" s="75" customFormat="1" x14ac:dyDescent="0.25">
      <c r="A205" s="99" t="s">
        <v>249</v>
      </c>
      <c r="B205" s="100"/>
      <c r="C205" s="61" t="s">
        <v>255</v>
      </c>
      <c r="D205" s="76">
        <f>71.98*10.764</f>
        <v>774.79272000000003</v>
      </c>
      <c r="E205" s="76">
        <v>0</v>
      </c>
      <c r="F205" s="76">
        <f t="shared" ref="F205" si="23">(D205+E205)*(($F$123)+1)</f>
        <v>1239.6683520000001</v>
      </c>
      <c r="G205" s="127"/>
      <c r="H205" s="128"/>
      <c r="I205" s="39"/>
      <c r="L205" s="119"/>
      <c r="M205" s="119"/>
      <c r="N205" s="39"/>
    </row>
    <row r="206" spans="1:14" s="70" customFormat="1" x14ac:dyDescent="0.25">
      <c r="A206" s="99" t="s">
        <v>248</v>
      </c>
      <c r="B206" s="100"/>
      <c r="C206" s="61" t="s">
        <v>255</v>
      </c>
      <c r="D206" s="71">
        <f>57.45*10.764</f>
        <v>618.39179999999999</v>
      </c>
      <c r="E206" s="71">
        <v>0</v>
      </c>
      <c r="F206" s="71">
        <f t="shared" si="22"/>
        <v>989.42687999999998</v>
      </c>
      <c r="G206" s="127"/>
      <c r="H206" s="128"/>
      <c r="I206" s="39"/>
      <c r="L206" s="119"/>
      <c r="M206" s="119"/>
      <c r="N206" s="39"/>
    </row>
    <row r="207" spans="1:14" s="70" customFormat="1" x14ac:dyDescent="0.25">
      <c r="A207" s="99">
        <f>A204+2</f>
        <v>5</v>
      </c>
      <c r="B207" s="100"/>
      <c r="C207" s="61" t="s">
        <v>255</v>
      </c>
      <c r="D207" s="71">
        <f>82.32*10.764</f>
        <v>886.09247999999991</v>
      </c>
      <c r="E207" s="71">
        <v>0</v>
      </c>
      <c r="F207" s="71">
        <f t="shared" si="22"/>
        <v>1417.7479679999999</v>
      </c>
      <c r="G207" s="127"/>
      <c r="H207" s="128"/>
      <c r="J207" s="39"/>
    </row>
    <row r="208" spans="1:14" s="75" customFormat="1" x14ac:dyDescent="0.25">
      <c r="A208" s="99" t="s">
        <v>219</v>
      </c>
      <c r="B208" s="100"/>
      <c r="C208" s="99" t="s">
        <v>250</v>
      </c>
      <c r="D208" s="120"/>
      <c r="E208" s="120"/>
      <c r="F208" s="100"/>
      <c r="G208" s="127"/>
      <c r="H208" s="128"/>
      <c r="J208" s="39"/>
    </row>
    <row r="209" spans="1:14" s="70" customFormat="1" x14ac:dyDescent="0.25">
      <c r="A209" s="99">
        <f>A207+1</f>
        <v>6</v>
      </c>
      <c r="B209" s="100"/>
      <c r="C209" s="61" t="s">
        <v>255</v>
      </c>
      <c r="D209" s="71">
        <f>52.72*10.764</f>
        <v>567.47807999999998</v>
      </c>
      <c r="E209" s="71">
        <v>0</v>
      </c>
      <c r="F209" s="71">
        <f t="shared" si="22"/>
        <v>907.96492799999999</v>
      </c>
      <c r="G209" s="129"/>
      <c r="H209" s="130"/>
      <c r="I209" s="39"/>
      <c r="L209" s="119"/>
      <c r="M209" s="119"/>
      <c r="N209" s="39"/>
    </row>
    <row r="210" spans="1:14" s="70" customFormat="1" x14ac:dyDescent="0.25">
      <c r="A210" s="131" t="s">
        <v>220</v>
      </c>
      <c r="B210" s="132"/>
      <c r="C210" s="132"/>
      <c r="D210" s="132"/>
      <c r="E210" s="132"/>
      <c r="F210" s="132"/>
      <c r="G210" s="132"/>
      <c r="H210" s="133"/>
      <c r="I210" s="39"/>
      <c r="L210" s="119"/>
      <c r="M210" s="119"/>
      <c r="N210" s="39"/>
    </row>
    <row r="211" spans="1:14" s="70" customFormat="1" x14ac:dyDescent="0.25">
      <c r="A211" s="99">
        <v>1</v>
      </c>
      <c r="B211" s="100"/>
      <c r="C211" s="101" t="s">
        <v>251</v>
      </c>
      <c r="D211" s="134"/>
      <c r="E211" s="134"/>
      <c r="F211" s="102"/>
      <c r="G211" s="125" t="str">
        <f>A210</f>
        <v>2nd Floor For Commercials &amp; Parking</v>
      </c>
      <c r="H211" s="126"/>
      <c r="I211" s="39"/>
      <c r="L211" s="119"/>
      <c r="M211" s="119"/>
      <c r="N211" s="39"/>
    </row>
    <row r="212" spans="1:14" s="70" customFormat="1" x14ac:dyDescent="0.25">
      <c r="A212" s="99">
        <f t="shared" ref="A212:A221" si="24">A211+1</f>
        <v>2</v>
      </c>
      <c r="B212" s="100"/>
      <c r="C212" s="105"/>
      <c r="D212" s="135"/>
      <c r="E212" s="135"/>
      <c r="F212" s="106"/>
      <c r="G212" s="127"/>
      <c r="H212" s="128"/>
      <c r="J212" s="39"/>
    </row>
    <row r="213" spans="1:14" s="70" customFormat="1" x14ac:dyDescent="0.25">
      <c r="A213" s="99">
        <f t="shared" si="24"/>
        <v>3</v>
      </c>
      <c r="B213" s="100"/>
      <c r="C213" s="61" t="s">
        <v>255</v>
      </c>
      <c r="D213" s="71">
        <f>229.35*10.764</f>
        <v>2468.7233999999999</v>
      </c>
      <c r="E213" s="71">
        <v>0</v>
      </c>
      <c r="F213" s="71">
        <f t="shared" ref="F213:F221" si="25">(D213+E213)*(($F$123)+1)</f>
        <v>3949.9574400000001</v>
      </c>
      <c r="G213" s="127"/>
      <c r="H213" s="128"/>
      <c r="I213" s="39"/>
      <c r="L213" s="119"/>
      <c r="M213" s="119"/>
      <c r="N213" s="39"/>
    </row>
    <row r="214" spans="1:14" s="70" customFormat="1" x14ac:dyDescent="0.25">
      <c r="A214" s="99" t="s">
        <v>249</v>
      </c>
      <c r="B214" s="100"/>
      <c r="C214" s="61" t="s">
        <v>255</v>
      </c>
      <c r="D214" s="71">
        <f>206.85*10.764</f>
        <v>2226.5333999999998</v>
      </c>
      <c r="E214" s="71">
        <v>0</v>
      </c>
      <c r="F214" s="71">
        <f t="shared" si="25"/>
        <v>3562.4534399999998</v>
      </c>
      <c r="G214" s="127"/>
      <c r="H214" s="128"/>
      <c r="I214" s="39"/>
      <c r="L214" s="119"/>
      <c r="M214" s="119"/>
      <c r="N214" s="39"/>
    </row>
    <row r="215" spans="1:14" s="75" customFormat="1" x14ac:dyDescent="0.25">
      <c r="A215" s="99" t="s">
        <v>248</v>
      </c>
      <c r="B215" s="100"/>
      <c r="C215" s="61" t="s">
        <v>255</v>
      </c>
      <c r="D215" s="76">
        <f>70.51*10.764</f>
        <v>758.96964000000003</v>
      </c>
      <c r="E215" s="76">
        <v>0</v>
      </c>
      <c r="F215" s="76">
        <f t="shared" ref="F215:F216" si="26">(D215+E215)*(($F$123)+1)</f>
        <v>1214.3514240000002</v>
      </c>
      <c r="G215" s="127"/>
      <c r="H215" s="128"/>
      <c r="I215" s="39"/>
      <c r="L215" s="119"/>
      <c r="M215" s="119"/>
      <c r="N215" s="39"/>
    </row>
    <row r="216" spans="1:14" s="75" customFormat="1" x14ac:dyDescent="0.25">
      <c r="A216" s="99" t="s">
        <v>252</v>
      </c>
      <c r="B216" s="100"/>
      <c r="C216" s="61" t="s">
        <v>255</v>
      </c>
      <c r="D216" s="76">
        <f>57.45*10.764</f>
        <v>618.39179999999999</v>
      </c>
      <c r="E216" s="76">
        <v>0</v>
      </c>
      <c r="F216" s="76">
        <f t="shared" si="26"/>
        <v>989.42687999999998</v>
      </c>
      <c r="G216" s="127"/>
      <c r="H216" s="128"/>
      <c r="I216" s="39"/>
      <c r="L216" s="119"/>
      <c r="M216" s="119"/>
      <c r="N216" s="39"/>
    </row>
    <row r="217" spans="1:14" s="70" customFormat="1" x14ac:dyDescent="0.25">
      <c r="A217" s="99">
        <f>A213+2</f>
        <v>5</v>
      </c>
      <c r="B217" s="100"/>
      <c r="C217" s="61" t="s">
        <v>255</v>
      </c>
      <c r="D217" s="71">
        <f>69.73*10.764</f>
        <v>750.57371999999998</v>
      </c>
      <c r="E217" s="71">
        <v>0</v>
      </c>
      <c r="F217" s="71">
        <f t="shared" si="25"/>
        <v>1200.917952</v>
      </c>
      <c r="G217" s="127"/>
      <c r="H217" s="128"/>
      <c r="J217" s="39"/>
    </row>
    <row r="218" spans="1:14" s="70" customFormat="1" x14ac:dyDescent="0.25">
      <c r="A218" s="99">
        <f t="shared" si="24"/>
        <v>6</v>
      </c>
      <c r="B218" s="100"/>
      <c r="C218" s="61" t="s">
        <v>255</v>
      </c>
      <c r="D218" s="71">
        <f>28.88*10.764</f>
        <v>310.86431999999996</v>
      </c>
      <c r="E218" s="71">
        <v>0</v>
      </c>
      <c r="F218" s="71">
        <f t="shared" si="25"/>
        <v>497.38291199999998</v>
      </c>
      <c r="G218" s="127"/>
      <c r="H218" s="128"/>
      <c r="I218" s="39"/>
      <c r="L218" s="119"/>
      <c r="M218" s="119"/>
      <c r="N218" s="39"/>
    </row>
    <row r="219" spans="1:14" s="70" customFormat="1" x14ac:dyDescent="0.25">
      <c r="A219" s="99">
        <f t="shared" si="24"/>
        <v>7</v>
      </c>
      <c r="B219" s="100"/>
      <c r="C219" s="61" t="s">
        <v>255</v>
      </c>
      <c r="D219" s="71">
        <f>26.19*10.764</f>
        <v>281.90915999999999</v>
      </c>
      <c r="E219" s="71">
        <v>0</v>
      </c>
      <c r="F219" s="71">
        <f t="shared" si="25"/>
        <v>451.05465600000002</v>
      </c>
      <c r="G219" s="127"/>
      <c r="H219" s="128"/>
      <c r="I219" s="39"/>
      <c r="L219" s="119"/>
      <c r="M219" s="119"/>
      <c r="N219" s="39"/>
    </row>
    <row r="220" spans="1:14" s="70" customFormat="1" x14ac:dyDescent="0.25">
      <c r="A220" s="99">
        <f t="shared" si="24"/>
        <v>8</v>
      </c>
      <c r="B220" s="100"/>
      <c r="C220" s="61" t="s">
        <v>255</v>
      </c>
      <c r="D220" s="71">
        <f>28.14*10.764</f>
        <v>302.89895999999999</v>
      </c>
      <c r="E220" s="71">
        <v>0</v>
      </c>
      <c r="F220" s="71">
        <f t="shared" si="25"/>
        <v>484.63833599999998</v>
      </c>
      <c r="G220" s="127"/>
      <c r="H220" s="128"/>
      <c r="J220" s="39"/>
    </row>
    <row r="221" spans="1:14" s="70" customFormat="1" x14ac:dyDescent="0.25">
      <c r="A221" s="99">
        <f t="shared" si="24"/>
        <v>9</v>
      </c>
      <c r="B221" s="100"/>
      <c r="C221" s="61" t="s">
        <v>255</v>
      </c>
      <c r="D221" s="71">
        <f>44.87*10.764</f>
        <v>482.98067999999995</v>
      </c>
      <c r="E221" s="71">
        <v>0</v>
      </c>
      <c r="F221" s="71">
        <f t="shared" si="25"/>
        <v>772.76908800000001</v>
      </c>
      <c r="G221" s="129"/>
      <c r="H221" s="130"/>
      <c r="I221" s="39"/>
      <c r="L221" s="119"/>
      <c r="M221" s="119"/>
      <c r="N221" s="39"/>
    </row>
    <row r="222" spans="1:14" s="70" customFormat="1" x14ac:dyDescent="0.25">
      <c r="A222" s="131" t="s">
        <v>221</v>
      </c>
      <c r="B222" s="132"/>
      <c r="C222" s="132"/>
      <c r="D222" s="132"/>
      <c r="E222" s="132"/>
      <c r="F222" s="132"/>
      <c r="G222" s="132"/>
      <c r="H222" s="133"/>
      <c r="I222" s="39"/>
      <c r="L222" s="119"/>
      <c r="M222" s="119"/>
      <c r="N222" s="39"/>
    </row>
    <row r="223" spans="1:14" s="70" customFormat="1" ht="15.75" customHeight="1" x14ac:dyDescent="0.25">
      <c r="A223" s="99">
        <v>1</v>
      </c>
      <c r="B223" s="100"/>
      <c r="C223" s="61" t="s">
        <v>255</v>
      </c>
      <c r="D223" s="71">
        <f>139.87*10.764</f>
        <v>1505.56068</v>
      </c>
      <c r="E223" s="76">
        <f>18.6*5.65*10.764</f>
        <v>1131.1887600000002</v>
      </c>
      <c r="F223" s="71">
        <f t="shared" ref="F223:F232" si="27">(D223+E223)*(($F$123)+1)</f>
        <v>4218.7991040000006</v>
      </c>
      <c r="G223" s="125" t="str">
        <f>A222</f>
        <v>3rd Floor For Commercials &amp; Parking</v>
      </c>
      <c r="H223" s="126"/>
      <c r="I223" s="39"/>
      <c r="L223" s="119"/>
      <c r="M223" s="119"/>
      <c r="N223" s="39"/>
    </row>
    <row r="224" spans="1:14" s="70" customFormat="1" x14ac:dyDescent="0.25">
      <c r="A224" s="99">
        <f t="shared" ref="A224:A232" si="28">A223+1</f>
        <v>2</v>
      </c>
      <c r="B224" s="100"/>
      <c r="C224" s="61" t="s">
        <v>255</v>
      </c>
      <c r="D224" s="71">
        <f>37.55*10.764</f>
        <v>404.18819999999994</v>
      </c>
      <c r="E224" s="71">
        <v>0</v>
      </c>
      <c r="F224" s="71">
        <f t="shared" si="27"/>
        <v>646.70111999999995</v>
      </c>
      <c r="G224" s="127"/>
      <c r="H224" s="128"/>
      <c r="J224" s="39"/>
    </row>
    <row r="225" spans="1:14" s="70" customFormat="1" x14ac:dyDescent="0.25">
      <c r="A225" s="99">
        <f t="shared" si="28"/>
        <v>3</v>
      </c>
      <c r="B225" s="100"/>
      <c r="C225" s="61" t="s">
        <v>255</v>
      </c>
      <c r="D225" s="71">
        <f>51.78*10.764</f>
        <v>557.35991999999999</v>
      </c>
      <c r="E225" s="71">
        <v>0</v>
      </c>
      <c r="F225" s="71">
        <f t="shared" si="27"/>
        <v>891.77587200000005</v>
      </c>
      <c r="G225" s="127"/>
      <c r="H225" s="128"/>
      <c r="I225" s="39"/>
      <c r="L225" s="119"/>
      <c r="M225" s="119"/>
      <c r="N225" s="39"/>
    </row>
    <row r="226" spans="1:14" s="70" customFormat="1" x14ac:dyDescent="0.25">
      <c r="A226" s="99">
        <f t="shared" si="28"/>
        <v>4</v>
      </c>
      <c r="B226" s="100"/>
      <c r="C226" s="61" t="s">
        <v>255</v>
      </c>
      <c r="D226" s="71">
        <f>72.51*10.764</f>
        <v>780.49764000000005</v>
      </c>
      <c r="E226" s="71">
        <v>0</v>
      </c>
      <c r="F226" s="71">
        <f t="shared" si="27"/>
        <v>1248.7962240000002</v>
      </c>
      <c r="G226" s="127"/>
      <c r="H226" s="128"/>
      <c r="I226" s="39"/>
      <c r="L226" s="119"/>
      <c r="M226" s="119"/>
      <c r="N226" s="39"/>
    </row>
    <row r="227" spans="1:14" s="70" customFormat="1" x14ac:dyDescent="0.25">
      <c r="A227" s="99">
        <f t="shared" si="28"/>
        <v>5</v>
      </c>
      <c r="B227" s="100"/>
      <c r="C227" s="61" t="s">
        <v>255</v>
      </c>
      <c r="D227" s="71">
        <f>57.9*10.764</f>
        <v>623.23559999999998</v>
      </c>
      <c r="E227" s="71">
        <v>0</v>
      </c>
      <c r="F227" s="71">
        <f t="shared" si="27"/>
        <v>997.17696000000001</v>
      </c>
      <c r="G227" s="127"/>
      <c r="H227" s="128"/>
      <c r="J227" s="39"/>
    </row>
    <row r="228" spans="1:14" s="70" customFormat="1" x14ac:dyDescent="0.25">
      <c r="A228" s="99">
        <f t="shared" si="28"/>
        <v>6</v>
      </c>
      <c r="B228" s="100"/>
      <c r="C228" s="61" t="s">
        <v>255</v>
      </c>
      <c r="D228" s="71">
        <f>69.67*10.764</f>
        <v>749.92787999999996</v>
      </c>
      <c r="E228" s="71">
        <v>0</v>
      </c>
      <c r="F228" s="71">
        <f t="shared" si="27"/>
        <v>1199.8846080000001</v>
      </c>
      <c r="G228" s="127"/>
      <c r="H228" s="128"/>
      <c r="I228" s="39"/>
      <c r="L228" s="119"/>
      <c r="M228" s="119"/>
      <c r="N228" s="39"/>
    </row>
    <row r="229" spans="1:14" s="70" customFormat="1" x14ac:dyDescent="0.25">
      <c r="A229" s="99">
        <f t="shared" si="28"/>
        <v>7</v>
      </c>
      <c r="B229" s="100"/>
      <c r="C229" s="61" t="s">
        <v>255</v>
      </c>
      <c r="D229" s="71">
        <f>30.38*10.764</f>
        <v>327.01031999999998</v>
      </c>
      <c r="E229" s="71">
        <v>0</v>
      </c>
      <c r="F229" s="71">
        <f t="shared" si="27"/>
        <v>523.21651199999997</v>
      </c>
      <c r="G229" s="127"/>
      <c r="H229" s="128"/>
      <c r="I229" s="39"/>
      <c r="L229" s="119"/>
      <c r="M229" s="119"/>
      <c r="N229" s="39"/>
    </row>
    <row r="230" spans="1:14" s="70" customFormat="1" x14ac:dyDescent="0.25">
      <c r="A230" s="99">
        <f t="shared" si="28"/>
        <v>8</v>
      </c>
      <c r="B230" s="100"/>
      <c r="C230" s="61" t="s">
        <v>255</v>
      </c>
      <c r="D230" s="71">
        <f>26.58*10.764</f>
        <v>286.10711999999995</v>
      </c>
      <c r="E230" s="71">
        <v>0</v>
      </c>
      <c r="F230" s="71">
        <f t="shared" si="27"/>
        <v>457.77139199999993</v>
      </c>
      <c r="G230" s="127"/>
      <c r="H230" s="128"/>
      <c r="J230" s="39"/>
    </row>
    <row r="231" spans="1:14" s="70" customFormat="1" x14ac:dyDescent="0.25">
      <c r="A231" s="99">
        <f t="shared" si="28"/>
        <v>9</v>
      </c>
      <c r="B231" s="100"/>
      <c r="C231" s="61" t="s">
        <v>255</v>
      </c>
      <c r="D231" s="71">
        <f>30.35*10.764</f>
        <v>326.68739999999997</v>
      </c>
      <c r="E231" s="71">
        <v>0</v>
      </c>
      <c r="F231" s="71">
        <f t="shared" si="27"/>
        <v>522.69983999999999</v>
      </c>
      <c r="G231" s="127"/>
      <c r="H231" s="128"/>
      <c r="I231" s="39"/>
      <c r="L231" s="119"/>
      <c r="M231" s="119"/>
      <c r="N231" s="39"/>
    </row>
    <row r="232" spans="1:14" s="70" customFormat="1" x14ac:dyDescent="0.25">
      <c r="A232" s="99">
        <f t="shared" si="28"/>
        <v>10</v>
      </c>
      <c r="B232" s="100"/>
      <c r="C232" s="61" t="s">
        <v>255</v>
      </c>
      <c r="D232" s="71">
        <f>47.2*10.764</f>
        <v>508.06079999999997</v>
      </c>
      <c r="E232" s="71">
        <v>0</v>
      </c>
      <c r="F232" s="71">
        <f t="shared" si="27"/>
        <v>812.89728000000002</v>
      </c>
      <c r="G232" s="129"/>
      <c r="H232" s="130"/>
      <c r="I232" s="39"/>
      <c r="L232" s="119"/>
      <c r="M232" s="119"/>
      <c r="N232" s="39"/>
    </row>
    <row r="233" spans="1:14" s="57" customFormat="1" x14ac:dyDescent="0.25">
      <c r="A233" s="96" t="s">
        <v>226</v>
      </c>
      <c r="B233" s="97"/>
      <c r="C233" s="97"/>
      <c r="D233" s="97"/>
      <c r="E233" s="97"/>
      <c r="F233" s="97"/>
      <c r="G233" s="97"/>
      <c r="H233" s="98"/>
      <c r="I233" s="39"/>
      <c r="L233" s="119"/>
      <c r="M233" s="119"/>
      <c r="N233" s="39"/>
    </row>
    <row r="234" spans="1:14" s="57" customFormat="1" ht="15.75" customHeight="1" x14ac:dyDescent="0.25">
      <c r="A234" s="99">
        <v>1</v>
      </c>
      <c r="B234" s="100"/>
      <c r="C234" s="61" t="s">
        <v>255</v>
      </c>
      <c r="D234" s="56">
        <f>139.87*10.764</f>
        <v>1505.56068</v>
      </c>
      <c r="E234" s="56">
        <v>0</v>
      </c>
      <c r="F234" s="56">
        <f>(D234+E234)*(($F$123)+1)</f>
        <v>2408.8970880000002</v>
      </c>
      <c r="G234" s="101" t="str">
        <f>A233</f>
        <v>4th to 6th, 8th &amp; 9th Floor For Residential &amp; Parking</v>
      </c>
      <c r="H234" s="102"/>
      <c r="I234" s="39"/>
      <c r="L234" s="119"/>
      <c r="M234" s="119"/>
      <c r="N234" s="39"/>
    </row>
    <row r="235" spans="1:14" s="57" customFormat="1" ht="15.75" customHeight="1" x14ac:dyDescent="0.25">
      <c r="A235" s="99">
        <f t="shared" ref="A235:A243" si="29">A234+1</f>
        <v>2</v>
      </c>
      <c r="B235" s="100"/>
      <c r="C235" s="61" t="s">
        <v>255</v>
      </c>
      <c r="D235" s="56">
        <f>37.55*10.764</f>
        <v>404.18819999999994</v>
      </c>
      <c r="E235" s="56">
        <v>0</v>
      </c>
      <c r="F235" s="56">
        <f t="shared" ref="F235:F243" si="30">(D235+E235)*(($F$123)+1)</f>
        <v>646.70111999999995</v>
      </c>
      <c r="G235" s="103"/>
      <c r="H235" s="104"/>
      <c r="J235" s="39"/>
    </row>
    <row r="236" spans="1:14" s="57" customFormat="1" ht="15.75" customHeight="1" x14ac:dyDescent="0.25">
      <c r="A236" s="99">
        <f t="shared" si="29"/>
        <v>3</v>
      </c>
      <c r="B236" s="100"/>
      <c r="C236" s="61" t="s">
        <v>255</v>
      </c>
      <c r="D236" s="56">
        <f>51.78*10.764</f>
        <v>557.35991999999999</v>
      </c>
      <c r="E236" s="56">
        <v>0</v>
      </c>
      <c r="F236" s="56">
        <f t="shared" si="30"/>
        <v>891.77587200000005</v>
      </c>
      <c r="G236" s="103"/>
      <c r="H236" s="104"/>
      <c r="I236" s="39"/>
      <c r="L236" s="119"/>
      <c r="M236" s="119"/>
      <c r="N236" s="39"/>
    </row>
    <row r="237" spans="1:14" s="57" customFormat="1" ht="15.75" customHeight="1" x14ac:dyDescent="0.25">
      <c r="A237" s="99">
        <f t="shared" si="29"/>
        <v>4</v>
      </c>
      <c r="B237" s="100"/>
      <c r="C237" s="61" t="s">
        <v>255</v>
      </c>
      <c r="D237" s="56">
        <f>72.51*10.764</f>
        <v>780.49764000000005</v>
      </c>
      <c r="E237" s="56">
        <v>0</v>
      </c>
      <c r="F237" s="56">
        <f t="shared" si="30"/>
        <v>1248.7962240000002</v>
      </c>
      <c r="G237" s="103"/>
      <c r="H237" s="104"/>
      <c r="I237" s="39"/>
      <c r="L237" s="119"/>
      <c r="M237" s="119"/>
      <c r="N237" s="39"/>
    </row>
    <row r="238" spans="1:14" s="57" customFormat="1" ht="15.75" customHeight="1" x14ac:dyDescent="0.25">
      <c r="A238" s="99">
        <f t="shared" si="29"/>
        <v>5</v>
      </c>
      <c r="B238" s="100"/>
      <c r="C238" s="61" t="s">
        <v>255</v>
      </c>
      <c r="D238" s="56">
        <f>57.9*10.764</f>
        <v>623.23559999999998</v>
      </c>
      <c r="E238" s="56">
        <v>0</v>
      </c>
      <c r="F238" s="56">
        <f t="shared" si="30"/>
        <v>997.17696000000001</v>
      </c>
      <c r="G238" s="103"/>
      <c r="H238" s="104"/>
      <c r="J238" s="39"/>
    </row>
    <row r="239" spans="1:14" s="57" customFormat="1" ht="15.75" customHeight="1" x14ac:dyDescent="0.25">
      <c r="A239" s="99">
        <f t="shared" si="29"/>
        <v>6</v>
      </c>
      <c r="B239" s="100"/>
      <c r="C239" s="61" t="s">
        <v>255</v>
      </c>
      <c r="D239" s="56">
        <f>69.67*10.764</f>
        <v>749.92787999999996</v>
      </c>
      <c r="E239" s="56">
        <v>0</v>
      </c>
      <c r="F239" s="56">
        <f t="shared" si="30"/>
        <v>1199.8846080000001</v>
      </c>
      <c r="G239" s="103"/>
      <c r="H239" s="104"/>
      <c r="I239" s="39"/>
      <c r="L239" s="119"/>
      <c r="M239" s="119"/>
      <c r="N239" s="39"/>
    </row>
    <row r="240" spans="1:14" s="57" customFormat="1" ht="15.75" customHeight="1" x14ac:dyDescent="0.25">
      <c r="A240" s="99">
        <f t="shared" si="29"/>
        <v>7</v>
      </c>
      <c r="B240" s="100"/>
      <c r="C240" s="61" t="s">
        <v>255</v>
      </c>
      <c r="D240" s="56">
        <f>30.38*10.764</f>
        <v>327.01031999999998</v>
      </c>
      <c r="E240" s="56">
        <v>0</v>
      </c>
      <c r="F240" s="56">
        <f t="shared" si="30"/>
        <v>523.21651199999997</v>
      </c>
      <c r="G240" s="103"/>
      <c r="H240" s="104"/>
      <c r="I240" s="39"/>
      <c r="L240" s="119"/>
      <c r="M240" s="119"/>
      <c r="N240" s="39"/>
    </row>
    <row r="241" spans="1:14" s="57" customFormat="1" ht="15.75" customHeight="1" x14ac:dyDescent="0.25">
      <c r="A241" s="99">
        <f t="shared" si="29"/>
        <v>8</v>
      </c>
      <c r="B241" s="100"/>
      <c r="C241" s="61" t="s">
        <v>255</v>
      </c>
      <c r="D241" s="56">
        <f>26.58*10.764</f>
        <v>286.10711999999995</v>
      </c>
      <c r="E241" s="56">
        <v>0</v>
      </c>
      <c r="F241" s="56">
        <f t="shared" si="30"/>
        <v>457.77139199999993</v>
      </c>
      <c r="G241" s="103"/>
      <c r="H241" s="104"/>
      <c r="J241" s="39"/>
    </row>
    <row r="242" spans="1:14" s="57" customFormat="1" ht="15.75" customHeight="1" x14ac:dyDescent="0.25">
      <c r="A242" s="99">
        <f t="shared" si="29"/>
        <v>9</v>
      </c>
      <c r="B242" s="100"/>
      <c r="C242" s="61" t="s">
        <v>255</v>
      </c>
      <c r="D242" s="56">
        <f>30.35*10.764</f>
        <v>326.68739999999997</v>
      </c>
      <c r="E242" s="56">
        <v>0</v>
      </c>
      <c r="F242" s="56">
        <f t="shared" si="30"/>
        <v>522.69983999999999</v>
      </c>
      <c r="G242" s="103"/>
      <c r="H242" s="104"/>
      <c r="I242" s="39"/>
      <c r="L242" s="119"/>
      <c r="M242" s="119"/>
      <c r="N242" s="39"/>
    </row>
    <row r="243" spans="1:14" s="57" customFormat="1" ht="15.75" customHeight="1" x14ac:dyDescent="0.25">
      <c r="A243" s="99">
        <f t="shared" si="29"/>
        <v>10</v>
      </c>
      <c r="B243" s="100"/>
      <c r="C243" s="61" t="s">
        <v>255</v>
      </c>
      <c r="D243" s="56">
        <f>47.2*10.764</f>
        <v>508.06079999999997</v>
      </c>
      <c r="E243" s="56">
        <v>0</v>
      </c>
      <c r="F243" s="56">
        <f t="shared" si="30"/>
        <v>812.89728000000002</v>
      </c>
      <c r="G243" s="105"/>
      <c r="H243" s="106"/>
      <c r="I243" s="39"/>
      <c r="L243" s="119"/>
      <c r="M243" s="119"/>
      <c r="N243" s="39"/>
    </row>
    <row r="244" spans="1:14" s="57" customFormat="1" x14ac:dyDescent="0.25">
      <c r="A244" s="131" t="s">
        <v>192</v>
      </c>
      <c r="B244" s="132"/>
      <c r="C244" s="132"/>
      <c r="D244" s="132"/>
      <c r="E244" s="132"/>
      <c r="F244" s="132"/>
      <c r="G244" s="132"/>
      <c r="H244" s="133"/>
      <c r="I244" s="39"/>
      <c r="L244" s="119"/>
      <c r="M244" s="119"/>
      <c r="N244" s="39"/>
    </row>
    <row r="245" spans="1:14" s="57" customFormat="1" ht="15.75" customHeight="1" x14ac:dyDescent="0.25">
      <c r="A245" s="99">
        <v>1</v>
      </c>
      <c r="B245" s="100"/>
      <c r="C245" s="61" t="s">
        <v>255</v>
      </c>
      <c r="D245" s="56">
        <f>139.87*10.764</f>
        <v>1505.56068</v>
      </c>
      <c r="E245" s="56">
        <v>0</v>
      </c>
      <c r="F245" s="56">
        <f>(D245+E245)*(($F$123)+1)</f>
        <v>2408.8970880000002</v>
      </c>
      <c r="G245" s="101" t="str">
        <f>A244</f>
        <v>7th Floor (Part Refuge Area)</v>
      </c>
      <c r="H245" s="102"/>
      <c r="I245" s="39"/>
      <c r="L245" s="119"/>
      <c r="M245" s="119"/>
      <c r="N245" s="39"/>
    </row>
    <row r="246" spans="1:14" s="57" customFormat="1" ht="15.75" customHeight="1" x14ac:dyDescent="0.25">
      <c r="A246" s="99">
        <f t="shared" ref="A246:A254" si="31">A245+1</f>
        <v>2</v>
      </c>
      <c r="B246" s="100"/>
      <c r="C246" s="61" t="s">
        <v>255</v>
      </c>
      <c r="D246" s="56">
        <f>37.55*10.764</f>
        <v>404.18819999999994</v>
      </c>
      <c r="E246" s="56">
        <v>0</v>
      </c>
      <c r="F246" s="56">
        <f t="shared" ref="F246:F248" si="32">(D246+E246)*(($F$123)+1)</f>
        <v>646.70111999999995</v>
      </c>
      <c r="G246" s="103"/>
      <c r="H246" s="104"/>
      <c r="J246" s="39"/>
    </row>
    <row r="247" spans="1:14" s="57" customFormat="1" ht="15.75" customHeight="1" x14ac:dyDescent="0.25">
      <c r="A247" s="99">
        <f t="shared" si="31"/>
        <v>3</v>
      </c>
      <c r="B247" s="100"/>
      <c r="C247" s="61" t="s">
        <v>255</v>
      </c>
      <c r="D247" s="56">
        <f>51.78*10.764</f>
        <v>557.35991999999999</v>
      </c>
      <c r="E247" s="56">
        <v>0</v>
      </c>
      <c r="F247" s="56">
        <f t="shared" si="32"/>
        <v>891.77587200000005</v>
      </c>
      <c r="G247" s="103"/>
      <c r="H247" s="104"/>
      <c r="I247" s="39"/>
      <c r="L247" s="119"/>
      <c r="M247" s="119"/>
      <c r="N247" s="39"/>
    </row>
    <row r="248" spans="1:14" s="57" customFormat="1" ht="15.75" customHeight="1" x14ac:dyDescent="0.25">
      <c r="A248" s="99">
        <f t="shared" si="31"/>
        <v>4</v>
      </c>
      <c r="B248" s="100"/>
      <c r="C248" s="61" t="s">
        <v>255</v>
      </c>
      <c r="D248" s="56">
        <f>72.51*10.764</f>
        <v>780.49764000000005</v>
      </c>
      <c r="E248" s="56">
        <v>0</v>
      </c>
      <c r="F248" s="56">
        <f t="shared" si="32"/>
        <v>1248.7962240000002</v>
      </c>
      <c r="G248" s="103"/>
      <c r="H248" s="104"/>
      <c r="I248" s="39"/>
      <c r="L248" s="119"/>
      <c r="M248" s="119"/>
      <c r="N248" s="39"/>
    </row>
    <row r="249" spans="1:14" s="57" customFormat="1" ht="15.75" customHeight="1" x14ac:dyDescent="0.25">
      <c r="A249" s="99">
        <f t="shared" si="31"/>
        <v>5</v>
      </c>
      <c r="B249" s="100"/>
      <c r="C249" s="61" t="s">
        <v>255</v>
      </c>
      <c r="D249" s="56">
        <f>57.9*10.764</f>
        <v>623.23559999999998</v>
      </c>
      <c r="E249" s="56">
        <v>0</v>
      </c>
      <c r="F249" s="56">
        <f t="shared" ref="F249:F251" si="33">(D249+E249)*(($F$123)+1)</f>
        <v>997.17696000000001</v>
      </c>
      <c r="G249" s="103"/>
      <c r="H249" s="104"/>
      <c r="I249" s="39"/>
      <c r="L249" s="119"/>
      <c r="M249" s="119"/>
      <c r="N249" s="39"/>
    </row>
    <row r="250" spans="1:14" s="57" customFormat="1" ht="15.75" customHeight="1" x14ac:dyDescent="0.25">
      <c r="A250" s="136">
        <f t="shared" si="31"/>
        <v>6</v>
      </c>
      <c r="B250" s="137"/>
      <c r="C250" s="61" t="s">
        <v>255</v>
      </c>
      <c r="D250" s="61">
        <f>69.67*10.764</f>
        <v>749.92787999999996</v>
      </c>
      <c r="E250" s="61">
        <v>0</v>
      </c>
      <c r="F250" s="61">
        <f t="shared" si="33"/>
        <v>1199.8846080000001</v>
      </c>
      <c r="G250" s="103"/>
      <c r="H250" s="104"/>
      <c r="I250" s="39"/>
      <c r="L250" s="119"/>
      <c r="M250" s="119"/>
      <c r="N250" s="39"/>
    </row>
    <row r="251" spans="1:14" s="70" customFormat="1" x14ac:dyDescent="0.25">
      <c r="A251" s="99">
        <f t="shared" si="31"/>
        <v>7</v>
      </c>
      <c r="B251" s="100"/>
      <c r="C251" s="61" t="s">
        <v>255</v>
      </c>
      <c r="D251" s="71">
        <f>21.28*10.764</f>
        <v>229.05792</v>
      </c>
      <c r="E251" s="71">
        <v>0</v>
      </c>
      <c r="F251" s="71">
        <f t="shared" si="33"/>
        <v>366.49267200000003</v>
      </c>
      <c r="G251" s="103"/>
      <c r="H251" s="104"/>
      <c r="I251" s="39"/>
      <c r="L251" s="119"/>
      <c r="M251" s="119"/>
      <c r="N251" s="39"/>
    </row>
    <row r="252" spans="1:14" s="70" customFormat="1" x14ac:dyDescent="0.25">
      <c r="A252" s="99">
        <f t="shared" si="31"/>
        <v>8</v>
      </c>
      <c r="B252" s="100"/>
      <c r="C252" s="101" t="s">
        <v>224</v>
      </c>
      <c r="D252" s="134"/>
      <c r="E252" s="134"/>
      <c r="F252" s="102"/>
      <c r="G252" s="103"/>
      <c r="H252" s="104"/>
      <c r="J252" s="39"/>
    </row>
    <row r="253" spans="1:14" s="70" customFormat="1" x14ac:dyDescent="0.25">
      <c r="A253" s="99">
        <f t="shared" si="31"/>
        <v>9</v>
      </c>
      <c r="B253" s="100"/>
      <c r="C253" s="103"/>
      <c r="D253" s="199"/>
      <c r="E253" s="199"/>
      <c r="F253" s="104"/>
      <c r="G253" s="103"/>
      <c r="H253" s="104"/>
      <c r="I253" s="39"/>
      <c r="L253" s="119"/>
      <c r="M253" s="119"/>
      <c r="N253" s="39"/>
    </row>
    <row r="254" spans="1:14" s="70" customFormat="1" x14ac:dyDescent="0.25">
      <c r="A254" s="99">
        <f t="shared" si="31"/>
        <v>10</v>
      </c>
      <c r="B254" s="100"/>
      <c r="C254" s="105"/>
      <c r="D254" s="135"/>
      <c r="E254" s="135"/>
      <c r="F254" s="106"/>
      <c r="G254" s="105"/>
      <c r="H254" s="106"/>
      <c r="I254" s="39"/>
      <c r="L254" s="119"/>
      <c r="M254" s="119"/>
      <c r="N254" s="39"/>
    </row>
    <row r="255" spans="1:14" s="60" customFormat="1" x14ac:dyDescent="0.25">
      <c r="A255" s="96" t="s">
        <v>227</v>
      </c>
      <c r="B255" s="97"/>
      <c r="C255" s="97"/>
      <c r="D255" s="97"/>
      <c r="E255" s="97"/>
      <c r="F255" s="97"/>
      <c r="G255" s="97"/>
      <c r="H255" s="98"/>
      <c r="I255" s="39"/>
      <c r="L255" s="119"/>
      <c r="M255" s="119"/>
      <c r="N255" s="39"/>
    </row>
    <row r="256" spans="1:14" s="60" customFormat="1" ht="15.75" customHeight="1" x14ac:dyDescent="0.25">
      <c r="A256" s="99">
        <v>1</v>
      </c>
      <c r="B256" s="100"/>
      <c r="C256" s="61" t="s">
        <v>255</v>
      </c>
      <c r="D256" s="58">
        <f>139.87*10.764</f>
        <v>1505.56068</v>
      </c>
      <c r="E256" s="58">
        <v>0</v>
      </c>
      <c r="F256" s="58">
        <f>(D256+E256)*(($F$123)+1)</f>
        <v>2408.8970880000002</v>
      </c>
      <c r="G256" s="101" t="str">
        <f>A255</f>
        <v>10th Floor For Residential &amp; Parking</v>
      </c>
      <c r="H256" s="102"/>
      <c r="I256" s="39"/>
      <c r="L256" s="119"/>
      <c r="M256" s="119"/>
      <c r="N256" s="39"/>
    </row>
    <row r="257" spans="1:14" s="60" customFormat="1" ht="15.75" customHeight="1" x14ac:dyDescent="0.25">
      <c r="A257" s="99">
        <f t="shared" ref="A257:A265" si="34">A256+1</f>
        <v>2</v>
      </c>
      <c r="B257" s="100"/>
      <c r="C257" s="61" t="s">
        <v>255</v>
      </c>
      <c r="D257" s="58">
        <f>37.55*10.764</f>
        <v>404.18819999999994</v>
      </c>
      <c r="E257" s="58">
        <v>0</v>
      </c>
      <c r="F257" s="58">
        <f t="shared" ref="F257:F265" si="35">(D257+E257)*(($F$123)+1)</f>
        <v>646.70111999999995</v>
      </c>
      <c r="G257" s="103"/>
      <c r="H257" s="104"/>
      <c r="J257" s="39"/>
    </row>
    <row r="258" spans="1:14" s="60" customFormat="1" ht="15.75" customHeight="1" x14ac:dyDescent="0.25">
      <c r="A258" s="99">
        <f t="shared" si="34"/>
        <v>3</v>
      </c>
      <c r="B258" s="100"/>
      <c r="C258" s="61" t="s">
        <v>255</v>
      </c>
      <c r="D258" s="58">
        <f>51.78*10.764</f>
        <v>557.35991999999999</v>
      </c>
      <c r="E258" s="58">
        <v>0</v>
      </c>
      <c r="F258" s="58">
        <f t="shared" si="35"/>
        <v>891.77587200000005</v>
      </c>
      <c r="G258" s="103"/>
      <c r="H258" s="104"/>
      <c r="I258" s="39"/>
      <c r="L258" s="119"/>
      <c r="M258" s="119"/>
      <c r="N258" s="39"/>
    </row>
    <row r="259" spans="1:14" s="60" customFormat="1" ht="15.75" customHeight="1" x14ac:dyDescent="0.25">
      <c r="A259" s="99">
        <f t="shared" si="34"/>
        <v>4</v>
      </c>
      <c r="B259" s="100"/>
      <c r="C259" s="61" t="s">
        <v>255</v>
      </c>
      <c r="D259" s="58">
        <f>72.51*10.764</f>
        <v>780.49764000000005</v>
      </c>
      <c r="E259" s="58">
        <v>0</v>
      </c>
      <c r="F259" s="58">
        <f t="shared" si="35"/>
        <v>1248.7962240000002</v>
      </c>
      <c r="G259" s="103"/>
      <c r="H259" s="104"/>
      <c r="I259" s="39"/>
      <c r="L259" s="119"/>
      <c r="M259" s="119"/>
      <c r="N259" s="39"/>
    </row>
    <row r="260" spans="1:14" s="60" customFormat="1" ht="15.75" customHeight="1" x14ac:dyDescent="0.25">
      <c r="A260" s="99">
        <f t="shared" si="34"/>
        <v>5</v>
      </c>
      <c r="B260" s="100"/>
      <c r="C260" s="61" t="s">
        <v>255</v>
      </c>
      <c r="D260" s="58">
        <f>57.9*10.764</f>
        <v>623.23559999999998</v>
      </c>
      <c r="E260" s="58">
        <v>0</v>
      </c>
      <c r="F260" s="58">
        <f t="shared" si="35"/>
        <v>997.17696000000001</v>
      </c>
      <c r="G260" s="103"/>
      <c r="H260" s="104"/>
      <c r="J260" s="39"/>
    </row>
    <row r="261" spans="1:14" s="60" customFormat="1" ht="15.75" customHeight="1" x14ac:dyDescent="0.25">
      <c r="A261" s="99">
        <f t="shared" si="34"/>
        <v>6</v>
      </c>
      <c r="B261" s="100"/>
      <c r="C261" s="61" t="s">
        <v>255</v>
      </c>
      <c r="D261" s="58">
        <f>69.67*10.764</f>
        <v>749.92787999999996</v>
      </c>
      <c r="E261" s="58">
        <v>0</v>
      </c>
      <c r="F261" s="58">
        <f t="shared" si="35"/>
        <v>1199.8846080000001</v>
      </c>
      <c r="G261" s="103"/>
      <c r="H261" s="104"/>
      <c r="I261" s="39"/>
      <c r="L261" s="119"/>
      <c r="M261" s="119"/>
      <c r="N261" s="39"/>
    </row>
    <row r="262" spans="1:14" s="60" customFormat="1" ht="15.75" customHeight="1" x14ac:dyDescent="0.25">
      <c r="A262" s="99">
        <f t="shared" si="34"/>
        <v>7</v>
      </c>
      <c r="B262" s="100"/>
      <c r="C262" s="61" t="s">
        <v>255</v>
      </c>
      <c r="D262" s="58">
        <f>30.38*10.764</f>
        <v>327.01031999999998</v>
      </c>
      <c r="E262" s="58">
        <v>0</v>
      </c>
      <c r="F262" s="58">
        <f t="shared" si="35"/>
        <v>523.21651199999997</v>
      </c>
      <c r="G262" s="103"/>
      <c r="H262" s="104"/>
      <c r="I262" s="39"/>
      <c r="L262" s="119"/>
      <c r="M262" s="119"/>
      <c r="N262" s="39"/>
    </row>
    <row r="263" spans="1:14" s="60" customFormat="1" ht="15.75" customHeight="1" x14ac:dyDescent="0.25">
      <c r="A263" s="99">
        <f t="shared" si="34"/>
        <v>8</v>
      </c>
      <c r="B263" s="100"/>
      <c r="C263" s="61" t="s">
        <v>255</v>
      </c>
      <c r="D263" s="71">
        <f>26.58*10.764</f>
        <v>286.10711999999995</v>
      </c>
      <c r="E263" s="58">
        <v>0</v>
      </c>
      <c r="F263" s="58">
        <f t="shared" si="35"/>
        <v>457.77139199999993</v>
      </c>
      <c r="G263" s="103"/>
      <c r="H263" s="104"/>
      <c r="J263" s="39"/>
    </row>
    <row r="264" spans="1:14" s="60" customFormat="1" ht="15.75" customHeight="1" x14ac:dyDescent="0.25">
      <c r="A264" s="99">
        <f t="shared" si="34"/>
        <v>9</v>
      </c>
      <c r="B264" s="100"/>
      <c r="C264" s="61" t="s">
        <v>255</v>
      </c>
      <c r="D264" s="58">
        <f>30.35*10.764</f>
        <v>326.68739999999997</v>
      </c>
      <c r="E264" s="58">
        <v>0</v>
      </c>
      <c r="F264" s="58">
        <f t="shared" si="35"/>
        <v>522.69983999999999</v>
      </c>
      <c r="G264" s="103"/>
      <c r="H264" s="104"/>
      <c r="I264" s="39"/>
      <c r="L264" s="119"/>
      <c r="M264" s="119"/>
      <c r="N264" s="39"/>
    </row>
    <row r="265" spans="1:14" s="60" customFormat="1" ht="15.75" customHeight="1" x14ac:dyDescent="0.25">
      <c r="A265" s="99">
        <f t="shared" si="34"/>
        <v>10</v>
      </c>
      <c r="B265" s="100"/>
      <c r="C265" s="61" t="s">
        <v>255</v>
      </c>
      <c r="D265" s="58">
        <f>47.2*10.764</f>
        <v>508.06079999999997</v>
      </c>
      <c r="E265" s="58">
        <v>0</v>
      </c>
      <c r="F265" s="58">
        <f t="shared" si="35"/>
        <v>812.89728000000002</v>
      </c>
      <c r="G265" s="105"/>
      <c r="H265" s="106"/>
      <c r="I265" s="39"/>
      <c r="L265" s="119"/>
      <c r="M265" s="119"/>
      <c r="N265" s="39"/>
    </row>
    <row r="266" spans="1:14" s="57" customFormat="1" x14ac:dyDescent="0.25">
      <c r="A266" s="99"/>
      <c r="B266" s="120"/>
      <c r="C266" s="120"/>
      <c r="D266" s="120"/>
      <c r="E266" s="120"/>
      <c r="F266" s="120"/>
      <c r="G266" s="120"/>
      <c r="H266" s="100"/>
      <c r="I266" s="39"/>
      <c r="L266" s="119"/>
      <c r="M266" s="119"/>
      <c r="N266" s="39"/>
    </row>
    <row r="267" spans="1:14" s="57" customFormat="1" ht="47.25" x14ac:dyDescent="0.25">
      <c r="A267" s="138" t="s">
        <v>122</v>
      </c>
      <c r="B267" s="138" t="s">
        <v>123</v>
      </c>
      <c r="C267" s="151" t="s">
        <v>58</v>
      </c>
      <c r="D267" s="151" t="s">
        <v>59</v>
      </c>
      <c r="E267" s="153" t="s">
        <v>60</v>
      </c>
      <c r="F267" s="46" t="s">
        <v>155</v>
      </c>
      <c r="G267" s="138" t="s">
        <v>61</v>
      </c>
      <c r="H267" s="139"/>
      <c r="I267" s="39"/>
      <c r="L267" s="119"/>
      <c r="M267" s="119"/>
      <c r="N267" s="39"/>
    </row>
    <row r="268" spans="1:14" s="49" customFormat="1" ht="16.5" customHeight="1" x14ac:dyDescent="0.25">
      <c r="A268" s="140"/>
      <c r="B268" s="140"/>
      <c r="C268" s="152"/>
      <c r="D268" s="152"/>
      <c r="E268" s="154"/>
      <c r="F268" s="15">
        <v>0.55000000000000004</v>
      </c>
      <c r="G268" s="140"/>
      <c r="H268" s="141"/>
      <c r="I268" s="39"/>
      <c r="N268" s="39"/>
    </row>
    <row r="269" spans="1:14" s="60" customFormat="1" ht="15.75" customHeight="1" x14ac:dyDescent="0.25">
      <c r="A269" s="96" t="s">
        <v>193</v>
      </c>
      <c r="B269" s="97"/>
      <c r="C269" s="97"/>
      <c r="D269" s="97"/>
      <c r="E269" s="97"/>
      <c r="F269" s="97"/>
      <c r="G269" s="97"/>
      <c r="H269" s="98"/>
      <c r="I269" s="39"/>
    </row>
    <row r="270" spans="1:14" s="60" customFormat="1" ht="15.75" customHeight="1" x14ac:dyDescent="0.25">
      <c r="A270" s="96" t="s">
        <v>195</v>
      </c>
      <c r="B270" s="97"/>
      <c r="C270" s="97"/>
      <c r="D270" s="97"/>
      <c r="E270" s="97"/>
      <c r="F270" s="97"/>
      <c r="G270" s="97"/>
      <c r="H270" s="98"/>
      <c r="I270" s="39"/>
    </row>
    <row r="271" spans="1:14" s="60" customFormat="1" x14ac:dyDescent="0.25">
      <c r="A271" s="96" t="s">
        <v>228</v>
      </c>
      <c r="B271" s="97"/>
      <c r="C271" s="97"/>
      <c r="D271" s="97"/>
      <c r="E271" s="97"/>
      <c r="F271" s="97"/>
      <c r="G271" s="97"/>
      <c r="H271" s="98"/>
      <c r="I271" s="39">
        <f>2+6+6+6+1</f>
        <v>21</v>
      </c>
      <c r="N271" s="39"/>
    </row>
    <row r="272" spans="1:14" s="60" customFormat="1" ht="15.75" customHeight="1" x14ac:dyDescent="0.25">
      <c r="A272" s="99">
        <v>1</v>
      </c>
      <c r="B272" s="100"/>
      <c r="C272" s="55">
        <v>1</v>
      </c>
      <c r="D272" s="71">
        <f>37.4*10.764</f>
        <v>402.57359999999994</v>
      </c>
      <c r="E272" s="58">
        <v>0</v>
      </c>
      <c r="F272" s="58">
        <f t="shared" ref="F272:F283" si="36">D272*(($F$268)+1)+(IF(E272&lt;101,E272,IF(E272&lt;201,E272/2,IF(E272&lt;=301,E272/3,E272/4))))</f>
        <v>623.98907999999994</v>
      </c>
      <c r="G272" s="101" t="str">
        <f>A271</f>
        <v>12th, 13th, 15th to 20th, 22nd to 27th, 29th to 34th &amp; 36th Floor For Residential</v>
      </c>
      <c r="H272" s="102"/>
      <c r="I272" s="39">
        <f>(3.05*4.96+2.15*2.35+3.05*3.6+1.23*2.13+0.85*1.25+2.06*1.26)</f>
        <v>37.438499999999998</v>
      </c>
      <c r="N272" s="39"/>
    </row>
    <row r="273" spans="1:16" s="60" customFormat="1" ht="15.75" customHeight="1" x14ac:dyDescent="0.25">
      <c r="A273" s="99">
        <v>2</v>
      </c>
      <c r="B273" s="100"/>
      <c r="C273" s="55">
        <v>1</v>
      </c>
      <c r="D273" s="71">
        <f>37.4*10.764</f>
        <v>402.57359999999994</v>
      </c>
      <c r="E273" s="58">
        <v>0</v>
      </c>
      <c r="F273" s="58">
        <f t="shared" si="36"/>
        <v>623.98907999999994</v>
      </c>
      <c r="G273" s="103"/>
      <c r="H273" s="104"/>
      <c r="I273" s="39"/>
      <c r="P273" s="40"/>
    </row>
    <row r="274" spans="1:16" s="60" customFormat="1" ht="15.75" customHeight="1" x14ac:dyDescent="0.25">
      <c r="A274" s="99">
        <v>3</v>
      </c>
      <c r="B274" s="100"/>
      <c r="C274" s="55">
        <v>2</v>
      </c>
      <c r="D274" s="58">
        <f>55.22*10.764</f>
        <v>594.38807999999995</v>
      </c>
      <c r="E274" s="58">
        <v>0</v>
      </c>
      <c r="F274" s="58">
        <f t="shared" si="36"/>
        <v>921.30152399999997</v>
      </c>
      <c r="G274" s="103"/>
      <c r="H274" s="104"/>
      <c r="I274" s="39"/>
    </row>
    <row r="275" spans="1:16" s="60" customFormat="1" ht="15.75" customHeight="1" x14ac:dyDescent="0.25">
      <c r="A275" s="99">
        <v>4</v>
      </c>
      <c r="B275" s="100"/>
      <c r="C275" s="55">
        <v>2</v>
      </c>
      <c r="D275" s="71">
        <f>55.22*10.764</f>
        <v>594.38807999999995</v>
      </c>
      <c r="E275" s="58">
        <v>0</v>
      </c>
      <c r="F275" s="58">
        <f t="shared" si="36"/>
        <v>921.30152399999997</v>
      </c>
      <c r="G275" s="103"/>
      <c r="H275" s="104"/>
      <c r="I275" s="39">
        <f>(3.2*4.88+2.76*2.13+3.05*3.35+3.05*4.35+1.75*0.9+0.9*0.9+0.7*2.28+2.1*1.23+2.1*1.23+1.05*1)</f>
        <v>55.176799999999993</v>
      </c>
    </row>
    <row r="276" spans="1:16" s="60" customFormat="1" ht="15.75" customHeight="1" x14ac:dyDescent="0.25">
      <c r="A276" s="99">
        <v>5</v>
      </c>
      <c r="B276" s="100"/>
      <c r="C276" s="55">
        <v>2</v>
      </c>
      <c r="D276" s="58">
        <f>55.93*10.764</f>
        <v>602.03051999999991</v>
      </c>
      <c r="E276" s="58">
        <v>0</v>
      </c>
      <c r="F276" s="58">
        <f t="shared" si="36"/>
        <v>933.14730599999984</v>
      </c>
      <c r="G276" s="103"/>
      <c r="H276" s="104"/>
      <c r="I276" s="39"/>
    </row>
    <row r="277" spans="1:16" s="60" customFormat="1" ht="15.75" customHeight="1" x14ac:dyDescent="0.25">
      <c r="A277" s="99">
        <v>6</v>
      </c>
      <c r="B277" s="100"/>
      <c r="C277" s="55">
        <v>1</v>
      </c>
      <c r="D277" s="58">
        <f>38.23*10.764</f>
        <v>411.50771999999995</v>
      </c>
      <c r="E277" s="58">
        <v>0</v>
      </c>
      <c r="F277" s="58">
        <f t="shared" si="36"/>
        <v>637.83696599999996</v>
      </c>
      <c r="G277" s="103"/>
      <c r="H277" s="104"/>
      <c r="I277" s="39"/>
      <c r="P277" s="40"/>
    </row>
    <row r="278" spans="1:16" s="60" customFormat="1" ht="15.75" customHeight="1" x14ac:dyDescent="0.25">
      <c r="A278" s="99">
        <v>7</v>
      </c>
      <c r="B278" s="100"/>
      <c r="C278" s="55">
        <v>2</v>
      </c>
      <c r="D278" s="58">
        <f>58.55*10.764</f>
        <v>630.23219999999992</v>
      </c>
      <c r="E278" s="58">
        <v>0</v>
      </c>
      <c r="F278" s="58">
        <f t="shared" si="36"/>
        <v>976.8599099999999</v>
      </c>
      <c r="G278" s="103"/>
      <c r="H278" s="104"/>
      <c r="I278" s="39"/>
    </row>
    <row r="279" spans="1:16" s="60" customFormat="1" ht="15.75" customHeight="1" x14ac:dyDescent="0.25">
      <c r="A279" s="99">
        <v>8</v>
      </c>
      <c r="B279" s="100"/>
      <c r="C279" s="55">
        <v>2</v>
      </c>
      <c r="D279" s="71">
        <f>58.55*10.764</f>
        <v>630.23219999999992</v>
      </c>
      <c r="E279" s="58">
        <v>0</v>
      </c>
      <c r="F279" s="58">
        <f t="shared" si="36"/>
        <v>976.8599099999999</v>
      </c>
      <c r="G279" s="103"/>
      <c r="H279" s="104"/>
      <c r="I279" s="39"/>
    </row>
    <row r="280" spans="1:16" s="60" customFormat="1" ht="15.75" customHeight="1" x14ac:dyDescent="0.25">
      <c r="A280" s="99">
        <v>9</v>
      </c>
      <c r="B280" s="100"/>
      <c r="C280" s="55">
        <v>1</v>
      </c>
      <c r="D280" s="58">
        <f>38.38*10.764</f>
        <v>413.12232</v>
      </c>
      <c r="E280" s="58">
        <v>0</v>
      </c>
      <c r="F280" s="58">
        <f t="shared" si="36"/>
        <v>640.33959600000003</v>
      </c>
      <c r="G280" s="103"/>
      <c r="H280" s="104"/>
      <c r="I280" s="39"/>
    </row>
    <row r="281" spans="1:16" s="60" customFormat="1" ht="15.75" customHeight="1" x14ac:dyDescent="0.25">
      <c r="A281" s="99">
        <v>10</v>
      </c>
      <c r="B281" s="100"/>
      <c r="C281" s="55">
        <v>2</v>
      </c>
      <c r="D281" s="58">
        <f>54.03*10.764</f>
        <v>581.57891999999993</v>
      </c>
      <c r="E281" s="58">
        <v>0</v>
      </c>
      <c r="F281" s="58">
        <f t="shared" si="36"/>
        <v>901.44732599999986</v>
      </c>
      <c r="G281" s="103"/>
      <c r="H281" s="104"/>
      <c r="I281" s="39"/>
    </row>
    <row r="282" spans="1:16" s="60" customFormat="1" ht="15.75" customHeight="1" x14ac:dyDescent="0.25">
      <c r="A282" s="99">
        <v>11</v>
      </c>
      <c r="B282" s="100"/>
      <c r="C282" s="55">
        <v>2</v>
      </c>
      <c r="D282" s="58">
        <f>53.95*10.764</f>
        <v>580.71780000000001</v>
      </c>
      <c r="E282" s="58">
        <v>0</v>
      </c>
      <c r="F282" s="58">
        <f t="shared" si="36"/>
        <v>900.11259000000007</v>
      </c>
      <c r="G282" s="103"/>
      <c r="H282" s="104"/>
      <c r="I282" s="39"/>
    </row>
    <row r="283" spans="1:16" s="60" customFormat="1" ht="15.75" customHeight="1" x14ac:dyDescent="0.25">
      <c r="A283" s="99">
        <v>12</v>
      </c>
      <c r="B283" s="100"/>
      <c r="C283" s="55">
        <v>2</v>
      </c>
      <c r="D283" s="58">
        <f>54.11*10.764</f>
        <v>582.44003999999995</v>
      </c>
      <c r="E283" s="58">
        <v>0</v>
      </c>
      <c r="F283" s="58">
        <f t="shared" si="36"/>
        <v>902.782062</v>
      </c>
      <c r="G283" s="105"/>
      <c r="H283" s="106"/>
      <c r="I283" s="39"/>
    </row>
    <row r="284" spans="1:16" s="60" customFormat="1" x14ac:dyDescent="0.25">
      <c r="A284" s="96" t="s">
        <v>229</v>
      </c>
      <c r="B284" s="97"/>
      <c r="C284" s="97"/>
      <c r="D284" s="97"/>
      <c r="E284" s="97"/>
      <c r="F284" s="97"/>
      <c r="G284" s="97"/>
      <c r="H284" s="98"/>
      <c r="I284" s="39"/>
      <c r="N284" s="39"/>
    </row>
    <row r="285" spans="1:16" s="60" customFormat="1" ht="15.75" customHeight="1" x14ac:dyDescent="0.25">
      <c r="A285" s="99">
        <v>1</v>
      </c>
      <c r="B285" s="100"/>
      <c r="C285" s="55">
        <v>1</v>
      </c>
      <c r="D285" s="76">
        <f>37.4*10.764</f>
        <v>402.57359999999994</v>
      </c>
      <c r="E285" s="58">
        <v>0</v>
      </c>
      <c r="F285" s="58">
        <f t="shared" ref="F285:F293" si="37">D285*(($F$268)+1)+(IF(E285&lt;101,E285,IF(E285&lt;201,E285/2,IF(E285&lt;=301,E285/3,E285/4))))</f>
        <v>623.98907999999994</v>
      </c>
      <c r="G285" s="101" t="str">
        <f>A284</f>
        <v>14th, 21st, 28th &amp; 35th Floor (Part Refuge Area)</v>
      </c>
      <c r="H285" s="102"/>
      <c r="I285" s="39"/>
      <c r="N285" s="39"/>
    </row>
    <row r="286" spans="1:16" s="60" customFormat="1" ht="15.75" customHeight="1" x14ac:dyDescent="0.25">
      <c r="A286" s="99">
        <v>2</v>
      </c>
      <c r="B286" s="100"/>
      <c r="C286" s="55">
        <v>1</v>
      </c>
      <c r="D286" s="76">
        <f>37.4*10.764</f>
        <v>402.57359999999994</v>
      </c>
      <c r="E286" s="58">
        <v>0</v>
      </c>
      <c r="F286" s="58">
        <f t="shared" si="37"/>
        <v>623.98907999999994</v>
      </c>
      <c r="G286" s="103"/>
      <c r="H286" s="104"/>
      <c r="I286" s="39"/>
      <c r="P286" s="40"/>
    </row>
    <row r="287" spans="1:16" s="60" customFormat="1" ht="15.75" customHeight="1" x14ac:dyDescent="0.25">
      <c r="A287" s="99">
        <v>3</v>
      </c>
      <c r="B287" s="100"/>
      <c r="C287" s="55">
        <v>2</v>
      </c>
      <c r="D287" s="76">
        <f>55.22*10.764</f>
        <v>594.38807999999995</v>
      </c>
      <c r="E287" s="58">
        <v>0</v>
      </c>
      <c r="F287" s="58">
        <f t="shared" si="37"/>
        <v>921.30152399999997</v>
      </c>
      <c r="G287" s="103"/>
      <c r="H287" s="104"/>
      <c r="I287" s="39"/>
    </row>
    <row r="288" spans="1:16" s="60" customFormat="1" ht="15.75" customHeight="1" x14ac:dyDescent="0.25">
      <c r="A288" s="99">
        <v>4</v>
      </c>
      <c r="B288" s="100"/>
      <c r="C288" s="55">
        <v>2</v>
      </c>
      <c r="D288" s="76">
        <f>55.22*10.764</f>
        <v>594.38807999999995</v>
      </c>
      <c r="E288" s="58">
        <v>0</v>
      </c>
      <c r="F288" s="58">
        <f t="shared" si="37"/>
        <v>921.30152399999997</v>
      </c>
      <c r="G288" s="103"/>
      <c r="H288" s="104"/>
      <c r="I288" s="39"/>
    </row>
    <row r="289" spans="1:16" s="60" customFormat="1" ht="15.75" customHeight="1" x14ac:dyDescent="0.25">
      <c r="A289" s="99">
        <v>5</v>
      </c>
      <c r="B289" s="100"/>
      <c r="C289" s="55">
        <v>2</v>
      </c>
      <c r="D289" s="76">
        <f>55.93*10.764</f>
        <v>602.03051999999991</v>
      </c>
      <c r="E289" s="58">
        <v>0</v>
      </c>
      <c r="F289" s="58">
        <f t="shared" si="37"/>
        <v>933.14730599999984</v>
      </c>
      <c r="G289" s="103"/>
      <c r="H289" s="104"/>
      <c r="I289" s="39">
        <f>(3.2*5.03+2.89*2.4+3.15*3.07+3.8*3.15+2.05*1.23+1.66*0.9+0.69*0.9+2.25*1.23+0.95*2.06+1.05*1.78)</f>
        <v>55.902500000000003</v>
      </c>
    </row>
    <row r="290" spans="1:16" s="60" customFormat="1" ht="15.75" customHeight="1" x14ac:dyDescent="0.25">
      <c r="A290" s="99">
        <v>6</v>
      </c>
      <c r="B290" s="100"/>
      <c r="C290" s="55">
        <v>1</v>
      </c>
      <c r="D290" s="76">
        <f>38.23*10.764</f>
        <v>411.50771999999995</v>
      </c>
      <c r="E290" s="58">
        <v>0</v>
      </c>
      <c r="F290" s="58">
        <f t="shared" si="37"/>
        <v>637.83696599999996</v>
      </c>
      <c r="G290" s="103"/>
      <c r="H290" s="104"/>
      <c r="I290" s="39">
        <f>(3.05*5.03+2.3*2.48+3.05*3.35+2.05*1.26+1.05*1.76+2.05*1.23)</f>
        <v>38.215499999999992</v>
      </c>
      <c r="P290" s="40"/>
    </row>
    <row r="291" spans="1:16" s="60" customFormat="1" ht="15.75" customHeight="1" x14ac:dyDescent="0.25">
      <c r="A291" s="99">
        <v>7</v>
      </c>
      <c r="B291" s="100"/>
      <c r="C291" s="55">
        <v>2</v>
      </c>
      <c r="D291" s="76">
        <f>58.55*10.764</f>
        <v>630.23219999999992</v>
      </c>
      <c r="E291" s="58">
        <v>0</v>
      </c>
      <c r="F291" s="58">
        <f t="shared" si="37"/>
        <v>976.8599099999999</v>
      </c>
      <c r="G291" s="103"/>
      <c r="H291" s="104"/>
      <c r="I291" s="39"/>
    </row>
    <row r="292" spans="1:16" s="60" customFormat="1" ht="15.75" customHeight="1" x14ac:dyDescent="0.25">
      <c r="A292" s="99">
        <v>8</v>
      </c>
      <c r="B292" s="100"/>
      <c r="C292" s="55">
        <v>2</v>
      </c>
      <c r="D292" s="76">
        <f>58.55*10.764</f>
        <v>630.23219999999992</v>
      </c>
      <c r="E292" s="58">
        <v>0</v>
      </c>
      <c r="F292" s="58">
        <f t="shared" si="37"/>
        <v>976.8599099999999</v>
      </c>
      <c r="G292" s="103"/>
      <c r="H292" s="104"/>
      <c r="I292" s="39"/>
    </row>
    <row r="293" spans="1:16" s="60" customFormat="1" ht="15.75" customHeight="1" x14ac:dyDescent="0.25">
      <c r="A293" s="99">
        <v>9</v>
      </c>
      <c r="B293" s="100"/>
      <c r="C293" s="55">
        <v>1</v>
      </c>
      <c r="D293" s="76">
        <f>38.38*10.764</f>
        <v>413.12232</v>
      </c>
      <c r="E293" s="58">
        <v>0</v>
      </c>
      <c r="F293" s="58">
        <f t="shared" si="37"/>
        <v>640.33959600000003</v>
      </c>
      <c r="G293" s="103"/>
      <c r="H293" s="104"/>
      <c r="I293" s="39"/>
    </row>
    <row r="294" spans="1:16" s="70" customFormat="1" ht="15.75" customHeight="1" x14ac:dyDescent="0.25">
      <c r="A294" s="99">
        <v>10</v>
      </c>
      <c r="B294" s="100"/>
      <c r="C294" s="110" t="s">
        <v>224</v>
      </c>
      <c r="D294" s="111"/>
      <c r="E294" s="111"/>
      <c r="F294" s="112"/>
      <c r="G294" s="103"/>
      <c r="H294" s="104"/>
      <c r="I294" s="39"/>
    </row>
    <row r="295" spans="1:16" s="70" customFormat="1" ht="15.75" customHeight="1" x14ac:dyDescent="0.25">
      <c r="A295" s="99">
        <v>11</v>
      </c>
      <c r="B295" s="100"/>
      <c r="C295" s="113"/>
      <c r="D295" s="114"/>
      <c r="E295" s="114"/>
      <c r="F295" s="115"/>
      <c r="G295" s="103"/>
      <c r="H295" s="104"/>
      <c r="I295" s="39"/>
    </row>
    <row r="296" spans="1:16" s="70" customFormat="1" ht="15.75" customHeight="1" x14ac:dyDescent="0.25">
      <c r="A296" s="99">
        <v>12</v>
      </c>
      <c r="B296" s="100"/>
      <c r="C296" s="116"/>
      <c r="D296" s="117"/>
      <c r="E296" s="117"/>
      <c r="F296" s="118"/>
      <c r="G296" s="105"/>
      <c r="H296" s="106"/>
      <c r="I296" s="39"/>
    </row>
    <row r="297" spans="1:16" s="75" customFormat="1" x14ac:dyDescent="0.25">
      <c r="A297" s="96" t="s">
        <v>253</v>
      </c>
      <c r="B297" s="97"/>
      <c r="C297" s="97"/>
      <c r="D297" s="97"/>
      <c r="E297" s="97"/>
      <c r="F297" s="97"/>
      <c r="G297" s="97"/>
      <c r="H297" s="98"/>
      <c r="I297" s="39">
        <f>5+4</f>
        <v>9</v>
      </c>
      <c r="N297" s="39"/>
    </row>
    <row r="298" spans="1:16" s="75" customFormat="1" ht="15.75" customHeight="1" x14ac:dyDescent="0.25">
      <c r="A298" s="99">
        <v>1</v>
      </c>
      <c r="B298" s="100"/>
      <c r="C298" s="55">
        <v>1</v>
      </c>
      <c r="D298" s="76">
        <f>39.99*10.764</f>
        <v>430.45236</v>
      </c>
      <c r="E298" s="76">
        <v>0</v>
      </c>
      <c r="F298" s="76">
        <f t="shared" ref="F298:F309" si="38">D298*(($F$268)+1)+(IF(E298&lt;101,E298,IF(E298&lt;201,E298/2,IF(E298&lt;=301,E298/3,E298/4))))</f>
        <v>667.20115799999996</v>
      </c>
      <c r="G298" s="101" t="str">
        <f>A297</f>
        <v>37th to 41st &amp; 43rd to 46th Floor</v>
      </c>
      <c r="H298" s="102"/>
      <c r="I298" s="79">
        <f>3.05*4.96+2.15*2.35+3.05*3.6+2.05*1.25+1.23*2.13+0.85*1.25+1.92*1.35</f>
        <v>39.997399999999999</v>
      </c>
      <c r="N298" s="39"/>
    </row>
    <row r="299" spans="1:16" s="75" customFormat="1" ht="15.75" customHeight="1" x14ac:dyDescent="0.25">
      <c r="A299" s="99">
        <v>2</v>
      </c>
      <c r="B299" s="100"/>
      <c r="C299" s="55">
        <v>1</v>
      </c>
      <c r="D299" s="76">
        <f>39.99*10.764</f>
        <v>430.45236</v>
      </c>
      <c r="E299" s="76">
        <v>0</v>
      </c>
      <c r="F299" s="76">
        <f t="shared" si="38"/>
        <v>667.20115799999996</v>
      </c>
      <c r="G299" s="103"/>
      <c r="H299" s="104"/>
      <c r="I299" s="39"/>
      <c r="P299" s="40"/>
    </row>
    <row r="300" spans="1:16" s="75" customFormat="1" ht="15.75" customHeight="1" x14ac:dyDescent="0.25">
      <c r="A300" s="99">
        <v>3</v>
      </c>
      <c r="B300" s="100"/>
      <c r="C300" s="55">
        <v>2</v>
      </c>
      <c r="D300" s="76">
        <f>59.54*10.764</f>
        <v>640.88855999999998</v>
      </c>
      <c r="E300" s="76">
        <v>0</v>
      </c>
      <c r="F300" s="76">
        <f t="shared" si="38"/>
        <v>993.37726799999996</v>
      </c>
      <c r="G300" s="103"/>
      <c r="H300" s="104"/>
      <c r="I300" s="78">
        <f>3.2*4.88+2.76*2.13+3.05*(3.35+4.35)+1.23*(2.1+2.1)+0.9*(0.9+1.75)+1.05+0.71*2.28+3.2*1.35</f>
        <v>59.51959999999999</v>
      </c>
    </row>
    <row r="301" spans="1:16" s="75" customFormat="1" ht="15.75" customHeight="1" x14ac:dyDescent="0.25">
      <c r="A301" s="99">
        <v>4</v>
      </c>
      <c r="B301" s="100"/>
      <c r="C301" s="55">
        <v>2</v>
      </c>
      <c r="D301" s="76">
        <f>59.54*10.764</f>
        <v>640.88855999999998</v>
      </c>
      <c r="E301" s="76">
        <v>0</v>
      </c>
      <c r="F301" s="76">
        <f t="shared" si="38"/>
        <v>993.37726799999996</v>
      </c>
      <c r="G301" s="103"/>
      <c r="H301" s="104"/>
      <c r="I301" s="39"/>
    </row>
    <row r="302" spans="1:16" s="75" customFormat="1" ht="15.75" customHeight="1" x14ac:dyDescent="0.25">
      <c r="A302" s="99">
        <v>5</v>
      </c>
      <c r="B302" s="100"/>
      <c r="C302" s="55">
        <v>2</v>
      </c>
      <c r="D302" s="76">
        <f>60.25*10.764</f>
        <v>648.53099999999995</v>
      </c>
      <c r="E302" s="76">
        <v>0</v>
      </c>
      <c r="F302" s="76">
        <f t="shared" si="38"/>
        <v>1005.2230499999999</v>
      </c>
      <c r="G302" s="103"/>
      <c r="H302" s="104"/>
      <c r="I302" s="39"/>
    </row>
    <row r="303" spans="1:16" s="75" customFormat="1" ht="15.75" customHeight="1" x14ac:dyDescent="0.25">
      <c r="A303" s="99">
        <v>6</v>
      </c>
      <c r="B303" s="100"/>
      <c r="C303" s="55">
        <v>1</v>
      </c>
      <c r="D303" s="76">
        <f>42.35*10.764</f>
        <v>455.85539999999997</v>
      </c>
      <c r="E303" s="76">
        <v>0</v>
      </c>
      <c r="F303" s="76">
        <f t="shared" si="38"/>
        <v>706.57587000000001</v>
      </c>
      <c r="G303" s="103"/>
      <c r="H303" s="104"/>
      <c r="I303" s="39"/>
      <c r="P303" s="40"/>
    </row>
    <row r="304" spans="1:16" s="75" customFormat="1" ht="15.75" customHeight="1" x14ac:dyDescent="0.25">
      <c r="A304" s="99">
        <v>7</v>
      </c>
      <c r="B304" s="100"/>
      <c r="C304" s="55">
        <v>2</v>
      </c>
      <c r="D304" s="76">
        <f>61.86*10.764</f>
        <v>665.86104</v>
      </c>
      <c r="E304" s="76">
        <v>0</v>
      </c>
      <c r="F304" s="76">
        <f t="shared" si="38"/>
        <v>1032.0846120000001</v>
      </c>
      <c r="G304" s="103"/>
      <c r="H304" s="104"/>
      <c r="I304" s="39"/>
    </row>
    <row r="305" spans="1:16" s="75" customFormat="1" ht="15.75" customHeight="1" x14ac:dyDescent="0.25">
      <c r="A305" s="99">
        <v>8</v>
      </c>
      <c r="B305" s="100"/>
      <c r="C305" s="55">
        <v>2</v>
      </c>
      <c r="D305" s="76">
        <f>61.86*10.764</f>
        <v>665.86104</v>
      </c>
      <c r="E305" s="76">
        <v>0</v>
      </c>
      <c r="F305" s="76">
        <f t="shared" si="38"/>
        <v>1032.0846120000001</v>
      </c>
      <c r="G305" s="103"/>
      <c r="H305" s="104"/>
      <c r="I305" s="39"/>
    </row>
    <row r="306" spans="1:16" s="75" customFormat="1" ht="15.75" customHeight="1" x14ac:dyDescent="0.25">
      <c r="A306" s="99">
        <v>9</v>
      </c>
      <c r="B306" s="100"/>
      <c r="C306" s="55">
        <v>1</v>
      </c>
      <c r="D306" s="76">
        <f>42.19*10.764</f>
        <v>454.13315999999998</v>
      </c>
      <c r="E306" s="76">
        <v>0</v>
      </c>
      <c r="F306" s="76">
        <f t="shared" si="38"/>
        <v>703.90639799999997</v>
      </c>
      <c r="G306" s="103"/>
      <c r="H306" s="104"/>
      <c r="I306" s="39"/>
    </row>
    <row r="307" spans="1:16" s="75" customFormat="1" ht="15.75" customHeight="1" x14ac:dyDescent="0.25">
      <c r="A307" s="99">
        <v>10</v>
      </c>
      <c r="B307" s="100"/>
      <c r="C307" s="55">
        <v>2</v>
      </c>
      <c r="D307" s="76">
        <f>58.03*10.764</f>
        <v>624.63491999999997</v>
      </c>
      <c r="E307" s="76">
        <v>0</v>
      </c>
      <c r="F307" s="76">
        <f t="shared" si="38"/>
        <v>968.18412599999999</v>
      </c>
      <c r="G307" s="103"/>
      <c r="H307" s="104"/>
      <c r="I307" s="39"/>
    </row>
    <row r="308" spans="1:16" s="75" customFormat="1" ht="15.75" customHeight="1" x14ac:dyDescent="0.25">
      <c r="A308" s="99">
        <v>11</v>
      </c>
      <c r="B308" s="100"/>
      <c r="C308" s="55">
        <v>2</v>
      </c>
      <c r="D308" s="76">
        <f>57.95*10.764</f>
        <v>623.77379999999994</v>
      </c>
      <c r="E308" s="76">
        <v>0</v>
      </c>
      <c r="F308" s="76">
        <f t="shared" si="38"/>
        <v>966.84938999999997</v>
      </c>
      <c r="G308" s="103"/>
      <c r="H308" s="104"/>
      <c r="I308" s="39"/>
    </row>
    <row r="309" spans="1:16" s="75" customFormat="1" ht="15.75" customHeight="1" x14ac:dyDescent="0.25">
      <c r="A309" s="99">
        <v>12</v>
      </c>
      <c r="B309" s="100"/>
      <c r="C309" s="55">
        <v>2</v>
      </c>
      <c r="D309" s="76">
        <f>58.11*10.764</f>
        <v>625.49603999999999</v>
      </c>
      <c r="E309" s="76">
        <v>0</v>
      </c>
      <c r="F309" s="76">
        <f t="shared" si="38"/>
        <v>969.51886200000001</v>
      </c>
      <c r="G309" s="105"/>
      <c r="H309" s="106"/>
      <c r="I309" s="39"/>
    </row>
    <row r="310" spans="1:16" s="75" customFormat="1" x14ac:dyDescent="0.25">
      <c r="A310" s="96" t="s">
        <v>254</v>
      </c>
      <c r="B310" s="97"/>
      <c r="C310" s="97"/>
      <c r="D310" s="97"/>
      <c r="E310" s="97"/>
      <c r="F310" s="97"/>
      <c r="G310" s="97"/>
      <c r="H310" s="98"/>
      <c r="I310" s="39">
        <v>1</v>
      </c>
      <c r="N310" s="39"/>
    </row>
    <row r="311" spans="1:16" s="75" customFormat="1" ht="15.75" customHeight="1" x14ac:dyDescent="0.25">
      <c r="A311" s="99">
        <v>1</v>
      </c>
      <c r="B311" s="100"/>
      <c r="C311" s="55">
        <v>1</v>
      </c>
      <c r="D311" s="76">
        <f>39.99*10.764</f>
        <v>430.45236</v>
      </c>
      <c r="E311" s="76">
        <v>0</v>
      </c>
      <c r="F311" s="76">
        <f t="shared" ref="F311:F319" si="39">D311*(($F$268)+1)+(IF(E311&lt;101,E311,IF(E311&lt;201,E311/2,IF(E311&lt;=301,E311/3,E311/4))))</f>
        <v>667.20115799999996</v>
      </c>
      <c r="G311" s="101" t="str">
        <f>A310</f>
        <v>42nd Floor (Part Refuge Area)</v>
      </c>
      <c r="H311" s="102"/>
      <c r="I311" s="39"/>
      <c r="N311" s="39"/>
    </row>
    <row r="312" spans="1:16" s="75" customFormat="1" ht="15.75" customHeight="1" x14ac:dyDescent="0.25">
      <c r="A312" s="99">
        <v>2</v>
      </c>
      <c r="B312" s="100"/>
      <c r="C312" s="55">
        <v>1</v>
      </c>
      <c r="D312" s="76">
        <f>39.99*10.764</f>
        <v>430.45236</v>
      </c>
      <c r="E312" s="76">
        <v>0</v>
      </c>
      <c r="F312" s="76">
        <f t="shared" si="39"/>
        <v>667.20115799999996</v>
      </c>
      <c r="G312" s="103"/>
      <c r="H312" s="104"/>
      <c r="I312" s="39"/>
      <c r="P312" s="40"/>
    </row>
    <row r="313" spans="1:16" s="75" customFormat="1" ht="15.75" customHeight="1" x14ac:dyDescent="0.25">
      <c r="A313" s="99">
        <v>3</v>
      </c>
      <c r="B313" s="100"/>
      <c r="C313" s="55">
        <v>2</v>
      </c>
      <c r="D313" s="76">
        <f>59.54*10.764</f>
        <v>640.88855999999998</v>
      </c>
      <c r="E313" s="76">
        <v>0</v>
      </c>
      <c r="F313" s="76">
        <f t="shared" si="39"/>
        <v>993.37726799999996</v>
      </c>
      <c r="G313" s="103"/>
      <c r="H313" s="104"/>
      <c r="I313" s="39"/>
    </row>
    <row r="314" spans="1:16" s="75" customFormat="1" ht="15.75" customHeight="1" x14ac:dyDescent="0.25">
      <c r="A314" s="99">
        <v>4</v>
      </c>
      <c r="B314" s="100"/>
      <c r="C314" s="55">
        <v>2</v>
      </c>
      <c r="D314" s="76">
        <f>59.54*10.764</f>
        <v>640.88855999999998</v>
      </c>
      <c r="E314" s="76">
        <v>0</v>
      </c>
      <c r="F314" s="76">
        <f t="shared" si="39"/>
        <v>993.37726799999996</v>
      </c>
      <c r="G314" s="103"/>
      <c r="H314" s="104"/>
      <c r="I314" s="39"/>
    </row>
    <row r="315" spans="1:16" s="75" customFormat="1" ht="15.75" customHeight="1" x14ac:dyDescent="0.25">
      <c r="A315" s="99">
        <v>5</v>
      </c>
      <c r="B315" s="100"/>
      <c r="C315" s="55">
        <v>2</v>
      </c>
      <c r="D315" s="76">
        <f>60.25*10.764</f>
        <v>648.53099999999995</v>
      </c>
      <c r="E315" s="76">
        <v>0</v>
      </c>
      <c r="F315" s="76">
        <f t="shared" si="39"/>
        <v>1005.2230499999999</v>
      </c>
      <c r="G315" s="103"/>
      <c r="H315" s="104"/>
      <c r="I315" s="39"/>
    </row>
    <row r="316" spans="1:16" s="75" customFormat="1" ht="15.75" customHeight="1" x14ac:dyDescent="0.25">
      <c r="A316" s="99">
        <v>6</v>
      </c>
      <c r="B316" s="100"/>
      <c r="C316" s="55">
        <v>1</v>
      </c>
      <c r="D316" s="76">
        <f>42.35*10.764</f>
        <v>455.85539999999997</v>
      </c>
      <c r="E316" s="76">
        <v>0</v>
      </c>
      <c r="F316" s="76">
        <f t="shared" si="39"/>
        <v>706.57587000000001</v>
      </c>
      <c r="G316" s="103"/>
      <c r="H316" s="104"/>
      <c r="I316" s="39"/>
      <c r="P316" s="40"/>
    </row>
    <row r="317" spans="1:16" s="75" customFormat="1" ht="15.75" customHeight="1" x14ac:dyDescent="0.25">
      <c r="A317" s="99">
        <v>7</v>
      </c>
      <c r="B317" s="100"/>
      <c r="C317" s="55">
        <v>2</v>
      </c>
      <c r="D317" s="76">
        <f>61.86*10.764</f>
        <v>665.86104</v>
      </c>
      <c r="E317" s="76">
        <v>0</v>
      </c>
      <c r="F317" s="76">
        <f t="shared" si="39"/>
        <v>1032.0846120000001</v>
      </c>
      <c r="G317" s="103"/>
      <c r="H317" s="104"/>
      <c r="I317" s="39"/>
    </row>
    <row r="318" spans="1:16" s="75" customFormat="1" ht="15.75" customHeight="1" x14ac:dyDescent="0.25">
      <c r="A318" s="99">
        <v>8</v>
      </c>
      <c r="B318" s="100"/>
      <c r="C318" s="55">
        <v>2</v>
      </c>
      <c r="D318" s="76">
        <f>61.86*10.764</f>
        <v>665.86104</v>
      </c>
      <c r="E318" s="76">
        <v>0</v>
      </c>
      <c r="F318" s="76">
        <f t="shared" si="39"/>
        <v>1032.0846120000001</v>
      </c>
      <c r="G318" s="103"/>
      <c r="H318" s="104"/>
      <c r="I318" s="39"/>
    </row>
    <row r="319" spans="1:16" s="75" customFormat="1" ht="15.75" customHeight="1" x14ac:dyDescent="0.25">
      <c r="A319" s="99">
        <v>9</v>
      </c>
      <c r="B319" s="100"/>
      <c r="C319" s="55">
        <v>1</v>
      </c>
      <c r="D319" s="76">
        <f>42.19*10.764</f>
        <v>454.13315999999998</v>
      </c>
      <c r="E319" s="76">
        <v>0</v>
      </c>
      <c r="F319" s="76">
        <f t="shared" si="39"/>
        <v>703.90639799999997</v>
      </c>
      <c r="G319" s="103"/>
      <c r="H319" s="104"/>
      <c r="I319" s="39"/>
    </row>
    <row r="320" spans="1:16" s="75" customFormat="1" ht="15.75" customHeight="1" x14ac:dyDescent="0.25">
      <c r="A320" s="99">
        <v>10</v>
      </c>
      <c r="B320" s="100"/>
      <c r="C320" s="110" t="s">
        <v>224</v>
      </c>
      <c r="D320" s="111"/>
      <c r="E320" s="111"/>
      <c r="F320" s="112"/>
      <c r="G320" s="103"/>
      <c r="H320" s="104"/>
      <c r="I320" s="39"/>
    </row>
    <row r="321" spans="1:16" s="75" customFormat="1" ht="15.75" customHeight="1" x14ac:dyDescent="0.25">
      <c r="A321" s="99">
        <v>11</v>
      </c>
      <c r="B321" s="100"/>
      <c r="C321" s="113"/>
      <c r="D321" s="114"/>
      <c r="E321" s="114"/>
      <c r="F321" s="115"/>
      <c r="G321" s="103"/>
      <c r="H321" s="104"/>
      <c r="I321" s="39"/>
    </row>
    <row r="322" spans="1:16" s="75" customFormat="1" ht="15.75" customHeight="1" x14ac:dyDescent="0.25">
      <c r="A322" s="99">
        <v>12</v>
      </c>
      <c r="B322" s="100"/>
      <c r="C322" s="116"/>
      <c r="D322" s="117"/>
      <c r="E322" s="117"/>
      <c r="F322" s="118"/>
      <c r="G322" s="105"/>
      <c r="H322" s="106"/>
      <c r="I322" s="39"/>
    </row>
    <row r="323" spans="1:16" s="60" customFormat="1" ht="15.75" customHeight="1" x14ac:dyDescent="0.25">
      <c r="A323" s="96" t="s">
        <v>194</v>
      </c>
      <c r="B323" s="97"/>
      <c r="C323" s="97"/>
      <c r="D323" s="97"/>
      <c r="E323" s="97"/>
      <c r="F323" s="97"/>
      <c r="G323" s="97"/>
      <c r="H323" s="98"/>
      <c r="I323" s="39"/>
    </row>
    <row r="324" spans="1:16" s="60" customFormat="1" ht="15.75" customHeight="1" x14ac:dyDescent="0.25">
      <c r="A324" s="96" t="s">
        <v>195</v>
      </c>
      <c r="B324" s="97"/>
      <c r="C324" s="97"/>
      <c r="D324" s="97"/>
      <c r="E324" s="97"/>
      <c r="F324" s="97"/>
      <c r="G324" s="97"/>
      <c r="H324" s="98"/>
      <c r="I324" s="39"/>
    </row>
    <row r="325" spans="1:16" s="70" customFormat="1" x14ac:dyDescent="0.25">
      <c r="A325" s="96" t="s">
        <v>228</v>
      </c>
      <c r="B325" s="97"/>
      <c r="C325" s="97"/>
      <c r="D325" s="97"/>
      <c r="E325" s="97"/>
      <c r="F325" s="97"/>
      <c r="G325" s="97"/>
      <c r="H325" s="98"/>
      <c r="I325" s="39">
        <v>21</v>
      </c>
      <c r="N325" s="39"/>
    </row>
    <row r="326" spans="1:16" s="70" customFormat="1" ht="15.75" customHeight="1" x14ac:dyDescent="0.25">
      <c r="A326" s="99">
        <v>1</v>
      </c>
      <c r="B326" s="100"/>
      <c r="C326" s="55">
        <v>1</v>
      </c>
      <c r="D326" s="71">
        <f>37.4*10.764</f>
        <v>402.57359999999994</v>
      </c>
      <c r="E326" s="71">
        <v>0</v>
      </c>
      <c r="F326" s="71">
        <f t="shared" ref="F326:F337" si="40">D326*(($F$268)+1)+(IF(E326&lt;101,E326,IF(E326&lt;201,E326/2,IF(E326&lt;=301,E326/3,E326/4))))</f>
        <v>623.98907999999994</v>
      </c>
      <c r="G326" s="101" t="str">
        <f>A325</f>
        <v>12th, 13th, 15th to 20th, 22nd to 27th, 29th to 34th &amp; 36th Floor For Residential</v>
      </c>
      <c r="H326" s="102"/>
      <c r="I326" s="39"/>
      <c r="N326" s="39"/>
    </row>
    <row r="327" spans="1:16" s="70" customFormat="1" ht="15.75" customHeight="1" x14ac:dyDescent="0.25">
      <c r="A327" s="99">
        <v>2</v>
      </c>
      <c r="B327" s="100"/>
      <c r="C327" s="55">
        <v>1</v>
      </c>
      <c r="D327" s="71">
        <f>37.4*10.764</f>
        <v>402.57359999999994</v>
      </c>
      <c r="E327" s="71">
        <v>0</v>
      </c>
      <c r="F327" s="71">
        <f t="shared" si="40"/>
        <v>623.98907999999994</v>
      </c>
      <c r="G327" s="103"/>
      <c r="H327" s="104"/>
      <c r="I327" s="39">
        <f>(3.05*4.96+2.15*2.35+3.05*3.6+1.23*2.13+0.85*1.25+2.05*1.26)</f>
        <v>37.425899999999999</v>
      </c>
      <c r="P327" s="40"/>
    </row>
    <row r="328" spans="1:16" s="70" customFormat="1" ht="15.75" customHeight="1" x14ac:dyDescent="0.25">
      <c r="A328" s="99">
        <v>3</v>
      </c>
      <c r="B328" s="100"/>
      <c r="C328" s="55">
        <v>2</v>
      </c>
      <c r="D328" s="71">
        <f>55.22*10.764</f>
        <v>594.38807999999995</v>
      </c>
      <c r="E328" s="71">
        <v>0</v>
      </c>
      <c r="F328" s="71">
        <f t="shared" si="40"/>
        <v>921.30152399999997</v>
      </c>
      <c r="G328" s="103"/>
      <c r="H328" s="104"/>
      <c r="I328" s="39"/>
    </row>
    <row r="329" spans="1:16" s="70" customFormat="1" ht="15.75" customHeight="1" x14ac:dyDescent="0.25">
      <c r="A329" s="99">
        <v>4</v>
      </c>
      <c r="B329" s="100"/>
      <c r="C329" s="55">
        <v>2</v>
      </c>
      <c r="D329" s="71">
        <f>55.22*10.764</f>
        <v>594.38807999999995</v>
      </c>
      <c r="E329" s="71">
        <v>0</v>
      </c>
      <c r="F329" s="71">
        <f t="shared" si="40"/>
        <v>921.30152399999997</v>
      </c>
      <c r="G329" s="103"/>
      <c r="H329" s="104"/>
      <c r="I329" s="39">
        <f>(3.2*4.88+2.76*2.13+3.05*3.35+3.05*4.35+1.75*0.9+0.9*0.9+0.7*2.28+2.1*1.23+2.1*1.23+1.05*1)</f>
        <v>55.176799999999993</v>
      </c>
    </row>
    <row r="330" spans="1:16" s="70" customFormat="1" ht="15.75" customHeight="1" x14ac:dyDescent="0.25">
      <c r="A330" s="99">
        <v>5</v>
      </c>
      <c r="B330" s="100"/>
      <c r="C330" s="55">
        <v>2</v>
      </c>
      <c r="D330" s="71">
        <f>55.93*10.764</f>
        <v>602.03051999999991</v>
      </c>
      <c r="E330" s="71">
        <v>0</v>
      </c>
      <c r="F330" s="71">
        <f t="shared" si="40"/>
        <v>933.14730599999984</v>
      </c>
      <c r="G330" s="103"/>
      <c r="H330" s="104"/>
      <c r="I330" s="39"/>
    </row>
    <row r="331" spans="1:16" s="70" customFormat="1" ht="15.75" customHeight="1" x14ac:dyDescent="0.25">
      <c r="A331" s="99">
        <v>6</v>
      </c>
      <c r="B331" s="100"/>
      <c r="C331" s="55">
        <v>1</v>
      </c>
      <c r="D331" s="71">
        <f>38.23*10.764</f>
        <v>411.50771999999995</v>
      </c>
      <c r="E331" s="71">
        <v>0</v>
      </c>
      <c r="F331" s="71">
        <f t="shared" si="40"/>
        <v>637.83696599999996</v>
      </c>
      <c r="G331" s="103"/>
      <c r="H331" s="104"/>
      <c r="I331" s="39"/>
      <c r="P331" s="40"/>
    </row>
    <row r="332" spans="1:16" s="70" customFormat="1" ht="15.75" customHeight="1" x14ac:dyDescent="0.25">
      <c r="A332" s="99">
        <v>7</v>
      </c>
      <c r="B332" s="100"/>
      <c r="C332" s="55">
        <v>2</v>
      </c>
      <c r="D332" s="71">
        <f>58.55*10.764</f>
        <v>630.23219999999992</v>
      </c>
      <c r="E332" s="71">
        <v>0</v>
      </c>
      <c r="F332" s="71">
        <f t="shared" si="40"/>
        <v>976.8599099999999</v>
      </c>
      <c r="G332" s="103"/>
      <c r="H332" s="104"/>
      <c r="I332" s="39"/>
    </row>
    <row r="333" spans="1:16" s="70" customFormat="1" ht="15.75" customHeight="1" x14ac:dyDescent="0.25">
      <c r="A333" s="99">
        <v>8</v>
      </c>
      <c r="B333" s="100"/>
      <c r="C333" s="55">
        <v>2</v>
      </c>
      <c r="D333" s="71">
        <f>58.55*10.764</f>
        <v>630.23219999999992</v>
      </c>
      <c r="E333" s="71">
        <v>0</v>
      </c>
      <c r="F333" s="71">
        <f t="shared" si="40"/>
        <v>976.8599099999999</v>
      </c>
      <c r="G333" s="103"/>
      <c r="H333" s="104"/>
      <c r="I333" s="39"/>
    </row>
    <row r="334" spans="1:16" s="70" customFormat="1" ht="15.75" customHeight="1" x14ac:dyDescent="0.25">
      <c r="A334" s="99">
        <v>9</v>
      </c>
      <c r="B334" s="100"/>
      <c r="C334" s="55">
        <v>1</v>
      </c>
      <c r="D334" s="71">
        <f>38.38*10.764</f>
        <v>413.12232</v>
      </c>
      <c r="E334" s="71">
        <v>0</v>
      </c>
      <c r="F334" s="71">
        <f t="shared" si="40"/>
        <v>640.33959600000003</v>
      </c>
      <c r="G334" s="103"/>
      <c r="H334" s="104"/>
      <c r="I334" s="39"/>
    </row>
    <row r="335" spans="1:16" s="70" customFormat="1" ht="15.75" customHeight="1" x14ac:dyDescent="0.25">
      <c r="A335" s="99">
        <v>10</v>
      </c>
      <c r="B335" s="100"/>
      <c r="C335" s="55">
        <v>2</v>
      </c>
      <c r="D335" s="71">
        <f>54.03*10.764</f>
        <v>581.57891999999993</v>
      </c>
      <c r="E335" s="71">
        <v>0</v>
      </c>
      <c r="F335" s="71">
        <f t="shared" si="40"/>
        <v>901.44732599999986</v>
      </c>
      <c r="G335" s="103"/>
      <c r="H335" s="104"/>
      <c r="I335" s="39"/>
    </row>
    <row r="336" spans="1:16" s="70" customFormat="1" ht="15.75" customHeight="1" x14ac:dyDescent="0.25">
      <c r="A336" s="99">
        <v>11</v>
      </c>
      <c r="B336" s="100"/>
      <c r="C336" s="55">
        <v>2</v>
      </c>
      <c r="D336" s="71">
        <f>53.95*10.764</f>
        <v>580.71780000000001</v>
      </c>
      <c r="E336" s="71">
        <v>0</v>
      </c>
      <c r="F336" s="71">
        <f t="shared" si="40"/>
        <v>900.11259000000007</v>
      </c>
      <c r="G336" s="103"/>
      <c r="H336" s="104"/>
      <c r="I336" s="39"/>
    </row>
    <row r="337" spans="1:16" s="70" customFormat="1" ht="15.75" customHeight="1" x14ac:dyDescent="0.25">
      <c r="A337" s="99">
        <v>12</v>
      </c>
      <c r="B337" s="100"/>
      <c r="C337" s="55">
        <v>2</v>
      </c>
      <c r="D337" s="71">
        <f>54.11*10.764</f>
        <v>582.44003999999995</v>
      </c>
      <c r="E337" s="71">
        <v>0</v>
      </c>
      <c r="F337" s="71">
        <f t="shared" si="40"/>
        <v>902.782062</v>
      </c>
      <c r="G337" s="105"/>
      <c r="H337" s="106"/>
      <c r="I337" s="39"/>
    </row>
    <row r="338" spans="1:16" s="60" customFormat="1" x14ac:dyDescent="0.25">
      <c r="A338" s="96" t="s">
        <v>229</v>
      </c>
      <c r="B338" s="97"/>
      <c r="C338" s="97"/>
      <c r="D338" s="97"/>
      <c r="E338" s="97"/>
      <c r="F338" s="97"/>
      <c r="G338" s="97"/>
      <c r="H338" s="98"/>
      <c r="I338" s="39">
        <v>4</v>
      </c>
      <c r="N338" s="39"/>
    </row>
    <row r="339" spans="1:16" s="60" customFormat="1" ht="15.75" customHeight="1" x14ac:dyDescent="0.25">
      <c r="A339" s="99">
        <v>1</v>
      </c>
      <c r="B339" s="100"/>
      <c r="C339" s="55">
        <v>1</v>
      </c>
      <c r="D339" s="76">
        <f>37.4*10.764</f>
        <v>402.57359999999994</v>
      </c>
      <c r="E339" s="58">
        <v>0</v>
      </c>
      <c r="F339" s="58">
        <f t="shared" ref="F339:F347" si="41">D339*(($F$268)+1)+(IF(E339&lt;101,E339,IF(E339&lt;201,E339/2,IF(E339&lt;=301,E339/3,E339/4))))</f>
        <v>623.98907999999994</v>
      </c>
      <c r="G339" s="101" t="str">
        <f>A338</f>
        <v>14th, 21st, 28th &amp; 35th Floor (Part Refuge Area)</v>
      </c>
      <c r="H339" s="102"/>
      <c r="I339" s="39"/>
      <c r="N339" s="39"/>
    </row>
    <row r="340" spans="1:16" s="60" customFormat="1" ht="15.75" customHeight="1" x14ac:dyDescent="0.25">
      <c r="A340" s="99">
        <v>2</v>
      </c>
      <c r="B340" s="100"/>
      <c r="C340" s="55">
        <v>1</v>
      </c>
      <c r="D340" s="76">
        <f>37.4*10.764</f>
        <v>402.57359999999994</v>
      </c>
      <c r="E340" s="58">
        <v>0</v>
      </c>
      <c r="F340" s="58">
        <f t="shared" si="41"/>
        <v>623.98907999999994</v>
      </c>
      <c r="G340" s="103"/>
      <c r="H340" s="104"/>
      <c r="I340" s="39"/>
      <c r="P340" s="40"/>
    </row>
    <row r="341" spans="1:16" s="60" customFormat="1" ht="15.75" customHeight="1" x14ac:dyDescent="0.25">
      <c r="A341" s="99">
        <v>3</v>
      </c>
      <c r="B341" s="100"/>
      <c r="C341" s="55">
        <v>2</v>
      </c>
      <c r="D341" s="76">
        <f>55.22*10.764</f>
        <v>594.38807999999995</v>
      </c>
      <c r="E341" s="58">
        <v>0</v>
      </c>
      <c r="F341" s="58">
        <f t="shared" si="41"/>
        <v>921.30152399999997</v>
      </c>
      <c r="G341" s="103"/>
      <c r="H341" s="104"/>
      <c r="I341" s="39"/>
    </row>
    <row r="342" spans="1:16" s="60" customFormat="1" ht="15.75" customHeight="1" x14ac:dyDescent="0.25">
      <c r="A342" s="99">
        <v>4</v>
      </c>
      <c r="B342" s="100"/>
      <c r="C342" s="55">
        <v>2</v>
      </c>
      <c r="D342" s="76">
        <f>55.22*10.764</f>
        <v>594.38807999999995</v>
      </c>
      <c r="E342" s="58">
        <v>0</v>
      </c>
      <c r="F342" s="58">
        <f t="shared" si="41"/>
        <v>921.30152399999997</v>
      </c>
      <c r="G342" s="103"/>
      <c r="H342" s="104"/>
      <c r="I342" s="39"/>
    </row>
    <row r="343" spans="1:16" s="60" customFormat="1" ht="15.75" customHeight="1" x14ac:dyDescent="0.25">
      <c r="A343" s="99">
        <v>5</v>
      </c>
      <c r="B343" s="100"/>
      <c r="C343" s="55">
        <v>2</v>
      </c>
      <c r="D343" s="76">
        <f>55.93*10.764</f>
        <v>602.03051999999991</v>
      </c>
      <c r="E343" s="58">
        <v>0</v>
      </c>
      <c r="F343" s="58">
        <f t="shared" si="41"/>
        <v>933.14730599999984</v>
      </c>
      <c r="G343" s="103"/>
      <c r="H343" s="104"/>
      <c r="I343" s="39"/>
    </row>
    <row r="344" spans="1:16" s="60" customFormat="1" ht="15.75" customHeight="1" x14ac:dyDescent="0.25">
      <c r="A344" s="99">
        <v>6</v>
      </c>
      <c r="B344" s="100"/>
      <c r="C344" s="55">
        <v>1</v>
      </c>
      <c r="D344" s="76">
        <f>38.23*10.764</f>
        <v>411.50771999999995</v>
      </c>
      <c r="E344" s="58">
        <v>0</v>
      </c>
      <c r="F344" s="58">
        <f t="shared" si="41"/>
        <v>637.83696599999996</v>
      </c>
      <c r="G344" s="103"/>
      <c r="H344" s="104"/>
      <c r="I344" s="39"/>
      <c r="P344" s="40"/>
    </row>
    <row r="345" spans="1:16" s="60" customFormat="1" ht="15.75" customHeight="1" x14ac:dyDescent="0.25">
      <c r="A345" s="99">
        <v>7</v>
      </c>
      <c r="B345" s="100"/>
      <c r="C345" s="55">
        <v>2</v>
      </c>
      <c r="D345" s="76">
        <f>58.55*10.764</f>
        <v>630.23219999999992</v>
      </c>
      <c r="E345" s="58">
        <v>0</v>
      </c>
      <c r="F345" s="58">
        <f t="shared" si="41"/>
        <v>976.8599099999999</v>
      </c>
      <c r="G345" s="103"/>
      <c r="H345" s="104"/>
      <c r="I345" s="39"/>
    </row>
    <row r="346" spans="1:16" s="60" customFormat="1" ht="15.75" customHeight="1" x14ac:dyDescent="0.25">
      <c r="A346" s="99">
        <v>8</v>
      </c>
      <c r="B346" s="100"/>
      <c r="C346" s="55">
        <v>2</v>
      </c>
      <c r="D346" s="76">
        <f>58.55*10.764</f>
        <v>630.23219999999992</v>
      </c>
      <c r="E346" s="58">
        <v>0</v>
      </c>
      <c r="F346" s="58">
        <f t="shared" si="41"/>
        <v>976.8599099999999</v>
      </c>
      <c r="G346" s="103"/>
      <c r="H346" s="104"/>
      <c r="I346" s="39">
        <f>(3.2*5.25+2.75*2.26+3.05*3.6+3.13*3.5+2.05*1.23+2.05*1.38+0.55*0.9+2.15*0.9+1*2.23+1.95*0.4+1.05*2.03)</f>
        <v>57.872000000000007</v>
      </c>
    </row>
    <row r="347" spans="1:16" s="60" customFormat="1" ht="15.75" customHeight="1" x14ac:dyDescent="0.25">
      <c r="A347" s="99">
        <v>9</v>
      </c>
      <c r="B347" s="100"/>
      <c r="C347" s="55">
        <v>1</v>
      </c>
      <c r="D347" s="76">
        <f>38.38*10.764</f>
        <v>413.12232</v>
      </c>
      <c r="E347" s="58">
        <v>0</v>
      </c>
      <c r="F347" s="58">
        <f t="shared" si="41"/>
        <v>640.33959600000003</v>
      </c>
      <c r="G347" s="103"/>
      <c r="H347" s="104"/>
      <c r="I347" s="39"/>
    </row>
    <row r="348" spans="1:16" s="70" customFormat="1" ht="15.75" customHeight="1" x14ac:dyDescent="0.25">
      <c r="A348" s="99">
        <v>10</v>
      </c>
      <c r="B348" s="100"/>
      <c r="C348" s="110" t="s">
        <v>224</v>
      </c>
      <c r="D348" s="111"/>
      <c r="E348" s="111"/>
      <c r="F348" s="112"/>
      <c r="G348" s="103"/>
      <c r="H348" s="104"/>
      <c r="I348" s="39"/>
    </row>
    <row r="349" spans="1:16" s="70" customFormat="1" ht="15.75" customHeight="1" x14ac:dyDescent="0.25">
      <c r="A349" s="99">
        <v>11</v>
      </c>
      <c r="B349" s="100"/>
      <c r="C349" s="113"/>
      <c r="D349" s="114"/>
      <c r="E349" s="114"/>
      <c r="F349" s="115"/>
      <c r="G349" s="103"/>
      <c r="H349" s="104"/>
      <c r="I349" s="39"/>
    </row>
    <row r="350" spans="1:16" s="70" customFormat="1" ht="15.75" customHeight="1" x14ac:dyDescent="0.25">
      <c r="A350" s="99">
        <v>12</v>
      </c>
      <c r="B350" s="100"/>
      <c r="C350" s="116"/>
      <c r="D350" s="117"/>
      <c r="E350" s="117"/>
      <c r="F350" s="118"/>
      <c r="G350" s="105"/>
      <c r="H350" s="106"/>
      <c r="I350" s="39"/>
    </row>
    <row r="351" spans="1:16" s="60" customFormat="1" ht="15.75" hidden="1" customHeight="1" x14ac:dyDescent="0.25">
      <c r="A351" s="96" t="s">
        <v>196</v>
      </c>
      <c r="B351" s="97"/>
      <c r="C351" s="97"/>
      <c r="D351" s="97"/>
      <c r="E351" s="97"/>
      <c r="F351" s="97"/>
      <c r="G351" s="97"/>
      <c r="H351" s="98"/>
      <c r="I351" s="39"/>
    </row>
    <row r="352" spans="1:16" s="49" customFormat="1" hidden="1" x14ac:dyDescent="0.25">
      <c r="A352" s="99">
        <v>1</v>
      </c>
      <c r="B352" s="100"/>
      <c r="C352" s="55"/>
      <c r="D352" s="45"/>
      <c r="E352" s="45">
        <v>0</v>
      </c>
      <c r="F352" s="45">
        <f>D352*(($F$268)+1)+(IF(E352&lt;101,E352,IF(E352&lt;201,E352/2,IF(E352&lt;=301,E352/3,E352/4))))</f>
        <v>0</v>
      </c>
      <c r="G352" s="99" t="str">
        <f>A351</f>
        <v>G</v>
      </c>
      <c r="H352" s="100"/>
      <c r="I352" s="39"/>
    </row>
    <row r="353" spans="1:16" s="49" customFormat="1" hidden="1" x14ac:dyDescent="0.25">
      <c r="A353" s="99">
        <f t="shared" ref="A353:A355" si="42">A352+1</f>
        <v>2</v>
      </c>
      <c r="B353" s="100"/>
      <c r="C353" s="55"/>
      <c r="D353" s="45"/>
      <c r="E353" s="45">
        <v>0</v>
      </c>
      <c r="F353" s="45">
        <f>D353*(($F$268)+1)+(IF(E353&lt;101,E353,IF(E353&lt;201,E353/2,IF(E353&lt;=301,E353/3,E353/4))))</f>
        <v>0</v>
      </c>
      <c r="G353" s="99" t="str">
        <f t="shared" ref="G353:G355" si="43">G352</f>
        <v>G</v>
      </c>
      <c r="H353" s="100"/>
      <c r="J353" s="39"/>
    </row>
    <row r="354" spans="1:16" s="49" customFormat="1" hidden="1" x14ac:dyDescent="0.25">
      <c r="A354" s="99">
        <f t="shared" si="42"/>
        <v>3</v>
      </c>
      <c r="B354" s="100"/>
      <c r="C354" s="55"/>
      <c r="D354" s="45"/>
      <c r="E354" s="45">
        <v>0</v>
      </c>
      <c r="F354" s="45">
        <f>D354*(($F$268)+1)+(IF(E354&lt;101,E354,IF(E354&lt;201,E354/2,IF(E354&lt;=301,E354/3,E354/4))))</f>
        <v>0</v>
      </c>
      <c r="G354" s="99" t="str">
        <f t="shared" si="43"/>
        <v>G</v>
      </c>
      <c r="H354" s="100"/>
      <c r="I354" s="39"/>
      <c r="L354" s="119"/>
      <c r="M354" s="119"/>
      <c r="N354" s="39"/>
    </row>
    <row r="355" spans="1:16" s="49" customFormat="1" hidden="1" x14ac:dyDescent="0.25">
      <c r="A355" s="99">
        <f t="shared" si="42"/>
        <v>4</v>
      </c>
      <c r="B355" s="100"/>
      <c r="C355" s="55"/>
      <c r="D355" s="45"/>
      <c r="E355" s="45">
        <v>0</v>
      </c>
      <c r="F355" s="45">
        <f>D355*(($F$268)+1)+(IF(E355&lt;101,E355,IF(E355&lt;201,E355/2,IF(E355&lt;=301,E355/3,E355/4))))</f>
        <v>0</v>
      </c>
      <c r="G355" s="99" t="str">
        <f t="shared" si="43"/>
        <v>G</v>
      </c>
      <c r="H355" s="100"/>
      <c r="I355" s="39"/>
      <c r="L355" s="119"/>
      <c r="M355" s="119"/>
      <c r="N355" s="39"/>
    </row>
    <row r="356" spans="1:16" s="49" customFormat="1" hidden="1" x14ac:dyDescent="0.25">
      <c r="A356" s="258" t="s">
        <v>119</v>
      </c>
      <c r="B356" s="258"/>
      <c r="C356" s="258"/>
      <c r="D356" s="258"/>
      <c r="E356" s="258"/>
      <c r="F356" s="258"/>
      <c r="G356" s="258"/>
      <c r="H356" s="258"/>
      <c r="I356" s="39"/>
      <c r="L356" s="119"/>
      <c r="M356" s="119"/>
      <c r="N356" s="39"/>
    </row>
    <row r="357" spans="1:16" s="49" customFormat="1" hidden="1" x14ac:dyDescent="0.25">
      <c r="A357" s="157">
        <f>LEFT(A356,SUM(LEN(A356)-LEN(SUBSTITUTE(A356,{"0","1","2","3","4","5","6","7","8","9"},""))))*100+1</f>
        <v>201</v>
      </c>
      <c r="B357" s="157"/>
      <c r="C357" s="55"/>
      <c r="D357" s="45"/>
      <c r="E357" s="45">
        <v>0</v>
      </c>
      <c r="F357" s="45">
        <f t="shared" ref="F357:F358" si="44">D357*(($F$268)+1)+(IF(E357&lt;101,E357,IF(E357&lt;201,E357/2,IF(E357&lt;=301,E357/3,E357/4))))</f>
        <v>0</v>
      </c>
      <c r="G357" s="157" t="str">
        <f>A356</f>
        <v>2nd Floor</v>
      </c>
      <c r="H357" s="157"/>
      <c r="I357" s="39"/>
      <c r="L357" s="119"/>
      <c r="M357" s="119"/>
      <c r="N357" s="39"/>
    </row>
    <row r="358" spans="1:16" s="49" customFormat="1" hidden="1" x14ac:dyDescent="0.25">
      <c r="A358" s="157">
        <f>A357+1</f>
        <v>202</v>
      </c>
      <c r="B358" s="157"/>
      <c r="C358" s="55"/>
      <c r="D358" s="45"/>
      <c r="E358" s="45">
        <v>0</v>
      </c>
      <c r="F358" s="45">
        <f t="shared" si="44"/>
        <v>0</v>
      </c>
      <c r="G358" s="157" t="str">
        <f>G357</f>
        <v>2nd Floor</v>
      </c>
      <c r="H358" s="157"/>
      <c r="I358" s="39"/>
      <c r="L358" s="119"/>
      <c r="M358" s="119"/>
    </row>
    <row r="359" spans="1:16" s="49" customFormat="1" hidden="1" x14ac:dyDescent="0.25">
      <c r="A359" s="157">
        <f>A358+1</f>
        <v>203</v>
      </c>
      <c r="B359" s="157"/>
      <c r="C359" s="55"/>
      <c r="D359" s="45"/>
      <c r="E359" s="45">
        <v>0</v>
      </c>
      <c r="F359" s="45">
        <f>D359*(($F$268)+1)+(IF(E359&lt;101,E359,IF(E359&lt;201,E359/2,IF(E359&lt;=301,E359/3,E359/4))))</f>
        <v>0</v>
      </c>
      <c r="G359" s="157" t="str">
        <f>G358</f>
        <v>2nd Floor</v>
      </c>
      <c r="H359" s="157"/>
      <c r="I359" s="39"/>
      <c r="N359" s="39"/>
    </row>
    <row r="360" spans="1:16" s="49" customFormat="1" hidden="1" x14ac:dyDescent="0.25">
      <c r="A360" s="157">
        <f>A359+1</f>
        <v>204</v>
      </c>
      <c r="B360" s="157"/>
      <c r="C360" s="55"/>
      <c r="D360" s="45"/>
      <c r="E360" s="45">
        <v>0</v>
      </c>
      <c r="F360" s="45">
        <f>D360*(($F$268)+1)+(IF(E360&lt;101,E360,IF(E360&lt;201,E360/2,IF(E360&lt;=301,E360/3,E360/4))))</f>
        <v>0</v>
      </c>
      <c r="G360" s="157" t="str">
        <f>G359</f>
        <v>2nd Floor</v>
      </c>
      <c r="H360" s="157"/>
      <c r="I360" s="39"/>
      <c r="N360" s="39"/>
    </row>
    <row r="361" spans="1:16" s="49" customFormat="1" hidden="1" x14ac:dyDescent="0.25">
      <c r="A361" s="157">
        <f>A360+1</f>
        <v>205</v>
      </c>
      <c r="B361" s="157"/>
      <c r="C361" s="55"/>
      <c r="D361" s="45"/>
      <c r="E361" s="45">
        <v>0</v>
      </c>
      <c r="F361" s="45">
        <f>D361*(($F$268)+1)+(IF(E361&lt;101,E361,IF(E361&lt;201,E361/2,IF(E361&lt;=301,E361/3,E361/4))))</f>
        <v>0</v>
      </c>
      <c r="G361" s="157" t="str">
        <f>G360</f>
        <v>2nd Floor</v>
      </c>
      <c r="H361" s="157"/>
      <c r="I361" s="39"/>
      <c r="N361" s="39"/>
    </row>
    <row r="362" spans="1:16" s="49" customFormat="1" hidden="1" x14ac:dyDescent="0.25">
      <c r="A362" s="96" t="s">
        <v>156</v>
      </c>
      <c r="B362" s="97"/>
      <c r="C362" s="97"/>
      <c r="D362" s="97"/>
      <c r="E362" s="97"/>
      <c r="F362" s="97"/>
      <c r="G362" s="97"/>
      <c r="H362" s="98"/>
      <c r="I362" s="39"/>
      <c r="N362" s="39"/>
    </row>
    <row r="363" spans="1:16" s="49" customFormat="1" hidden="1" x14ac:dyDescent="0.25">
      <c r="A363" s="99" t="str">
        <f ca="1">(SUMPRODUCT(MID(0&amp;(LEFT(A362,SUM(LEN(A362)-LEN(SUBSTITUTE(A362,{"0","1","2"},""))))), LARGE(INDEX(ISNUMBER(--MID((LEFT(A362,SUM(LEN(A362)-LEN(SUBSTITUTE(A362,{"0","1","2"},""))))), ROW(INDIRECT("1:"&amp;LEN((LEFT(A362,SUM(LEN(A362)-LEN(SUBSTITUTE(A362,{"0","1","2"},"")))))))), 1)) * ROW(INDIRECT("1:"&amp;LEN((LEFT(A362,SUM(LEN(A362)-LEN(SUBSTITUTE(A362,{"0","1","2"},"")))))))), 0), ROW(INDIRECT("1:"&amp;LEN((LEFT(A362,SUM(LEN(A362)-LEN(SUBSTITUTE(A362,{"0","1","2"},"")))))))))+1, 1) * 10^ROW(INDIRECT("1:"&amp;LEN((LEFT(A362,SUM(LEN(A362)-LEN(SUBSTITUTE(A362,{"0","1","2"},""))))))))/10))*100+1&amp;""&amp;" ,.., "&amp;""&amp;(SUMPRODUCT(MID(0&amp;(--TRIM(RIGHT(SUBSTITUTE(LEFT(A362,_xlfn.AGGREGATE(16,6,FIND({0,1,2,3,4,5,6,7,8,9},A362,ROW(INDIRECT("1:"&amp;LEN(A362)))),1))," ",REPT(" ",LEN(A362))),LEN(A362)))), LARGE(INDEX(ISNUMBER(--MID((--TRIM(RIGHT(SUBSTITUTE(LEFT(A362,_xlfn.AGGREGATE(16,6,FIND({0,1,2,3,4,5,6,7,8,9},A362,ROW(INDIRECT("1:"&amp;LEN(A362)))),1))," ",REPT(" ",LEN(A362))),LEN(A362)))), ROW(INDIRECT("1:"&amp;LEN((--TRIM(RIGHT(SUBSTITUTE(LEFT(A362,_xlfn.AGGREGATE(16,6,FIND({0,1,2,3,4,5,6,7,8,9},A362,ROW(INDIRECT("1:"&amp;LEN(A362)))),1))," ",REPT(" ",LEN(A362))),LEN(A362))))))), 1)) * ROW(INDIRECT("1:"&amp;LEN((--TRIM(RIGHT(SUBSTITUTE(LEFT(A362,_xlfn.AGGREGATE(16,6,FIND({0,1,2,3,4,5,6,7,8,9},A362,ROW(INDIRECT("1:"&amp;LEN(A362)))),1))," ",REPT(" ",LEN(A362))),LEN(A362))))))), 0), ROW(INDIRECT("1:"&amp;LEN((--TRIM(RIGHT(SUBSTITUTE(LEFT(A362,_xlfn.AGGREGATE(16,6,FIND({0,1,2,3,4,5,6,7,8,9},A362,ROW(INDIRECT("1:"&amp;LEN(A362)))),1))," ",REPT(" ",LEN(A362))),LEN(A362))))))))+1, 1) * 10^ROW(INDIRECT("1:"&amp;LEN((--TRIM(RIGHT(SUBSTITUTE(LEFT(A362,_xlfn.AGGREGATE(16,6,FIND({0,1,2,3,4,5,6,7,8,9},A362,ROW(INDIRECT("1:"&amp;LEN(A362)))),1))," ",REPT(" ",LEN(A362))),LEN(A362)))))))/10))*100+1</f>
        <v>301 ,.., 1501</v>
      </c>
      <c r="B363" s="100"/>
      <c r="C363" s="55"/>
      <c r="D363" s="45"/>
      <c r="E363" s="45">
        <v>0</v>
      </c>
      <c r="F363" s="45">
        <f>D363*(($F$268)+1)+(IF(E363&lt;101,E363,IF(E363&lt;201,E363/2,IF(E363&lt;=301,E363/3,E363/4))))</f>
        <v>0</v>
      </c>
      <c r="G363" s="99" t="str">
        <f>A362</f>
        <v>3rd, 5th, 7th, 9th, 11th, 13th, 15th Floor</v>
      </c>
      <c r="H363" s="100"/>
      <c r="I363" s="39"/>
      <c r="N363" s="39"/>
    </row>
    <row r="364" spans="1:16" s="49" customFormat="1" ht="15.75" hidden="1" customHeight="1" x14ac:dyDescent="0.25">
      <c r="A364" s="99" t="str">
        <f ca="1">(SUMPRODUCT(MID(0&amp;(LEFT(A363,SUM(LEN(A363)-LEN(SUBSTITUTE(A363,{"0","1","2"},""))))), LARGE(INDEX(ISNUMBER(--MID((LEFT(A363,SUM(LEN(A363)-LEN(SUBSTITUTE(A363,{"0","1","2"},""))))), ROW(INDIRECT("1:"&amp;LEN((LEFT(A363,SUM(LEN(A363)-LEN(SUBSTITUTE(A363,{"0","1","2"},"")))))))), 1)) * ROW(INDIRECT("1:"&amp;LEN((LEFT(A363,SUM(LEN(A363)-LEN(SUBSTITUTE(A363,{"0","1","2"},"")))))))), 0), ROW(INDIRECT("1:"&amp;LEN((LEFT(A363,SUM(LEN(A363)-LEN(SUBSTITUTE(A363,{"0","1","2"},"")))))))))+1, 1) * 10^ROW(INDIRECT("1:"&amp;LEN((LEFT(A363,SUM(LEN(A363)-LEN(SUBSTITUTE(A363,{"0","1","2"},""))))))))/10))*1+1&amp;""&amp;" ,.., "&amp;""&amp;(SUMPRODUCT(MID(0&amp;(--TRIM(RIGHT(SUBSTITUTE(LEFT(A363,_xlfn.AGGREGATE(16,6,FIND({0,1,2,3,4,5,6,7,8,9},A363,ROW(INDIRECT("1:"&amp;LEN(A363)))),1))," ",REPT(" ",LEN(A363))),LEN(A363)))), LARGE(INDEX(ISNUMBER(--MID((--TRIM(RIGHT(SUBSTITUTE(LEFT(A363,_xlfn.AGGREGATE(16,6,FIND({0,1,2,3,4,5,6,7,8,9},A363,ROW(INDIRECT("1:"&amp;LEN(A363)))),1))," ",REPT(" ",LEN(A363))),LEN(A363)))), ROW(INDIRECT("1:"&amp;LEN((--TRIM(RIGHT(SUBSTITUTE(LEFT(A363,_xlfn.AGGREGATE(16,6,FIND({0,1,2,3,4,5,6,7,8,9},A363,ROW(INDIRECT("1:"&amp;LEN(A363)))),1))," ",REPT(" ",LEN(A363))),LEN(A363))))))), 1)) * ROW(INDIRECT("1:"&amp;LEN((--TRIM(RIGHT(SUBSTITUTE(LEFT(A363,_xlfn.AGGREGATE(16,6,FIND({0,1,2,3,4,5,6,7,8,9},A363,ROW(INDIRECT("1:"&amp;LEN(A363)))),1))," ",REPT(" ",LEN(A363))),LEN(A363))))))), 0), ROW(INDIRECT("1:"&amp;LEN((--TRIM(RIGHT(SUBSTITUTE(LEFT(A363,_xlfn.AGGREGATE(16,6,FIND({0,1,2,3,4,5,6,7,8,9},A363,ROW(INDIRECT("1:"&amp;LEN(A363)))),1))," ",REPT(" ",LEN(A363))),LEN(A363))))))))+1, 1) * 10^ROW(INDIRECT("1:"&amp;LEN((--TRIM(RIGHT(SUBSTITUTE(LEFT(A363,_xlfn.AGGREGATE(16,6,FIND({0,1,2,3,4,5,6,7,8,9},A363,ROW(INDIRECT("1:"&amp;LEN(A363)))),1))," ",REPT(" ",LEN(A363))),LEN(A363)))))))/10))*1+1</f>
        <v>302 ,.., 1502</v>
      </c>
      <c r="B364" s="100"/>
      <c r="C364" s="55"/>
      <c r="D364" s="45"/>
      <c r="E364" s="45">
        <v>0</v>
      </c>
      <c r="F364" s="45">
        <f>D364*(($F$268)+1)+(IF(E364&lt;101,E364,IF(E364&lt;201,E364/2,IF(E364&lt;=301,E364/3,E364/4))))</f>
        <v>0</v>
      </c>
      <c r="G364" s="99" t="str">
        <f>G363</f>
        <v>3rd, 5th, 7th, 9th, 11th, 13th, 15th Floor</v>
      </c>
      <c r="H364" s="100"/>
      <c r="I364" s="39"/>
      <c r="P364" s="40"/>
    </row>
    <row r="365" spans="1:16" s="49" customFormat="1" hidden="1" x14ac:dyDescent="0.25">
      <c r="A365" s="99" t="str">
        <f ca="1">(SUMPRODUCT(MID(0&amp;(LEFT(A364,SUM(LEN(A364)-LEN(SUBSTITUTE(A364,{"0","1","2"},""))))), LARGE(INDEX(ISNUMBER(--MID((LEFT(A364,SUM(LEN(A364)-LEN(SUBSTITUTE(A364,{"0","1","2"},""))))), ROW(INDIRECT("1:"&amp;LEN((LEFT(A364,SUM(LEN(A364)-LEN(SUBSTITUTE(A364,{"0","1","2"},"")))))))), 1)) * ROW(INDIRECT("1:"&amp;LEN((LEFT(A364,SUM(LEN(A364)-LEN(SUBSTITUTE(A364,{"0","1","2"},"")))))))), 0), ROW(INDIRECT("1:"&amp;LEN((LEFT(A364,SUM(LEN(A364)-LEN(SUBSTITUTE(A364,{"0","1","2"},"")))))))))+1, 1) * 10^ROW(INDIRECT("1:"&amp;LEN((LEFT(A364,SUM(LEN(A364)-LEN(SUBSTITUTE(A364,{"0","1","2"},""))))))))/10))*1+1&amp;""&amp;" ,.., "&amp;""&amp;(SUMPRODUCT(MID(0&amp;(--TRIM(RIGHT(SUBSTITUTE(LEFT(A364,_xlfn.AGGREGATE(16,6,FIND({0,1,2,3,4,5,6,7,8,9},A364,ROW(INDIRECT("1:"&amp;LEN(A364)))),1))," ",REPT(" ",LEN(A364))),LEN(A364)))), LARGE(INDEX(ISNUMBER(--MID((--TRIM(RIGHT(SUBSTITUTE(LEFT(A364,_xlfn.AGGREGATE(16,6,FIND({0,1,2,3,4,5,6,7,8,9},A364,ROW(INDIRECT("1:"&amp;LEN(A364)))),1))," ",REPT(" ",LEN(A364))),LEN(A364)))), ROW(INDIRECT("1:"&amp;LEN((--TRIM(RIGHT(SUBSTITUTE(LEFT(A364,_xlfn.AGGREGATE(16,6,FIND({0,1,2,3,4,5,6,7,8,9},A364,ROW(INDIRECT("1:"&amp;LEN(A364)))),1))," ",REPT(" ",LEN(A364))),LEN(A364))))))), 1)) * ROW(INDIRECT("1:"&amp;LEN((--TRIM(RIGHT(SUBSTITUTE(LEFT(A364,_xlfn.AGGREGATE(16,6,FIND({0,1,2,3,4,5,6,7,8,9},A364,ROW(INDIRECT("1:"&amp;LEN(A364)))),1))," ",REPT(" ",LEN(A364))),LEN(A364))))))), 0), ROW(INDIRECT("1:"&amp;LEN((--TRIM(RIGHT(SUBSTITUTE(LEFT(A364,_xlfn.AGGREGATE(16,6,FIND({0,1,2,3,4,5,6,7,8,9},A364,ROW(INDIRECT("1:"&amp;LEN(A364)))),1))," ",REPT(" ",LEN(A364))),LEN(A364))))))))+1, 1) * 10^ROW(INDIRECT("1:"&amp;LEN((--TRIM(RIGHT(SUBSTITUTE(LEFT(A364,_xlfn.AGGREGATE(16,6,FIND({0,1,2,3,4,5,6,7,8,9},A364,ROW(INDIRECT("1:"&amp;LEN(A364)))),1))," ",REPT(" ",LEN(A364))),LEN(A364)))))))/10))*1+1</f>
        <v>303 ,.., 1503</v>
      </c>
      <c r="B365" s="100"/>
      <c r="C365" s="55"/>
      <c r="D365" s="45"/>
      <c r="E365" s="45">
        <v>0</v>
      </c>
      <c r="F365" s="45">
        <f>D365*(($F$268)+1)+(IF(E365&lt;101,E365,IF(E365&lt;201,E365/2,IF(E365&lt;=301,E365/3,E365/4))))</f>
        <v>0</v>
      </c>
      <c r="G365" s="99" t="str">
        <f>G364</f>
        <v>3rd, 5th, 7th, 9th, 11th, 13th, 15th Floor</v>
      </c>
      <c r="H365" s="100"/>
      <c r="I365" s="39"/>
    </row>
    <row r="366" spans="1:16" s="49" customFormat="1" hidden="1" x14ac:dyDescent="0.25">
      <c r="A366" s="99" t="str">
        <f ca="1">(SUMPRODUCT(MID(0&amp;(LEFT(A365,SUM(LEN(A365)-LEN(SUBSTITUTE(A365,{"0","1","2"},""))))), LARGE(INDEX(ISNUMBER(--MID((LEFT(A365,SUM(LEN(A365)-LEN(SUBSTITUTE(A365,{"0","1","2"},""))))), ROW(INDIRECT("1:"&amp;LEN((LEFT(A365,SUM(LEN(A365)-LEN(SUBSTITUTE(A365,{"0","1","2"},"")))))))), 1)) * ROW(INDIRECT("1:"&amp;LEN((LEFT(A365,SUM(LEN(A365)-LEN(SUBSTITUTE(A365,{"0","1","2"},"")))))))), 0), ROW(INDIRECT("1:"&amp;LEN((LEFT(A365,SUM(LEN(A365)-LEN(SUBSTITUTE(A365,{"0","1","2"},"")))))))))+1, 1) * 10^ROW(INDIRECT("1:"&amp;LEN((LEFT(A365,SUM(LEN(A365)-LEN(SUBSTITUTE(A365,{"0","1","2"},""))))))))/10))*1+1&amp;""&amp;" ,.., "&amp;""&amp;(SUMPRODUCT(MID(0&amp;(--TRIM(RIGHT(SUBSTITUTE(LEFT(A365,_xlfn.AGGREGATE(16,6,FIND({0,1,2,3,4,5,6,7,8,9},A365,ROW(INDIRECT("1:"&amp;LEN(A365)))),1))," ",REPT(" ",LEN(A365))),LEN(A365)))), LARGE(INDEX(ISNUMBER(--MID((--TRIM(RIGHT(SUBSTITUTE(LEFT(A365,_xlfn.AGGREGATE(16,6,FIND({0,1,2,3,4,5,6,7,8,9},A365,ROW(INDIRECT("1:"&amp;LEN(A365)))),1))," ",REPT(" ",LEN(A365))),LEN(A365)))), ROW(INDIRECT("1:"&amp;LEN((--TRIM(RIGHT(SUBSTITUTE(LEFT(A365,_xlfn.AGGREGATE(16,6,FIND({0,1,2,3,4,5,6,7,8,9},A365,ROW(INDIRECT("1:"&amp;LEN(A365)))),1))," ",REPT(" ",LEN(A365))),LEN(A365))))))), 1)) * ROW(INDIRECT("1:"&amp;LEN((--TRIM(RIGHT(SUBSTITUTE(LEFT(A365,_xlfn.AGGREGATE(16,6,FIND({0,1,2,3,4,5,6,7,8,9},A365,ROW(INDIRECT("1:"&amp;LEN(A365)))),1))," ",REPT(" ",LEN(A365))),LEN(A365))))))), 0), ROW(INDIRECT("1:"&amp;LEN((--TRIM(RIGHT(SUBSTITUTE(LEFT(A365,_xlfn.AGGREGATE(16,6,FIND({0,1,2,3,4,5,6,7,8,9},A365,ROW(INDIRECT("1:"&amp;LEN(A365)))),1))," ",REPT(" ",LEN(A365))),LEN(A365))))))))+1, 1) * 10^ROW(INDIRECT("1:"&amp;LEN((--TRIM(RIGHT(SUBSTITUTE(LEFT(A365,_xlfn.AGGREGATE(16,6,FIND({0,1,2,3,4,5,6,7,8,9},A365,ROW(INDIRECT("1:"&amp;LEN(A365)))),1))," ",REPT(" ",LEN(A365))),LEN(A365)))))))/10))*1+1</f>
        <v>304 ,.., 1504</v>
      </c>
      <c r="B366" s="100"/>
      <c r="C366" s="55"/>
      <c r="D366" s="45"/>
      <c r="E366" s="45">
        <v>0</v>
      </c>
      <c r="F366" s="45">
        <f>D366*(($F$268)+1)+(IF(E366&lt;101,E366,IF(E366&lt;201,E366/2,IF(E366&lt;=301,E366/3,E366/4))))</f>
        <v>0</v>
      </c>
      <c r="G366" s="99" t="str">
        <f>G365</f>
        <v>3rd, 5th, 7th, 9th, 11th, 13th, 15th Floor</v>
      </c>
      <c r="H366" s="100"/>
      <c r="I366" s="39"/>
    </row>
    <row r="367" spans="1:16" s="49" customFormat="1" ht="15.75" hidden="1" customHeight="1" x14ac:dyDescent="0.25">
      <c r="A367" s="99" t="str">
        <f ca="1">(SUMPRODUCT(MID(0&amp;(LEFT(A366,SUM(LEN(A366)-LEN(SUBSTITUTE(A366,{"0","1","2"},""))))), LARGE(INDEX(ISNUMBER(--MID((LEFT(A366,SUM(LEN(A366)-LEN(SUBSTITUTE(A366,{"0","1","2"},""))))), ROW(INDIRECT("1:"&amp;LEN((LEFT(A366,SUM(LEN(A366)-LEN(SUBSTITUTE(A366,{"0","1","2"},"")))))))), 1)) * ROW(INDIRECT("1:"&amp;LEN((LEFT(A366,SUM(LEN(A366)-LEN(SUBSTITUTE(A366,{"0","1","2"},"")))))))), 0), ROW(INDIRECT("1:"&amp;LEN((LEFT(A366,SUM(LEN(A366)-LEN(SUBSTITUTE(A366,{"0","1","2"},"")))))))))+1, 1) * 10^ROW(INDIRECT("1:"&amp;LEN((LEFT(A366,SUM(LEN(A366)-LEN(SUBSTITUTE(A366,{"0","1","2"},""))))))))/10))*1+1&amp;""&amp;" ,.., "&amp;""&amp;(SUMPRODUCT(MID(0&amp;(--TRIM(RIGHT(SUBSTITUTE(LEFT(A366,_xlfn.AGGREGATE(16,6,FIND({0,1,2,3,4,5,6,7,8,9},A366,ROW(INDIRECT("1:"&amp;LEN(A366)))),1))," ",REPT(" ",LEN(A366))),LEN(A366)))), LARGE(INDEX(ISNUMBER(--MID((--TRIM(RIGHT(SUBSTITUTE(LEFT(A366,_xlfn.AGGREGATE(16,6,FIND({0,1,2,3,4,5,6,7,8,9},A366,ROW(INDIRECT("1:"&amp;LEN(A366)))),1))," ",REPT(" ",LEN(A366))),LEN(A366)))), ROW(INDIRECT("1:"&amp;LEN((--TRIM(RIGHT(SUBSTITUTE(LEFT(A366,_xlfn.AGGREGATE(16,6,FIND({0,1,2,3,4,5,6,7,8,9},A366,ROW(INDIRECT("1:"&amp;LEN(A366)))),1))," ",REPT(" ",LEN(A366))),LEN(A366))))))), 1)) * ROW(INDIRECT("1:"&amp;LEN((--TRIM(RIGHT(SUBSTITUTE(LEFT(A366,_xlfn.AGGREGATE(16,6,FIND({0,1,2,3,4,5,6,7,8,9},A366,ROW(INDIRECT("1:"&amp;LEN(A366)))),1))," ",REPT(" ",LEN(A366))),LEN(A366))))))), 0), ROW(INDIRECT("1:"&amp;LEN((--TRIM(RIGHT(SUBSTITUTE(LEFT(A366,_xlfn.AGGREGATE(16,6,FIND({0,1,2,3,4,5,6,7,8,9},A366,ROW(INDIRECT("1:"&amp;LEN(A366)))),1))," ",REPT(" ",LEN(A366))),LEN(A366))))))))+1, 1) * 10^ROW(INDIRECT("1:"&amp;LEN((--TRIM(RIGHT(SUBSTITUTE(LEFT(A366,_xlfn.AGGREGATE(16,6,FIND({0,1,2,3,4,5,6,7,8,9},A366,ROW(INDIRECT("1:"&amp;LEN(A366)))),1))," ",REPT(" ",LEN(A366))),LEN(A366)))))))/10))*1+1</f>
        <v>305 ,.., 1505</v>
      </c>
      <c r="B367" s="100"/>
      <c r="C367" s="55"/>
      <c r="D367" s="45"/>
      <c r="E367" s="45">
        <v>0</v>
      </c>
      <c r="F367" s="45">
        <f>D367*(($F$268)+1)+(IF(E367&lt;101,E367,IF(E367&lt;201,E367/2,IF(E367&lt;=301,E367/3,E367/4))))</f>
        <v>0</v>
      </c>
      <c r="G367" s="99" t="str">
        <f>G366</f>
        <v>3rd, 5th, 7th, 9th, 11th, 13th, 15th Floor</v>
      </c>
      <c r="H367" s="100"/>
      <c r="I367" s="39"/>
    </row>
    <row r="368" spans="1:16" s="49" customFormat="1" ht="15.75" hidden="1" customHeight="1" x14ac:dyDescent="0.25">
      <c r="A368" s="96" t="s">
        <v>149</v>
      </c>
      <c r="B368" s="97"/>
      <c r="C368" s="97"/>
      <c r="D368" s="97"/>
      <c r="E368" s="97"/>
      <c r="F368" s="97"/>
      <c r="G368" s="97"/>
      <c r="H368" s="98"/>
      <c r="I368" s="39"/>
    </row>
    <row r="369" spans="1:16" s="49" customFormat="1" ht="15.75" hidden="1" customHeight="1" x14ac:dyDescent="0.25">
      <c r="A369" s="99" t="str">
        <f ca="1">(SUMPRODUCT(MID(0&amp;(LEFT(A368,SUM(LEN(A368)-LEN(SUBSTITUTE(A368,{"0","1","2"},""))))), LARGE(INDEX(ISNUMBER(--MID((LEFT(A368,SUM(LEN(A368)-LEN(SUBSTITUTE(A368,{"0","1","2"},""))))), ROW(INDIRECT("1:"&amp;LEN((LEFT(A368,SUM(LEN(A368)-LEN(SUBSTITUTE(A368,{"0","1","2"},"")))))))), 1)) * ROW(INDIRECT("1:"&amp;LEN((LEFT(A368,SUM(LEN(A368)-LEN(SUBSTITUTE(A368,{"0","1","2"},"")))))))), 0), ROW(INDIRECT("1:"&amp;LEN((LEFT(A368,SUM(LEN(A368)-LEN(SUBSTITUTE(A368,{"0","1","2"},"")))))))))+1, 1) * 10^ROW(INDIRECT("1:"&amp;LEN((LEFT(A368,SUM(LEN(A368)-LEN(SUBSTITUTE(A368,{"0","1","2"},""))))))))/10))*100+1&amp;""&amp;" to "&amp;""&amp;(SUMPRODUCT(MID(0&amp;(--TRIM(RIGHT(SUBSTITUTE(LEFT(A368,_xlfn.AGGREGATE(16,6,FIND({0,1,2,3,4,5,6,7,8,9},A368,ROW(INDIRECT("1:"&amp;LEN(A368)))),1))," ",REPT(" ",LEN(A368))),LEN(A368)))), LARGE(INDEX(ISNUMBER(--MID((--TRIM(RIGHT(SUBSTITUTE(LEFT(A368,_xlfn.AGGREGATE(16,6,FIND({0,1,2,3,4,5,6,7,8,9},A368,ROW(INDIRECT("1:"&amp;LEN(A368)))),1))," ",REPT(" ",LEN(A368))),LEN(A368)))), ROW(INDIRECT("1:"&amp;LEN((--TRIM(RIGHT(SUBSTITUTE(LEFT(A368,_xlfn.AGGREGATE(16,6,FIND({0,1,2,3,4,5,6,7,8,9},A368,ROW(INDIRECT("1:"&amp;LEN(A368)))),1))," ",REPT(" ",LEN(A368))),LEN(A368))))))), 1)) * ROW(INDIRECT("1:"&amp;LEN((--TRIM(RIGHT(SUBSTITUTE(LEFT(A368,_xlfn.AGGREGATE(16,6,FIND({0,1,2,3,4,5,6,7,8,9},A368,ROW(INDIRECT("1:"&amp;LEN(A368)))),1))," ",REPT(" ",LEN(A368))),LEN(A368))))))), 0), ROW(INDIRECT("1:"&amp;LEN((--TRIM(RIGHT(SUBSTITUTE(LEFT(A368,_xlfn.AGGREGATE(16,6,FIND({0,1,2,3,4,5,6,7,8,9},A368,ROW(INDIRECT("1:"&amp;LEN(A368)))),1))," ",REPT(" ",LEN(A368))),LEN(A368))))))))+1, 1) * 10^ROW(INDIRECT("1:"&amp;LEN((--TRIM(RIGHT(SUBSTITUTE(LEFT(A368,_xlfn.AGGREGATE(16,6,FIND({0,1,2,3,4,5,6,7,8,9},A368,ROW(INDIRECT("1:"&amp;LEN(A368)))),1))," ",REPT(" ",LEN(A368))),LEN(A368)))))))/10))*100+1</f>
        <v>201 to 501</v>
      </c>
      <c r="B369" s="100"/>
      <c r="C369" s="55"/>
      <c r="D369" s="45"/>
      <c r="E369" s="45">
        <v>0</v>
      </c>
      <c r="F369" s="45">
        <f>D369*(($F$268)+1)+(IF(E369&lt;101,E369,IF(E369&lt;201,E369/2,IF(E369&lt;=301,E369/3,E369/4))))</f>
        <v>0</v>
      </c>
      <c r="G369" s="99" t="str">
        <f>A368</f>
        <v>2nd to 5th Floor</v>
      </c>
      <c r="H369" s="100"/>
      <c r="I369" s="39"/>
    </row>
    <row r="370" spans="1:16" s="49" customFormat="1" hidden="1" x14ac:dyDescent="0.25">
      <c r="A370" s="99" t="str">
        <f ca="1">(SUMPRODUCT(MID(0&amp;(LEFT(A369,SUM(LEN(A369)-LEN(SUBSTITUTE(A369,{"0","1","2"},""))))), LARGE(INDEX(ISNUMBER(--MID((LEFT(A369,SUM(LEN(A369)-LEN(SUBSTITUTE(A369,{"0","1","2"},""))))), ROW(INDIRECT("1:"&amp;LEN((LEFT(A369,SUM(LEN(A369)-LEN(SUBSTITUTE(A369,{"0","1","2"},"")))))))), 1)) * ROW(INDIRECT("1:"&amp;LEN((LEFT(A369,SUM(LEN(A369)-LEN(SUBSTITUTE(A369,{"0","1","2"},"")))))))), 0), ROW(INDIRECT("1:"&amp;LEN((LEFT(A369,SUM(LEN(A369)-LEN(SUBSTITUTE(A369,{"0","1","2"},"")))))))))+1, 1) * 10^ROW(INDIRECT("1:"&amp;LEN((LEFT(A369,SUM(LEN(A369)-LEN(SUBSTITUTE(A369,{"0","1","2"},""))))))))/10))*1+1&amp;""&amp;" to "&amp;""&amp;(SUMPRODUCT(MID(0&amp;(--TRIM(RIGHT(SUBSTITUTE(LEFT(A369,_xlfn.AGGREGATE(16,6,FIND({0,1,2,3,4,5,6,7,8,9},A369,ROW(INDIRECT("1:"&amp;LEN(A369)))),1))," ",REPT(" ",LEN(A369))),LEN(A369)))), LARGE(INDEX(ISNUMBER(--MID((--TRIM(RIGHT(SUBSTITUTE(LEFT(A369,_xlfn.AGGREGATE(16,6,FIND({0,1,2,3,4,5,6,7,8,9},A369,ROW(INDIRECT("1:"&amp;LEN(A369)))),1))," ",REPT(" ",LEN(A369))),LEN(A369)))), ROW(INDIRECT("1:"&amp;LEN((--TRIM(RIGHT(SUBSTITUTE(LEFT(A369,_xlfn.AGGREGATE(16,6,FIND({0,1,2,3,4,5,6,7,8,9},A369,ROW(INDIRECT("1:"&amp;LEN(A369)))),1))," ",REPT(" ",LEN(A369))),LEN(A369))))))), 1)) * ROW(INDIRECT("1:"&amp;LEN((--TRIM(RIGHT(SUBSTITUTE(LEFT(A369,_xlfn.AGGREGATE(16,6,FIND({0,1,2,3,4,5,6,7,8,9},A369,ROW(INDIRECT("1:"&amp;LEN(A369)))),1))," ",REPT(" ",LEN(A369))),LEN(A369))))))), 0), ROW(INDIRECT("1:"&amp;LEN((--TRIM(RIGHT(SUBSTITUTE(LEFT(A369,_xlfn.AGGREGATE(16,6,FIND({0,1,2,3,4,5,6,7,8,9},A369,ROW(INDIRECT("1:"&amp;LEN(A369)))),1))," ",REPT(" ",LEN(A369))),LEN(A369))))))))+1, 1) * 10^ROW(INDIRECT("1:"&amp;LEN((--TRIM(RIGHT(SUBSTITUTE(LEFT(A369,_xlfn.AGGREGATE(16,6,FIND({0,1,2,3,4,5,6,7,8,9},A369,ROW(INDIRECT("1:"&amp;LEN(A369)))),1))," ",REPT(" ",LEN(A369))),LEN(A369)))))))/10))*1+1</f>
        <v>202 to 502</v>
      </c>
      <c r="B370" s="100"/>
      <c r="C370" s="55"/>
      <c r="D370" s="45"/>
      <c r="E370" s="45">
        <v>0</v>
      </c>
      <c r="F370" s="45">
        <f>D370*(($F$268)+1)+(IF(E370&lt;101,E370,IF(E370&lt;201,E370/2,IF(E370&lt;=301,E370/3,E370/4))))</f>
        <v>0</v>
      </c>
      <c r="G370" s="99" t="str">
        <f>G369</f>
        <v>2nd to 5th Floor</v>
      </c>
      <c r="H370" s="100"/>
      <c r="I370" s="39"/>
      <c r="P370" s="40"/>
    </row>
    <row r="371" spans="1:16" s="49" customFormat="1" hidden="1" x14ac:dyDescent="0.25">
      <c r="A371" s="99" t="str">
        <f ca="1">(SUMPRODUCT(MID(0&amp;(LEFT(A370,SUM(LEN(A370)-LEN(SUBSTITUTE(A370,{"0","1","2"},""))))), LARGE(INDEX(ISNUMBER(--MID((LEFT(A370,SUM(LEN(A370)-LEN(SUBSTITUTE(A370,{"0","1","2"},""))))), ROW(INDIRECT("1:"&amp;LEN((LEFT(A370,SUM(LEN(A370)-LEN(SUBSTITUTE(A370,{"0","1","2"},"")))))))), 1)) * ROW(INDIRECT("1:"&amp;LEN((LEFT(A370,SUM(LEN(A370)-LEN(SUBSTITUTE(A370,{"0","1","2"},"")))))))), 0), ROW(INDIRECT("1:"&amp;LEN((LEFT(A370,SUM(LEN(A370)-LEN(SUBSTITUTE(A370,{"0","1","2"},"")))))))))+1, 1) * 10^ROW(INDIRECT("1:"&amp;LEN((LEFT(A370,SUM(LEN(A370)-LEN(SUBSTITUTE(A370,{"0","1","2"},""))))))))/10))*1+1&amp;""&amp;" to "&amp;""&amp;(SUMPRODUCT(MID(0&amp;(--TRIM(RIGHT(SUBSTITUTE(LEFT(A370,_xlfn.AGGREGATE(16,6,FIND({0,1,2,3,4,5,6,7,8,9},A370,ROW(INDIRECT("1:"&amp;LEN(A370)))),1))," ",REPT(" ",LEN(A370))),LEN(A370)))), LARGE(INDEX(ISNUMBER(--MID((--TRIM(RIGHT(SUBSTITUTE(LEFT(A370,_xlfn.AGGREGATE(16,6,FIND({0,1,2,3,4,5,6,7,8,9},A370,ROW(INDIRECT("1:"&amp;LEN(A370)))),1))," ",REPT(" ",LEN(A370))),LEN(A370)))), ROW(INDIRECT("1:"&amp;LEN((--TRIM(RIGHT(SUBSTITUTE(LEFT(A370,_xlfn.AGGREGATE(16,6,FIND({0,1,2,3,4,5,6,7,8,9},A370,ROW(INDIRECT("1:"&amp;LEN(A370)))),1))," ",REPT(" ",LEN(A370))),LEN(A370))))))), 1)) * ROW(INDIRECT("1:"&amp;LEN((--TRIM(RIGHT(SUBSTITUTE(LEFT(A370,_xlfn.AGGREGATE(16,6,FIND({0,1,2,3,4,5,6,7,8,9},A370,ROW(INDIRECT("1:"&amp;LEN(A370)))),1))," ",REPT(" ",LEN(A370))),LEN(A370))))))), 0), ROW(INDIRECT("1:"&amp;LEN((--TRIM(RIGHT(SUBSTITUTE(LEFT(A370,_xlfn.AGGREGATE(16,6,FIND({0,1,2,3,4,5,6,7,8,9},A370,ROW(INDIRECT("1:"&amp;LEN(A370)))),1))," ",REPT(" ",LEN(A370))),LEN(A370))))))))+1, 1) * 10^ROW(INDIRECT("1:"&amp;LEN((--TRIM(RIGHT(SUBSTITUTE(LEFT(A370,_xlfn.AGGREGATE(16,6,FIND({0,1,2,3,4,5,6,7,8,9},A370,ROW(INDIRECT("1:"&amp;LEN(A370)))),1))," ",REPT(" ",LEN(A370))),LEN(A370)))))))/10))*1+1</f>
        <v>203 to 503</v>
      </c>
      <c r="B371" s="100"/>
      <c r="C371" s="55"/>
      <c r="D371" s="45"/>
      <c r="E371" s="45">
        <v>0</v>
      </c>
      <c r="F371" s="45">
        <f>D371*(($F$268)+1)+(IF(E371&lt;101,E371,IF(E371&lt;201,E371/2,IF(E371&lt;=301,E371/3,E371/4))))</f>
        <v>0</v>
      </c>
      <c r="G371" s="99" t="str">
        <f>G370</f>
        <v>2nd to 5th Floor</v>
      </c>
      <c r="H371" s="100"/>
      <c r="I371" s="39"/>
    </row>
    <row r="372" spans="1:16" s="49" customFormat="1" hidden="1" x14ac:dyDescent="0.25">
      <c r="A372" s="99" t="str">
        <f ca="1">(SUMPRODUCT(MID(0&amp;(LEFT(A371,SUM(LEN(A371)-LEN(SUBSTITUTE(A371,{"0","1","2"},""))))), LARGE(INDEX(ISNUMBER(--MID((LEFT(A371,SUM(LEN(A371)-LEN(SUBSTITUTE(A371,{"0","1","2"},""))))), ROW(INDIRECT("1:"&amp;LEN((LEFT(A371,SUM(LEN(A371)-LEN(SUBSTITUTE(A371,{"0","1","2"},"")))))))), 1)) * ROW(INDIRECT("1:"&amp;LEN((LEFT(A371,SUM(LEN(A371)-LEN(SUBSTITUTE(A371,{"0","1","2"},"")))))))), 0), ROW(INDIRECT("1:"&amp;LEN((LEFT(A371,SUM(LEN(A371)-LEN(SUBSTITUTE(A371,{"0","1","2"},"")))))))))+1, 1) * 10^ROW(INDIRECT("1:"&amp;LEN((LEFT(A371,SUM(LEN(A371)-LEN(SUBSTITUTE(A371,{"0","1","2"},""))))))))/10))*1+1&amp;""&amp;" to "&amp;""&amp;(SUMPRODUCT(MID(0&amp;(--TRIM(RIGHT(SUBSTITUTE(LEFT(A371,_xlfn.AGGREGATE(16,6,FIND({0,1,2,3,4,5,6,7,8,9},A371,ROW(INDIRECT("1:"&amp;LEN(A371)))),1))," ",REPT(" ",LEN(A371))),LEN(A371)))), LARGE(INDEX(ISNUMBER(--MID((--TRIM(RIGHT(SUBSTITUTE(LEFT(A371,_xlfn.AGGREGATE(16,6,FIND({0,1,2,3,4,5,6,7,8,9},A371,ROW(INDIRECT("1:"&amp;LEN(A371)))),1))," ",REPT(" ",LEN(A371))),LEN(A371)))), ROW(INDIRECT("1:"&amp;LEN((--TRIM(RIGHT(SUBSTITUTE(LEFT(A371,_xlfn.AGGREGATE(16,6,FIND({0,1,2,3,4,5,6,7,8,9},A371,ROW(INDIRECT("1:"&amp;LEN(A371)))),1))," ",REPT(" ",LEN(A371))),LEN(A371))))))), 1)) * ROW(INDIRECT("1:"&amp;LEN((--TRIM(RIGHT(SUBSTITUTE(LEFT(A371,_xlfn.AGGREGATE(16,6,FIND({0,1,2,3,4,5,6,7,8,9},A371,ROW(INDIRECT("1:"&amp;LEN(A371)))),1))," ",REPT(" ",LEN(A371))),LEN(A371))))))), 0), ROW(INDIRECT("1:"&amp;LEN((--TRIM(RIGHT(SUBSTITUTE(LEFT(A371,_xlfn.AGGREGATE(16,6,FIND({0,1,2,3,4,5,6,7,8,9},A371,ROW(INDIRECT("1:"&amp;LEN(A371)))),1))," ",REPT(" ",LEN(A371))),LEN(A371))))))))+1, 1) * 10^ROW(INDIRECT("1:"&amp;LEN((--TRIM(RIGHT(SUBSTITUTE(LEFT(A371,_xlfn.AGGREGATE(16,6,FIND({0,1,2,3,4,5,6,7,8,9},A371,ROW(INDIRECT("1:"&amp;LEN(A371)))),1))," ",REPT(" ",LEN(A371))),LEN(A371)))))))/10))*1+1</f>
        <v>204 to 504</v>
      </c>
      <c r="B372" s="100"/>
      <c r="C372" s="55"/>
      <c r="D372" s="45"/>
      <c r="E372" s="45">
        <v>0</v>
      </c>
      <c r="F372" s="45">
        <f>D372*(($F$268)+1)+(IF(E372&lt;101,E372,IF(E372&lt;201,E372/2,IF(E372&lt;=301,E372/3,E372/4))))</f>
        <v>0</v>
      </c>
      <c r="G372" s="99" t="str">
        <f>G371</f>
        <v>2nd to 5th Floor</v>
      </c>
      <c r="H372" s="100"/>
      <c r="I372" s="39"/>
    </row>
    <row r="373" spans="1:16" s="49" customFormat="1" hidden="1" x14ac:dyDescent="0.25">
      <c r="A373" s="99" t="str">
        <f ca="1">(SUMPRODUCT(MID(0&amp;(LEFT(A372,SUM(LEN(A372)-LEN(SUBSTITUTE(A372,{"0","1","2"},""))))), LARGE(INDEX(ISNUMBER(--MID((LEFT(A372,SUM(LEN(A372)-LEN(SUBSTITUTE(A372,{"0","1","2"},""))))), ROW(INDIRECT("1:"&amp;LEN((LEFT(A372,SUM(LEN(A372)-LEN(SUBSTITUTE(A372,{"0","1","2"},"")))))))), 1)) * ROW(INDIRECT("1:"&amp;LEN((LEFT(A372,SUM(LEN(A372)-LEN(SUBSTITUTE(A372,{"0","1","2"},"")))))))), 0), ROW(INDIRECT("1:"&amp;LEN((LEFT(A372,SUM(LEN(A372)-LEN(SUBSTITUTE(A372,{"0","1","2"},"")))))))))+1, 1) * 10^ROW(INDIRECT("1:"&amp;LEN((LEFT(A372,SUM(LEN(A372)-LEN(SUBSTITUTE(A372,{"0","1","2"},""))))))))/10))*1+1&amp;""&amp;" to "&amp;""&amp;(SUMPRODUCT(MID(0&amp;(--TRIM(RIGHT(SUBSTITUTE(LEFT(A372,_xlfn.AGGREGATE(16,6,FIND({0,1,2,3,4,5,6,7,8,9},A372,ROW(INDIRECT("1:"&amp;LEN(A372)))),1))," ",REPT(" ",LEN(A372))),LEN(A372)))), LARGE(INDEX(ISNUMBER(--MID((--TRIM(RIGHT(SUBSTITUTE(LEFT(A372,_xlfn.AGGREGATE(16,6,FIND({0,1,2,3,4,5,6,7,8,9},A372,ROW(INDIRECT("1:"&amp;LEN(A372)))),1))," ",REPT(" ",LEN(A372))),LEN(A372)))), ROW(INDIRECT("1:"&amp;LEN((--TRIM(RIGHT(SUBSTITUTE(LEFT(A372,_xlfn.AGGREGATE(16,6,FIND({0,1,2,3,4,5,6,7,8,9},A372,ROW(INDIRECT("1:"&amp;LEN(A372)))),1))," ",REPT(" ",LEN(A372))),LEN(A372))))))), 1)) * ROW(INDIRECT("1:"&amp;LEN((--TRIM(RIGHT(SUBSTITUTE(LEFT(A372,_xlfn.AGGREGATE(16,6,FIND({0,1,2,3,4,5,6,7,8,9},A372,ROW(INDIRECT("1:"&amp;LEN(A372)))),1))," ",REPT(" ",LEN(A372))),LEN(A372))))))), 0), ROW(INDIRECT("1:"&amp;LEN((--TRIM(RIGHT(SUBSTITUTE(LEFT(A372,_xlfn.AGGREGATE(16,6,FIND({0,1,2,3,4,5,6,7,8,9},A372,ROW(INDIRECT("1:"&amp;LEN(A372)))),1))," ",REPT(" ",LEN(A372))),LEN(A372))))))))+1, 1) * 10^ROW(INDIRECT("1:"&amp;LEN((--TRIM(RIGHT(SUBSTITUTE(LEFT(A372,_xlfn.AGGREGATE(16,6,FIND({0,1,2,3,4,5,6,7,8,9},A372,ROW(INDIRECT("1:"&amp;LEN(A372)))),1))," ",REPT(" ",LEN(A372))),LEN(A372)))))))/10))*1+1</f>
        <v>205 to 505</v>
      </c>
      <c r="B373" s="100"/>
      <c r="C373" s="55"/>
      <c r="D373" s="45"/>
      <c r="E373" s="45">
        <v>0</v>
      </c>
      <c r="F373" s="45">
        <f>D373*(($F$268)+1)+(IF(E373&lt;101,E373,IF(E373&lt;201,E373/2,IF(E373&lt;=301,E373/3,E373/4))))</f>
        <v>0</v>
      </c>
      <c r="G373" s="99" t="str">
        <f>G372</f>
        <v>2nd to 5th Floor</v>
      </c>
      <c r="H373" s="100"/>
      <c r="I373" s="39"/>
    </row>
    <row r="374" spans="1:16" s="49" customFormat="1" hidden="1" x14ac:dyDescent="0.25">
      <c r="A374" s="96" t="s">
        <v>150</v>
      </c>
      <c r="B374" s="97"/>
      <c r="C374" s="97"/>
      <c r="D374" s="97"/>
      <c r="E374" s="97"/>
      <c r="F374" s="97"/>
      <c r="G374" s="97"/>
      <c r="H374" s="98"/>
      <c r="I374" s="39"/>
    </row>
    <row r="375" spans="1:16" s="49" customFormat="1" hidden="1" x14ac:dyDescent="0.25">
      <c r="A375" s="99" t="str">
        <f ca="1">(SUMPRODUCT(MID(0&amp;(LEFT(A374,SUM(LEN(A374)-LEN(SUBSTITUTE(A374,{"0","1","2"},""))))), LARGE(INDEX(ISNUMBER(--MID((LEFT(A374,SUM(LEN(A374)-LEN(SUBSTITUTE(A374,{"0","1","2"},""))))), ROW(INDIRECT("1:"&amp;LEN((LEFT(A374,SUM(LEN(A374)-LEN(SUBSTITUTE(A374,{"0","1","2"},"")))))))), 1)) * ROW(INDIRECT("1:"&amp;LEN((LEFT(A374,SUM(LEN(A374)-LEN(SUBSTITUTE(A374,{"0","1","2"},"")))))))), 0), ROW(INDIRECT("1:"&amp;LEN((LEFT(A374,SUM(LEN(A374)-LEN(SUBSTITUTE(A374,{"0","1","2"},"")))))))))+1, 1) * 10^ROW(INDIRECT("1:"&amp;LEN((LEFT(A374,SUM(LEN(A374)-LEN(SUBSTITUTE(A374,{"0","1","2"},""))))))))/10))*100+1&amp;""&amp;" &amp; "&amp;""&amp;(SUMPRODUCT(MID(0&amp;(--TRIM(RIGHT(SUBSTITUTE(LEFT(A374,_xlfn.AGGREGATE(16,6,FIND({0,1,2,3,4,5,6,7,8,9},A374,ROW(INDIRECT("1:"&amp;LEN(A374)))),1))," ",REPT(" ",LEN(A374))),LEN(A374)))), LARGE(INDEX(ISNUMBER(--MID((--TRIM(RIGHT(SUBSTITUTE(LEFT(A374,_xlfn.AGGREGATE(16,6,FIND({0,1,2,3,4,5,6,7,8,9},A374,ROW(INDIRECT("1:"&amp;LEN(A374)))),1))," ",REPT(" ",LEN(A374))),LEN(A374)))), ROW(INDIRECT("1:"&amp;LEN((--TRIM(RIGHT(SUBSTITUTE(LEFT(A374,_xlfn.AGGREGATE(16,6,FIND({0,1,2,3,4,5,6,7,8,9},A374,ROW(INDIRECT("1:"&amp;LEN(A374)))),1))," ",REPT(" ",LEN(A374))),LEN(A374))))))), 1)) * ROW(INDIRECT("1:"&amp;LEN((--TRIM(RIGHT(SUBSTITUTE(LEFT(A374,_xlfn.AGGREGATE(16,6,FIND({0,1,2,3,4,5,6,7,8,9},A374,ROW(INDIRECT("1:"&amp;LEN(A374)))),1))," ",REPT(" ",LEN(A374))),LEN(A374))))))), 0), ROW(INDIRECT("1:"&amp;LEN((--TRIM(RIGHT(SUBSTITUTE(LEFT(A374,_xlfn.AGGREGATE(16,6,FIND({0,1,2,3,4,5,6,7,8,9},A374,ROW(INDIRECT("1:"&amp;LEN(A374)))),1))," ",REPT(" ",LEN(A374))),LEN(A374))))))))+1, 1) * 10^ROW(INDIRECT("1:"&amp;LEN((--TRIM(RIGHT(SUBSTITUTE(LEFT(A374,_xlfn.AGGREGATE(16,6,FIND({0,1,2,3,4,5,6,7,8,9},A374,ROW(INDIRECT("1:"&amp;LEN(A374)))),1))," ",REPT(" ",LEN(A374))),LEN(A374)))))))/10))*100+1</f>
        <v>201 &amp; 501</v>
      </c>
      <c r="B375" s="100"/>
      <c r="C375" s="55"/>
      <c r="D375" s="45"/>
      <c r="E375" s="45">
        <v>0</v>
      </c>
      <c r="F375" s="45">
        <f>D375*(($F$268)+1)+(IF(E375&lt;101,E375,IF(E375&lt;201,E375/2,IF(E375&lt;=301,E375/3,E375/4))))</f>
        <v>0</v>
      </c>
      <c r="G375" s="99" t="str">
        <f>A374</f>
        <v>2nd &amp; 5th Floor</v>
      </c>
      <c r="H375" s="100"/>
      <c r="I375" s="39"/>
    </row>
    <row r="376" spans="1:16" s="49" customFormat="1" hidden="1" x14ac:dyDescent="0.25">
      <c r="A376" s="99" t="str">
        <f ca="1">(SUMPRODUCT(MID(0&amp;(LEFT(A375,SUM(LEN(A375)-LEN(SUBSTITUTE(A375,{"0","1","2"},""))))), LARGE(INDEX(ISNUMBER(--MID((LEFT(A375,SUM(LEN(A375)-LEN(SUBSTITUTE(A375,{"0","1","2"},""))))), ROW(INDIRECT("1:"&amp;LEN((LEFT(A375,SUM(LEN(A375)-LEN(SUBSTITUTE(A375,{"0","1","2"},"")))))))), 1)) * ROW(INDIRECT("1:"&amp;LEN((LEFT(A375,SUM(LEN(A375)-LEN(SUBSTITUTE(A375,{"0","1","2"},"")))))))), 0), ROW(INDIRECT("1:"&amp;LEN((LEFT(A375,SUM(LEN(A375)-LEN(SUBSTITUTE(A375,{"0","1","2"},"")))))))))+1, 1) * 10^ROW(INDIRECT("1:"&amp;LEN((LEFT(A375,SUM(LEN(A375)-LEN(SUBSTITUTE(A375,{"0","1","2"},""))))))))/10))*1+1&amp;""&amp;" &amp; "&amp;""&amp;(SUMPRODUCT(MID(0&amp;(--TRIM(RIGHT(SUBSTITUTE(LEFT(A375,_xlfn.AGGREGATE(16,6,FIND({0,1,2,3,4,5,6,7,8,9},A375,ROW(INDIRECT("1:"&amp;LEN(A375)))),1))," ",REPT(" ",LEN(A375))),LEN(A375)))), LARGE(INDEX(ISNUMBER(--MID((--TRIM(RIGHT(SUBSTITUTE(LEFT(A375,_xlfn.AGGREGATE(16,6,FIND({0,1,2,3,4,5,6,7,8,9},A375,ROW(INDIRECT("1:"&amp;LEN(A375)))),1))," ",REPT(" ",LEN(A375))),LEN(A375)))), ROW(INDIRECT("1:"&amp;LEN((--TRIM(RIGHT(SUBSTITUTE(LEFT(A375,_xlfn.AGGREGATE(16,6,FIND({0,1,2,3,4,5,6,7,8,9},A375,ROW(INDIRECT("1:"&amp;LEN(A375)))),1))," ",REPT(" ",LEN(A375))),LEN(A375))))))), 1)) * ROW(INDIRECT("1:"&amp;LEN((--TRIM(RIGHT(SUBSTITUTE(LEFT(A375,_xlfn.AGGREGATE(16,6,FIND({0,1,2,3,4,5,6,7,8,9},A375,ROW(INDIRECT("1:"&amp;LEN(A375)))),1))," ",REPT(" ",LEN(A375))),LEN(A375))))))), 0), ROW(INDIRECT("1:"&amp;LEN((--TRIM(RIGHT(SUBSTITUTE(LEFT(A375,_xlfn.AGGREGATE(16,6,FIND({0,1,2,3,4,5,6,7,8,9},A375,ROW(INDIRECT("1:"&amp;LEN(A375)))),1))," ",REPT(" ",LEN(A375))),LEN(A375))))))))+1, 1) * 10^ROW(INDIRECT("1:"&amp;LEN((--TRIM(RIGHT(SUBSTITUTE(LEFT(A375,_xlfn.AGGREGATE(16,6,FIND({0,1,2,3,4,5,6,7,8,9},A375,ROW(INDIRECT("1:"&amp;LEN(A375)))),1))," ",REPT(" ",LEN(A375))),LEN(A375)))))))/10))*1+1</f>
        <v>202 &amp; 502</v>
      </c>
      <c r="B376" s="100"/>
      <c r="C376" s="55"/>
      <c r="D376" s="45"/>
      <c r="E376" s="45">
        <v>0</v>
      </c>
      <c r="F376" s="45">
        <f>D376*(($F$268)+1)+(IF(E376&lt;101,E376,IF(E376&lt;201,E376/2,IF(E376&lt;=301,E376/3,E376/4))))</f>
        <v>0</v>
      </c>
      <c r="G376" s="99" t="str">
        <f t="shared" ref="G376:G379" si="45">G375</f>
        <v>2nd &amp; 5th Floor</v>
      </c>
      <c r="H376" s="100"/>
      <c r="I376" s="39"/>
      <c r="P376" s="40"/>
    </row>
    <row r="377" spans="1:16" s="49" customFormat="1" hidden="1" x14ac:dyDescent="0.25">
      <c r="A377" s="99" t="str">
        <f ca="1">(SUMPRODUCT(MID(0&amp;(LEFT(A376,SUM(LEN(A376)-LEN(SUBSTITUTE(A376,{"0","1","2"},""))))), LARGE(INDEX(ISNUMBER(--MID((LEFT(A376,SUM(LEN(A376)-LEN(SUBSTITUTE(A376,{"0","1","2"},""))))), ROW(INDIRECT("1:"&amp;LEN((LEFT(A376,SUM(LEN(A376)-LEN(SUBSTITUTE(A376,{"0","1","2"},"")))))))), 1)) * ROW(INDIRECT("1:"&amp;LEN((LEFT(A376,SUM(LEN(A376)-LEN(SUBSTITUTE(A376,{"0","1","2"},"")))))))), 0), ROW(INDIRECT("1:"&amp;LEN((LEFT(A376,SUM(LEN(A376)-LEN(SUBSTITUTE(A376,{"0","1","2"},"")))))))))+1, 1) * 10^ROW(INDIRECT("1:"&amp;LEN((LEFT(A376,SUM(LEN(A376)-LEN(SUBSTITUTE(A376,{"0","1","2"},""))))))))/10))*1+1&amp;""&amp;" &amp; "&amp;""&amp;(SUMPRODUCT(MID(0&amp;(--TRIM(RIGHT(SUBSTITUTE(LEFT(A376,_xlfn.AGGREGATE(16,6,FIND({0,1,2,3,4,5,6,7,8,9},A376,ROW(INDIRECT("1:"&amp;LEN(A376)))),1))," ",REPT(" ",LEN(A376))),LEN(A376)))), LARGE(INDEX(ISNUMBER(--MID((--TRIM(RIGHT(SUBSTITUTE(LEFT(A376,_xlfn.AGGREGATE(16,6,FIND({0,1,2,3,4,5,6,7,8,9},A376,ROW(INDIRECT("1:"&amp;LEN(A376)))),1))," ",REPT(" ",LEN(A376))),LEN(A376)))), ROW(INDIRECT("1:"&amp;LEN((--TRIM(RIGHT(SUBSTITUTE(LEFT(A376,_xlfn.AGGREGATE(16,6,FIND({0,1,2,3,4,5,6,7,8,9},A376,ROW(INDIRECT("1:"&amp;LEN(A376)))),1))," ",REPT(" ",LEN(A376))),LEN(A376))))))), 1)) * ROW(INDIRECT("1:"&amp;LEN((--TRIM(RIGHT(SUBSTITUTE(LEFT(A376,_xlfn.AGGREGATE(16,6,FIND({0,1,2,3,4,5,6,7,8,9},A376,ROW(INDIRECT("1:"&amp;LEN(A376)))),1))," ",REPT(" ",LEN(A376))),LEN(A376))))))), 0), ROW(INDIRECT("1:"&amp;LEN((--TRIM(RIGHT(SUBSTITUTE(LEFT(A376,_xlfn.AGGREGATE(16,6,FIND({0,1,2,3,4,5,6,7,8,9},A376,ROW(INDIRECT("1:"&amp;LEN(A376)))),1))," ",REPT(" ",LEN(A376))),LEN(A376))))))))+1, 1) * 10^ROW(INDIRECT("1:"&amp;LEN((--TRIM(RIGHT(SUBSTITUTE(LEFT(A376,_xlfn.AGGREGATE(16,6,FIND({0,1,2,3,4,5,6,7,8,9},A376,ROW(INDIRECT("1:"&amp;LEN(A376)))),1))," ",REPT(" ",LEN(A376))),LEN(A376)))))))/10))*1+1</f>
        <v>203 &amp; 503</v>
      </c>
      <c r="B377" s="100"/>
      <c r="C377" s="55"/>
      <c r="D377" s="45"/>
      <c r="E377" s="45">
        <v>0</v>
      </c>
      <c r="F377" s="45">
        <f>D377*(($F$268)+1)+(IF(E377&lt;101,E377,IF(E377&lt;201,E377/2,IF(E377&lt;=301,E377/3,E377/4))))</f>
        <v>0</v>
      </c>
      <c r="G377" s="99" t="str">
        <f t="shared" si="45"/>
        <v>2nd &amp; 5th Floor</v>
      </c>
      <c r="H377" s="100"/>
      <c r="I377" s="39"/>
    </row>
    <row r="378" spans="1:16" s="49" customFormat="1" hidden="1" x14ac:dyDescent="0.25">
      <c r="A378" s="99" t="str">
        <f ca="1">(SUMPRODUCT(MID(0&amp;(LEFT(A377,SUM(LEN(A377)-LEN(SUBSTITUTE(A377,{"0","1","2"},""))))), LARGE(INDEX(ISNUMBER(--MID((LEFT(A377,SUM(LEN(A377)-LEN(SUBSTITUTE(A377,{"0","1","2"},""))))), ROW(INDIRECT("1:"&amp;LEN((LEFT(A377,SUM(LEN(A377)-LEN(SUBSTITUTE(A377,{"0","1","2"},"")))))))), 1)) * ROW(INDIRECT("1:"&amp;LEN((LEFT(A377,SUM(LEN(A377)-LEN(SUBSTITUTE(A377,{"0","1","2"},"")))))))), 0), ROW(INDIRECT("1:"&amp;LEN((LEFT(A377,SUM(LEN(A377)-LEN(SUBSTITUTE(A377,{"0","1","2"},"")))))))))+1, 1) * 10^ROW(INDIRECT("1:"&amp;LEN((LEFT(A377,SUM(LEN(A377)-LEN(SUBSTITUTE(A377,{"0","1","2"},""))))))))/10))*1+1&amp;""&amp;" &amp; "&amp;""&amp;(SUMPRODUCT(MID(0&amp;(--TRIM(RIGHT(SUBSTITUTE(LEFT(A377,_xlfn.AGGREGATE(16,6,FIND({0,1,2,3,4,5,6,7,8,9},A377,ROW(INDIRECT("1:"&amp;LEN(A377)))),1))," ",REPT(" ",LEN(A377))),LEN(A377)))), LARGE(INDEX(ISNUMBER(--MID((--TRIM(RIGHT(SUBSTITUTE(LEFT(A377,_xlfn.AGGREGATE(16,6,FIND({0,1,2,3,4,5,6,7,8,9},A377,ROW(INDIRECT("1:"&amp;LEN(A377)))),1))," ",REPT(" ",LEN(A377))),LEN(A377)))), ROW(INDIRECT("1:"&amp;LEN((--TRIM(RIGHT(SUBSTITUTE(LEFT(A377,_xlfn.AGGREGATE(16,6,FIND({0,1,2,3,4,5,6,7,8,9},A377,ROW(INDIRECT("1:"&amp;LEN(A377)))),1))," ",REPT(" ",LEN(A377))),LEN(A377))))))), 1)) * ROW(INDIRECT("1:"&amp;LEN((--TRIM(RIGHT(SUBSTITUTE(LEFT(A377,_xlfn.AGGREGATE(16,6,FIND({0,1,2,3,4,5,6,7,8,9},A377,ROW(INDIRECT("1:"&amp;LEN(A377)))),1))," ",REPT(" ",LEN(A377))),LEN(A377))))))), 0), ROW(INDIRECT("1:"&amp;LEN((--TRIM(RIGHT(SUBSTITUTE(LEFT(A377,_xlfn.AGGREGATE(16,6,FIND({0,1,2,3,4,5,6,7,8,9},A377,ROW(INDIRECT("1:"&amp;LEN(A377)))),1))," ",REPT(" ",LEN(A377))),LEN(A377))))))))+1, 1) * 10^ROW(INDIRECT("1:"&amp;LEN((--TRIM(RIGHT(SUBSTITUTE(LEFT(A377,_xlfn.AGGREGATE(16,6,FIND({0,1,2,3,4,5,6,7,8,9},A377,ROW(INDIRECT("1:"&amp;LEN(A377)))),1))," ",REPT(" ",LEN(A377))),LEN(A377)))))))/10))*1+1</f>
        <v>204 &amp; 504</v>
      </c>
      <c r="B378" s="100"/>
      <c r="C378" s="55"/>
      <c r="D378" s="45"/>
      <c r="E378" s="45">
        <v>0</v>
      </c>
      <c r="F378" s="45">
        <f>D378*(($F$268)+1)+(IF(E378&lt;101,E378,IF(E378&lt;201,E378/2,IF(E378&lt;=301,E378/3,E378/4))))</f>
        <v>0</v>
      </c>
      <c r="G378" s="99" t="str">
        <f t="shared" si="45"/>
        <v>2nd &amp; 5th Floor</v>
      </c>
      <c r="H378" s="100"/>
      <c r="I378" s="39"/>
    </row>
    <row r="379" spans="1:16" s="49" customFormat="1" hidden="1" x14ac:dyDescent="0.25">
      <c r="A379" s="99" t="str">
        <f ca="1">(SUMPRODUCT(MID(0&amp;(LEFT(A378,SUM(LEN(A378)-LEN(SUBSTITUTE(A378,{"0","1","2"},""))))), LARGE(INDEX(ISNUMBER(--MID((LEFT(A378,SUM(LEN(A378)-LEN(SUBSTITUTE(A378,{"0","1","2"},""))))), ROW(INDIRECT("1:"&amp;LEN((LEFT(A378,SUM(LEN(A378)-LEN(SUBSTITUTE(A378,{"0","1","2"},"")))))))), 1)) * ROW(INDIRECT("1:"&amp;LEN((LEFT(A378,SUM(LEN(A378)-LEN(SUBSTITUTE(A378,{"0","1","2"},"")))))))), 0), ROW(INDIRECT("1:"&amp;LEN((LEFT(A378,SUM(LEN(A378)-LEN(SUBSTITUTE(A378,{"0","1","2"},"")))))))))+1, 1) * 10^ROW(INDIRECT("1:"&amp;LEN((LEFT(A378,SUM(LEN(A378)-LEN(SUBSTITUTE(A378,{"0","1","2"},""))))))))/10))*1+1&amp;""&amp;" &amp; "&amp;""&amp;(SUMPRODUCT(MID(0&amp;(--TRIM(RIGHT(SUBSTITUTE(LEFT(A378,_xlfn.AGGREGATE(16,6,FIND({0,1,2,3,4,5,6,7,8,9},A378,ROW(INDIRECT("1:"&amp;LEN(A378)))),1))," ",REPT(" ",LEN(A378))),LEN(A378)))), LARGE(INDEX(ISNUMBER(--MID((--TRIM(RIGHT(SUBSTITUTE(LEFT(A378,_xlfn.AGGREGATE(16,6,FIND({0,1,2,3,4,5,6,7,8,9},A378,ROW(INDIRECT("1:"&amp;LEN(A378)))),1))," ",REPT(" ",LEN(A378))),LEN(A378)))), ROW(INDIRECT("1:"&amp;LEN((--TRIM(RIGHT(SUBSTITUTE(LEFT(A378,_xlfn.AGGREGATE(16,6,FIND({0,1,2,3,4,5,6,7,8,9},A378,ROW(INDIRECT("1:"&amp;LEN(A378)))),1))," ",REPT(" ",LEN(A378))),LEN(A378))))))), 1)) * ROW(INDIRECT("1:"&amp;LEN((--TRIM(RIGHT(SUBSTITUTE(LEFT(A378,_xlfn.AGGREGATE(16,6,FIND({0,1,2,3,4,5,6,7,8,9},A378,ROW(INDIRECT("1:"&amp;LEN(A378)))),1))," ",REPT(" ",LEN(A378))),LEN(A378))))))), 0), ROW(INDIRECT("1:"&amp;LEN((--TRIM(RIGHT(SUBSTITUTE(LEFT(A378,_xlfn.AGGREGATE(16,6,FIND({0,1,2,3,4,5,6,7,8,9},A378,ROW(INDIRECT("1:"&amp;LEN(A378)))),1))," ",REPT(" ",LEN(A378))),LEN(A378))))))))+1, 1) * 10^ROW(INDIRECT("1:"&amp;LEN((--TRIM(RIGHT(SUBSTITUTE(LEFT(A378,_xlfn.AGGREGATE(16,6,FIND({0,1,2,3,4,5,6,7,8,9},A378,ROW(INDIRECT("1:"&amp;LEN(A378)))),1))," ",REPT(" ",LEN(A378))),LEN(A378)))))))/10))*1+1</f>
        <v>205 &amp; 505</v>
      </c>
      <c r="B379" s="100"/>
      <c r="C379" s="55"/>
      <c r="D379" s="45"/>
      <c r="E379" s="45">
        <v>0</v>
      </c>
      <c r="F379" s="45">
        <f>D379*(($F$268)+1)+(IF(E379&lt;101,E379,IF(E379&lt;201,E379/2,IF(E379&lt;=301,E379/3,E379/4))))</f>
        <v>0</v>
      </c>
      <c r="G379" s="99" t="str">
        <f t="shared" si="45"/>
        <v>2nd &amp; 5th Floor</v>
      </c>
      <c r="H379" s="100"/>
      <c r="I379" s="39"/>
    </row>
    <row r="380" spans="1:16" s="75" customFormat="1" x14ac:dyDescent="0.25">
      <c r="A380" s="96" t="s">
        <v>268</v>
      </c>
      <c r="B380" s="97"/>
      <c r="C380" s="97"/>
      <c r="D380" s="97"/>
      <c r="E380" s="97"/>
      <c r="F380" s="97"/>
      <c r="G380" s="97"/>
      <c r="H380" s="98"/>
      <c r="I380" s="39">
        <v>9</v>
      </c>
      <c r="N380" s="39"/>
    </row>
    <row r="381" spans="1:16" s="75" customFormat="1" ht="15.75" customHeight="1" x14ac:dyDescent="0.25">
      <c r="A381" s="99">
        <v>1</v>
      </c>
      <c r="B381" s="100"/>
      <c r="C381" s="55">
        <v>1</v>
      </c>
      <c r="D381" s="76">
        <f>39.99*10.764</f>
        <v>430.45236</v>
      </c>
      <c r="E381" s="76">
        <v>0</v>
      </c>
      <c r="F381" s="76">
        <f t="shared" ref="F381:F392" si="46">D381*(($F$268)+1)+(IF(E381&lt;101,E381,IF(E381&lt;201,E381/2,IF(E381&lt;=301,E381/3,E381/4))))</f>
        <v>667.20115799999996</v>
      </c>
      <c r="G381" s="101" t="str">
        <f>A380</f>
        <v>37th, 39th to 41st &amp; 43rd to 46th Floor</v>
      </c>
      <c r="H381" s="102"/>
      <c r="I381" s="39"/>
      <c r="N381" s="39"/>
    </row>
    <row r="382" spans="1:16" s="75" customFormat="1" ht="15.75" customHeight="1" x14ac:dyDescent="0.25">
      <c r="A382" s="99">
        <v>2</v>
      </c>
      <c r="B382" s="100"/>
      <c r="C382" s="55">
        <v>1</v>
      </c>
      <c r="D382" s="76">
        <f>39.99*10.764</f>
        <v>430.45236</v>
      </c>
      <c r="E382" s="76">
        <v>0</v>
      </c>
      <c r="F382" s="76">
        <f t="shared" si="46"/>
        <v>667.20115799999996</v>
      </c>
      <c r="G382" s="103"/>
      <c r="H382" s="104"/>
      <c r="I382" s="39"/>
      <c r="P382" s="40"/>
    </row>
    <row r="383" spans="1:16" s="75" customFormat="1" ht="15.75" customHeight="1" x14ac:dyDescent="0.25">
      <c r="A383" s="99">
        <v>3</v>
      </c>
      <c r="B383" s="100"/>
      <c r="C383" s="55">
        <v>2</v>
      </c>
      <c r="D383" s="76">
        <f>59.54*10.764</f>
        <v>640.88855999999998</v>
      </c>
      <c r="E383" s="76">
        <v>0</v>
      </c>
      <c r="F383" s="76">
        <f t="shared" si="46"/>
        <v>993.37726799999996</v>
      </c>
      <c r="G383" s="103"/>
      <c r="H383" s="104"/>
      <c r="I383" s="39"/>
    </row>
    <row r="384" spans="1:16" s="75" customFormat="1" ht="15.75" customHeight="1" x14ac:dyDescent="0.25">
      <c r="A384" s="99">
        <v>4</v>
      </c>
      <c r="B384" s="100"/>
      <c r="C384" s="55">
        <v>2</v>
      </c>
      <c r="D384" s="76">
        <f>59.54*10.764</f>
        <v>640.88855999999998</v>
      </c>
      <c r="E384" s="76">
        <v>0</v>
      </c>
      <c r="F384" s="76">
        <f t="shared" si="46"/>
        <v>993.37726799999996</v>
      </c>
      <c r="G384" s="103"/>
      <c r="H384" s="104"/>
      <c r="I384" s="39"/>
    </row>
    <row r="385" spans="1:16" s="75" customFormat="1" ht="15.75" customHeight="1" x14ac:dyDescent="0.25">
      <c r="A385" s="99">
        <v>5</v>
      </c>
      <c r="B385" s="100"/>
      <c r="C385" s="55">
        <v>2</v>
      </c>
      <c r="D385" s="76">
        <f>60.25*10.764</f>
        <v>648.53099999999995</v>
      </c>
      <c r="E385" s="76">
        <v>0</v>
      </c>
      <c r="F385" s="76">
        <f t="shared" si="46"/>
        <v>1005.2230499999999</v>
      </c>
      <c r="G385" s="103"/>
      <c r="H385" s="104"/>
      <c r="I385" s="39"/>
    </row>
    <row r="386" spans="1:16" s="75" customFormat="1" ht="15.75" customHeight="1" x14ac:dyDescent="0.25">
      <c r="A386" s="99">
        <v>6</v>
      </c>
      <c r="B386" s="100"/>
      <c r="C386" s="55">
        <v>1</v>
      </c>
      <c r="D386" s="76">
        <f>42.35*10.764</f>
        <v>455.85539999999997</v>
      </c>
      <c r="E386" s="76">
        <v>0</v>
      </c>
      <c r="F386" s="76">
        <f t="shared" si="46"/>
        <v>706.57587000000001</v>
      </c>
      <c r="G386" s="103"/>
      <c r="H386" s="104"/>
      <c r="I386" s="39"/>
      <c r="P386" s="40"/>
    </row>
    <row r="387" spans="1:16" s="75" customFormat="1" ht="15.75" customHeight="1" x14ac:dyDescent="0.25">
      <c r="A387" s="99">
        <v>7</v>
      </c>
      <c r="B387" s="100"/>
      <c r="C387" s="55">
        <v>2</v>
      </c>
      <c r="D387" s="76">
        <f>61.86*10.764</f>
        <v>665.86104</v>
      </c>
      <c r="E387" s="76">
        <v>0</v>
      </c>
      <c r="F387" s="76">
        <f t="shared" si="46"/>
        <v>1032.0846120000001</v>
      </c>
      <c r="G387" s="103"/>
      <c r="H387" s="104"/>
      <c r="I387" s="39"/>
    </row>
    <row r="388" spans="1:16" s="75" customFormat="1" ht="15.75" customHeight="1" x14ac:dyDescent="0.25">
      <c r="A388" s="99">
        <v>8</v>
      </c>
      <c r="B388" s="100"/>
      <c r="C388" s="55">
        <v>2</v>
      </c>
      <c r="D388" s="76">
        <f>61.86*10.764</f>
        <v>665.86104</v>
      </c>
      <c r="E388" s="76">
        <v>0</v>
      </c>
      <c r="F388" s="76">
        <f t="shared" si="46"/>
        <v>1032.0846120000001</v>
      </c>
      <c r="G388" s="103"/>
      <c r="H388" s="104"/>
      <c r="I388" s="39"/>
    </row>
    <row r="389" spans="1:16" s="75" customFormat="1" ht="15.75" customHeight="1" x14ac:dyDescent="0.25">
      <c r="A389" s="99">
        <v>9</v>
      </c>
      <c r="B389" s="100"/>
      <c r="C389" s="55">
        <v>1</v>
      </c>
      <c r="D389" s="76">
        <f>42.19*10.764</f>
        <v>454.13315999999998</v>
      </c>
      <c r="E389" s="76">
        <v>0</v>
      </c>
      <c r="F389" s="76">
        <f t="shared" si="46"/>
        <v>703.90639799999997</v>
      </c>
      <c r="G389" s="103"/>
      <c r="H389" s="104"/>
      <c r="I389" s="39"/>
    </row>
    <row r="390" spans="1:16" s="75" customFormat="1" ht="15.75" customHeight="1" x14ac:dyDescent="0.25">
      <c r="A390" s="99">
        <v>10</v>
      </c>
      <c r="B390" s="100"/>
      <c r="C390" s="55">
        <v>2</v>
      </c>
      <c r="D390" s="76">
        <f>58.03*10.764</f>
        <v>624.63491999999997</v>
      </c>
      <c r="E390" s="76">
        <v>0</v>
      </c>
      <c r="F390" s="76">
        <f t="shared" si="46"/>
        <v>968.18412599999999</v>
      </c>
      <c r="G390" s="103"/>
      <c r="H390" s="104"/>
      <c r="I390" s="39"/>
    </row>
    <row r="391" spans="1:16" s="75" customFormat="1" ht="15.75" customHeight="1" x14ac:dyDescent="0.25">
      <c r="A391" s="99">
        <v>11</v>
      </c>
      <c r="B391" s="100"/>
      <c r="C391" s="55">
        <v>2</v>
      </c>
      <c r="D391" s="76">
        <f>57.95*10.764</f>
        <v>623.77379999999994</v>
      </c>
      <c r="E391" s="76">
        <v>0</v>
      </c>
      <c r="F391" s="76">
        <f t="shared" si="46"/>
        <v>966.84938999999997</v>
      </c>
      <c r="G391" s="103"/>
      <c r="H391" s="104"/>
      <c r="I391" s="39"/>
    </row>
    <row r="392" spans="1:16" s="75" customFormat="1" ht="15.75" customHeight="1" x14ac:dyDescent="0.25">
      <c r="A392" s="99">
        <v>12</v>
      </c>
      <c r="B392" s="100"/>
      <c r="C392" s="55">
        <v>2</v>
      </c>
      <c r="D392" s="76">
        <f>58.11*10.764</f>
        <v>625.49603999999999</v>
      </c>
      <c r="E392" s="76">
        <v>0</v>
      </c>
      <c r="F392" s="76">
        <f t="shared" si="46"/>
        <v>969.51886200000001</v>
      </c>
      <c r="G392" s="105"/>
      <c r="H392" s="106"/>
      <c r="I392" s="39"/>
    </row>
    <row r="393" spans="1:16" s="80" customFormat="1" x14ac:dyDescent="0.25">
      <c r="A393" s="96" t="s">
        <v>267</v>
      </c>
      <c r="B393" s="97"/>
      <c r="C393" s="97"/>
      <c r="D393" s="97"/>
      <c r="E393" s="97"/>
      <c r="F393" s="97"/>
      <c r="G393" s="97"/>
      <c r="H393" s="98"/>
      <c r="I393" s="39">
        <v>9</v>
      </c>
      <c r="N393" s="39"/>
    </row>
    <row r="394" spans="1:16" s="80" customFormat="1" ht="15.75" customHeight="1" x14ac:dyDescent="0.25">
      <c r="A394" s="99">
        <v>1</v>
      </c>
      <c r="B394" s="100"/>
      <c r="C394" s="55">
        <v>1</v>
      </c>
      <c r="D394" s="81">
        <f>39.99*10.764</f>
        <v>430.45236</v>
      </c>
      <c r="E394" s="81">
        <v>0</v>
      </c>
      <c r="F394" s="81">
        <f t="shared" ref="F394:F405" si="47">D394*(($F$268)+1)+(IF(E394&lt;101,E394,IF(E394&lt;201,E394/2,IF(E394&lt;=301,E394/3,E394/4))))</f>
        <v>667.20115799999996</v>
      </c>
      <c r="G394" s="101" t="str">
        <f>A393</f>
        <v>38th Floor</v>
      </c>
      <c r="H394" s="102"/>
      <c r="I394" s="39"/>
      <c r="N394" s="39"/>
    </row>
    <row r="395" spans="1:16" s="80" customFormat="1" ht="15.75" customHeight="1" x14ac:dyDescent="0.25">
      <c r="A395" s="99">
        <v>2</v>
      </c>
      <c r="B395" s="100"/>
      <c r="C395" s="55">
        <v>1</v>
      </c>
      <c r="D395" s="81">
        <f>39.99*10.764</f>
        <v>430.45236</v>
      </c>
      <c r="E395" s="81">
        <v>0</v>
      </c>
      <c r="F395" s="81">
        <v>728</v>
      </c>
      <c r="G395" s="103"/>
      <c r="H395" s="104"/>
      <c r="I395" s="39">
        <f>F395*20300+1000000+650000+250000</f>
        <v>16678400</v>
      </c>
      <c r="J395" s="80">
        <f>I395*0.75</f>
        <v>12508800</v>
      </c>
      <c r="P395" s="40"/>
    </row>
    <row r="396" spans="1:16" s="80" customFormat="1" ht="15.75" customHeight="1" x14ac:dyDescent="0.25">
      <c r="A396" s="99">
        <v>3</v>
      </c>
      <c r="B396" s="100"/>
      <c r="C396" s="55">
        <v>2</v>
      </c>
      <c r="D396" s="81">
        <f>59.54*10.764</f>
        <v>640.88855999999998</v>
      </c>
      <c r="E396" s="81">
        <v>0</v>
      </c>
      <c r="F396" s="81">
        <f t="shared" si="47"/>
        <v>993.37726799999996</v>
      </c>
      <c r="G396" s="103"/>
      <c r="H396" s="104"/>
      <c r="I396" s="91" t="s">
        <v>269</v>
      </c>
      <c r="J396" s="92"/>
      <c r="K396" s="92"/>
      <c r="L396" s="92"/>
      <c r="M396" s="92"/>
      <c r="N396" s="92"/>
    </row>
    <row r="397" spans="1:16" s="80" customFormat="1" ht="15.75" customHeight="1" x14ac:dyDescent="0.25">
      <c r="A397" s="99">
        <v>4</v>
      </c>
      <c r="B397" s="100"/>
      <c r="C397" s="55">
        <v>2</v>
      </c>
      <c r="D397" s="81">
        <f>59.54*10.764</f>
        <v>640.88855999999998</v>
      </c>
      <c r="E397" s="81">
        <v>0</v>
      </c>
      <c r="F397" s="81">
        <f t="shared" si="47"/>
        <v>993.37726799999996</v>
      </c>
      <c r="G397" s="103"/>
      <c r="H397" s="104"/>
      <c r="I397" s="39"/>
    </row>
    <row r="398" spans="1:16" s="80" customFormat="1" ht="15.75" customHeight="1" x14ac:dyDescent="0.25">
      <c r="A398" s="99">
        <v>5</v>
      </c>
      <c r="B398" s="100"/>
      <c r="C398" s="55">
        <v>2</v>
      </c>
      <c r="D398" s="81">
        <f>60.25*10.764</f>
        <v>648.53099999999995</v>
      </c>
      <c r="E398" s="81">
        <v>0</v>
      </c>
      <c r="F398" s="81">
        <f t="shared" si="47"/>
        <v>1005.2230499999999</v>
      </c>
      <c r="G398" s="103"/>
      <c r="H398" s="104"/>
      <c r="I398" s="39"/>
    </row>
    <row r="399" spans="1:16" s="80" customFormat="1" ht="15.75" customHeight="1" x14ac:dyDescent="0.25">
      <c r="A399" s="99">
        <v>6</v>
      </c>
      <c r="B399" s="100"/>
      <c r="C399" s="55">
        <v>1</v>
      </c>
      <c r="D399" s="81">
        <f>42.35*10.764</f>
        <v>455.85539999999997</v>
      </c>
      <c r="E399" s="81">
        <v>0</v>
      </c>
      <c r="F399" s="81">
        <f t="shared" si="47"/>
        <v>706.57587000000001</v>
      </c>
      <c r="G399" s="103"/>
      <c r="H399" s="104"/>
      <c r="I399" s="39"/>
      <c r="P399" s="40"/>
    </row>
    <row r="400" spans="1:16" s="80" customFormat="1" ht="15.75" customHeight="1" x14ac:dyDescent="0.25">
      <c r="A400" s="99">
        <v>7</v>
      </c>
      <c r="B400" s="100"/>
      <c r="C400" s="55">
        <v>2</v>
      </c>
      <c r="D400" s="81">
        <f>61.86*10.764</f>
        <v>665.86104</v>
      </c>
      <c r="E400" s="81">
        <v>0</v>
      </c>
      <c r="F400" s="81">
        <f t="shared" si="47"/>
        <v>1032.0846120000001</v>
      </c>
      <c r="G400" s="103"/>
      <c r="H400" s="104"/>
      <c r="I400" s="39"/>
    </row>
    <row r="401" spans="1:16" s="80" customFormat="1" ht="15.75" customHeight="1" x14ac:dyDescent="0.25">
      <c r="A401" s="99">
        <v>8</v>
      </c>
      <c r="B401" s="100"/>
      <c r="C401" s="55">
        <v>2</v>
      </c>
      <c r="D401" s="81">
        <f>61.86*10.764</f>
        <v>665.86104</v>
      </c>
      <c r="E401" s="81">
        <v>0</v>
      </c>
      <c r="F401" s="81">
        <f t="shared" si="47"/>
        <v>1032.0846120000001</v>
      </c>
      <c r="G401" s="103"/>
      <c r="H401" s="104"/>
      <c r="I401" s="39"/>
    </row>
    <row r="402" spans="1:16" s="80" customFormat="1" ht="15.75" customHeight="1" x14ac:dyDescent="0.25">
      <c r="A402" s="99">
        <v>9</v>
      </c>
      <c r="B402" s="100"/>
      <c r="C402" s="55">
        <v>1</v>
      </c>
      <c r="D402" s="81">
        <f>42.19*10.764</f>
        <v>454.13315999999998</v>
      </c>
      <c r="E402" s="81">
        <v>0</v>
      </c>
      <c r="F402" s="81">
        <f t="shared" si="47"/>
        <v>703.90639799999997</v>
      </c>
      <c r="G402" s="103"/>
      <c r="H402" s="104"/>
      <c r="I402" s="39"/>
    </row>
    <row r="403" spans="1:16" s="80" customFormat="1" ht="15.75" customHeight="1" x14ac:dyDescent="0.25">
      <c r="A403" s="99">
        <v>10</v>
      </c>
      <c r="B403" s="100"/>
      <c r="C403" s="55">
        <v>2</v>
      </c>
      <c r="D403" s="81">
        <f>58.03*10.764</f>
        <v>624.63491999999997</v>
      </c>
      <c r="E403" s="81">
        <v>0</v>
      </c>
      <c r="F403" s="81">
        <f t="shared" si="47"/>
        <v>968.18412599999999</v>
      </c>
      <c r="G403" s="103"/>
      <c r="H403" s="104"/>
      <c r="I403" s="39"/>
    </row>
    <row r="404" spans="1:16" s="80" customFormat="1" ht="15.75" customHeight="1" x14ac:dyDescent="0.25">
      <c r="A404" s="99">
        <v>11</v>
      </c>
      <c r="B404" s="100"/>
      <c r="C404" s="55">
        <v>2</v>
      </c>
      <c r="D404" s="81">
        <f>57.95*10.764</f>
        <v>623.77379999999994</v>
      </c>
      <c r="E404" s="81">
        <v>0</v>
      </c>
      <c r="F404" s="81">
        <f t="shared" si="47"/>
        <v>966.84938999999997</v>
      </c>
      <c r="G404" s="103"/>
      <c r="H404" s="104"/>
      <c r="I404" s="39"/>
    </row>
    <row r="405" spans="1:16" s="80" customFormat="1" ht="15.75" customHeight="1" x14ac:dyDescent="0.25">
      <c r="A405" s="99">
        <v>12</v>
      </c>
      <c r="B405" s="100"/>
      <c r="C405" s="55">
        <v>2</v>
      </c>
      <c r="D405" s="81">
        <f>58.11*10.764</f>
        <v>625.49603999999999</v>
      </c>
      <c r="E405" s="81">
        <v>0</v>
      </c>
      <c r="F405" s="81">
        <f t="shared" si="47"/>
        <v>969.51886200000001</v>
      </c>
      <c r="G405" s="105"/>
      <c r="H405" s="106"/>
      <c r="I405" s="39"/>
    </row>
    <row r="406" spans="1:16" s="75" customFormat="1" x14ac:dyDescent="0.25">
      <c r="A406" s="96" t="s">
        <v>254</v>
      </c>
      <c r="B406" s="97"/>
      <c r="C406" s="97"/>
      <c r="D406" s="97"/>
      <c r="E406" s="97"/>
      <c r="F406" s="97"/>
      <c r="G406" s="97"/>
      <c r="H406" s="98"/>
      <c r="I406" s="39">
        <v>1</v>
      </c>
      <c r="N406" s="39"/>
    </row>
    <row r="407" spans="1:16" s="75" customFormat="1" ht="15.75" customHeight="1" x14ac:dyDescent="0.25">
      <c r="A407" s="99">
        <v>1</v>
      </c>
      <c r="B407" s="100"/>
      <c r="C407" s="55">
        <v>1</v>
      </c>
      <c r="D407" s="76">
        <f>39.99*10.764</f>
        <v>430.45236</v>
      </c>
      <c r="E407" s="76">
        <v>0</v>
      </c>
      <c r="F407" s="76">
        <f t="shared" ref="F407:F415" si="48">D407*(($F$268)+1)+(IF(E407&lt;101,E407,IF(E407&lt;201,E407/2,IF(E407&lt;=301,E407/3,E407/4))))</f>
        <v>667.20115799999996</v>
      </c>
      <c r="G407" s="101" t="str">
        <f>A406</f>
        <v>42nd Floor (Part Refuge Area)</v>
      </c>
      <c r="H407" s="102"/>
      <c r="I407" s="39"/>
      <c r="N407" s="39"/>
    </row>
    <row r="408" spans="1:16" s="75" customFormat="1" ht="15.75" customHeight="1" x14ac:dyDescent="0.25">
      <c r="A408" s="99">
        <v>2</v>
      </c>
      <c r="B408" s="100"/>
      <c r="C408" s="55">
        <v>1</v>
      </c>
      <c r="D408" s="76">
        <f>39.99*10.764</f>
        <v>430.45236</v>
      </c>
      <c r="E408" s="76">
        <v>0</v>
      </c>
      <c r="F408" s="76">
        <f t="shared" si="48"/>
        <v>667.20115799999996</v>
      </c>
      <c r="G408" s="103"/>
      <c r="H408" s="104"/>
      <c r="I408" s="39"/>
      <c r="P408" s="40"/>
    </row>
    <row r="409" spans="1:16" s="75" customFormat="1" ht="15.75" customHeight="1" x14ac:dyDescent="0.25">
      <c r="A409" s="99">
        <v>3</v>
      </c>
      <c r="B409" s="100"/>
      <c r="C409" s="55">
        <v>2</v>
      </c>
      <c r="D409" s="76">
        <f>59.54*10.764</f>
        <v>640.88855999999998</v>
      </c>
      <c r="E409" s="76">
        <v>0</v>
      </c>
      <c r="F409" s="76">
        <f t="shared" si="48"/>
        <v>993.37726799999996</v>
      </c>
      <c r="G409" s="103"/>
      <c r="H409" s="104"/>
      <c r="I409" s="39"/>
    </row>
    <row r="410" spans="1:16" s="75" customFormat="1" ht="15.75" customHeight="1" x14ac:dyDescent="0.25">
      <c r="A410" s="99">
        <v>4</v>
      </c>
      <c r="B410" s="100"/>
      <c r="C410" s="55">
        <v>2</v>
      </c>
      <c r="D410" s="76">
        <f>59.54*10.764</f>
        <v>640.88855999999998</v>
      </c>
      <c r="E410" s="76">
        <v>0</v>
      </c>
      <c r="F410" s="76">
        <f t="shared" si="48"/>
        <v>993.37726799999996</v>
      </c>
      <c r="G410" s="103"/>
      <c r="H410" s="104"/>
      <c r="I410" s="39"/>
    </row>
    <row r="411" spans="1:16" s="75" customFormat="1" ht="15.75" customHeight="1" x14ac:dyDescent="0.25">
      <c r="A411" s="99">
        <v>5</v>
      </c>
      <c r="B411" s="100"/>
      <c r="C411" s="55">
        <v>2</v>
      </c>
      <c r="D411" s="76">
        <f>60.25*10.764</f>
        <v>648.53099999999995</v>
      </c>
      <c r="E411" s="76">
        <v>0</v>
      </c>
      <c r="F411" s="76">
        <f t="shared" si="48"/>
        <v>1005.2230499999999</v>
      </c>
      <c r="G411" s="103"/>
      <c r="H411" s="104"/>
      <c r="I411" s="39"/>
    </row>
    <row r="412" spans="1:16" s="75" customFormat="1" ht="15.75" customHeight="1" x14ac:dyDescent="0.25">
      <c r="A412" s="99">
        <v>6</v>
      </c>
      <c r="B412" s="100"/>
      <c r="C412" s="55">
        <v>1</v>
      </c>
      <c r="D412" s="76">
        <f>42.35*10.764</f>
        <v>455.85539999999997</v>
      </c>
      <c r="E412" s="76">
        <v>0</v>
      </c>
      <c r="F412" s="76">
        <f t="shared" si="48"/>
        <v>706.57587000000001</v>
      </c>
      <c r="G412" s="103"/>
      <c r="H412" s="104"/>
      <c r="I412" s="39"/>
      <c r="P412" s="40"/>
    </row>
    <row r="413" spans="1:16" s="75" customFormat="1" ht="15.75" customHeight="1" x14ac:dyDescent="0.25">
      <c r="A413" s="99">
        <v>7</v>
      </c>
      <c r="B413" s="100"/>
      <c r="C413" s="55">
        <v>2</v>
      </c>
      <c r="D413" s="76">
        <f>61.86*10.764</f>
        <v>665.86104</v>
      </c>
      <c r="E413" s="76">
        <v>0</v>
      </c>
      <c r="F413" s="76">
        <f t="shared" si="48"/>
        <v>1032.0846120000001</v>
      </c>
      <c r="G413" s="103"/>
      <c r="H413" s="104"/>
      <c r="I413" s="39"/>
    </row>
    <row r="414" spans="1:16" s="75" customFormat="1" ht="15.75" customHeight="1" x14ac:dyDescent="0.25">
      <c r="A414" s="99">
        <v>8</v>
      </c>
      <c r="B414" s="100"/>
      <c r="C414" s="55">
        <v>2</v>
      </c>
      <c r="D414" s="76">
        <f>61.86*10.764</f>
        <v>665.86104</v>
      </c>
      <c r="E414" s="76">
        <v>0</v>
      </c>
      <c r="F414" s="76">
        <f t="shared" si="48"/>
        <v>1032.0846120000001</v>
      </c>
      <c r="G414" s="103"/>
      <c r="H414" s="104"/>
      <c r="I414" s="39">
        <f>(3.2*5.25+2.75*2.26+3.05*3.6+3.13*3.5+2.05*1.23+2.05*1.38+0.55*0.9+2.15*0.9+1*2.23+1.95*0.4+1.05*2.03)</f>
        <v>57.872000000000007</v>
      </c>
    </row>
    <row r="415" spans="1:16" s="75" customFormat="1" ht="15.75" customHeight="1" x14ac:dyDescent="0.25">
      <c r="A415" s="99">
        <v>9</v>
      </c>
      <c r="B415" s="100"/>
      <c r="C415" s="55">
        <v>1</v>
      </c>
      <c r="D415" s="76">
        <f>42.19*10.764</f>
        <v>454.13315999999998</v>
      </c>
      <c r="E415" s="76">
        <v>0</v>
      </c>
      <c r="F415" s="76">
        <f t="shared" si="48"/>
        <v>703.90639799999997</v>
      </c>
      <c r="G415" s="103"/>
      <c r="H415" s="104"/>
      <c r="I415" s="39"/>
    </row>
    <row r="416" spans="1:16" s="75" customFormat="1" ht="15.75" customHeight="1" x14ac:dyDescent="0.25">
      <c r="A416" s="99">
        <v>10</v>
      </c>
      <c r="B416" s="100"/>
      <c r="C416" s="110" t="s">
        <v>224</v>
      </c>
      <c r="D416" s="111"/>
      <c r="E416" s="111"/>
      <c r="F416" s="112"/>
      <c r="G416" s="103"/>
      <c r="H416" s="104"/>
      <c r="I416" s="39"/>
    </row>
    <row r="417" spans="1:15" s="75" customFormat="1" ht="15.75" customHeight="1" x14ac:dyDescent="0.25">
      <c r="A417" s="99">
        <v>11</v>
      </c>
      <c r="B417" s="100"/>
      <c r="C417" s="113"/>
      <c r="D417" s="114"/>
      <c r="E417" s="114"/>
      <c r="F417" s="115"/>
      <c r="G417" s="103"/>
      <c r="H417" s="104"/>
      <c r="I417" s="39"/>
    </row>
    <row r="418" spans="1:15" s="75" customFormat="1" ht="15.75" customHeight="1" x14ac:dyDescent="0.25">
      <c r="A418" s="99">
        <v>12</v>
      </c>
      <c r="B418" s="100"/>
      <c r="C418" s="116"/>
      <c r="D418" s="117"/>
      <c r="E418" s="117"/>
      <c r="F418" s="118"/>
      <c r="G418" s="105"/>
      <c r="H418" s="106"/>
      <c r="I418" s="39"/>
    </row>
    <row r="419" spans="1:15" s="49" customFormat="1" x14ac:dyDescent="0.25">
      <c r="A419" s="204" t="s">
        <v>69</v>
      </c>
      <c r="B419" s="204"/>
      <c r="C419" s="204"/>
      <c r="D419" s="204"/>
      <c r="E419" s="204"/>
      <c r="F419" s="204"/>
      <c r="G419" s="204"/>
      <c r="H419" s="204"/>
      <c r="I419" s="39"/>
    </row>
    <row r="420" spans="1:15" s="49" customFormat="1" x14ac:dyDescent="0.25">
      <c r="A420" s="82">
        <v>1</v>
      </c>
      <c r="B420" s="107" t="s">
        <v>214</v>
      </c>
      <c r="C420" s="108"/>
      <c r="D420" s="108"/>
      <c r="E420" s="108"/>
      <c r="F420" s="108"/>
      <c r="G420" s="108"/>
      <c r="H420" s="109"/>
      <c r="I420" s="39"/>
    </row>
    <row r="421" spans="1:15" s="38" customFormat="1" x14ac:dyDescent="0.25">
      <c r="A421" s="82">
        <f>A420+1</f>
        <v>2</v>
      </c>
      <c r="B421" s="107" t="str">
        <f>(IF(F267="Saleable area Loading :","We have considered Saleable area of Flats as per our Calculation.","We considered Saleable area of Flat as per Builder area Sheet."))</f>
        <v>We have considered Saleable area of Flats as per our Calculation.</v>
      </c>
      <c r="C421" s="108"/>
      <c r="D421" s="108"/>
      <c r="E421" s="108"/>
      <c r="F421" s="108"/>
      <c r="G421" s="108"/>
      <c r="H421" s="109"/>
    </row>
    <row r="422" spans="1:15" s="38" customFormat="1" ht="15.75" customHeight="1" x14ac:dyDescent="0.25">
      <c r="A422" s="82">
        <f>A421+1</f>
        <v>3</v>
      </c>
      <c r="B422" s="107" t="str">
        <f>(IF(F122="Saleable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22" s="108"/>
      <c r="D422" s="108"/>
      <c r="E422" s="108"/>
      <c r="F422" s="108"/>
      <c r="G422" s="108"/>
      <c r="H422" s="109"/>
    </row>
    <row r="423" spans="1:15" s="38" customFormat="1" x14ac:dyDescent="0.25">
      <c r="A423" s="82">
        <f t="shared" ref="A423:A433" si="49">A422+1</f>
        <v>4</v>
      </c>
      <c r="B423" s="93" t="s">
        <v>126</v>
      </c>
      <c r="C423" s="94"/>
      <c r="D423" s="94"/>
      <c r="E423" s="94"/>
      <c r="F423" s="94"/>
      <c r="G423" s="94"/>
      <c r="H423" s="95"/>
    </row>
    <row r="424" spans="1:15" s="38" customFormat="1" x14ac:dyDescent="0.25">
      <c r="A424" s="82">
        <f t="shared" si="49"/>
        <v>5</v>
      </c>
      <c r="B424" s="107" t="s">
        <v>197</v>
      </c>
      <c r="C424" s="108"/>
      <c r="D424" s="108"/>
      <c r="E424" s="108"/>
      <c r="F424" s="108"/>
      <c r="G424" s="108"/>
      <c r="H424" s="109"/>
    </row>
    <row r="425" spans="1:15" s="38" customFormat="1" x14ac:dyDescent="0.25">
      <c r="A425" s="82">
        <f t="shared" si="49"/>
        <v>6</v>
      </c>
      <c r="B425" s="93" t="s">
        <v>159</v>
      </c>
      <c r="C425" s="94"/>
      <c r="D425" s="94"/>
      <c r="E425" s="94"/>
      <c r="F425" s="94"/>
      <c r="G425" s="94"/>
      <c r="H425" s="95"/>
    </row>
    <row r="426" spans="1:15" s="38" customFormat="1" x14ac:dyDescent="0.25">
      <c r="A426" s="82">
        <f t="shared" si="49"/>
        <v>7</v>
      </c>
      <c r="B426" s="93" t="s">
        <v>127</v>
      </c>
      <c r="C426" s="94"/>
      <c r="D426" s="94"/>
      <c r="E426" s="94"/>
      <c r="F426" s="94"/>
      <c r="G426" s="94"/>
      <c r="H426" s="95"/>
    </row>
    <row r="427" spans="1:15" s="38" customFormat="1" ht="31.5" customHeight="1" x14ac:dyDescent="0.25">
      <c r="A427" s="82">
        <f t="shared" si="49"/>
        <v>8</v>
      </c>
      <c r="B427" s="93" t="s">
        <v>160</v>
      </c>
      <c r="C427" s="94"/>
      <c r="D427" s="94"/>
      <c r="E427" s="94"/>
      <c r="F427" s="94"/>
      <c r="G427" s="94"/>
      <c r="H427" s="95"/>
    </row>
    <row r="428" spans="1:15" s="38" customFormat="1" x14ac:dyDescent="0.25">
      <c r="A428" s="82">
        <f t="shared" si="49"/>
        <v>9</v>
      </c>
      <c r="B428" s="93" t="s">
        <v>128</v>
      </c>
      <c r="C428" s="94"/>
      <c r="D428" s="94"/>
      <c r="E428" s="94"/>
      <c r="F428" s="94"/>
      <c r="G428" s="94"/>
      <c r="H428" s="95"/>
    </row>
    <row r="429" spans="1:15" s="38" customFormat="1" ht="33.75" customHeight="1" x14ac:dyDescent="0.25">
      <c r="A429" s="82">
        <f t="shared" si="49"/>
        <v>10</v>
      </c>
      <c r="B429" s="107" t="s">
        <v>258</v>
      </c>
      <c r="C429" s="108"/>
      <c r="D429" s="108"/>
      <c r="E429" s="108"/>
      <c r="F429" s="108"/>
      <c r="G429" s="108"/>
      <c r="H429" s="109"/>
    </row>
    <row r="430" spans="1:15" s="38" customFormat="1" x14ac:dyDescent="0.25">
      <c r="A430" s="82">
        <f t="shared" si="49"/>
        <v>11</v>
      </c>
      <c r="B430" s="93" t="s">
        <v>256</v>
      </c>
      <c r="C430" s="94"/>
      <c r="D430" s="94"/>
      <c r="E430" s="94"/>
      <c r="F430" s="94"/>
      <c r="G430" s="94"/>
      <c r="H430" s="95"/>
    </row>
    <row r="431" spans="1:15" s="38" customFormat="1" ht="31.5" customHeight="1" x14ac:dyDescent="0.25">
      <c r="A431" s="82">
        <f t="shared" si="49"/>
        <v>12</v>
      </c>
      <c r="B431" s="93" t="s">
        <v>244</v>
      </c>
      <c r="C431" s="94"/>
      <c r="D431" s="94"/>
      <c r="E431" s="94"/>
      <c r="F431" s="94"/>
      <c r="G431" s="94"/>
      <c r="H431" s="95"/>
    </row>
    <row r="432" spans="1:15" s="38" customFormat="1" x14ac:dyDescent="0.25">
      <c r="A432" s="82">
        <v>13</v>
      </c>
      <c r="B432" s="93" t="s">
        <v>259</v>
      </c>
      <c r="C432" s="94"/>
      <c r="D432" s="94"/>
      <c r="E432" s="94"/>
      <c r="F432" s="94"/>
      <c r="G432" s="94"/>
      <c r="H432" s="95"/>
      <c r="I432" s="261" t="s">
        <v>257</v>
      </c>
      <c r="J432" s="262"/>
      <c r="K432" s="262"/>
      <c r="L432" s="262"/>
      <c r="M432" s="262"/>
      <c r="N432" s="262"/>
      <c r="O432" s="263"/>
    </row>
    <row r="433" spans="1:8" s="38" customFormat="1" ht="34.5" customHeight="1" x14ac:dyDescent="0.25">
      <c r="A433" s="82">
        <f t="shared" si="49"/>
        <v>14</v>
      </c>
      <c r="B433" s="93" t="s">
        <v>273</v>
      </c>
      <c r="C433" s="94"/>
      <c r="D433" s="94"/>
      <c r="E433" s="94"/>
      <c r="F433" s="94"/>
      <c r="G433" s="94"/>
      <c r="H433" s="95"/>
    </row>
    <row r="434" spans="1:8" s="38" customFormat="1" x14ac:dyDescent="0.25">
      <c r="A434" s="243" t="s">
        <v>62</v>
      </c>
      <c r="B434" s="243"/>
      <c r="C434" s="243"/>
      <c r="D434" s="243"/>
      <c r="E434" s="243"/>
      <c r="F434" s="243"/>
      <c r="G434" s="243"/>
      <c r="H434" s="243"/>
    </row>
    <row r="435" spans="1:8" s="38" customFormat="1" x14ac:dyDescent="0.25">
      <c r="A435" s="156" t="s">
        <v>63</v>
      </c>
      <c r="B435" s="156"/>
      <c r="C435" s="156"/>
      <c r="D435" s="156"/>
      <c r="E435" s="156"/>
      <c r="F435" s="156"/>
      <c r="G435" s="156"/>
      <c r="H435" s="156"/>
    </row>
    <row r="436" spans="1:8" x14ac:dyDescent="0.25">
      <c r="A436" s="257" t="s">
        <v>64</v>
      </c>
      <c r="B436" s="257"/>
      <c r="C436" s="257"/>
      <c r="D436" s="257"/>
      <c r="E436" s="257"/>
      <c r="F436" s="257"/>
      <c r="G436" s="257"/>
      <c r="H436" s="257"/>
    </row>
    <row r="437" spans="1:8" x14ac:dyDescent="0.25">
      <c r="A437" s="156" t="s">
        <v>65</v>
      </c>
      <c r="B437" s="156"/>
      <c r="C437" s="156"/>
      <c r="D437" s="156"/>
      <c r="E437" s="156"/>
      <c r="F437" s="156"/>
      <c r="G437" s="156"/>
      <c r="H437" s="156"/>
    </row>
    <row r="438" spans="1:8" ht="15.75" customHeight="1" x14ac:dyDescent="0.25">
      <c r="A438" s="156" t="s">
        <v>66</v>
      </c>
      <c r="B438" s="156"/>
      <c r="C438" s="156"/>
      <c r="D438" s="156"/>
      <c r="E438" s="156"/>
      <c r="F438" s="156"/>
      <c r="G438" s="156"/>
      <c r="H438" s="156"/>
    </row>
    <row r="439" spans="1:8" x14ac:dyDescent="0.25">
      <c r="A439" s="156" t="s">
        <v>129</v>
      </c>
      <c r="B439" s="156"/>
      <c r="C439" s="156"/>
      <c r="D439" s="156"/>
      <c r="E439" s="156"/>
      <c r="F439" s="156"/>
      <c r="G439" s="156"/>
      <c r="H439" s="156"/>
    </row>
    <row r="440" spans="1:8" x14ac:dyDescent="0.25">
      <c r="A440" s="174" t="s">
        <v>130</v>
      </c>
      <c r="B440" s="174"/>
      <c r="C440" s="174"/>
      <c r="D440" s="174"/>
      <c r="E440" s="174"/>
      <c r="F440" s="174"/>
      <c r="G440" s="174"/>
      <c r="H440" s="174"/>
    </row>
    <row r="441" spans="1:8" x14ac:dyDescent="0.25">
      <c r="A441" s="250" t="s">
        <v>78</v>
      </c>
      <c r="B441" s="250"/>
      <c r="C441" s="250" t="s">
        <v>241</v>
      </c>
      <c r="D441" s="250"/>
      <c r="E441" s="250" t="s">
        <v>106</v>
      </c>
      <c r="F441" s="250"/>
      <c r="G441" s="250" t="s">
        <v>270</v>
      </c>
      <c r="H441" s="250"/>
    </row>
    <row r="442" spans="1:8" ht="17.25" customHeight="1" x14ac:dyDescent="0.25">
      <c r="A442" s="249" t="s">
        <v>80</v>
      </c>
      <c r="B442" s="249"/>
      <c r="C442" s="249"/>
      <c r="D442" s="249"/>
      <c r="E442" s="249"/>
      <c r="F442" s="249"/>
      <c r="G442" s="249"/>
      <c r="H442" s="249"/>
    </row>
    <row r="443" spans="1:8" ht="17.25" customHeight="1" x14ac:dyDescent="0.25">
      <c r="A443" s="249"/>
      <c r="B443" s="249"/>
      <c r="C443" s="249"/>
      <c r="D443" s="249"/>
      <c r="E443" s="249"/>
      <c r="F443" s="249"/>
      <c r="G443" s="249"/>
      <c r="H443" s="249"/>
    </row>
    <row r="444" spans="1:8" ht="30.75" customHeight="1" x14ac:dyDescent="0.25">
      <c r="A444" s="249"/>
      <c r="B444" s="249"/>
      <c r="C444" s="249"/>
      <c r="D444" s="249"/>
      <c r="E444" s="249"/>
      <c r="F444" s="249"/>
      <c r="G444" s="249"/>
      <c r="H444" s="249"/>
    </row>
    <row r="445" spans="1:8" x14ac:dyDescent="0.25">
      <c r="A445" s="41" t="s">
        <v>67</v>
      </c>
      <c r="B445" s="42"/>
      <c r="C445" s="42"/>
      <c r="D445" s="41" t="str">
        <f>E8</f>
        <v>Greenairy</v>
      </c>
      <c r="F445" s="42"/>
      <c r="G445" s="42"/>
      <c r="H445" s="42"/>
    </row>
    <row r="446" spans="1:8" x14ac:dyDescent="0.25">
      <c r="A446" s="42"/>
      <c r="B446" s="42"/>
      <c r="C446" s="42"/>
      <c r="D446" s="42"/>
      <c r="E446" s="42"/>
      <c r="F446" s="42"/>
      <c r="G446" s="42"/>
      <c r="H446" s="42"/>
    </row>
    <row r="447" spans="1:8" x14ac:dyDescent="0.25">
      <c r="A447" s="42"/>
      <c r="B447" s="42"/>
      <c r="C447" s="42"/>
      <c r="D447" s="42"/>
      <c r="E447" s="42"/>
      <c r="F447" s="42"/>
      <c r="G447" s="42"/>
      <c r="H447" s="42"/>
    </row>
    <row r="450" ht="15" customHeight="1" x14ac:dyDescent="0.25"/>
    <row r="483" spans="1:11" x14ac:dyDescent="0.25">
      <c r="A483" s="72" t="s">
        <v>271</v>
      </c>
      <c r="B483" s="73"/>
    </row>
    <row r="493" spans="1:11" x14ac:dyDescent="0.25">
      <c r="K493" s="43"/>
    </row>
    <row r="524" spans="1:2" x14ac:dyDescent="0.25">
      <c r="A524" s="72" t="s">
        <v>233</v>
      </c>
      <c r="B524" s="73"/>
    </row>
    <row r="565" spans="1:1" x14ac:dyDescent="0.25">
      <c r="A565" s="44" t="s">
        <v>68</v>
      </c>
    </row>
  </sheetData>
  <mergeCells count="745">
    <mergeCell ref="I432:O432"/>
    <mergeCell ref="I6:L6"/>
    <mergeCell ref="I10:L10"/>
    <mergeCell ref="G370:H370"/>
    <mergeCell ref="A364:B364"/>
    <mergeCell ref="A370:B370"/>
    <mergeCell ref="A371:B371"/>
    <mergeCell ref="A360:B360"/>
    <mergeCell ref="A368:H368"/>
    <mergeCell ref="A294:B294"/>
    <mergeCell ref="A295:B295"/>
    <mergeCell ref="A296:B296"/>
    <mergeCell ref="G285:H296"/>
    <mergeCell ref="C294:F296"/>
    <mergeCell ref="A325:H325"/>
    <mergeCell ref="G326:H337"/>
    <mergeCell ref="A333:B333"/>
    <mergeCell ref="A334:B334"/>
    <mergeCell ref="A335:B335"/>
    <mergeCell ref="A336:B336"/>
    <mergeCell ref="A337:B337"/>
    <mergeCell ref="A369:B369"/>
    <mergeCell ref="A356:H356"/>
    <mergeCell ref="A365:B365"/>
    <mergeCell ref="A363:B363"/>
    <mergeCell ref="G355:H355"/>
    <mergeCell ref="A201:H201"/>
    <mergeCell ref="L201:M201"/>
    <mergeCell ref="A202:B202"/>
    <mergeCell ref="G202:H209"/>
    <mergeCell ref="L202:M202"/>
    <mergeCell ref="A203:B203"/>
    <mergeCell ref="A204:B204"/>
    <mergeCell ref="L204:M204"/>
    <mergeCell ref="A206:B206"/>
    <mergeCell ref="L206:M206"/>
    <mergeCell ref="A207:B207"/>
    <mergeCell ref="A209:B209"/>
    <mergeCell ref="L209:M209"/>
    <mergeCell ref="L210:M210"/>
    <mergeCell ref="A211:B211"/>
    <mergeCell ref="C211:F212"/>
    <mergeCell ref="G211:H221"/>
    <mergeCell ref="L211:M211"/>
    <mergeCell ref="A212:B212"/>
    <mergeCell ref="A213:B213"/>
    <mergeCell ref="L213:M213"/>
    <mergeCell ref="A214:B214"/>
    <mergeCell ref="L214:M214"/>
    <mergeCell ref="A218:B218"/>
    <mergeCell ref="L218:M218"/>
    <mergeCell ref="A219:B219"/>
    <mergeCell ref="L219:M219"/>
    <mergeCell ref="A220:B220"/>
    <mergeCell ref="A221:B221"/>
    <mergeCell ref="L221:M221"/>
    <mergeCell ref="L253:M253"/>
    <mergeCell ref="L228:M228"/>
    <mergeCell ref="A229:B229"/>
    <mergeCell ref="L229:M229"/>
    <mergeCell ref="A230:B230"/>
    <mergeCell ref="L231:M231"/>
    <mergeCell ref="A232:B232"/>
    <mergeCell ref="L232:M232"/>
    <mergeCell ref="L239:M239"/>
    <mergeCell ref="L240:M240"/>
    <mergeCell ref="L242:M242"/>
    <mergeCell ref="L236:M236"/>
    <mergeCell ref="L237:M237"/>
    <mergeCell ref="L243:M243"/>
    <mergeCell ref="L251:M251"/>
    <mergeCell ref="L184:M184"/>
    <mergeCell ref="C182:F184"/>
    <mergeCell ref="A174:H174"/>
    <mergeCell ref="L185:M185"/>
    <mergeCell ref="A186:B186"/>
    <mergeCell ref="G186:H195"/>
    <mergeCell ref="L186:M186"/>
    <mergeCell ref="A187:B187"/>
    <mergeCell ref="A188:B188"/>
    <mergeCell ref="L188:M188"/>
    <mergeCell ref="A189:B189"/>
    <mergeCell ref="L189:M189"/>
    <mergeCell ref="A190:B190"/>
    <mergeCell ref="A191:B191"/>
    <mergeCell ref="L191:M191"/>
    <mergeCell ref="A192:B192"/>
    <mergeCell ref="L192:M192"/>
    <mergeCell ref="A193:B193"/>
    <mergeCell ref="A194:B194"/>
    <mergeCell ref="L194:M194"/>
    <mergeCell ref="A195:B195"/>
    <mergeCell ref="L195:M195"/>
    <mergeCell ref="A185:H185"/>
    <mergeCell ref="A171:B171"/>
    <mergeCell ref="A172:B172"/>
    <mergeCell ref="L172:M172"/>
    <mergeCell ref="A173:B173"/>
    <mergeCell ref="L173:M173"/>
    <mergeCell ref="A163:H163"/>
    <mergeCell ref="L174:M174"/>
    <mergeCell ref="A175:B175"/>
    <mergeCell ref="G175:H184"/>
    <mergeCell ref="L175:M175"/>
    <mergeCell ref="A176:B176"/>
    <mergeCell ref="A177:B177"/>
    <mergeCell ref="L177:M177"/>
    <mergeCell ref="A178:B178"/>
    <mergeCell ref="L178:M178"/>
    <mergeCell ref="A179:B179"/>
    <mergeCell ref="A180:B180"/>
    <mergeCell ref="L180:M180"/>
    <mergeCell ref="A181:B181"/>
    <mergeCell ref="L181:M181"/>
    <mergeCell ref="A182:B182"/>
    <mergeCell ref="A183:B183"/>
    <mergeCell ref="L183:M183"/>
    <mergeCell ref="A184:B184"/>
    <mergeCell ref="A289:B289"/>
    <mergeCell ref="A323:H323"/>
    <mergeCell ref="A324:H324"/>
    <mergeCell ref="L153:M153"/>
    <mergeCell ref="A154:B154"/>
    <mergeCell ref="A155:B155"/>
    <mergeCell ref="L155:M155"/>
    <mergeCell ref="A150:B150"/>
    <mergeCell ref="A151:B151"/>
    <mergeCell ref="L151:M151"/>
    <mergeCell ref="L163:M163"/>
    <mergeCell ref="A164:B164"/>
    <mergeCell ref="G164:H173"/>
    <mergeCell ref="L164:M164"/>
    <mergeCell ref="A165:B165"/>
    <mergeCell ref="A166:B166"/>
    <mergeCell ref="L166:M166"/>
    <mergeCell ref="A167:B167"/>
    <mergeCell ref="L167:M167"/>
    <mergeCell ref="A168:B168"/>
    <mergeCell ref="A169:B169"/>
    <mergeCell ref="L169:M169"/>
    <mergeCell ref="A170:B170"/>
    <mergeCell ref="L170:M170"/>
    <mergeCell ref="A326:B326"/>
    <mergeCell ref="A327:B327"/>
    <mergeCell ref="C113:D113"/>
    <mergeCell ref="A348:B348"/>
    <mergeCell ref="A349:B349"/>
    <mergeCell ref="A350:B350"/>
    <mergeCell ref="C348:F350"/>
    <mergeCell ref="L266:M266"/>
    <mergeCell ref="A272:B272"/>
    <mergeCell ref="A276:B276"/>
    <mergeCell ref="A293:B293"/>
    <mergeCell ref="L258:M258"/>
    <mergeCell ref="A259:B259"/>
    <mergeCell ref="L259:M259"/>
    <mergeCell ref="G256:H265"/>
    <mergeCell ref="A265:B265"/>
    <mergeCell ref="A260:B260"/>
    <mergeCell ref="L261:M261"/>
    <mergeCell ref="A262:B262"/>
    <mergeCell ref="L262:M262"/>
    <mergeCell ref="A291:B291"/>
    <mergeCell ref="A292:B292"/>
    <mergeCell ref="L264:M264"/>
    <mergeCell ref="L265:M265"/>
    <mergeCell ref="L152:M152"/>
    <mergeCell ref="C112:D112"/>
    <mergeCell ref="E112:F112"/>
    <mergeCell ref="G112:H112"/>
    <mergeCell ref="G113:H113"/>
    <mergeCell ref="A108:E108"/>
    <mergeCell ref="F108:H108"/>
    <mergeCell ref="A109:E109"/>
    <mergeCell ref="A107:E107"/>
    <mergeCell ref="A143:B143"/>
    <mergeCell ref="L143:M143"/>
    <mergeCell ref="A146:B146"/>
    <mergeCell ref="L146:M146"/>
    <mergeCell ref="A147:B147"/>
    <mergeCell ref="A148:B148"/>
    <mergeCell ref="L148:M148"/>
    <mergeCell ref="A149:B149"/>
    <mergeCell ref="L149:M149"/>
    <mergeCell ref="C116:D116"/>
    <mergeCell ref="G116:H116"/>
    <mergeCell ref="A110:H110"/>
    <mergeCell ref="L126:M126"/>
    <mergeCell ref="A122:A123"/>
    <mergeCell ref="A121:H121"/>
    <mergeCell ref="L162:M162"/>
    <mergeCell ref="A156:B156"/>
    <mergeCell ref="L156:M156"/>
    <mergeCell ref="A157:B157"/>
    <mergeCell ref="A158:B158"/>
    <mergeCell ref="L158:M158"/>
    <mergeCell ref="A159:B159"/>
    <mergeCell ref="L159:M159"/>
    <mergeCell ref="A160:B160"/>
    <mergeCell ref="A161:B161"/>
    <mergeCell ref="L161:M161"/>
    <mergeCell ref="G153:H162"/>
    <mergeCell ref="A153:B153"/>
    <mergeCell ref="L196:M196"/>
    <mergeCell ref="A233:H233"/>
    <mergeCell ref="L233:M233"/>
    <mergeCell ref="A234:B234"/>
    <mergeCell ref="L234:M234"/>
    <mergeCell ref="A235:B235"/>
    <mergeCell ref="A222:H222"/>
    <mergeCell ref="L222:M222"/>
    <mergeCell ref="A223:B223"/>
    <mergeCell ref="G223:H232"/>
    <mergeCell ref="L223:M223"/>
    <mergeCell ref="A224:B224"/>
    <mergeCell ref="A225:B225"/>
    <mergeCell ref="L225:M225"/>
    <mergeCell ref="A226:B226"/>
    <mergeCell ref="L226:M226"/>
    <mergeCell ref="A197:H197"/>
    <mergeCell ref="L197:M197"/>
    <mergeCell ref="L198:M198"/>
    <mergeCell ref="A199:B199"/>
    <mergeCell ref="A200:B200"/>
    <mergeCell ref="A210:H210"/>
    <mergeCell ref="A231:B231"/>
    <mergeCell ref="A217:B217"/>
    <mergeCell ref="A56:C56"/>
    <mergeCell ref="D56:H56"/>
    <mergeCell ref="G52:H52"/>
    <mergeCell ref="A52:B53"/>
    <mergeCell ref="C53:H53"/>
    <mergeCell ref="C51:H51"/>
    <mergeCell ref="L200:M200"/>
    <mergeCell ref="A81:B81"/>
    <mergeCell ref="A439:H439"/>
    <mergeCell ref="A436:H436"/>
    <mergeCell ref="G372:H372"/>
    <mergeCell ref="A357:B357"/>
    <mergeCell ref="A116:B116"/>
    <mergeCell ref="D267:D268"/>
    <mergeCell ref="E267:E268"/>
    <mergeCell ref="G267:H268"/>
    <mergeCell ref="A89:B89"/>
    <mergeCell ref="A90:B90"/>
    <mergeCell ref="A91:B91"/>
    <mergeCell ref="F98:H98"/>
    <mergeCell ref="B422:H422"/>
    <mergeCell ref="A377:B377"/>
    <mergeCell ref="G377:H377"/>
    <mergeCell ref="G376:H376"/>
    <mergeCell ref="A442:H444"/>
    <mergeCell ref="A441:B441"/>
    <mergeCell ref="E441:F441"/>
    <mergeCell ref="C441:D441"/>
    <mergeCell ref="G441:H441"/>
    <mergeCell ref="B423:H423"/>
    <mergeCell ref="B424:H424"/>
    <mergeCell ref="G379:H379"/>
    <mergeCell ref="A378:B378"/>
    <mergeCell ref="G378:H378"/>
    <mergeCell ref="A437:H437"/>
    <mergeCell ref="A440:H440"/>
    <mergeCell ref="A438:H438"/>
    <mergeCell ref="A434:H434"/>
    <mergeCell ref="A435:H435"/>
    <mergeCell ref="B428:H428"/>
    <mergeCell ref="B429:H429"/>
    <mergeCell ref="B426:H426"/>
    <mergeCell ref="B427:H427"/>
    <mergeCell ref="B425:H425"/>
    <mergeCell ref="B431:H431"/>
    <mergeCell ref="B430:H430"/>
    <mergeCell ref="A380:H380"/>
    <mergeCell ref="A381:B381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6:D26"/>
    <mergeCell ref="E26:H26"/>
    <mergeCell ref="D55:H55"/>
    <mergeCell ref="E45:H45"/>
    <mergeCell ref="A43:D43"/>
    <mergeCell ref="A34:B34"/>
    <mergeCell ref="C34:E34"/>
    <mergeCell ref="A29:D29"/>
    <mergeCell ref="E29:H29"/>
    <mergeCell ref="A30:D30"/>
    <mergeCell ref="E30:H30"/>
    <mergeCell ref="C49:E49"/>
    <mergeCell ref="C52:E52"/>
    <mergeCell ref="A49:B49"/>
    <mergeCell ref="A54:H54"/>
    <mergeCell ref="A55:C55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D59:H59"/>
    <mergeCell ref="C37:H37"/>
    <mergeCell ref="A61:C61"/>
    <mergeCell ref="A39:H39"/>
    <mergeCell ref="A60:C60"/>
    <mergeCell ref="F35:H35"/>
    <mergeCell ref="A37:B37"/>
    <mergeCell ref="A44:D44"/>
    <mergeCell ref="A45:D45"/>
    <mergeCell ref="A46:H46"/>
    <mergeCell ref="D57:H57"/>
    <mergeCell ref="A57:C57"/>
    <mergeCell ref="G49:H49"/>
    <mergeCell ref="A50:B51"/>
    <mergeCell ref="E41:H41"/>
    <mergeCell ref="A41:D41"/>
    <mergeCell ref="A48:B48"/>
    <mergeCell ref="C48:E48"/>
    <mergeCell ref="A42:D42"/>
    <mergeCell ref="E42:H42"/>
    <mergeCell ref="E43:H43"/>
    <mergeCell ref="E44:H44"/>
    <mergeCell ref="G48:H48"/>
    <mergeCell ref="G50:H50"/>
    <mergeCell ref="A36:H36"/>
    <mergeCell ref="A35:B35"/>
    <mergeCell ref="C35:E35"/>
    <mergeCell ref="A40:D40"/>
    <mergeCell ref="E40:H4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C50:E50"/>
    <mergeCell ref="A58:C59"/>
    <mergeCell ref="D60:H60"/>
    <mergeCell ref="E71:F80"/>
    <mergeCell ref="G71:H80"/>
    <mergeCell ref="A79:B79"/>
    <mergeCell ref="D58:H58"/>
    <mergeCell ref="L358:M358"/>
    <mergeCell ref="A266:H266"/>
    <mergeCell ref="A267:A268"/>
    <mergeCell ref="L357:M357"/>
    <mergeCell ref="G352:H352"/>
    <mergeCell ref="L354:M354"/>
    <mergeCell ref="A353:B353"/>
    <mergeCell ref="G353:H353"/>
    <mergeCell ref="L355:M355"/>
    <mergeCell ref="A354:B354"/>
    <mergeCell ref="G354:H354"/>
    <mergeCell ref="L356:M356"/>
    <mergeCell ref="B267:B268"/>
    <mergeCell ref="A355:B355"/>
    <mergeCell ref="A270:H270"/>
    <mergeCell ref="A269:H269"/>
    <mergeCell ref="A271:H271"/>
    <mergeCell ref="A277:B277"/>
    <mergeCell ref="A278:B278"/>
    <mergeCell ref="L267:M267"/>
    <mergeCell ref="A343:B343"/>
    <mergeCell ref="A330:B330"/>
    <mergeCell ref="A331:B331"/>
    <mergeCell ref="A338:H338"/>
    <mergeCell ref="G375:H375"/>
    <mergeCell ref="G373:H373"/>
    <mergeCell ref="A419:H419"/>
    <mergeCell ref="G358:H358"/>
    <mergeCell ref="C267:C268"/>
    <mergeCell ref="A351:H351"/>
    <mergeCell ref="A250:B250"/>
    <mergeCell ref="A258:B258"/>
    <mergeCell ref="G367:H367"/>
    <mergeCell ref="G366:H366"/>
    <mergeCell ref="G369:H369"/>
    <mergeCell ref="A367:B367"/>
    <mergeCell ref="G371:H371"/>
    <mergeCell ref="A261:B261"/>
    <mergeCell ref="A273:B273"/>
    <mergeCell ref="G365:H365"/>
    <mergeCell ref="A366:B366"/>
    <mergeCell ref="A374:H374"/>
    <mergeCell ref="A375:B375"/>
    <mergeCell ref="A376:B376"/>
    <mergeCell ref="A379:B379"/>
    <mergeCell ref="G359:H359"/>
    <mergeCell ref="A339:B339"/>
    <mergeCell ref="A340:B340"/>
    <mergeCell ref="A96:E96"/>
    <mergeCell ref="F97:H97"/>
    <mergeCell ref="A99:E99"/>
    <mergeCell ref="A358:B358"/>
    <mergeCell ref="A359:B359"/>
    <mergeCell ref="A124:H124"/>
    <mergeCell ref="A120:H120"/>
    <mergeCell ref="F103:H103"/>
    <mergeCell ref="A162:B162"/>
    <mergeCell ref="A152:H152"/>
    <mergeCell ref="A341:B341"/>
    <mergeCell ref="A342:B342"/>
    <mergeCell ref="A256:B256"/>
    <mergeCell ref="A257:B257"/>
    <mergeCell ref="A254:B254"/>
    <mergeCell ref="G245:H254"/>
    <mergeCell ref="A246:B246"/>
    <mergeCell ref="A247:B247"/>
    <mergeCell ref="A248:B248"/>
    <mergeCell ref="A198:B198"/>
    <mergeCell ref="G198:H200"/>
    <mergeCell ref="A274:B274"/>
    <mergeCell ref="A275:B275"/>
    <mergeCell ref="A284:H284"/>
    <mergeCell ref="A80:B80"/>
    <mergeCell ref="A251:B251"/>
    <mergeCell ref="A252:B252"/>
    <mergeCell ref="C252:F254"/>
    <mergeCell ref="G234:H243"/>
    <mergeCell ref="A238:B238"/>
    <mergeCell ref="A239:B239"/>
    <mergeCell ref="A243:B243"/>
    <mergeCell ref="A253:B253"/>
    <mergeCell ref="A244:H244"/>
    <mergeCell ref="A105:E105"/>
    <mergeCell ref="F99:H99"/>
    <mergeCell ref="A104:E104"/>
    <mergeCell ref="A95:E95"/>
    <mergeCell ref="A97:E97"/>
    <mergeCell ref="F104:H104"/>
    <mergeCell ref="E113:F113"/>
    <mergeCell ref="F109:H109"/>
    <mergeCell ref="A118:B118"/>
    <mergeCell ref="A115:H115"/>
    <mergeCell ref="C117:D117"/>
    <mergeCell ref="E116:F116"/>
    <mergeCell ref="F101:H101"/>
    <mergeCell ref="B122:B123"/>
    <mergeCell ref="A285:B285"/>
    <mergeCell ref="A290:B290"/>
    <mergeCell ref="A286:B286"/>
    <mergeCell ref="A287:B287"/>
    <mergeCell ref="A288:B288"/>
    <mergeCell ref="A196:H196"/>
    <mergeCell ref="F96:H96"/>
    <mergeCell ref="D61:H61"/>
    <mergeCell ref="E70:F70"/>
    <mergeCell ref="A63:C63"/>
    <mergeCell ref="A106:E106"/>
    <mergeCell ref="F95:H95"/>
    <mergeCell ref="G85:H94"/>
    <mergeCell ref="A86:B86"/>
    <mergeCell ref="A87:B87"/>
    <mergeCell ref="A88:B88"/>
    <mergeCell ref="A98:E98"/>
    <mergeCell ref="A84:B84"/>
    <mergeCell ref="E84:F84"/>
    <mergeCell ref="G84:H84"/>
    <mergeCell ref="A102:E102"/>
    <mergeCell ref="F102:H102"/>
    <mergeCell ref="A103:E103"/>
    <mergeCell ref="A78:B78"/>
    <mergeCell ref="A16:B16"/>
    <mergeCell ref="C16:H16"/>
    <mergeCell ref="A38:B38"/>
    <mergeCell ref="C38:H38"/>
    <mergeCell ref="A85:B85"/>
    <mergeCell ref="E85:F94"/>
    <mergeCell ref="A92:B92"/>
    <mergeCell ref="A93:B93"/>
    <mergeCell ref="A94:B94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C81:H81"/>
    <mergeCell ref="A76:B76"/>
    <mergeCell ref="A83:B83"/>
    <mergeCell ref="C83:H83"/>
    <mergeCell ref="A47:B47"/>
    <mergeCell ref="C47:H47"/>
    <mergeCell ref="G364:H364"/>
    <mergeCell ref="G360:H360"/>
    <mergeCell ref="G357:H357"/>
    <mergeCell ref="D122:D123"/>
    <mergeCell ref="A100:E100"/>
    <mergeCell ref="F100:H100"/>
    <mergeCell ref="F106:H106"/>
    <mergeCell ref="A249:B249"/>
    <mergeCell ref="A264:B264"/>
    <mergeCell ref="A126:H126"/>
    <mergeCell ref="A129:B129"/>
    <mergeCell ref="A130:B130"/>
    <mergeCell ref="A205:B205"/>
    <mergeCell ref="A297:H297"/>
    <mergeCell ref="A298:B298"/>
    <mergeCell ref="G298:H309"/>
    <mergeCell ref="A299:B299"/>
    <mergeCell ref="A300:B300"/>
    <mergeCell ref="A301:B301"/>
    <mergeCell ref="A302:B302"/>
    <mergeCell ref="A303:B303"/>
    <mergeCell ref="A304:B304"/>
    <mergeCell ref="E117:F117"/>
    <mergeCell ref="G117:H117"/>
    <mergeCell ref="A372:B372"/>
    <mergeCell ref="A139:B139"/>
    <mergeCell ref="A101:E101"/>
    <mergeCell ref="A332:B332"/>
    <mergeCell ref="A352:B352"/>
    <mergeCell ref="G363:H363"/>
    <mergeCell ref="A362:H362"/>
    <mergeCell ref="G361:H361"/>
    <mergeCell ref="G339:H350"/>
    <mergeCell ref="A344:B344"/>
    <mergeCell ref="A345:B345"/>
    <mergeCell ref="A346:B346"/>
    <mergeCell ref="A347:B347"/>
    <mergeCell ref="A361:B361"/>
    <mergeCell ref="A328:B328"/>
    <mergeCell ref="A329:B329"/>
    <mergeCell ref="A255:H255"/>
    <mergeCell ref="A280:B280"/>
    <mergeCell ref="A281:B281"/>
    <mergeCell ref="A279:B279"/>
    <mergeCell ref="A282:B282"/>
    <mergeCell ref="G272:H283"/>
    <mergeCell ref="A283:B283"/>
    <mergeCell ref="A263:B263"/>
    <mergeCell ref="A373:B373"/>
    <mergeCell ref="C111:D111"/>
    <mergeCell ref="F107:H107"/>
    <mergeCell ref="F105:H105"/>
    <mergeCell ref="G111:H111"/>
    <mergeCell ref="E111:F111"/>
    <mergeCell ref="A111:B111"/>
    <mergeCell ref="A114:B114"/>
    <mergeCell ref="C122:C123"/>
    <mergeCell ref="E122:E123"/>
    <mergeCell ref="A119:B119"/>
    <mergeCell ref="C118:D118"/>
    <mergeCell ref="A245:B245"/>
    <mergeCell ref="A240:B240"/>
    <mergeCell ref="A241:B241"/>
    <mergeCell ref="A242:B242"/>
    <mergeCell ref="A236:B236"/>
    <mergeCell ref="A237:B237"/>
    <mergeCell ref="A227:B227"/>
    <mergeCell ref="A228:B228"/>
    <mergeCell ref="C114:D114"/>
    <mergeCell ref="E114:F114"/>
    <mergeCell ref="G114:H114"/>
    <mergeCell ref="A127:H127"/>
    <mergeCell ref="L255:M255"/>
    <mergeCell ref="L256:M256"/>
    <mergeCell ref="L254:M254"/>
    <mergeCell ref="L249:M249"/>
    <mergeCell ref="L250:M250"/>
    <mergeCell ref="L247:M247"/>
    <mergeCell ref="L248:M248"/>
    <mergeCell ref="L244:M244"/>
    <mergeCell ref="L245:M245"/>
    <mergeCell ref="A125:H125"/>
    <mergeCell ref="G122:H123"/>
    <mergeCell ref="C119:D119"/>
    <mergeCell ref="E119:F119"/>
    <mergeCell ref="G119:H119"/>
    <mergeCell ref="A117:B117"/>
    <mergeCell ref="E118:F118"/>
    <mergeCell ref="G118:H118"/>
    <mergeCell ref="A131:H131"/>
    <mergeCell ref="G141:H151"/>
    <mergeCell ref="C141:F142"/>
    <mergeCell ref="A142:B142"/>
    <mergeCell ref="L127:M127"/>
    <mergeCell ref="A128:B128"/>
    <mergeCell ref="L128:M128"/>
    <mergeCell ref="L141:M141"/>
    <mergeCell ref="L131:M131"/>
    <mergeCell ref="A132:B132"/>
    <mergeCell ref="L132:M132"/>
    <mergeCell ref="A133:B133"/>
    <mergeCell ref="A134:B134"/>
    <mergeCell ref="L134:M134"/>
    <mergeCell ref="A135:B135"/>
    <mergeCell ref="L135:M135"/>
    <mergeCell ref="A137:B137"/>
    <mergeCell ref="L205:M205"/>
    <mergeCell ref="A208:B208"/>
    <mergeCell ref="C208:F208"/>
    <mergeCell ref="A215:B215"/>
    <mergeCell ref="L215:M215"/>
    <mergeCell ref="A216:B216"/>
    <mergeCell ref="L216:M216"/>
    <mergeCell ref="I48:K48"/>
    <mergeCell ref="L48:M48"/>
    <mergeCell ref="A136:B136"/>
    <mergeCell ref="L136:M136"/>
    <mergeCell ref="A138:B138"/>
    <mergeCell ref="C138:F138"/>
    <mergeCell ref="A144:B144"/>
    <mergeCell ref="L144:M144"/>
    <mergeCell ref="A145:B145"/>
    <mergeCell ref="L145:M145"/>
    <mergeCell ref="L139:M139"/>
    <mergeCell ref="L140:M140"/>
    <mergeCell ref="G128:H130"/>
    <mergeCell ref="G132:H139"/>
    <mergeCell ref="A140:H140"/>
    <mergeCell ref="A141:B141"/>
    <mergeCell ref="L130:M130"/>
    <mergeCell ref="A305:B305"/>
    <mergeCell ref="A306:B306"/>
    <mergeCell ref="A307:B307"/>
    <mergeCell ref="A308:B308"/>
    <mergeCell ref="A309:B309"/>
    <mergeCell ref="A310:H310"/>
    <mergeCell ref="A311:B311"/>
    <mergeCell ref="G311:H322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C320:F322"/>
    <mergeCell ref="A321:B321"/>
    <mergeCell ref="A322:B322"/>
    <mergeCell ref="B420:H420"/>
    <mergeCell ref="B421:H421"/>
    <mergeCell ref="G381:H392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411:B411"/>
    <mergeCell ref="A412:B412"/>
    <mergeCell ref="A413:B413"/>
    <mergeCell ref="A414:B414"/>
    <mergeCell ref="A415:B415"/>
    <mergeCell ref="A416:B416"/>
    <mergeCell ref="C416:F418"/>
    <mergeCell ref="A417:B417"/>
    <mergeCell ref="A418:B418"/>
    <mergeCell ref="I396:N396"/>
    <mergeCell ref="B433:H433"/>
    <mergeCell ref="A393:H393"/>
    <mergeCell ref="A394:B394"/>
    <mergeCell ref="G394:H405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B432:H432"/>
    <mergeCell ref="A406:H406"/>
    <mergeCell ref="A407:B407"/>
    <mergeCell ref="G407:H418"/>
    <mergeCell ref="A408:B408"/>
    <mergeCell ref="A409:B409"/>
    <mergeCell ref="A410:B41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9" manualBreakCount="9">
    <brk id="66" max="16383" man="1"/>
    <brk id="109" max="7" man="1"/>
    <brk id="322" max="7" man="1"/>
    <brk id="433" max="7" man="1"/>
    <brk id="444" max="16383" man="1"/>
    <brk id="482" max="7" man="1"/>
    <brk id="523" max="7" man="1"/>
    <brk id="523" max="16383" man="1"/>
    <brk id="564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6"/>
  <sheetViews>
    <sheetView zoomScale="85" zoomScaleNormal="85" workbookViewId="0">
      <selection activeCell="J9" sqref="J9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12" ht="15" customHeight="1" x14ac:dyDescent="0.25">
      <c r="A1" s="1"/>
      <c r="B1" s="1"/>
      <c r="C1" s="1"/>
      <c r="D1" s="1"/>
      <c r="E1" s="1"/>
      <c r="F1" s="1"/>
      <c r="G1" s="1"/>
      <c r="H1" s="1"/>
    </row>
    <row r="2" spans="1:12" ht="15" customHeight="1" x14ac:dyDescent="0.25">
      <c r="A2" s="3"/>
      <c r="B2" s="3"/>
      <c r="C2" s="3"/>
      <c r="D2" s="3"/>
      <c r="E2" s="3"/>
      <c r="F2" s="3"/>
      <c r="G2" s="3"/>
      <c r="H2" s="3"/>
    </row>
    <row r="3" spans="1:12" ht="15.75" customHeight="1" x14ac:dyDescent="0.25">
      <c r="A3" s="3"/>
      <c r="B3" s="259" t="s">
        <v>107</v>
      </c>
      <c r="C3" s="259"/>
      <c r="D3" s="259"/>
      <c r="E3" s="259"/>
      <c r="F3" s="259"/>
      <c r="G3" s="259"/>
      <c r="H3" s="259"/>
    </row>
    <row r="4" spans="1:12" x14ac:dyDescent="0.25">
      <c r="A4" s="3"/>
      <c r="B4" s="4" t="s">
        <v>108</v>
      </c>
      <c r="C4" s="4" t="s">
        <v>109</v>
      </c>
      <c r="D4" s="4" t="s">
        <v>70</v>
      </c>
      <c r="E4" s="4" t="s">
        <v>110</v>
      </c>
      <c r="F4" s="4" t="s">
        <v>116</v>
      </c>
      <c r="G4" s="4" t="s">
        <v>117</v>
      </c>
      <c r="H4" s="4" t="s">
        <v>111</v>
      </c>
      <c r="L4" s="2" t="s">
        <v>204</v>
      </c>
    </row>
    <row r="5" spans="1:12" ht="15" customHeight="1" x14ac:dyDescent="0.2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  <c r="L5" s="2">
        <f>12079000/617</f>
        <v>19576.985413290113</v>
      </c>
    </row>
    <row r="6" spans="1:12" x14ac:dyDescent="0.2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12" ht="15" customHeight="1" x14ac:dyDescent="0.2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12" x14ac:dyDescent="0.2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  <c r="I8" s="2">
        <v>2</v>
      </c>
      <c r="J8" s="2">
        <f>11000000/656</f>
        <v>16768.292682926829</v>
      </c>
    </row>
    <row r="9" spans="1:12" ht="15" customHeight="1" x14ac:dyDescent="0.2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12" ht="15" customHeight="1" x14ac:dyDescent="0.2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12" ht="15" customHeight="1" x14ac:dyDescent="0.2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12" ht="15" customHeight="1" x14ac:dyDescent="0.2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12" ht="15" customHeight="1" x14ac:dyDescent="0.2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12" ht="15" customHeight="1" x14ac:dyDescent="0.25">
      <c r="B14" s="1"/>
      <c r="C14" s="1"/>
      <c r="D14" s="1"/>
      <c r="E14" s="1"/>
    </row>
    <row r="15" spans="1:12" ht="15" customHeight="1" x14ac:dyDescent="0.25">
      <c r="B15" s="1"/>
      <c r="C15" s="1"/>
      <c r="D15" s="1"/>
      <c r="E15" s="1"/>
    </row>
    <row r="16" spans="1:12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2025-09-10T11:28:27Z</cp:lastPrinted>
  <dcterms:created xsi:type="dcterms:W3CDTF">2019-07-16T09:29:46Z</dcterms:created>
  <dcterms:modified xsi:type="dcterms:W3CDTF">2025-09-10T11:38:39Z</dcterms:modified>
</cp:coreProperties>
</file>