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note" sheetId="8" r:id="rId2"/>
    <sheet name="valuation" sheetId="5" r:id="rId3"/>
    <sheet name="Research" sheetId="4" r:id="rId4"/>
    <sheet name="Remarks" sheetId="6" r:id="rId5"/>
    <sheet name="Area Calculation" sheetId="7" r:id="rId6"/>
  </sheets>
  <definedNames>
    <definedName name="_xlnm.Print_Area" localSheetId="0">Report!$A$1:$H$460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8" i="1" l="1"/>
  <c r="D218" i="1"/>
  <c r="E217" i="1"/>
  <c r="D217" i="1"/>
  <c r="F217" i="1" s="1"/>
  <c r="H217" i="1" s="1"/>
  <c r="E216" i="1"/>
  <c r="D216" i="1"/>
  <c r="E215" i="1"/>
  <c r="D215" i="1"/>
  <c r="M214" i="1"/>
  <c r="L214" i="1"/>
  <c r="E214" i="1"/>
  <c r="D214" i="1"/>
  <c r="F214" i="1" s="1"/>
  <c r="J214" i="1" s="1"/>
  <c r="E213" i="1"/>
  <c r="D213" i="1"/>
  <c r="E212" i="1"/>
  <c r="D212" i="1"/>
  <c r="F213" i="1" l="1"/>
  <c r="H213" i="1" s="1"/>
  <c r="F216" i="1"/>
  <c r="H216" i="1" s="1"/>
  <c r="F218" i="1"/>
  <c r="H218" i="1" s="1"/>
  <c r="F212" i="1"/>
  <c r="H212" i="1" s="1"/>
  <c r="F215" i="1"/>
  <c r="H215" i="1" s="1"/>
  <c r="G234" i="1"/>
  <c r="G174" i="1"/>
  <c r="G173" i="1"/>
  <c r="G172" i="1"/>
  <c r="I176" i="1"/>
  <c r="E282" i="1" l="1"/>
  <c r="D282" i="1"/>
  <c r="E281" i="1"/>
  <c r="D281" i="1"/>
  <c r="E279" i="1"/>
  <c r="D279" i="1"/>
  <c r="E277" i="1"/>
  <c r="D277" i="1"/>
  <c r="E276" i="1"/>
  <c r="D276" i="1"/>
  <c r="E275" i="1"/>
  <c r="D275" i="1"/>
  <c r="E274" i="1"/>
  <c r="D274" i="1"/>
  <c r="E272" i="1"/>
  <c r="D272" i="1"/>
  <c r="E271" i="1"/>
  <c r="D271" i="1"/>
  <c r="F271" i="1" s="1"/>
  <c r="H271" i="1" s="1"/>
  <c r="E270" i="1"/>
  <c r="D270" i="1"/>
  <c r="E269" i="1"/>
  <c r="D269" i="1"/>
  <c r="G267" i="1"/>
  <c r="G266" i="1"/>
  <c r="E267" i="1"/>
  <c r="D267" i="1"/>
  <c r="E266" i="1"/>
  <c r="D266" i="1"/>
  <c r="E265" i="1"/>
  <c r="D265" i="1"/>
  <c r="E264" i="1"/>
  <c r="D264" i="1"/>
  <c r="G261" i="1"/>
  <c r="E262" i="1"/>
  <c r="D262" i="1"/>
  <c r="E261" i="1"/>
  <c r="D261" i="1"/>
  <c r="E260" i="1"/>
  <c r="D260" i="1"/>
  <c r="E259" i="1"/>
  <c r="D259" i="1"/>
  <c r="E254" i="1"/>
  <c r="D254" i="1"/>
  <c r="E253" i="1"/>
  <c r="D253" i="1"/>
  <c r="E252" i="1"/>
  <c r="D252" i="1"/>
  <c r="E251" i="1"/>
  <c r="D251" i="1"/>
  <c r="E249" i="1"/>
  <c r="D249" i="1"/>
  <c r="E248" i="1"/>
  <c r="D248" i="1"/>
  <c r="E247" i="1"/>
  <c r="D247" i="1"/>
  <c r="E246" i="1"/>
  <c r="D246" i="1"/>
  <c r="E244" i="1"/>
  <c r="D244" i="1"/>
  <c r="E243" i="1"/>
  <c r="D243" i="1"/>
  <c r="E242" i="1"/>
  <c r="D242" i="1"/>
  <c r="E241" i="1"/>
  <c r="D241" i="1"/>
  <c r="E239" i="1"/>
  <c r="D239" i="1"/>
  <c r="E238" i="1"/>
  <c r="D238" i="1"/>
  <c r="E237" i="1"/>
  <c r="D237" i="1"/>
  <c r="E236" i="1"/>
  <c r="D236" i="1"/>
  <c r="E234" i="1"/>
  <c r="D234" i="1"/>
  <c r="E233" i="1"/>
  <c r="D233" i="1"/>
  <c r="E232" i="1"/>
  <c r="D232" i="1"/>
  <c r="E231" i="1"/>
  <c r="D231" i="1"/>
  <c r="E226" i="1"/>
  <c r="D226" i="1"/>
  <c r="E225" i="1"/>
  <c r="D225" i="1"/>
  <c r="E224" i="1"/>
  <c r="D224" i="1"/>
  <c r="E223" i="1"/>
  <c r="D223" i="1"/>
  <c r="E222" i="1"/>
  <c r="D222" i="1"/>
  <c r="E220" i="1"/>
  <c r="D220" i="1"/>
  <c r="E210" i="1"/>
  <c r="D210" i="1"/>
  <c r="E209" i="1"/>
  <c r="D209" i="1"/>
  <c r="E208" i="1"/>
  <c r="D208" i="1"/>
  <c r="E207" i="1"/>
  <c r="D207" i="1"/>
  <c r="E206" i="1"/>
  <c r="D206" i="1"/>
  <c r="E205" i="1"/>
  <c r="D205" i="1"/>
  <c r="E204" i="1"/>
  <c r="D204" i="1"/>
  <c r="E202" i="1"/>
  <c r="D202" i="1"/>
  <c r="E201" i="1"/>
  <c r="D201" i="1"/>
  <c r="E200" i="1"/>
  <c r="D200" i="1"/>
  <c r="E199" i="1"/>
  <c r="D199" i="1"/>
  <c r="E198" i="1"/>
  <c r="D198" i="1"/>
  <c r="E197" i="1"/>
  <c r="D197" i="1"/>
  <c r="E196" i="1"/>
  <c r="D196" i="1"/>
  <c r="E194" i="1"/>
  <c r="D194" i="1"/>
  <c r="E193" i="1"/>
  <c r="D193" i="1"/>
  <c r="E192" i="1"/>
  <c r="D192" i="1"/>
  <c r="E191" i="1"/>
  <c r="D191" i="1"/>
  <c r="E190" i="1"/>
  <c r="D190" i="1"/>
  <c r="E189" i="1"/>
  <c r="D189" i="1"/>
  <c r="E188" i="1"/>
  <c r="D188" i="1"/>
  <c r="E186" i="1"/>
  <c r="D186" i="1"/>
  <c r="E185" i="1"/>
  <c r="D185" i="1"/>
  <c r="E184" i="1"/>
  <c r="D184" i="1"/>
  <c r="E183" i="1"/>
  <c r="D183" i="1"/>
  <c r="E182" i="1"/>
  <c r="D182" i="1"/>
  <c r="E181" i="1"/>
  <c r="D181" i="1"/>
  <c r="E180" i="1"/>
  <c r="D180" i="1"/>
  <c r="G178" i="1"/>
  <c r="E178" i="1"/>
  <c r="D178" i="1"/>
  <c r="E174" i="1"/>
  <c r="D174" i="1"/>
  <c r="E173" i="1"/>
  <c r="D173" i="1"/>
  <c r="E172" i="1"/>
  <c r="D172" i="1"/>
  <c r="D159" i="1"/>
  <c r="D158" i="1"/>
  <c r="D157" i="1"/>
  <c r="D156" i="1"/>
  <c r="D155" i="1"/>
  <c r="D154" i="1"/>
  <c r="D153" i="1"/>
  <c r="D152" i="1"/>
  <c r="K149" i="1"/>
  <c r="F287" i="1"/>
  <c r="H287" i="1" s="1"/>
  <c r="F286" i="1"/>
  <c r="H286" i="1" s="1"/>
  <c r="F285" i="1"/>
  <c r="H285" i="1" s="1"/>
  <c r="F284" i="1"/>
  <c r="H284" i="1" s="1"/>
  <c r="A285" i="1"/>
  <c r="A286" i="1" s="1"/>
  <c r="A287" i="1" s="1"/>
  <c r="I281" i="1"/>
  <c r="I271" i="1"/>
  <c r="A270" i="1"/>
  <c r="A271" i="1" s="1"/>
  <c r="A272" i="1" s="1"/>
  <c r="J267" i="1"/>
  <c r="I267" i="1"/>
  <c r="I260" i="1"/>
  <c r="J260" i="1"/>
  <c r="J259" i="1"/>
  <c r="I259" i="1"/>
  <c r="A260" i="1"/>
  <c r="A261" i="1" s="1"/>
  <c r="A262" i="1" s="1"/>
  <c r="F276" i="1" l="1"/>
  <c r="H276" i="1" s="1"/>
  <c r="F270" i="1"/>
  <c r="H270" i="1" s="1"/>
  <c r="F275" i="1"/>
  <c r="H275" i="1" s="1"/>
  <c r="F282" i="1"/>
  <c r="H282" i="1" s="1"/>
  <c r="C136" i="1"/>
  <c r="C142" i="1"/>
  <c r="C141" i="1"/>
  <c r="C144" i="1" s="1"/>
  <c r="F279" i="1"/>
  <c r="H279" i="1" s="1"/>
  <c r="C132" i="1"/>
  <c r="C133" i="1" s="1"/>
  <c r="C137" i="1"/>
  <c r="C143" i="1"/>
  <c r="F261" i="1"/>
  <c r="H261" i="1" s="1"/>
  <c r="F272" i="1"/>
  <c r="H272" i="1" s="1"/>
  <c r="F277" i="1"/>
  <c r="H277" i="1" s="1"/>
  <c r="F281" i="1"/>
  <c r="H281" i="1" s="1"/>
  <c r="F274" i="1"/>
  <c r="H274" i="1" s="1"/>
  <c r="F269" i="1"/>
  <c r="F259" i="1"/>
  <c r="F262" i="1"/>
  <c r="H262" i="1" s="1"/>
  <c r="F260" i="1"/>
  <c r="H260" i="1" s="1"/>
  <c r="I249" i="1"/>
  <c r="I254" i="1"/>
  <c r="F252" i="1"/>
  <c r="H252" i="1" s="1"/>
  <c r="F254" i="1"/>
  <c r="H254" i="1" s="1"/>
  <c r="F253" i="1"/>
  <c r="H253" i="1" s="1"/>
  <c r="F251" i="1"/>
  <c r="H251" i="1" s="1"/>
  <c r="F249" i="1"/>
  <c r="H249" i="1" s="1"/>
  <c r="F247" i="1"/>
  <c r="H247" i="1" s="1"/>
  <c r="F246" i="1"/>
  <c r="H246" i="1" s="1"/>
  <c r="F248" i="1"/>
  <c r="H248" i="1" s="1"/>
  <c r="F244" i="1"/>
  <c r="H244" i="1" s="1"/>
  <c r="F243" i="1"/>
  <c r="H243" i="1" s="1"/>
  <c r="F242" i="1"/>
  <c r="H242" i="1" s="1"/>
  <c r="A242" i="1"/>
  <c r="A243" i="1" s="1"/>
  <c r="A244" i="1" s="1"/>
  <c r="F241" i="1"/>
  <c r="H241" i="1" s="1"/>
  <c r="F236" i="1"/>
  <c r="J233" i="1"/>
  <c r="I233" i="1"/>
  <c r="J231" i="1"/>
  <c r="I231" i="1"/>
  <c r="F233" i="1"/>
  <c r="H233" i="1" s="1"/>
  <c r="F232" i="1"/>
  <c r="H232" i="1" s="1"/>
  <c r="F234" i="1"/>
  <c r="A232" i="1"/>
  <c r="A233" i="1" s="1"/>
  <c r="A234" i="1" s="1"/>
  <c r="F237" i="1"/>
  <c r="H237" i="1" s="1"/>
  <c r="F238" i="1"/>
  <c r="H238" i="1" s="1"/>
  <c r="A237" i="1"/>
  <c r="A238" i="1" s="1"/>
  <c r="A239" i="1" s="1"/>
  <c r="F226" i="1"/>
  <c r="H226" i="1" s="1"/>
  <c r="F225" i="1"/>
  <c r="H225" i="1" s="1"/>
  <c r="F223" i="1"/>
  <c r="H223" i="1" s="1"/>
  <c r="F222" i="1"/>
  <c r="H222" i="1" s="1"/>
  <c r="F220" i="1"/>
  <c r="H220" i="1" s="1"/>
  <c r="F208" i="1"/>
  <c r="H208" i="1" s="1"/>
  <c r="F207" i="1"/>
  <c r="H207" i="1" s="1"/>
  <c r="F205" i="1"/>
  <c r="H205" i="1" s="1"/>
  <c r="F209" i="1"/>
  <c r="H209" i="1" s="1"/>
  <c r="F204" i="1"/>
  <c r="H204" i="1" s="1"/>
  <c r="F201" i="1"/>
  <c r="H201" i="1" s="1"/>
  <c r="F200" i="1"/>
  <c r="H200" i="1" s="1"/>
  <c r="F198" i="1"/>
  <c r="H198" i="1" s="1"/>
  <c r="F197" i="1"/>
  <c r="H197" i="1" s="1"/>
  <c r="F196" i="1"/>
  <c r="H196" i="1" s="1"/>
  <c r="A198" i="1"/>
  <c r="A199" i="1" s="1"/>
  <c r="A200" i="1" s="1"/>
  <c r="A201" i="1" s="1"/>
  <c r="A202" i="1" s="1"/>
  <c r="I184" i="1"/>
  <c r="F194" i="1"/>
  <c r="H194" i="1" s="1"/>
  <c r="F192" i="1"/>
  <c r="H192" i="1" s="1"/>
  <c r="F191" i="1"/>
  <c r="H191" i="1" s="1"/>
  <c r="F190" i="1"/>
  <c r="H190" i="1" s="1"/>
  <c r="F189" i="1"/>
  <c r="H189" i="1" s="1"/>
  <c r="F188" i="1"/>
  <c r="H188" i="1" s="1"/>
  <c r="A189" i="1"/>
  <c r="A190" i="1" s="1"/>
  <c r="A191" i="1" s="1"/>
  <c r="A192" i="1" s="1"/>
  <c r="A193" i="1" s="1"/>
  <c r="A194" i="1" s="1"/>
  <c r="J174" i="1"/>
  <c r="J172" i="1"/>
  <c r="F186" i="1"/>
  <c r="H186" i="1" s="1"/>
  <c r="F184" i="1"/>
  <c r="H184" i="1" s="1"/>
  <c r="F182" i="1"/>
  <c r="H182" i="1" s="1"/>
  <c r="F180" i="1"/>
  <c r="H180" i="1" s="1"/>
  <c r="F174" i="1"/>
  <c r="F181" i="1"/>
  <c r="H181" i="1" s="1"/>
  <c r="A181" i="1"/>
  <c r="A182" i="1" s="1"/>
  <c r="A183" i="1" s="1"/>
  <c r="A184" i="1" s="1"/>
  <c r="A185" i="1" s="1"/>
  <c r="A186" i="1" s="1"/>
  <c r="J173" i="1"/>
  <c r="I174" i="1"/>
  <c r="I172" i="1"/>
  <c r="F178" i="1"/>
  <c r="A173" i="1"/>
  <c r="A174" i="1" s="1"/>
  <c r="A175" i="1" s="1"/>
  <c r="A176" i="1" s="1"/>
  <c r="A177" i="1" s="1"/>
  <c r="F158" i="1"/>
  <c r="H158" i="1" s="1"/>
  <c r="F155" i="1"/>
  <c r="H155" i="1" s="1"/>
  <c r="F154" i="1"/>
  <c r="H154" i="1" s="1"/>
  <c r="F153" i="1"/>
  <c r="H153" i="1" s="1"/>
  <c r="J154" i="1"/>
  <c r="F152" i="1"/>
  <c r="J152" i="1"/>
  <c r="I154" i="1"/>
  <c r="I152" i="1"/>
  <c r="F159" i="1"/>
  <c r="H159" i="1" s="1"/>
  <c r="F157" i="1"/>
  <c r="H157" i="1" s="1"/>
  <c r="F156" i="1"/>
  <c r="H156" i="1" s="1"/>
  <c r="A153" i="1"/>
  <c r="A154" i="1" s="1"/>
  <c r="A155" i="1" s="1"/>
  <c r="A156" i="1" s="1"/>
  <c r="A157" i="1" s="1"/>
  <c r="A158" i="1" s="1"/>
  <c r="A159" i="1" s="1"/>
  <c r="E43" i="1"/>
  <c r="C138" i="1" l="1"/>
  <c r="C145" i="1" s="1"/>
  <c r="H269" i="1"/>
  <c r="G143" i="1" s="1"/>
  <c r="E143" i="1"/>
  <c r="H236" i="1"/>
  <c r="H259" i="1"/>
  <c r="K259" i="1" s="1"/>
  <c r="H234" i="1"/>
  <c r="H152" i="1"/>
  <c r="G132" i="1" s="1"/>
  <c r="G133" i="1" s="1"/>
  <c r="E132" i="1"/>
  <c r="E133" i="1" s="1"/>
  <c r="F239" i="1"/>
  <c r="H239" i="1" s="1"/>
  <c r="F231" i="1"/>
  <c r="F210" i="1"/>
  <c r="H210" i="1" s="1"/>
  <c r="K152" i="1"/>
  <c r="F224" i="1"/>
  <c r="H224" i="1" s="1"/>
  <c r="F202" i="1"/>
  <c r="H202" i="1" s="1"/>
  <c r="F193" i="1"/>
  <c r="H193" i="1" s="1"/>
  <c r="F206" i="1"/>
  <c r="H206" i="1" s="1"/>
  <c r="F199" i="1"/>
  <c r="H199" i="1" s="1"/>
  <c r="K198" i="1" s="1"/>
  <c r="F185" i="1"/>
  <c r="H185" i="1" s="1"/>
  <c r="F183" i="1"/>
  <c r="H183" i="1" s="1"/>
  <c r="H174" i="1"/>
  <c r="K154" i="1"/>
  <c r="F173" i="1"/>
  <c r="H173" i="1" s="1"/>
  <c r="H178" i="1"/>
  <c r="F172" i="1"/>
  <c r="F163" i="1"/>
  <c r="F264" i="1"/>
  <c r="H264" i="1" s="1"/>
  <c r="G142" i="1" l="1"/>
  <c r="E141" i="1"/>
  <c r="E142" i="1"/>
  <c r="H172" i="1"/>
  <c r="H231" i="1"/>
  <c r="G136" i="1" s="1"/>
  <c r="E136"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L42" i="7" s="1"/>
  <c r="K42" i="7" s="1"/>
  <c r="I6" i="7"/>
  <c r="E6" i="7"/>
  <c r="E144" i="1" l="1"/>
  <c r="E42" i="7"/>
  <c r="I42" i="7"/>
  <c r="H42" i="7" s="1"/>
  <c r="G141" i="1"/>
  <c r="G144" i="1" s="1"/>
  <c r="E44" i="7" l="1"/>
  <c r="D42" i="7"/>
  <c r="D44" i="7" s="1"/>
  <c r="E31" i="1"/>
  <c r="B314" i="1" l="1"/>
  <c r="F164" i="1" l="1"/>
  <c r="H164" i="1" s="1"/>
  <c r="F165" i="1"/>
  <c r="H165" i="1" s="1"/>
  <c r="F166" i="1"/>
  <c r="H166" i="1" s="1"/>
  <c r="H163" i="1"/>
  <c r="G58" i="1" l="1"/>
  <c r="C58" i="1"/>
  <c r="S33" i="1" l="1"/>
  <c r="F11" i="5" l="1"/>
  <c r="G11" i="5" s="1"/>
  <c r="F10" i="5"/>
  <c r="G10" i="5" s="1"/>
  <c r="F9" i="5"/>
  <c r="G9" i="5" s="1"/>
  <c r="F8" i="5"/>
  <c r="G8" i="5" s="1"/>
  <c r="F7" i="5"/>
  <c r="G7" i="5" s="1"/>
  <c r="F6" i="5"/>
  <c r="G6" i="5" s="1"/>
  <c r="F5" i="5"/>
  <c r="G5" i="5" s="1"/>
  <c r="G12" i="5" s="1"/>
  <c r="D335" i="1"/>
  <c r="B315" i="1"/>
  <c r="F311" i="1"/>
  <c r="H311" i="1" s="1"/>
  <c r="F310" i="1"/>
  <c r="H310" i="1" s="1"/>
  <c r="F309" i="1"/>
  <c r="H309" i="1" s="1"/>
  <c r="F308" i="1"/>
  <c r="H308" i="1" s="1"/>
  <c r="F307" i="1"/>
  <c r="H307" i="1" s="1"/>
  <c r="F305" i="1"/>
  <c r="H305" i="1" s="1"/>
  <c r="F304" i="1"/>
  <c r="H304" i="1" s="1"/>
  <c r="F303" i="1"/>
  <c r="H303" i="1" s="1"/>
  <c r="F302" i="1"/>
  <c r="H302" i="1" s="1"/>
  <c r="F301" i="1"/>
  <c r="H301" i="1" s="1"/>
  <c r="F299" i="1"/>
  <c r="H299" i="1" s="1"/>
  <c r="F298" i="1"/>
  <c r="H298" i="1" s="1"/>
  <c r="F297" i="1"/>
  <c r="H297" i="1" s="1"/>
  <c r="F296" i="1"/>
  <c r="H296" i="1" s="1"/>
  <c r="F295" i="1"/>
  <c r="H295" i="1" s="1"/>
  <c r="F293" i="1"/>
  <c r="H293" i="1" s="1"/>
  <c r="F292" i="1"/>
  <c r="H292" i="1" s="1"/>
  <c r="F291" i="1"/>
  <c r="H291" i="1" s="1"/>
  <c r="F290" i="1"/>
  <c r="H290" i="1" s="1"/>
  <c r="F289" i="1"/>
  <c r="H289" i="1" s="1"/>
  <c r="A289" i="1"/>
  <c r="A290" i="1" s="1"/>
  <c r="A291" i="1" s="1"/>
  <c r="A292" i="1" s="1"/>
  <c r="A293" i="1" s="1"/>
  <c r="F267" i="1"/>
  <c r="H267" i="1" s="1"/>
  <c r="F266" i="1"/>
  <c r="H266" i="1" s="1"/>
  <c r="F265" i="1"/>
  <c r="A265" i="1"/>
  <c r="A266" i="1" s="1"/>
  <c r="A267" i="1" s="1"/>
  <c r="A164" i="1"/>
  <c r="A165" i="1" s="1"/>
  <c r="A166" i="1" s="1"/>
  <c r="F129" i="1"/>
  <c r="C103" i="1"/>
  <c r="C89" i="1"/>
  <c r="C75" i="1"/>
  <c r="D69" i="1"/>
  <c r="D62" i="1"/>
  <c r="G51" i="1"/>
  <c r="G52" i="1" s="1"/>
  <c r="C51" i="1"/>
  <c r="E44" i="1"/>
  <c r="E45" i="1" s="1"/>
  <c r="E28" i="1"/>
  <c r="E26" i="1"/>
  <c r="C16" i="1"/>
  <c r="I15" i="1"/>
  <c r="Z13" i="1"/>
  <c r="E8" i="1"/>
  <c r="E3" i="1"/>
  <c r="H76" i="1"/>
  <c r="H104" i="1"/>
  <c r="A295" i="1"/>
  <c r="H90" i="1"/>
  <c r="A307" i="1"/>
  <c r="A301" i="1"/>
  <c r="H265" i="1" l="1"/>
  <c r="E137" i="1"/>
  <c r="E138" i="1" s="1"/>
  <c r="E145" i="1" s="1"/>
  <c r="J75" i="1"/>
  <c r="J77" i="1" s="1"/>
  <c r="J78" i="1"/>
  <c r="J79" i="1"/>
  <c r="J80" i="1"/>
  <c r="C79" i="1" s="1"/>
  <c r="J94" i="1"/>
  <c r="C93" i="1" s="1"/>
  <c r="D98" i="1"/>
  <c r="D100" i="1"/>
  <c r="J93" i="1"/>
  <c r="D99" i="1"/>
  <c r="J89" i="1"/>
  <c r="J91" i="1" s="1"/>
  <c r="D97" i="1"/>
  <c r="J92" i="1"/>
  <c r="D96" i="1"/>
  <c r="D102" i="1"/>
  <c r="D101" i="1"/>
  <c r="D95" i="1"/>
  <c r="D83" i="1"/>
  <c r="D85" i="1"/>
  <c r="D84" i="1"/>
  <c r="D88" i="1"/>
  <c r="D82" i="1"/>
  <c r="D87" i="1"/>
  <c r="D81" i="1"/>
  <c r="D86" i="1"/>
  <c r="J103" i="1"/>
  <c r="J105" i="1" s="1"/>
  <c r="D112" i="1"/>
  <c r="D114" i="1"/>
  <c r="J108" i="1"/>
  <c r="C107" i="1" s="1"/>
  <c r="D107" i="1" s="1"/>
  <c r="D113" i="1"/>
  <c r="J107" i="1"/>
  <c r="D111" i="1"/>
  <c r="J106" i="1"/>
  <c r="D110" i="1"/>
  <c r="D116" i="1"/>
  <c r="D115" i="1"/>
  <c r="B104" i="1"/>
  <c r="B90" i="1"/>
  <c r="B76" i="1"/>
  <c r="J81" i="1" s="1"/>
  <c r="A302" i="1"/>
  <c r="A296" i="1"/>
  <c r="A308" i="1"/>
  <c r="G137" i="1" l="1"/>
  <c r="G138" i="1" s="1"/>
  <c r="G145" i="1" s="1"/>
  <c r="K265" i="1"/>
  <c r="D93" i="1"/>
  <c r="D79" i="1"/>
  <c r="D109" i="1"/>
  <c r="J114" i="1"/>
  <c r="J111" i="1"/>
  <c r="J113" i="1"/>
  <c r="J112" i="1"/>
  <c r="J109" i="1"/>
  <c r="J110" i="1" s="1"/>
  <c r="J115" i="1" s="1"/>
  <c r="J116" i="1" s="1"/>
  <c r="C108" i="1" s="1"/>
  <c r="E107" i="1" s="1"/>
  <c r="J100" i="1"/>
  <c r="J97" i="1"/>
  <c r="J99" i="1"/>
  <c r="J98" i="1"/>
  <c r="J95" i="1"/>
  <c r="J85" i="1"/>
  <c r="J83" i="1"/>
  <c r="J84" i="1"/>
  <c r="J82" i="1"/>
  <c r="J87" i="1" s="1"/>
  <c r="J86" i="1"/>
  <c r="A297" i="1"/>
  <c r="A303" i="1"/>
  <c r="A309" i="1"/>
  <c r="J96" i="1" l="1"/>
  <c r="J101" i="1" s="1"/>
  <c r="C94" i="1"/>
  <c r="J88" i="1"/>
  <c r="C80" i="1" s="1"/>
  <c r="E79" i="1" s="1"/>
  <c r="D108" i="1"/>
  <c r="I104" i="1" s="1"/>
  <c r="J104" i="1"/>
  <c r="G107" i="1"/>
  <c r="A304" i="1"/>
  <c r="A310" i="1"/>
  <c r="A298" i="1"/>
  <c r="J102" i="1" l="1"/>
  <c r="G79" i="1"/>
  <c r="D73" i="1" s="1"/>
  <c r="F74" i="1" s="1"/>
  <c r="J76" i="1"/>
  <c r="D80" i="1"/>
  <c r="I76" i="1" s="1"/>
  <c r="I77" i="1" s="1"/>
  <c r="I105" i="1"/>
  <c r="I103" i="1" s="1"/>
  <c r="C105" i="1" s="1"/>
  <c r="A305" i="1"/>
  <c r="A311" i="1"/>
  <c r="A299" i="1"/>
  <c r="D94" i="1" l="1"/>
  <c r="I90" i="1" s="1"/>
  <c r="I91" i="1" s="1"/>
  <c r="E93" i="1"/>
  <c r="G93" i="1"/>
  <c r="J90" i="1"/>
  <c r="I75" i="1"/>
  <c r="C77" i="1" s="1"/>
  <c r="D74" i="1"/>
  <c r="I89" i="1" l="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<sst xmlns="http://schemas.openxmlformats.org/spreadsheetml/2006/main" count="829" uniqueCount="411">
  <si>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</si>
  <si>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</si>
  <si>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</si>
  <si>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</si>
  <si>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</si>
  <si>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</si>
  <si>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</si>
  <si>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</si>
  <si>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</si>
  <si>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</si>
  <si>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</si>
  <si>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</si>
  <si>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</si>
  <si>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</si>
  <si>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</si>
  <si>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</si>
  <si>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</si>
  <si>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</si>
  <si>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</si>
  <si>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</si>
  <si>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</si>
  <si>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</si>
  <si>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</si>
  <si>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</si>
  <si>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</si>
  <si>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</si>
  <si>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</si>
  <si>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</si>
  <si>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</si>
  <si>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</si>
  <si>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</si>
  <si>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</si>
  <si>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</si>
  <si>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</si>
  <si>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</si>
  <si>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</si>
  <si>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</si>
  <si>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</si>
  <si>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</si>
  <si>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</si>
  <si>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</si>
  <si>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</si>
  <si>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</si>
  <si>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</si>
  <si>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</si>
  <si>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</si>
  <si>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</si>
  <si>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</si>
  <si>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</si>
  <si>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</si>
  <si>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</si>
  <si>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</si>
  <si>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</si>
  <si>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</si>
  <si>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</si>
  <si>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</si>
  <si>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</si>
  <si>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</si>
  <si>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</si>
  <si>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</si>
  <si>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</si>
  <si>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</si>
  <si>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</si>
  <si>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</si>
  <si>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</si>
  <si>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</si>
  <si>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</si>
  <si>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</si>
  <si>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</si>
  <si>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</si>
  <si>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</si>
  <si>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</si>
  <si>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</si>
  <si>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</si>
  <si>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</si>
  <si>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</si>
  <si>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</si>
  <si>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</si>
  <si>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</si>
  <si>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</si>
  <si>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</si>
  <si>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</si>
  <si>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</si>
  <si>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</si>
  <si>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</si>
  <si>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</si>
  <si>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</si>
  <si>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</si>
  <si>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</si>
  <si>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</si>
  <si>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</si>
  <si>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</si>
  <si>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</si>
  <si>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</si>
  <si>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</si>
  <si>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</si>
  <si>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</si>
  <si>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</si>
  <si>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</si>
  <si>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</si>
  <si>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</si>
  <si>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</si>
  <si>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</si>
  <si>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</si>
  <si>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</si>
  <si>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</si>
  <si>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</si>
  <si>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</si>
  <si>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</si>
  <si>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</si>
  <si>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</si>
  <si>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</si>
  <si>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</si>
  <si>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</si>
  <si>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</si>
  <si>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</si>
  <si>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</si>
  <si>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</si>
  <si>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</si>
  <si>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</si>
  <si>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</si>
  <si>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</si>
  <si>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</si>
  <si>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</si>
  <si>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</si>
  <si>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</si>
  <si>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</si>
  <si>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</si>
  <si>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</si>
  <si>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</si>
  <si>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</si>
  <si>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</si>
  <si>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</si>
  <si>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</si>
  <si>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</si>
  <si>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</si>
  <si>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</si>
  <si>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</si>
  <si>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</si>
  <si>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</si>
  <si>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</si>
  <si>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</si>
  <si>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</si>
  <si>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</si>
  <si>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</si>
  <si>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</si>
  <si>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</si>
  <si>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</si>
  <si>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</si>
  <si>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</si>
  <si>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</si>
  <si>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</si>
  <si>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</si>
  <si>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</si>
  <si>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</si>
  <si>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</si>
  <si>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</si>
  <si>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</si>
  <si>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</si>
  <si>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</si>
  <si>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</si>
  <si>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</si>
  <si>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</si>
  <si>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</si>
  <si>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</si>
  <si>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</si>
  <si>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</si>
  <si>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</si>
  <si>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</si>
  <si>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</si>
  <si>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</si>
  <si>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</si>
  <si>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</si>
  <si>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</si>
  <si>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</si>
  <si>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</si>
  <si>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</si>
  <si>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</si>
  <si>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</si>
  <si>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</si>
  <si>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</si>
  <si>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</si>
  <si>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</si>
  <si>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</si>
  <si>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</si>
  <si>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</si>
  <si>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</si>
  <si>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</si>
  <si>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</si>
  <si>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</si>
  <si>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</si>
  <si>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</si>
  <si>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</si>
  <si>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</si>
  <si>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</si>
  <si>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</si>
  <si>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</si>
  <si>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</si>
  <si>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</si>
  <si>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</si>
  <si>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</si>
  <si>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</si>
  <si>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</si>
  <si>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</si>
  <si>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</si>
  <si>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</si>
  <si>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</si>
  <si>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</si>
  <si>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</si>
  <si>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</si>
  <si>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</si>
  <si>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</si>
  <si>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</si>
  <si>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</si>
  <si>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</si>
  <si>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</si>
  <si>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</si>
  <si>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</si>
  <si>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</si>
  <si>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</si>
  <si>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</si>
  <si>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</si>
  <si>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</si>
  <si>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</si>
  <si>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</si>
  <si>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</si>
  <si>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</si>
  <si>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</si>
  <si>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</si>
  <si>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</si>
  <si>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</si>
  <si>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</si>
  <si>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</si>
  <si>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</si>
  <si>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</si>
  <si>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</si>
  <si>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</si>
  <si>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</si>
  <si>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</si>
  <si>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</si>
  <si>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</si>
  <si>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</si>
  <si>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</si>
  <si>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</si>
  <si>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</si>
  <si>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</si>
  <si>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</si>
  <si>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</si>
  <si>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</si>
  <si>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</si>
  <si>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</si>
  <si>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</si>
  <si>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</si>
  <si>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</si>
  <si>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</si>
  <si>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</si>
  <si>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</si>
  <si>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</si>
  <si>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</si>
  <si>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</si>
  <si>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</si>
  <si>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</si>
  <si>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</si>
  <si>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</si>
  <si>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</si>
  <si>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</si>
  <si>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</si>
  <si>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</si>
  <si>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</si>
  <si>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</si>
  <si>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</si>
  <si>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</si>
  <si>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</si>
  <si>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</si>
  <si>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</si>
  <si>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</si>
  <si>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</si>
  <si>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</si>
  <si>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</si>
  <si>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</si>
  <si>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</si>
  <si>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</si>
  <si>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</si>
  <si>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</si>
  <si>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</si>
  <si>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</si>
  <si>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</si>
  <si>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</si>
  <si>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</si>
  <si>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</si>
  <si>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</si>
  <si>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</si>
  <si>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</si>
  <si>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</si>
  <si>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</si>
  <si>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</si>
  <si>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</si>
  <si>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</si>
  <si>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</si>
  <si>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</si>
  <si>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</si>
  <si>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</si>
  <si>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</si>
  <si>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</si>
  <si>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</si>
  <si>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</si>
  <si>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</si>
  <si>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</si>
  <si>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</si>
  <si>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</si>
  <si>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</si>
  <si>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</si>
  <si>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</si>
  <si>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</si>
  <si>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</si>
  <si>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</si>
  <si>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</si>
  <si>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</si>
  <si>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</si>
  <si>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</si>
  <si>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</si>
  <si>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</si>
  <si>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</si>
  <si>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</si>
  <si>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</si>
  <si>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</si>
  <si>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</si>
  <si>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</si>
  <si>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</si>
  <si>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</si>
  <si>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</si>
  <si>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</si>
  <si>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</si>
  <si>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 xml:space="preserve">Jsb Homemakers Private Limited
</t>
  </si>
  <si>
    <t>Gokul Nakshatra</t>
  </si>
  <si>
    <t>Building No. 1,2 &amp; 3</t>
  </si>
  <si>
    <t>P99000056045</t>
  </si>
  <si>
    <t>164, 173, Hissa No.3/1, Survey No.188 Hissa No.C &amp; Survey No. 334</t>
  </si>
  <si>
    <t>Bolinj</t>
  </si>
  <si>
    <t>03 Buildings</t>
  </si>
  <si>
    <t>VVCMC/TP/AMEND/VP/0369/272/ 2023-24</t>
  </si>
  <si>
    <t>VVCMC/TP/RDP-369/272/2023-24</t>
  </si>
  <si>
    <t>St/Gr + 1P to 2P + 1st to 25th Floors</t>
  </si>
  <si>
    <t>As per RERA - 31/12/2027</t>
  </si>
  <si>
    <t>Building No.1</t>
  </si>
  <si>
    <t>Ground Floor For Commercial, Lobby &amp; Parking</t>
  </si>
  <si>
    <t>Shop Duplex With 1st Podium</t>
  </si>
  <si>
    <t>1st Podium Floor For Commercial Duplex With Ground Floor &amp; Parking</t>
  </si>
  <si>
    <t>2nd Podium Floor For Commercial Triplex With 1st Podium &amp; Ground Floor, Residential &amp; Parking</t>
  </si>
  <si>
    <t>Shop Triplex With 1st &amp; 2nd Podium</t>
  </si>
  <si>
    <t>2BHK</t>
  </si>
  <si>
    <t>1BHK</t>
  </si>
  <si>
    <t>3BHK</t>
  </si>
  <si>
    <t>RERA Carpet area</t>
  </si>
  <si>
    <t>2nd Floor For Residential</t>
  </si>
  <si>
    <t>1st Floor For Residential</t>
  </si>
  <si>
    <t>2nd Podium Floor For Residential, Amenities, Commercial &amp; Parking</t>
  </si>
  <si>
    <t>3rd Floor For Residential</t>
  </si>
  <si>
    <t>4th, 6th to 9th, 11th to 14th, 16th to 19th, 21st to 25th Floor</t>
  </si>
  <si>
    <t>5th, 10th, 15th &amp; 20th Floor (Part Refuge Area)</t>
  </si>
  <si>
    <t>Refuge Area</t>
  </si>
  <si>
    <t>Building No.2</t>
  </si>
  <si>
    <t>Ground Floor For Entrance Lobby &amp; Parking</t>
  </si>
  <si>
    <t>1st &amp; 2nd Podium Floor For Parking</t>
  </si>
  <si>
    <t>Building No.1 (Sale Building)</t>
  </si>
  <si>
    <t>Mhada</t>
  </si>
  <si>
    <t>Sale</t>
  </si>
  <si>
    <t>2.5BHK</t>
  </si>
  <si>
    <t>Building No.3</t>
  </si>
  <si>
    <t>-</t>
  </si>
  <si>
    <t xml:space="preserve">We considered Gross carpet area = Net carpet + Deck + Enclose balcony + A.P Area </t>
  </si>
  <si>
    <t>Commercial Area Details : Building No.1</t>
  </si>
  <si>
    <t>Shops</t>
  </si>
  <si>
    <t>Residential Area Details : Mhada Flats</t>
  </si>
  <si>
    <t>Residential Area Details : Sale Flats</t>
  </si>
  <si>
    <t>Mr. Bhavnik Vaity 7710986666</t>
  </si>
  <si>
    <t>Bolinj Road</t>
  </si>
  <si>
    <t>Virar West</t>
  </si>
  <si>
    <t>Viva Swarganga</t>
  </si>
  <si>
    <t>1.8 KM from Virar Railway Station</t>
  </si>
  <si>
    <t>Other Plot</t>
  </si>
  <si>
    <t>Glory Building</t>
  </si>
  <si>
    <t>20 M W Road</t>
  </si>
  <si>
    <t>30 M W Road</t>
  </si>
  <si>
    <t>Channel</t>
  </si>
  <si>
    <t>Nala</t>
  </si>
  <si>
    <t>19.4470117,72.8000154</t>
  </si>
  <si>
    <t>https://maps.app.goo.gl/JSgc3B2D6dLTaYpcA</t>
  </si>
  <si>
    <t>Jogging Track, Swimming Pool, Club House, Landscaping &amp; Tree Planting, etc.</t>
  </si>
  <si>
    <t>Survey No</t>
  </si>
  <si>
    <r>
      <t xml:space="preserve">Proposed Amenities :                                                                                                                                                                                                                         </t>
    </r>
    <r>
      <rPr>
        <b/>
        <sz val="12"/>
        <rFont val="Times New Roman"/>
        <family val="1"/>
      </rPr>
      <t xml:space="preserve">                                               </t>
    </r>
  </si>
  <si>
    <r>
      <t xml:space="preserve">Shop No.
</t>
    </r>
    <r>
      <rPr>
        <b/>
        <sz val="11"/>
        <rFont val="Times New Roman"/>
        <family val="1"/>
      </rPr>
      <t>(Approved Plan)</t>
    </r>
  </si>
  <si>
    <t>Sale Flats - 359, Mhada Flats - 12, Shops - 8</t>
  </si>
  <si>
    <t xml:space="preserve">Building No. 1,2 &amp; 3 = G + 1P &amp; 2P + 1st to 25th Floor
</t>
  </si>
  <si>
    <t>Building No. 2 = G + 1P &amp; 2P + 1st to 25th Floor</t>
  </si>
  <si>
    <t>Building No. 3 = G + 1P &amp; 2P + 1st to 25th Floor</t>
  </si>
  <si>
    <t>Parking Area</t>
  </si>
  <si>
    <t>SEAC-2013/CR-232/TC-1</t>
  </si>
  <si>
    <t>Survey No.334, New Survey No.164, Survey No.173, Hissa No.371, Survey No.188, Hissa No.6/2</t>
  </si>
  <si>
    <t>MFS/51/2024/07</t>
  </si>
  <si>
    <t>Building No.1st to 3rd = G + 02 Podium + 25th Upper Floors (Total Height = 84.70 Mtrs.)</t>
  </si>
  <si>
    <t>6100 to 6500 + OC Trupti Verbal Staff Case A1203 12/11/2024</t>
  </si>
  <si>
    <t>All Other Charges</t>
  </si>
  <si>
    <t>4th, 6th to 9th, 11th, 13th to 14th, 16th to 19th, 21st to 25th Floor</t>
  </si>
  <si>
    <t>12th Floor</t>
  </si>
  <si>
    <t>Staff Case A1203 Sale area changes from 1350 to 1488 by Trupti And rate 12/11/2024</t>
  </si>
  <si>
    <t xml:space="preserve">Recommended Rates / Other charges of the Property have been revised on 12/11/2024.
</t>
  </si>
  <si>
    <t>Pranita Mhatre</t>
  </si>
  <si>
    <t>Navnath Bhatkar</t>
  </si>
  <si>
    <t>)</t>
  </si>
  <si>
    <t>Building No.2 &amp; 3 = Construction work is same as last visit dtd.17/12/2024.
Building No.1 = Construction stage is same as last visit dtd.17/12/2024 but 1st slab work is in the process. (labour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</si>
</sst>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5" fillId="0" borderId="0" applyNumberFormat="0" applyFill="0" applyBorder="0" applyAlignment="0" applyProtection="0"/>
  </cellStyleXfs>
  <cellXfs count="24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6" fillId="0" borderId="1" xfId="1" applyNumberFormat="1" applyFont="1" applyBorder="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6" fillId="2" borderId="0" xfId="1" applyFont="1" applyFill="1"/>
    <xf numFmtId="14" fontId="0" fillId="0" borderId="0" xfId="0" applyNumberFormat="1"/>
    <xf numFmtId="0" fontId="23" fillId="2" borderId="15" xfId="0" applyFont="1" applyFill="1" applyBorder="1"/>
    <xf numFmtId="0" fontId="24" fillId="0" borderId="9" xfId="0" applyFont="1" applyBorder="1"/>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6" fillId="2" borderId="25" xfId="1" applyNumberFormat="1" applyFont="1" applyFill="1" applyBorder="1" applyAlignment="1">
      <alignment horizontal="center" vertical="center"/>
    </xf>
    <xf numFmtId="1" fontId="6" fillId="2" borderId="0" xfId="1" applyNumberFormat="1" applyFont="1" applyFill="1" applyAlignment="1">
      <alignment horizontal="center" vertical="center"/>
    </xf>
    <xf numFmtId="1" fontId="6" fillId="0" borderId="1" xfId="0" applyNumberFormat="1" applyFont="1" applyBorder="1" applyAlignment="1" applyProtection="1">
      <alignment horizontal="center" vertical="center"/>
      <protection locked="0"/>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5" fillId="0" borderId="21"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6" fillId="0" borderId="0" xfId="1" applyFont="1" applyAlignment="1">
      <alignment horizontal="center" vertical="center"/>
    </xf>
    <xf numFmtId="1" fontId="7" fillId="0" borderId="8" xfId="1" applyNumberFormat="1" applyFont="1" applyBorder="1" applyAlignment="1" applyProtection="1">
      <alignment horizontal="center" vertical="top" wrapText="1"/>
      <protection locked="0"/>
    </xf>
    <xf numFmtId="1" fontId="7" fillId="0" borderId="21" xfId="1" applyNumberFormat="1" applyFont="1" applyBorder="1" applyAlignment="1" applyProtection="1">
      <alignment horizontal="center" vertical="top" wrapText="1"/>
      <protection locked="0"/>
    </xf>
    <xf numFmtId="1" fontId="7" fillId="0" borderId="9" xfId="1" applyNumberFormat="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7" fillId="0" borderId="34"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5" xfId="1" applyFont="1" applyBorder="1" applyAlignment="1" applyProtection="1">
      <alignment horizontal="left"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0" fontId="6" fillId="0" borderId="4"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7" fillId="0" borderId="3"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9" fontId="11" fillId="0" borderId="1" xfId="8"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1" fillId="0" borderId="3" xfId="1" applyFont="1" applyBorder="1" applyAlignment="1" applyProtection="1">
      <alignment horizontal="left" vertical="top"/>
      <protection locked="0"/>
    </xf>
    <xf numFmtId="0" fontId="12" fillId="0" borderId="5"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 fontId="7" fillId="0" borderId="1"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1" fontId="9" fillId="0" borderId="1" xfId="0" applyNumberFormat="1" applyFont="1" applyBorder="1" applyAlignment="1" applyProtection="1">
      <alignment horizontal="center" vertical="center"/>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649941</xdr:colOff>
      <xdr:row>377</xdr:row>
      <xdr:rowOff>44824</xdr:rowOff>
    </xdr:from>
    <xdr:to>
      <xdr:col>6</xdr:col>
      <xdr:colOff>717795</xdr:colOff>
      <xdr:row>396</xdr:row>
      <xdr:rowOff>172412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9941" y="74295000"/>
          <a:ext cx="4920001" cy="3960000"/>
        </a:xfrm>
        <a:prstGeom prst="rect">
          <a:avLst/>
        </a:prstGeom>
        <a:ln>
          <a:solidFill>
            <a:schemeClr val="tx1"/>
          </a:solidFill>
        </a:ln>
      </xdr:spPr>
    </xdr:pic>
    <xdr:clientData/>
  </xdr:twoCellAnchor>
  <xdr:twoCellAnchor editAs="oneCell">
    <xdr:from>
      <xdr:col>0</xdr:col>
      <xdr:colOff>403412</xdr:colOff>
      <xdr:row>397</xdr:row>
      <xdr:rowOff>134470</xdr:rowOff>
    </xdr:from>
    <xdr:to>
      <xdr:col>7</xdr:col>
      <xdr:colOff>271183</xdr:colOff>
      <xdr:row>416</xdr:row>
      <xdr:rowOff>7282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03412" y="79326441"/>
          <a:ext cx="5448300" cy="3705225"/>
        </a:xfrm>
        <a:prstGeom prst="rect">
          <a:avLst/>
        </a:prstGeom>
        <a:ln>
          <a:solidFill>
            <a:schemeClr val="tx1"/>
          </a:solidFill>
        </a:ln>
      </xdr:spPr>
    </xdr:pic>
    <xdr:clientData/>
  </xdr:twoCellAnchor>
  <xdr:twoCellAnchor>
    <xdr:from>
      <xdr:col>4</xdr:col>
      <xdr:colOff>16793</xdr:colOff>
      <xdr:row>392</xdr:row>
      <xdr:rowOff>41668</xdr:rowOff>
    </xdr:from>
    <xdr:to>
      <xdr:col>5</xdr:col>
      <xdr:colOff>199062</xdr:colOff>
      <xdr:row>395</xdr:row>
      <xdr:rowOff>120110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rot="19739058">
          <a:off x="3344940" y="77317433"/>
          <a:ext cx="966681" cy="68355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773206</xdr:colOff>
      <xdr:row>403</xdr:row>
      <xdr:rowOff>89647</xdr:rowOff>
    </xdr:from>
    <xdr:to>
      <xdr:col>5</xdr:col>
      <xdr:colOff>89647</xdr:colOff>
      <xdr:row>415</xdr:row>
      <xdr:rowOff>11206</xdr:rowOff>
    </xdr:to>
    <xdr:sp macro="" textlink="">
      <xdr:nvSpPr>
        <xdr:cNvPr id="7" name="Freeform 6">
          <a:extLst>
            <a:ext uri="{FF2B5EF4-FFF2-40B4-BE49-F238E27FC236}">
              <a16:creationId xmlns:a16="http://schemas.microsoft.com/office/drawing/2014/main" id="{00000000-0008-0000-0000-000007000000}"/>
            </a:ext>
          </a:extLst>
        </xdr:cNvPr>
        <xdr:cNvSpPr/>
      </xdr:nvSpPr>
      <xdr:spPr>
        <a:xfrm>
          <a:off x="1535206" y="79584176"/>
          <a:ext cx="2667000" cy="2342030"/>
        </a:xfrm>
        <a:custGeom>
          <a:avLst/>
          <a:gdLst>
            <a:gd name="connsiteX0" fmla="*/ 941294 w 2667000"/>
            <a:gd name="connsiteY0" fmla="*/ 0 h 2342030"/>
            <a:gd name="connsiteX1" fmla="*/ 1277470 w 2667000"/>
            <a:gd name="connsiteY1" fmla="*/ 549089 h 2342030"/>
            <a:gd name="connsiteX2" fmla="*/ 930088 w 2667000"/>
            <a:gd name="connsiteY2" fmla="*/ 773206 h 2342030"/>
            <a:gd name="connsiteX3" fmla="*/ 1232647 w 2667000"/>
            <a:gd name="connsiteY3" fmla="*/ 1299883 h 2342030"/>
            <a:gd name="connsiteX4" fmla="*/ 2229970 w 2667000"/>
            <a:gd name="connsiteY4" fmla="*/ 694765 h 2342030"/>
            <a:gd name="connsiteX5" fmla="*/ 2667000 w 2667000"/>
            <a:gd name="connsiteY5" fmla="*/ 1277471 h 2342030"/>
            <a:gd name="connsiteX6" fmla="*/ 1086970 w 2667000"/>
            <a:gd name="connsiteY6" fmla="*/ 2342030 h 2342030"/>
            <a:gd name="connsiteX7" fmla="*/ 0 w 2667000"/>
            <a:gd name="connsiteY7" fmla="*/ 672353 h 2342030"/>
            <a:gd name="connsiteX8" fmla="*/ 941294 w 2667000"/>
            <a:gd name="connsiteY8" fmla="*/ 0 h 23420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67000" h="2342030">
              <a:moveTo>
                <a:pt x="941294" y="0"/>
              </a:moveTo>
              <a:lnTo>
                <a:pt x="1277470" y="549089"/>
              </a:lnTo>
              <a:lnTo>
                <a:pt x="930088" y="773206"/>
              </a:lnTo>
              <a:lnTo>
                <a:pt x="1232647" y="1299883"/>
              </a:lnTo>
              <a:lnTo>
                <a:pt x="2229970" y="694765"/>
              </a:lnTo>
              <a:lnTo>
                <a:pt x="2667000" y="1277471"/>
              </a:lnTo>
              <a:lnTo>
                <a:pt x="1086970" y="2342030"/>
              </a:lnTo>
              <a:lnTo>
                <a:pt x="0" y="672353"/>
              </a:lnTo>
              <a:lnTo>
                <a:pt x="941294" y="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44824</xdr:colOff>
      <xdr:row>412</xdr:row>
      <xdr:rowOff>56030</xdr:rowOff>
    </xdr:from>
    <xdr:to>
      <xdr:col>5</xdr:col>
      <xdr:colOff>661146</xdr:colOff>
      <xdr:row>413</xdr:row>
      <xdr:rowOff>156883</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372971" y="81365912"/>
          <a:ext cx="1400734"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Building No.1</a:t>
          </a:r>
        </a:p>
      </xdr:txBody>
    </xdr:sp>
    <xdr:clientData/>
  </xdr:twoCellAnchor>
  <xdr:twoCellAnchor>
    <xdr:from>
      <xdr:col>9</xdr:col>
      <xdr:colOff>0</xdr:colOff>
      <xdr:row>403</xdr:row>
      <xdr:rowOff>0</xdr:rowOff>
    </xdr:from>
    <xdr:to>
      <xdr:col>10</xdr:col>
      <xdr:colOff>638734</xdr:colOff>
      <xdr:row>404</xdr:row>
      <xdr:rowOff>100853</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7474324" y="79494529"/>
          <a:ext cx="1400734"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Building No.1</a:t>
          </a:r>
        </a:p>
      </xdr:txBody>
    </xdr:sp>
    <xdr:clientData/>
  </xdr:twoCellAnchor>
  <xdr:twoCellAnchor>
    <xdr:from>
      <xdr:col>1</xdr:col>
      <xdr:colOff>230842</xdr:colOff>
      <xdr:row>403</xdr:row>
      <xdr:rowOff>6723</xdr:rowOff>
    </xdr:from>
    <xdr:to>
      <xdr:col>2</xdr:col>
      <xdr:colOff>835958</xdr:colOff>
      <xdr:row>404</xdr:row>
      <xdr:rowOff>107576</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992842" y="79501252"/>
          <a:ext cx="1400734"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Building No.3</a:t>
          </a:r>
        </a:p>
      </xdr:txBody>
    </xdr:sp>
    <xdr:clientData/>
  </xdr:twoCellAnchor>
  <xdr:twoCellAnchor>
    <xdr:from>
      <xdr:col>1</xdr:col>
      <xdr:colOff>58271</xdr:colOff>
      <xdr:row>411</xdr:row>
      <xdr:rowOff>47066</xdr:rowOff>
    </xdr:from>
    <xdr:to>
      <xdr:col>2</xdr:col>
      <xdr:colOff>663387</xdr:colOff>
      <xdr:row>412</xdr:row>
      <xdr:rowOff>147919</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rot="19910574">
          <a:off x="820271" y="81155242"/>
          <a:ext cx="1400734"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Building No.2</a:t>
          </a:r>
        </a:p>
      </xdr:txBody>
    </xdr:sp>
    <xdr:clientData/>
  </xdr:twoCellAnchor>
  <xdr:twoCellAnchor editAs="oneCell">
    <xdr:from>
      <xdr:col>0</xdr:col>
      <xdr:colOff>571500</xdr:colOff>
      <xdr:row>419</xdr:row>
      <xdr:rowOff>106514</xdr:rowOff>
    </xdr:from>
    <xdr:to>
      <xdr:col>7</xdr:col>
      <xdr:colOff>179666</xdr:colOff>
      <xdr:row>439</xdr:row>
      <xdr:rowOff>32397</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3"/>
        <a:stretch>
          <a:fillRect/>
        </a:stretch>
      </xdr:blipFill>
      <xdr:spPr>
        <a:xfrm>
          <a:off x="571500" y="83231749"/>
          <a:ext cx="5188695" cy="3960000"/>
        </a:xfrm>
        <a:prstGeom prst="rect">
          <a:avLst/>
        </a:prstGeom>
        <a:ln>
          <a:solidFill>
            <a:schemeClr val="tx1"/>
          </a:solidFill>
        </a:ln>
      </xdr:spPr>
    </xdr:pic>
    <xdr:clientData/>
  </xdr:twoCellAnchor>
  <xdr:twoCellAnchor>
    <xdr:from>
      <xdr:col>0</xdr:col>
      <xdr:colOff>347383</xdr:colOff>
      <xdr:row>439</xdr:row>
      <xdr:rowOff>179294</xdr:rowOff>
    </xdr:from>
    <xdr:to>
      <xdr:col>7</xdr:col>
      <xdr:colOff>528208</xdr:colOff>
      <xdr:row>459</xdr:row>
      <xdr:rowOff>105176</xdr:rowOff>
    </xdr:to>
    <xdr:grpSp>
      <xdr:nvGrpSpPr>
        <xdr:cNvPr id="30" name="Group 29">
          <a:extLst>
            <a:ext uri="{FF2B5EF4-FFF2-40B4-BE49-F238E27FC236}">
              <a16:creationId xmlns:a16="http://schemas.microsoft.com/office/drawing/2014/main" id="{00000000-0008-0000-0000-00001E000000}"/>
            </a:ext>
          </a:extLst>
        </xdr:cNvPr>
        <xdr:cNvGrpSpPr/>
      </xdr:nvGrpSpPr>
      <xdr:grpSpPr>
        <a:xfrm>
          <a:off x="347383" y="80777359"/>
          <a:ext cx="5771586" cy="3901534"/>
          <a:chOff x="302560" y="87361059"/>
          <a:chExt cx="5761354" cy="3960000"/>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4"/>
          <a:stretch>
            <a:fillRect/>
          </a:stretch>
        </xdr:blipFill>
        <xdr:spPr>
          <a:xfrm>
            <a:off x="302560" y="87361059"/>
            <a:ext cx="5761354" cy="3960000"/>
          </a:xfrm>
          <a:prstGeom prst="rect">
            <a:avLst/>
          </a:prstGeom>
          <a:ln>
            <a:solidFill>
              <a:schemeClr val="tx1"/>
            </a:solidFill>
          </a:ln>
        </xdr:spPr>
      </xdr:pic>
      <xdr:sp macro="" textlink="">
        <xdr:nvSpPr>
          <xdr:cNvPr id="28" name="Freeform 27">
            <a:extLst>
              <a:ext uri="{FF2B5EF4-FFF2-40B4-BE49-F238E27FC236}">
                <a16:creationId xmlns:a16="http://schemas.microsoft.com/office/drawing/2014/main" id="{00000000-0008-0000-0000-00001C000000}"/>
              </a:ext>
            </a:extLst>
          </xdr:cNvPr>
          <xdr:cNvSpPr/>
        </xdr:nvSpPr>
        <xdr:spPr>
          <a:xfrm>
            <a:off x="2129117" y="89176411"/>
            <a:ext cx="1490382" cy="1355911"/>
          </a:xfrm>
          <a:custGeom>
            <a:avLst/>
            <a:gdLst>
              <a:gd name="connsiteX0" fmla="*/ 941294 w 2667000"/>
              <a:gd name="connsiteY0" fmla="*/ 0 h 2342030"/>
              <a:gd name="connsiteX1" fmla="*/ 1277470 w 2667000"/>
              <a:gd name="connsiteY1" fmla="*/ 549089 h 2342030"/>
              <a:gd name="connsiteX2" fmla="*/ 930088 w 2667000"/>
              <a:gd name="connsiteY2" fmla="*/ 773206 h 2342030"/>
              <a:gd name="connsiteX3" fmla="*/ 1232647 w 2667000"/>
              <a:gd name="connsiteY3" fmla="*/ 1299883 h 2342030"/>
              <a:gd name="connsiteX4" fmla="*/ 2229970 w 2667000"/>
              <a:gd name="connsiteY4" fmla="*/ 694765 h 2342030"/>
              <a:gd name="connsiteX5" fmla="*/ 2667000 w 2667000"/>
              <a:gd name="connsiteY5" fmla="*/ 1277471 h 2342030"/>
              <a:gd name="connsiteX6" fmla="*/ 1086970 w 2667000"/>
              <a:gd name="connsiteY6" fmla="*/ 2342030 h 2342030"/>
              <a:gd name="connsiteX7" fmla="*/ 0 w 2667000"/>
              <a:gd name="connsiteY7" fmla="*/ 672353 h 2342030"/>
              <a:gd name="connsiteX8" fmla="*/ 941294 w 2667000"/>
              <a:gd name="connsiteY8" fmla="*/ 0 h 23420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67000" h="2342030">
                <a:moveTo>
                  <a:pt x="941294" y="0"/>
                </a:moveTo>
                <a:lnTo>
                  <a:pt x="1277470" y="549089"/>
                </a:lnTo>
                <a:lnTo>
                  <a:pt x="930088" y="773206"/>
                </a:lnTo>
                <a:lnTo>
                  <a:pt x="1232647" y="1299883"/>
                </a:lnTo>
                <a:lnTo>
                  <a:pt x="2229970" y="694765"/>
                </a:lnTo>
                <a:lnTo>
                  <a:pt x="2667000" y="1277471"/>
                </a:lnTo>
                <a:lnTo>
                  <a:pt x="1086970" y="2342030"/>
                </a:lnTo>
                <a:lnTo>
                  <a:pt x="0" y="672353"/>
                </a:lnTo>
                <a:lnTo>
                  <a:pt x="941294" y="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9" name="Rectangle 28">
            <a:extLst>
              <a:ext uri="{FF2B5EF4-FFF2-40B4-BE49-F238E27FC236}">
                <a16:creationId xmlns:a16="http://schemas.microsoft.com/office/drawing/2014/main" id="{00000000-0008-0000-0000-00001D000000}"/>
              </a:ext>
            </a:extLst>
          </xdr:cNvPr>
          <xdr:cNvSpPr/>
        </xdr:nvSpPr>
        <xdr:spPr>
          <a:xfrm rot="19466281">
            <a:off x="2152342" y="88715289"/>
            <a:ext cx="2056670" cy="147134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13</xdr:col>
      <xdr:colOff>0</xdr:colOff>
      <xdr:row>117</xdr:row>
      <xdr:rowOff>0</xdr:rowOff>
    </xdr:from>
    <xdr:to>
      <xdr:col>13</xdr:col>
      <xdr:colOff>304800</xdr:colOff>
      <xdr:row>118</xdr:row>
      <xdr:rowOff>104775</xdr:rowOff>
    </xdr:to>
    <xdr:sp macro="" textlink="">
      <xdr:nvSpPr>
        <xdr:cNvPr id="1052" name="AutoShape 28" descr="blob:https://web.whatsapp.com/d4cf5f69-5033-43fb-a04f-39322ed6e2e0">
          <a:extLst>
            <a:ext uri="{FF2B5EF4-FFF2-40B4-BE49-F238E27FC236}">
              <a16:creationId xmlns:a16="http://schemas.microsoft.com/office/drawing/2014/main" id="{00000000-0008-0000-0000-00001C040000}"/>
            </a:ext>
          </a:extLst>
        </xdr:cNvPr>
        <xdr:cNvSpPr>
          <a:spLocks noChangeAspect="1" noChangeArrowheads="1"/>
        </xdr:cNvSpPr>
      </xdr:nvSpPr>
      <xdr:spPr bwMode="auto">
        <a:xfrm>
          <a:off x="10658475" y="2584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40821</xdr:colOff>
      <xdr:row>335</xdr:row>
      <xdr:rowOff>97427</xdr:rowOff>
    </xdr:from>
    <xdr:to>
      <xdr:col>15</xdr:col>
      <xdr:colOff>639695</xdr:colOff>
      <xdr:row>376</xdr:row>
      <xdr:rowOff>155673</xdr:rowOff>
    </xdr:to>
    <xdr:grpSp>
      <xdr:nvGrpSpPr>
        <xdr:cNvPr id="6" name="Group 5">
          <a:extLst>
            <a:ext uri="{FF2B5EF4-FFF2-40B4-BE49-F238E27FC236}">
              <a16:creationId xmlns:a16="http://schemas.microsoft.com/office/drawing/2014/main" id="{1CB70CCD-C4C3-8337-E9AE-94EC4B2477B2}"/>
            </a:ext>
          </a:extLst>
        </xdr:cNvPr>
        <xdr:cNvGrpSpPr/>
      </xdr:nvGrpSpPr>
      <xdr:grpSpPr>
        <a:xfrm>
          <a:off x="8290299" y="60030384"/>
          <a:ext cx="4649070" cy="8200050"/>
          <a:chOff x="1221257" y="0"/>
          <a:chExt cx="4793140" cy="8173545"/>
        </a:xfrm>
      </xdr:grpSpPr>
      <xdr:pic>
        <xdr:nvPicPr>
          <xdr:cNvPr id="8" name="Picture 7">
            <a:extLst>
              <a:ext uri="{FF2B5EF4-FFF2-40B4-BE49-F238E27FC236}">
                <a16:creationId xmlns:a16="http://schemas.microsoft.com/office/drawing/2014/main" id="{82351795-AC67-8FA0-AF52-2E31EEE2543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526387" y="6013545"/>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73931023-BB68-818D-9E3A-14138AB6900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110935" y="3725864"/>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a:extLst>
              <a:ext uri="{FF2B5EF4-FFF2-40B4-BE49-F238E27FC236}">
                <a16:creationId xmlns:a16="http://schemas.microsoft.com/office/drawing/2014/main" id="{F49B9D0B-6F7C-2AF8-03A5-51CB346A381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86203" y="6013545"/>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a:extLst>
              <a:ext uri="{FF2B5EF4-FFF2-40B4-BE49-F238E27FC236}">
                <a16:creationId xmlns:a16="http://schemas.microsoft.com/office/drawing/2014/main" id="{B0826BA3-5068-3266-260E-CE08B0E18EB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21257" y="0"/>
            <a:ext cx="4793140" cy="359818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a:extLst>
              <a:ext uri="{FF2B5EF4-FFF2-40B4-BE49-F238E27FC236}">
                <a16:creationId xmlns:a16="http://schemas.microsoft.com/office/drawing/2014/main" id="{610643AB-F50F-442E-8FD3-EAA62A322B9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61883" y="3725864"/>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169688</xdr:colOff>
      <xdr:row>335</xdr:row>
      <xdr:rowOff>98452</xdr:rowOff>
    </xdr:from>
    <xdr:to>
      <xdr:col>7</xdr:col>
      <xdr:colOff>577902</xdr:colOff>
      <xdr:row>371</xdr:row>
      <xdr:rowOff>52451</xdr:rowOff>
    </xdr:to>
    <xdr:grpSp>
      <xdr:nvGrpSpPr>
        <xdr:cNvPr id="5" name="Group 4"/>
        <xdr:cNvGrpSpPr/>
      </xdr:nvGrpSpPr>
      <xdr:grpSpPr>
        <a:xfrm>
          <a:off x="169688" y="60031409"/>
          <a:ext cx="5998975" cy="7101890"/>
          <a:chOff x="169688" y="60811923"/>
          <a:chExt cx="5999949" cy="7204204"/>
        </a:xfrm>
      </xdr:grpSpPr>
      <xdr:grpSp>
        <xdr:nvGrpSpPr>
          <xdr:cNvPr id="22" name="Group 21"/>
          <xdr:cNvGrpSpPr/>
        </xdr:nvGrpSpPr>
        <xdr:grpSpPr>
          <a:xfrm>
            <a:off x="169688" y="60811923"/>
            <a:ext cx="5999949" cy="7204204"/>
            <a:chOff x="-222359" y="583384"/>
            <a:chExt cx="7627629" cy="7859750"/>
          </a:xfrm>
        </xdr:grpSpPr>
        <xdr:pic>
          <xdr:nvPicPr>
            <xdr:cNvPr id="23" name="Picture 22" descr="https://vsjcllp.vsjadon.com/upload/insp-246832-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934753" y="6283134"/>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6832-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48009" y="6283134"/>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6832-84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701548" y="583384"/>
              <a:ext cx="3703722" cy="27803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6832-847.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22359" y="583384"/>
              <a:ext cx="3703722" cy="27803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6832-849.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170891" y="6283134"/>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6832-860.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66440" y="3569934"/>
              <a:ext cx="1878304" cy="250701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6832-88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46692" y="3569934"/>
              <a:ext cx="3339592" cy="250701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35" name="TextBox 48"/>
          <xdr:cNvSpPr txBox="1"/>
        </xdr:nvSpPr>
        <xdr:spPr>
          <a:xfrm>
            <a:off x="638735" y="62842588"/>
            <a:ext cx="1447942" cy="338554"/>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600" b="1">
                <a:latin typeface="Times New Roman" panose="02020603050405020304" pitchFamily="18" charset="0"/>
                <a:cs typeface="Times New Roman" panose="02020603050405020304" pitchFamily="18" charset="0"/>
              </a:rPr>
              <a:t>Building No.1</a:t>
            </a:r>
            <a:endParaRPr lang="en-IN" sz="1600" b="1">
              <a:latin typeface="Times New Roman" panose="02020603050405020304" pitchFamily="18" charset="0"/>
              <a:cs typeface="Times New Roman" panose="02020603050405020304" pitchFamily="18" charset="0"/>
            </a:endParaRPr>
          </a:p>
        </xdr:txBody>
      </xdr:sp>
      <xdr:sp macro="" textlink="">
        <xdr:nvSpPr>
          <xdr:cNvPr id="36" name="TextBox 48"/>
          <xdr:cNvSpPr txBox="1"/>
        </xdr:nvSpPr>
        <xdr:spPr>
          <a:xfrm>
            <a:off x="1636059" y="63795088"/>
            <a:ext cx="1447942" cy="338554"/>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600" b="1">
                <a:latin typeface="Times New Roman" panose="02020603050405020304" pitchFamily="18" charset="0"/>
                <a:cs typeface="Times New Roman" panose="02020603050405020304" pitchFamily="18" charset="0"/>
              </a:rPr>
              <a:t>Building No.2</a:t>
            </a:r>
            <a:endParaRPr lang="en-IN" sz="1600" b="1">
              <a:latin typeface="Times New Roman" panose="02020603050405020304" pitchFamily="18" charset="0"/>
              <a:cs typeface="Times New Roman" panose="02020603050405020304" pitchFamily="18" charset="0"/>
            </a:endParaRPr>
          </a:p>
        </xdr:txBody>
      </xdr:sp>
      <xdr:sp macro="" textlink="">
        <xdr:nvSpPr>
          <xdr:cNvPr id="37" name="TextBox 48"/>
          <xdr:cNvSpPr txBox="1"/>
        </xdr:nvSpPr>
        <xdr:spPr>
          <a:xfrm>
            <a:off x="3697941" y="65274265"/>
            <a:ext cx="1255059" cy="269304"/>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No.3</a:t>
            </a:r>
            <a:endParaRPr lang="en-IN" sz="1200" b="1">
              <a:latin typeface="Times New Roman" panose="02020603050405020304" pitchFamily="18" charset="0"/>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51760</xdr:colOff>
      <xdr:row>29</xdr:row>
      <xdr:rowOff>117894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36110" t="11792" r="7269" b="13679"/>
        <a:stretch/>
      </xdr:blipFill>
      <xdr:spPr>
        <a:xfrm>
          <a:off x="609600" y="190500"/>
          <a:ext cx="7366960" cy="5451894"/>
        </a:xfrm>
        <a:prstGeom prst="rect">
          <a:avLst/>
        </a:prstGeom>
        <a:ln>
          <a:solidFill>
            <a:schemeClr val="tx1"/>
          </a:solidFill>
        </a:ln>
      </xdr:spPr>
    </xdr:pic>
    <xdr:clientData/>
  </xdr:twoCellAnchor>
  <xdr:twoCellAnchor editAs="oneCell">
    <xdr:from>
      <xdr:col>13</xdr:col>
      <xdr:colOff>304800</xdr:colOff>
      <xdr:row>1</xdr:row>
      <xdr:rowOff>0</xdr:rowOff>
    </xdr:from>
    <xdr:to>
      <xdr:col>18</xdr:col>
      <xdr:colOff>294300</xdr:colOff>
      <xdr:row>29</xdr:row>
      <xdr:rowOff>66000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229600" y="190500"/>
          <a:ext cx="3037500"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Sgc3B2D6dLTaYpc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19"/>
  <sheetViews>
    <sheetView tabSelected="1" view="pageBreakPreview" zoomScale="115" zoomScaleNormal="100" zoomScaleSheetLayoutView="115" zoomScalePageLayoutView="85" workbookViewId="0">
      <selection activeCell="I10" sqref="I10"/>
    </sheetView>
  </sheetViews>
  <sheetFormatPr defaultColWidth="9.28515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28515625" style="37" customWidth="1"/>
    <col min="7" max="8" width="11" style="37" customWidth="1"/>
    <col min="9" max="9" width="17.42578125" style="18" customWidth="1"/>
    <col min="10" max="10" width="11.42578125" style="18" customWidth="1"/>
    <col min="11" max="11" width="10.5703125" style="18" bestFit="1" customWidth="1"/>
    <col min="12" max="12" width="13.7109375" style="18" bestFit="1" customWidth="1"/>
    <col min="13" max="13" width="11.7109375" style="18" customWidth="1"/>
    <col min="14" max="14" width="12.5703125" style="18" customWidth="1"/>
    <col min="15" max="15" width="12.28515625" style="18" customWidth="1"/>
    <col min="16" max="16" width="11.7109375" style="18" customWidth="1"/>
    <col min="17" max="18" width="9.28515625" style="18"/>
    <col min="19" max="19" width="10.7109375" style="18" bestFit="1" customWidth="1"/>
    <col min="20" max="20" width="10.7109375" style="18" customWidth="1"/>
    <col min="21" max="247" width="9.28515625" style="18"/>
    <col min="248" max="248" width="8.7109375" style="18" customWidth="1"/>
    <col min="249" max="249" width="9.7109375" style="18" customWidth="1"/>
    <col min="250" max="250" width="14.42578125" style="18" customWidth="1"/>
    <col min="251" max="251" width="7.28515625" style="18" customWidth="1"/>
    <col min="252" max="252" width="5.5703125" style="18" customWidth="1"/>
    <col min="253" max="253" width="9" style="18" customWidth="1"/>
    <col min="254" max="255" width="9.7109375" style="18" customWidth="1"/>
    <col min="256" max="256" width="11.28515625" style="18" customWidth="1"/>
    <col min="257" max="257" width="2.7109375" style="18" customWidth="1"/>
    <col min="258" max="258" width="3.5703125" style="18" customWidth="1"/>
    <col min="259" max="503" width="9.28515625" style="18"/>
    <col min="504" max="504" width="8.7109375" style="18" customWidth="1"/>
    <col min="505" max="505" width="9.7109375" style="18" customWidth="1"/>
    <col min="506" max="506" width="14.42578125" style="18" customWidth="1"/>
    <col min="507" max="507" width="7.28515625" style="18" customWidth="1"/>
    <col min="508" max="508" width="5.5703125" style="18" customWidth="1"/>
    <col min="509" max="509" width="9" style="18" customWidth="1"/>
    <col min="510" max="511" width="9.7109375" style="18" customWidth="1"/>
    <col min="512" max="512" width="11.28515625" style="18" customWidth="1"/>
    <col min="513" max="513" width="2.7109375" style="18" customWidth="1"/>
    <col min="514" max="514" width="3.5703125" style="18" customWidth="1"/>
    <col min="515" max="759" width="9.28515625" style="18"/>
    <col min="760" max="760" width="8.7109375" style="18" customWidth="1"/>
    <col min="761" max="761" width="9.7109375" style="18" customWidth="1"/>
    <col min="762" max="762" width="14.42578125" style="18" customWidth="1"/>
    <col min="763" max="763" width="7.28515625" style="18" customWidth="1"/>
    <col min="764" max="764" width="5.5703125" style="18" customWidth="1"/>
    <col min="765" max="765" width="9" style="18" customWidth="1"/>
    <col min="766" max="767" width="9.7109375" style="18" customWidth="1"/>
    <col min="768" max="768" width="11.28515625" style="18" customWidth="1"/>
    <col min="769" max="769" width="2.7109375" style="18" customWidth="1"/>
    <col min="770" max="770" width="3.5703125" style="18" customWidth="1"/>
    <col min="771" max="1015" width="9.28515625" style="18"/>
    <col min="1016" max="1016" width="8.7109375" style="18" customWidth="1"/>
    <col min="1017" max="1017" width="9.7109375" style="18" customWidth="1"/>
    <col min="1018" max="1018" width="14.42578125" style="18" customWidth="1"/>
    <col min="1019" max="1019" width="7.28515625" style="18" customWidth="1"/>
    <col min="1020" max="1020" width="5.5703125" style="18" customWidth="1"/>
    <col min="1021" max="1021" width="9" style="18" customWidth="1"/>
    <col min="1022" max="1023" width="9.7109375" style="18" customWidth="1"/>
    <col min="1024" max="1024" width="11.28515625" style="18" customWidth="1"/>
    <col min="1025" max="1025" width="2.7109375" style="18" customWidth="1"/>
    <col min="1026" max="1026" width="3.5703125" style="18" customWidth="1"/>
    <col min="1027" max="1271" width="9.28515625" style="18"/>
    <col min="1272" max="1272" width="8.7109375" style="18" customWidth="1"/>
    <col min="1273" max="1273" width="9.7109375" style="18" customWidth="1"/>
    <col min="1274" max="1274" width="14.42578125" style="18" customWidth="1"/>
    <col min="1275" max="1275" width="7.28515625" style="18" customWidth="1"/>
    <col min="1276" max="1276" width="5.5703125" style="18" customWidth="1"/>
    <col min="1277" max="1277" width="9" style="18" customWidth="1"/>
    <col min="1278" max="1279" width="9.7109375" style="18" customWidth="1"/>
    <col min="1280" max="1280" width="11.28515625" style="18" customWidth="1"/>
    <col min="1281" max="1281" width="2.7109375" style="18" customWidth="1"/>
    <col min="1282" max="1282" width="3.5703125" style="18" customWidth="1"/>
    <col min="1283" max="1527" width="9.28515625" style="18"/>
    <col min="1528" max="1528" width="8.7109375" style="18" customWidth="1"/>
    <col min="1529" max="1529" width="9.7109375" style="18" customWidth="1"/>
    <col min="1530" max="1530" width="14.42578125" style="18" customWidth="1"/>
    <col min="1531" max="1531" width="7.28515625" style="18" customWidth="1"/>
    <col min="1532" max="1532" width="5.5703125" style="18" customWidth="1"/>
    <col min="1533" max="1533" width="9" style="18" customWidth="1"/>
    <col min="1534" max="1535" width="9.7109375" style="18" customWidth="1"/>
    <col min="1536" max="1536" width="11.28515625" style="18" customWidth="1"/>
    <col min="1537" max="1537" width="2.7109375" style="18" customWidth="1"/>
    <col min="1538" max="1538" width="3.5703125" style="18" customWidth="1"/>
    <col min="1539" max="1783" width="9.28515625" style="18"/>
    <col min="1784" max="1784" width="8.7109375" style="18" customWidth="1"/>
    <col min="1785" max="1785" width="9.7109375" style="18" customWidth="1"/>
    <col min="1786" max="1786" width="14.42578125" style="18" customWidth="1"/>
    <col min="1787" max="1787" width="7.28515625" style="18" customWidth="1"/>
    <col min="1788" max="1788" width="5.5703125" style="18" customWidth="1"/>
    <col min="1789" max="1789" width="9" style="18" customWidth="1"/>
    <col min="1790" max="1791" width="9.7109375" style="18" customWidth="1"/>
    <col min="1792" max="1792" width="11.28515625" style="18" customWidth="1"/>
    <col min="1793" max="1793" width="2.7109375" style="18" customWidth="1"/>
    <col min="1794" max="1794" width="3.5703125" style="18" customWidth="1"/>
    <col min="1795" max="2039" width="9.28515625" style="18"/>
    <col min="2040" max="2040" width="8.7109375" style="18" customWidth="1"/>
    <col min="2041" max="2041" width="9.7109375" style="18" customWidth="1"/>
    <col min="2042" max="2042" width="14.42578125" style="18" customWidth="1"/>
    <col min="2043" max="2043" width="7.28515625" style="18" customWidth="1"/>
    <col min="2044" max="2044" width="5.5703125" style="18" customWidth="1"/>
    <col min="2045" max="2045" width="9" style="18" customWidth="1"/>
    <col min="2046" max="2047" width="9.7109375" style="18" customWidth="1"/>
    <col min="2048" max="2048" width="11.28515625" style="18" customWidth="1"/>
    <col min="2049" max="2049" width="2.7109375" style="18" customWidth="1"/>
    <col min="2050" max="2050" width="3.5703125" style="18" customWidth="1"/>
    <col min="2051" max="2295" width="9.28515625" style="18"/>
    <col min="2296" max="2296" width="8.7109375" style="18" customWidth="1"/>
    <col min="2297" max="2297" width="9.7109375" style="18" customWidth="1"/>
    <col min="2298" max="2298" width="14.42578125" style="18" customWidth="1"/>
    <col min="2299" max="2299" width="7.28515625" style="18" customWidth="1"/>
    <col min="2300" max="2300" width="5.5703125" style="18" customWidth="1"/>
    <col min="2301" max="2301" width="9" style="18" customWidth="1"/>
    <col min="2302" max="2303" width="9.7109375" style="18" customWidth="1"/>
    <col min="2304" max="2304" width="11.28515625" style="18" customWidth="1"/>
    <col min="2305" max="2305" width="2.7109375" style="18" customWidth="1"/>
    <col min="2306" max="2306" width="3.5703125" style="18" customWidth="1"/>
    <col min="2307" max="2551" width="9.28515625" style="18"/>
    <col min="2552" max="2552" width="8.7109375" style="18" customWidth="1"/>
    <col min="2553" max="2553" width="9.7109375" style="18" customWidth="1"/>
    <col min="2554" max="2554" width="14.42578125" style="18" customWidth="1"/>
    <col min="2555" max="2555" width="7.28515625" style="18" customWidth="1"/>
    <col min="2556" max="2556" width="5.5703125" style="18" customWidth="1"/>
    <col min="2557" max="2557" width="9" style="18" customWidth="1"/>
    <col min="2558" max="2559" width="9.7109375" style="18" customWidth="1"/>
    <col min="2560" max="2560" width="11.28515625" style="18" customWidth="1"/>
    <col min="2561" max="2561" width="2.7109375" style="18" customWidth="1"/>
    <col min="2562" max="2562" width="3.5703125" style="18" customWidth="1"/>
    <col min="2563" max="2807" width="9.28515625" style="18"/>
    <col min="2808" max="2808" width="8.7109375" style="18" customWidth="1"/>
    <col min="2809" max="2809" width="9.7109375" style="18" customWidth="1"/>
    <col min="2810" max="2810" width="14.42578125" style="18" customWidth="1"/>
    <col min="2811" max="2811" width="7.28515625" style="18" customWidth="1"/>
    <col min="2812" max="2812" width="5.5703125" style="18" customWidth="1"/>
    <col min="2813" max="2813" width="9" style="18" customWidth="1"/>
    <col min="2814" max="2815" width="9.7109375" style="18" customWidth="1"/>
    <col min="2816" max="2816" width="11.28515625" style="18" customWidth="1"/>
    <col min="2817" max="2817" width="2.7109375" style="18" customWidth="1"/>
    <col min="2818" max="2818" width="3.5703125" style="18" customWidth="1"/>
    <col min="2819" max="3063" width="9.28515625" style="18"/>
    <col min="3064" max="3064" width="8.7109375" style="18" customWidth="1"/>
    <col min="3065" max="3065" width="9.7109375" style="18" customWidth="1"/>
    <col min="3066" max="3066" width="14.42578125" style="18" customWidth="1"/>
    <col min="3067" max="3067" width="7.28515625" style="18" customWidth="1"/>
    <col min="3068" max="3068" width="5.5703125" style="18" customWidth="1"/>
    <col min="3069" max="3069" width="9" style="18" customWidth="1"/>
    <col min="3070" max="3071" width="9.7109375" style="18" customWidth="1"/>
    <col min="3072" max="3072" width="11.28515625" style="18" customWidth="1"/>
    <col min="3073" max="3073" width="2.7109375" style="18" customWidth="1"/>
    <col min="3074" max="3074" width="3.5703125" style="18" customWidth="1"/>
    <col min="3075" max="3319" width="9.28515625" style="18"/>
    <col min="3320" max="3320" width="8.7109375" style="18" customWidth="1"/>
    <col min="3321" max="3321" width="9.7109375" style="18" customWidth="1"/>
    <col min="3322" max="3322" width="14.42578125" style="18" customWidth="1"/>
    <col min="3323" max="3323" width="7.28515625" style="18" customWidth="1"/>
    <col min="3324" max="3324" width="5.5703125" style="18" customWidth="1"/>
    <col min="3325" max="3325" width="9" style="18" customWidth="1"/>
    <col min="3326" max="3327" width="9.7109375" style="18" customWidth="1"/>
    <col min="3328" max="3328" width="11.28515625" style="18" customWidth="1"/>
    <col min="3329" max="3329" width="2.7109375" style="18" customWidth="1"/>
    <col min="3330" max="3330" width="3.5703125" style="18" customWidth="1"/>
    <col min="3331" max="3575" width="9.28515625" style="18"/>
    <col min="3576" max="3576" width="8.7109375" style="18" customWidth="1"/>
    <col min="3577" max="3577" width="9.7109375" style="18" customWidth="1"/>
    <col min="3578" max="3578" width="14.42578125" style="18" customWidth="1"/>
    <col min="3579" max="3579" width="7.28515625" style="18" customWidth="1"/>
    <col min="3580" max="3580" width="5.5703125" style="18" customWidth="1"/>
    <col min="3581" max="3581" width="9" style="18" customWidth="1"/>
    <col min="3582" max="3583" width="9.7109375" style="18" customWidth="1"/>
    <col min="3584" max="3584" width="11.28515625" style="18" customWidth="1"/>
    <col min="3585" max="3585" width="2.7109375" style="18" customWidth="1"/>
    <col min="3586" max="3586" width="3.5703125" style="18" customWidth="1"/>
    <col min="3587" max="3831" width="9.28515625" style="18"/>
    <col min="3832" max="3832" width="8.7109375" style="18" customWidth="1"/>
    <col min="3833" max="3833" width="9.7109375" style="18" customWidth="1"/>
    <col min="3834" max="3834" width="14.42578125" style="18" customWidth="1"/>
    <col min="3835" max="3835" width="7.28515625" style="18" customWidth="1"/>
    <col min="3836" max="3836" width="5.5703125" style="18" customWidth="1"/>
    <col min="3837" max="3837" width="9" style="18" customWidth="1"/>
    <col min="3838" max="3839" width="9.7109375" style="18" customWidth="1"/>
    <col min="3840" max="3840" width="11.28515625" style="18" customWidth="1"/>
    <col min="3841" max="3841" width="2.7109375" style="18" customWidth="1"/>
    <col min="3842" max="3842" width="3.5703125" style="18" customWidth="1"/>
    <col min="3843" max="4087" width="9.28515625" style="18"/>
    <col min="4088" max="4088" width="8.7109375" style="18" customWidth="1"/>
    <col min="4089" max="4089" width="9.7109375" style="18" customWidth="1"/>
    <col min="4090" max="4090" width="14.42578125" style="18" customWidth="1"/>
    <col min="4091" max="4091" width="7.28515625" style="18" customWidth="1"/>
    <col min="4092" max="4092" width="5.5703125" style="18" customWidth="1"/>
    <col min="4093" max="4093" width="9" style="18" customWidth="1"/>
    <col min="4094" max="4095" width="9.7109375" style="18" customWidth="1"/>
    <col min="4096" max="4096" width="11.28515625" style="18" customWidth="1"/>
    <col min="4097" max="4097" width="2.7109375" style="18" customWidth="1"/>
    <col min="4098" max="4098" width="3.5703125" style="18" customWidth="1"/>
    <col min="4099" max="4343" width="9.28515625" style="18"/>
    <col min="4344" max="4344" width="8.7109375" style="18" customWidth="1"/>
    <col min="4345" max="4345" width="9.7109375" style="18" customWidth="1"/>
    <col min="4346" max="4346" width="14.42578125" style="18" customWidth="1"/>
    <col min="4347" max="4347" width="7.28515625" style="18" customWidth="1"/>
    <col min="4348" max="4348" width="5.5703125" style="18" customWidth="1"/>
    <col min="4349" max="4349" width="9" style="18" customWidth="1"/>
    <col min="4350" max="4351" width="9.7109375" style="18" customWidth="1"/>
    <col min="4352" max="4352" width="11.28515625" style="18" customWidth="1"/>
    <col min="4353" max="4353" width="2.7109375" style="18" customWidth="1"/>
    <col min="4354" max="4354" width="3.5703125" style="18" customWidth="1"/>
    <col min="4355" max="4599" width="9.28515625" style="18"/>
    <col min="4600" max="4600" width="8.7109375" style="18" customWidth="1"/>
    <col min="4601" max="4601" width="9.7109375" style="18" customWidth="1"/>
    <col min="4602" max="4602" width="14.42578125" style="18" customWidth="1"/>
    <col min="4603" max="4603" width="7.28515625" style="18" customWidth="1"/>
    <col min="4604" max="4604" width="5.5703125" style="18" customWidth="1"/>
    <col min="4605" max="4605" width="9" style="18" customWidth="1"/>
    <col min="4606" max="4607" width="9.7109375" style="18" customWidth="1"/>
    <col min="4608" max="4608" width="11.28515625" style="18" customWidth="1"/>
    <col min="4609" max="4609" width="2.7109375" style="18" customWidth="1"/>
    <col min="4610" max="4610" width="3.5703125" style="18" customWidth="1"/>
    <col min="4611" max="4855" width="9.28515625" style="18"/>
    <col min="4856" max="4856" width="8.7109375" style="18" customWidth="1"/>
    <col min="4857" max="4857" width="9.7109375" style="18" customWidth="1"/>
    <col min="4858" max="4858" width="14.42578125" style="18" customWidth="1"/>
    <col min="4859" max="4859" width="7.28515625" style="18" customWidth="1"/>
    <col min="4860" max="4860" width="5.5703125" style="18" customWidth="1"/>
    <col min="4861" max="4861" width="9" style="18" customWidth="1"/>
    <col min="4862" max="4863" width="9.7109375" style="18" customWidth="1"/>
    <col min="4864" max="4864" width="11.28515625" style="18" customWidth="1"/>
    <col min="4865" max="4865" width="2.7109375" style="18" customWidth="1"/>
    <col min="4866" max="4866" width="3.5703125" style="18" customWidth="1"/>
    <col min="4867" max="5111" width="9.28515625" style="18"/>
    <col min="5112" max="5112" width="8.7109375" style="18" customWidth="1"/>
    <col min="5113" max="5113" width="9.7109375" style="18" customWidth="1"/>
    <col min="5114" max="5114" width="14.42578125" style="18" customWidth="1"/>
    <col min="5115" max="5115" width="7.28515625" style="18" customWidth="1"/>
    <col min="5116" max="5116" width="5.5703125" style="18" customWidth="1"/>
    <col min="5117" max="5117" width="9" style="18" customWidth="1"/>
    <col min="5118" max="5119" width="9.7109375" style="18" customWidth="1"/>
    <col min="5120" max="5120" width="11.28515625" style="18" customWidth="1"/>
    <col min="5121" max="5121" width="2.7109375" style="18" customWidth="1"/>
    <col min="5122" max="5122" width="3.5703125" style="18" customWidth="1"/>
    <col min="5123" max="5367" width="9.28515625" style="18"/>
    <col min="5368" max="5368" width="8.7109375" style="18" customWidth="1"/>
    <col min="5369" max="5369" width="9.7109375" style="18" customWidth="1"/>
    <col min="5370" max="5370" width="14.42578125" style="18" customWidth="1"/>
    <col min="5371" max="5371" width="7.28515625" style="18" customWidth="1"/>
    <col min="5372" max="5372" width="5.5703125" style="18" customWidth="1"/>
    <col min="5373" max="5373" width="9" style="18" customWidth="1"/>
    <col min="5374" max="5375" width="9.7109375" style="18" customWidth="1"/>
    <col min="5376" max="5376" width="11.28515625" style="18" customWidth="1"/>
    <col min="5377" max="5377" width="2.7109375" style="18" customWidth="1"/>
    <col min="5378" max="5378" width="3.5703125" style="18" customWidth="1"/>
    <col min="5379" max="5623" width="9.28515625" style="18"/>
    <col min="5624" max="5624" width="8.7109375" style="18" customWidth="1"/>
    <col min="5625" max="5625" width="9.7109375" style="18" customWidth="1"/>
    <col min="5626" max="5626" width="14.42578125" style="18" customWidth="1"/>
    <col min="5627" max="5627" width="7.28515625" style="18" customWidth="1"/>
    <col min="5628" max="5628" width="5.5703125" style="18" customWidth="1"/>
    <col min="5629" max="5629" width="9" style="18" customWidth="1"/>
    <col min="5630" max="5631" width="9.7109375" style="18" customWidth="1"/>
    <col min="5632" max="5632" width="11.28515625" style="18" customWidth="1"/>
    <col min="5633" max="5633" width="2.7109375" style="18" customWidth="1"/>
    <col min="5634" max="5634" width="3.5703125" style="18" customWidth="1"/>
    <col min="5635" max="5879" width="9.28515625" style="18"/>
    <col min="5880" max="5880" width="8.7109375" style="18" customWidth="1"/>
    <col min="5881" max="5881" width="9.7109375" style="18" customWidth="1"/>
    <col min="5882" max="5882" width="14.42578125" style="18" customWidth="1"/>
    <col min="5883" max="5883" width="7.28515625" style="18" customWidth="1"/>
    <col min="5884" max="5884" width="5.5703125" style="18" customWidth="1"/>
    <col min="5885" max="5885" width="9" style="18" customWidth="1"/>
    <col min="5886" max="5887" width="9.7109375" style="18" customWidth="1"/>
    <col min="5888" max="5888" width="11.28515625" style="18" customWidth="1"/>
    <col min="5889" max="5889" width="2.7109375" style="18" customWidth="1"/>
    <col min="5890" max="5890" width="3.5703125" style="18" customWidth="1"/>
    <col min="5891" max="6135" width="9.28515625" style="18"/>
    <col min="6136" max="6136" width="8.7109375" style="18" customWidth="1"/>
    <col min="6137" max="6137" width="9.7109375" style="18" customWidth="1"/>
    <col min="6138" max="6138" width="14.42578125" style="18" customWidth="1"/>
    <col min="6139" max="6139" width="7.28515625" style="18" customWidth="1"/>
    <col min="6140" max="6140" width="5.5703125" style="18" customWidth="1"/>
    <col min="6141" max="6141" width="9" style="18" customWidth="1"/>
    <col min="6142" max="6143" width="9.7109375" style="18" customWidth="1"/>
    <col min="6144" max="6144" width="11.28515625" style="18" customWidth="1"/>
    <col min="6145" max="6145" width="2.7109375" style="18" customWidth="1"/>
    <col min="6146" max="6146" width="3.5703125" style="18" customWidth="1"/>
    <col min="6147" max="6391" width="9.28515625" style="18"/>
    <col min="6392" max="6392" width="8.7109375" style="18" customWidth="1"/>
    <col min="6393" max="6393" width="9.7109375" style="18" customWidth="1"/>
    <col min="6394" max="6394" width="14.42578125" style="18" customWidth="1"/>
    <col min="6395" max="6395" width="7.28515625" style="18" customWidth="1"/>
    <col min="6396" max="6396" width="5.5703125" style="18" customWidth="1"/>
    <col min="6397" max="6397" width="9" style="18" customWidth="1"/>
    <col min="6398" max="6399" width="9.7109375" style="18" customWidth="1"/>
    <col min="6400" max="6400" width="11.28515625" style="18" customWidth="1"/>
    <col min="6401" max="6401" width="2.7109375" style="18" customWidth="1"/>
    <col min="6402" max="6402" width="3.5703125" style="18" customWidth="1"/>
    <col min="6403" max="6647" width="9.28515625" style="18"/>
    <col min="6648" max="6648" width="8.7109375" style="18" customWidth="1"/>
    <col min="6649" max="6649" width="9.7109375" style="18" customWidth="1"/>
    <col min="6650" max="6650" width="14.42578125" style="18" customWidth="1"/>
    <col min="6651" max="6651" width="7.28515625" style="18" customWidth="1"/>
    <col min="6652" max="6652" width="5.5703125" style="18" customWidth="1"/>
    <col min="6653" max="6653" width="9" style="18" customWidth="1"/>
    <col min="6654" max="6655" width="9.7109375" style="18" customWidth="1"/>
    <col min="6656" max="6656" width="11.28515625" style="18" customWidth="1"/>
    <col min="6657" max="6657" width="2.7109375" style="18" customWidth="1"/>
    <col min="6658" max="6658" width="3.5703125" style="18" customWidth="1"/>
    <col min="6659" max="6903" width="9.28515625" style="18"/>
    <col min="6904" max="6904" width="8.7109375" style="18" customWidth="1"/>
    <col min="6905" max="6905" width="9.7109375" style="18" customWidth="1"/>
    <col min="6906" max="6906" width="14.42578125" style="18" customWidth="1"/>
    <col min="6907" max="6907" width="7.28515625" style="18" customWidth="1"/>
    <col min="6908" max="6908" width="5.5703125" style="18" customWidth="1"/>
    <col min="6909" max="6909" width="9" style="18" customWidth="1"/>
    <col min="6910" max="6911" width="9.7109375" style="18" customWidth="1"/>
    <col min="6912" max="6912" width="11.28515625" style="18" customWidth="1"/>
    <col min="6913" max="6913" width="2.7109375" style="18" customWidth="1"/>
    <col min="6914" max="6914" width="3.5703125" style="18" customWidth="1"/>
    <col min="6915" max="7159" width="9.28515625" style="18"/>
    <col min="7160" max="7160" width="8.7109375" style="18" customWidth="1"/>
    <col min="7161" max="7161" width="9.7109375" style="18" customWidth="1"/>
    <col min="7162" max="7162" width="14.42578125" style="18" customWidth="1"/>
    <col min="7163" max="7163" width="7.28515625" style="18" customWidth="1"/>
    <col min="7164" max="7164" width="5.5703125" style="18" customWidth="1"/>
    <col min="7165" max="7165" width="9" style="18" customWidth="1"/>
    <col min="7166" max="7167" width="9.7109375" style="18" customWidth="1"/>
    <col min="7168" max="7168" width="11.28515625" style="18" customWidth="1"/>
    <col min="7169" max="7169" width="2.7109375" style="18" customWidth="1"/>
    <col min="7170" max="7170" width="3.5703125" style="18" customWidth="1"/>
    <col min="7171" max="7415" width="9.28515625" style="18"/>
    <col min="7416" max="7416" width="8.7109375" style="18" customWidth="1"/>
    <col min="7417" max="7417" width="9.7109375" style="18" customWidth="1"/>
    <col min="7418" max="7418" width="14.42578125" style="18" customWidth="1"/>
    <col min="7419" max="7419" width="7.28515625" style="18" customWidth="1"/>
    <col min="7420" max="7420" width="5.5703125" style="18" customWidth="1"/>
    <col min="7421" max="7421" width="9" style="18" customWidth="1"/>
    <col min="7422" max="7423" width="9.7109375" style="18" customWidth="1"/>
    <col min="7424" max="7424" width="11.28515625" style="18" customWidth="1"/>
    <col min="7425" max="7425" width="2.7109375" style="18" customWidth="1"/>
    <col min="7426" max="7426" width="3.5703125" style="18" customWidth="1"/>
    <col min="7427" max="7671" width="9.28515625" style="18"/>
    <col min="7672" max="7672" width="8.7109375" style="18" customWidth="1"/>
    <col min="7673" max="7673" width="9.7109375" style="18" customWidth="1"/>
    <col min="7674" max="7674" width="14.42578125" style="18" customWidth="1"/>
    <col min="7675" max="7675" width="7.28515625" style="18" customWidth="1"/>
    <col min="7676" max="7676" width="5.5703125" style="18" customWidth="1"/>
    <col min="7677" max="7677" width="9" style="18" customWidth="1"/>
    <col min="7678" max="7679" width="9.7109375" style="18" customWidth="1"/>
    <col min="7680" max="7680" width="11.28515625" style="18" customWidth="1"/>
    <col min="7681" max="7681" width="2.7109375" style="18" customWidth="1"/>
    <col min="7682" max="7682" width="3.5703125" style="18" customWidth="1"/>
    <col min="7683" max="7927" width="9.28515625" style="18"/>
    <col min="7928" max="7928" width="8.7109375" style="18" customWidth="1"/>
    <col min="7929" max="7929" width="9.7109375" style="18" customWidth="1"/>
    <col min="7930" max="7930" width="14.42578125" style="18" customWidth="1"/>
    <col min="7931" max="7931" width="7.28515625" style="18" customWidth="1"/>
    <col min="7932" max="7932" width="5.5703125" style="18" customWidth="1"/>
    <col min="7933" max="7933" width="9" style="18" customWidth="1"/>
    <col min="7934" max="7935" width="9.7109375" style="18" customWidth="1"/>
    <col min="7936" max="7936" width="11.28515625" style="18" customWidth="1"/>
    <col min="7937" max="7937" width="2.7109375" style="18" customWidth="1"/>
    <col min="7938" max="7938" width="3.5703125" style="18" customWidth="1"/>
    <col min="7939" max="8183" width="9.28515625" style="18"/>
    <col min="8184" max="8184" width="8.7109375" style="18" customWidth="1"/>
    <col min="8185" max="8185" width="9.7109375" style="18" customWidth="1"/>
    <col min="8186" max="8186" width="14.42578125" style="18" customWidth="1"/>
    <col min="8187" max="8187" width="7.28515625" style="18" customWidth="1"/>
    <col min="8188" max="8188" width="5.5703125" style="18" customWidth="1"/>
    <col min="8189" max="8189" width="9" style="18" customWidth="1"/>
    <col min="8190" max="8191" width="9.7109375" style="18" customWidth="1"/>
    <col min="8192" max="8192" width="11.28515625" style="18" customWidth="1"/>
    <col min="8193" max="8193" width="2.7109375" style="18" customWidth="1"/>
    <col min="8194" max="8194" width="3.5703125" style="18" customWidth="1"/>
    <col min="8195" max="8439" width="9.28515625" style="18"/>
    <col min="8440" max="8440" width="8.7109375" style="18" customWidth="1"/>
    <col min="8441" max="8441" width="9.7109375" style="18" customWidth="1"/>
    <col min="8442" max="8442" width="14.42578125" style="18" customWidth="1"/>
    <col min="8443" max="8443" width="7.28515625" style="18" customWidth="1"/>
    <col min="8444" max="8444" width="5.5703125" style="18" customWidth="1"/>
    <col min="8445" max="8445" width="9" style="18" customWidth="1"/>
    <col min="8446" max="8447" width="9.7109375" style="18" customWidth="1"/>
    <col min="8448" max="8448" width="11.28515625" style="18" customWidth="1"/>
    <col min="8449" max="8449" width="2.7109375" style="18" customWidth="1"/>
    <col min="8450" max="8450" width="3.5703125" style="18" customWidth="1"/>
    <col min="8451" max="8695" width="9.28515625" style="18"/>
    <col min="8696" max="8696" width="8.7109375" style="18" customWidth="1"/>
    <col min="8697" max="8697" width="9.7109375" style="18" customWidth="1"/>
    <col min="8698" max="8698" width="14.42578125" style="18" customWidth="1"/>
    <col min="8699" max="8699" width="7.28515625" style="18" customWidth="1"/>
    <col min="8700" max="8700" width="5.5703125" style="18" customWidth="1"/>
    <col min="8701" max="8701" width="9" style="18" customWidth="1"/>
    <col min="8702" max="8703" width="9.7109375" style="18" customWidth="1"/>
    <col min="8704" max="8704" width="11.28515625" style="18" customWidth="1"/>
    <col min="8705" max="8705" width="2.7109375" style="18" customWidth="1"/>
    <col min="8706" max="8706" width="3.5703125" style="18" customWidth="1"/>
    <col min="8707" max="8951" width="9.28515625" style="18"/>
    <col min="8952" max="8952" width="8.7109375" style="18" customWidth="1"/>
    <col min="8953" max="8953" width="9.7109375" style="18" customWidth="1"/>
    <col min="8954" max="8954" width="14.42578125" style="18" customWidth="1"/>
    <col min="8955" max="8955" width="7.28515625" style="18" customWidth="1"/>
    <col min="8956" max="8956" width="5.5703125" style="18" customWidth="1"/>
    <col min="8957" max="8957" width="9" style="18" customWidth="1"/>
    <col min="8958" max="8959" width="9.7109375" style="18" customWidth="1"/>
    <col min="8960" max="8960" width="11.28515625" style="18" customWidth="1"/>
    <col min="8961" max="8961" width="2.7109375" style="18" customWidth="1"/>
    <col min="8962" max="8962" width="3.5703125" style="18" customWidth="1"/>
    <col min="8963" max="9207" width="9.28515625" style="18"/>
    <col min="9208" max="9208" width="8.7109375" style="18" customWidth="1"/>
    <col min="9209" max="9209" width="9.7109375" style="18" customWidth="1"/>
    <col min="9210" max="9210" width="14.42578125" style="18" customWidth="1"/>
    <col min="9211" max="9211" width="7.28515625" style="18" customWidth="1"/>
    <col min="9212" max="9212" width="5.5703125" style="18" customWidth="1"/>
    <col min="9213" max="9213" width="9" style="18" customWidth="1"/>
    <col min="9214" max="9215" width="9.7109375" style="18" customWidth="1"/>
    <col min="9216" max="9216" width="11.28515625" style="18" customWidth="1"/>
    <col min="9217" max="9217" width="2.7109375" style="18" customWidth="1"/>
    <col min="9218" max="9218" width="3.5703125" style="18" customWidth="1"/>
    <col min="9219" max="9463" width="9.28515625" style="18"/>
    <col min="9464" max="9464" width="8.7109375" style="18" customWidth="1"/>
    <col min="9465" max="9465" width="9.7109375" style="18" customWidth="1"/>
    <col min="9466" max="9466" width="14.42578125" style="18" customWidth="1"/>
    <col min="9467" max="9467" width="7.28515625" style="18" customWidth="1"/>
    <col min="9468" max="9468" width="5.5703125" style="18" customWidth="1"/>
    <col min="9469" max="9469" width="9" style="18" customWidth="1"/>
    <col min="9470" max="9471" width="9.7109375" style="18" customWidth="1"/>
    <col min="9472" max="9472" width="11.28515625" style="18" customWidth="1"/>
    <col min="9473" max="9473" width="2.7109375" style="18" customWidth="1"/>
    <col min="9474" max="9474" width="3.5703125" style="18" customWidth="1"/>
    <col min="9475" max="9719" width="9.28515625" style="18"/>
    <col min="9720" max="9720" width="8.7109375" style="18" customWidth="1"/>
    <col min="9721" max="9721" width="9.7109375" style="18" customWidth="1"/>
    <col min="9722" max="9722" width="14.42578125" style="18" customWidth="1"/>
    <col min="9723" max="9723" width="7.28515625" style="18" customWidth="1"/>
    <col min="9724" max="9724" width="5.5703125" style="18" customWidth="1"/>
    <col min="9725" max="9725" width="9" style="18" customWidth="1"/>
    <col min="9726" max="9727" width="9.7109375" style="18" customWidth="1"/>
    <col min="9728" max="9728" width="11.28515625" style="18" customWidth="1"/>
    <col min="9729" max="9729" width="2.7109375" style="18" customWidth="1"/>
    <col min="9730" max="9730" width="3.5703125" style="18" customWidth="1"/>
    <col min="9731" max="9975" width="9.28515625" style="18"/>
    <col min="9976" max="9976" width="8.7109375" style="18" customWidth="1"/>
    <col min="9977" max="9977" width="9.7109375" style="18" customWidth="1"/>
    <col min="9978" max="9978" width="14.42578125" style="18" customWidth="1"/>
    <col min="9979" max="9979" width="7.28515625" style="18" customWidth="1"/>
    <col min="9980" max="9980" width="5.5703125" style="18" customWidth="1"/>
    <col min="9981" max="9981" width="9" style="18" customWidth="1"/>
    <col min="9982" max="9983" width="9.7109375" style="18" customWidth="1"/>
    <col min="9984" max="9984" width="11.28515625" style="18" customWidth="1"/>
    <col min="9985" max="9985" width="2.7109375" style="18" customWidth="1"/>
    <col min="9986" max="9986" width="3.5703125" style="18" customWidth="1"/>
    <col min="9987" max="10231" width="9.28515625" style="18"/>
    <col min="10232" max="10232" width="8.7109375" style="18" customWidth="1"/>
    <col min="10233" max="10233" width="9.7109375" style="18" customWidth="1"/>
    <col min="10234" max="10234" width="14.42578125" style="18" customWidth="1"/>
    <col min="10235" max="10235" width="7.28515625" style="18" customWidth="1"/>
    <col min="10236" max="10236" width="5.5703125" style="18" customWidth="1"/>
    <col min="10237" max="10237" width="9" style="18" customWidth="1"/>
    <col min="10238" max="10239" width="9.7109375" style="18" customWidth="1"/>
    <col min="10240" max="10240" width="11.28515625" style="18" customWidth="1"/>
    <col min="10241" max="10241" width="2.7109375" style="18" customWidth="1"/>
    <col min="10242" max="10242" width="3.5703125" style="18" customWidth="1"/>
    <col min="10243" max="10487" width="9.28515625" style="18"/>
    <col min="10488" max="10488" width="8.7109375" style="18" customWidth="1"/>
    <col min="10489" max="10489" width="9.7109375" style="18" customWidth="1"/>
    <col min="10490" max="10490" width="14.42578125" style="18" customWidth="1"/>
    <col min="10491" max="10491" width="7.28515625" style="18" customWidth="1"/>
    <col min="10492" max="10492" width="5.5703125" style="18" customWidth="1"/>
    <col min="10493" max="10493" width="9" style="18" customWidth="1"/>
    <col min="10494" max="10495" width="9.7109375" style="18" customWidth="1"/>
    <col min="10496" max="10496" width="11.28515625" style="18" customWidth="1"/>
    <col min="10497" max="10497" width="2.7109375" style="18" customWidth="1"/>
    <col min="10498" max="10498" width="3.5703125" style="18" customWidth="1"/>
    <col min="10499" max="10743" width="9.28515625" style="18"/>
    <col min="10744" max="10744" width="8.7109375" style="18" customWidth="1"/>
    <col min="10745" max="10745" width="9.7109375" style="18" customWidth="1"/>
    <col min="10746" max="10746" width="14.42578125" style="18" customWidth="1"/>
    <col min="10747" max="10747" width="7.28515625" style="18" customWidth="1"/>
    <col min="10748" max="10748" width="5.5703125" style="18" customWidth="1"/>
    <col min="10749" max="10749" width="9" style="18" customWidth="1"/>
    <col min="10750" max="10751" width="9.7109375" style="18" customWidth="1"/>
    <col min="10752" max="10752" width="11.28515625" style="18" customWidth="1"/>
    <col min="10753" max="10753" width="2.7109375" style="18" customWidth="1"/>
    <col min="10754" max="10754" width="3.5703125" style="18" customWidth="1"/>
    <col min="10755" max="10999" width="9.28515625" style="18"/>
    <col min="11000" max="11000" width="8.7109375" style="18" customWidth="1"/>
    <col min="11001" max="11001" width="9.7109375" style="18" customWidth="1"/>
    <col min="11002" max="11002" width="14.42578125" style="18" customWidth="1"/>
    <col min="11003" max="11003" width="7.28515625" style="18" customWidth="1"/>
    <col min="11004" max="11004" width="5.5703125" style="18" customWidth="1"/>
    <col min="11005" max="11005" width="9" style="18" customWidth="1"/>
    <col min="11006" max="11007" width="9.7109375" style="18" customWidth="1"/>
    <col min="11008" max="11008" width="11.28515625" style="18" customWidth="1"/>
    <col min="11009" max="11009" width="2.7109375" style="18" customWidth="1"/>
    <col min="11010" max="11010" width="3.5703125" style="18" customWidth="1"/>
    <col min="11011" max="11255" width="9.28515625" style="18"/>
    <col min="11256" max="11256" width="8.7109375" style="18" customWidth="1"/>
    <col min="11257" max="11257" width="9.7109375" style="18" customWidth="1"/>
    <col min="11258" max="11258" width="14.42578125" style="18" customWidth="1"/>
    <col min="11259" max="11259" width="7.28515625" style="18" customWidth="1"/>
    <col min="11260" max="11260" width="5.5703125" style="18" customWidth="1"/>
    <col min="11261" max="11261" width="9" style="18" customWidth="1"/>
    <col min="11262" max="11263" width="9.7109375" style="18" customWidth="1"/>
    <col min="11264" max="11264" width="11.28515625" style="18" customWidth="1"/>
    <col min="11265" max="11265" width="2.7109375" style="18" customWidth="1"/>
    <col min="11266" max="11266" width="3.5703125" style="18" customWidth="1"/>
    <col min="11267" max="11511" width="9.28515625" style="18"/>
    <col min="11512" max="11512" width="8.7109375" style="18" customWidth="1"/>
    <col min="11513" max="11513" width="9.7109375" style="18" customWidth="1"/>
    <col min="11514" max="11514" width="14.42578125" style="18" customWidth="1"/>
    <col min="11515" max="11515" width="7.28515625" style="18" customWidth="1"/>
    <col min="11516" max="11516" width="5.5703125" style="18" customWidth="1"/>
    <col min="11517" max="11517" width="9" style="18" customWidth="1"/>
    <col min="11518" max="11519" width="9.7109375" style="18" customWidth="1"/>
    <col min="11520" max="11520" width="11.28515625" style="18" customWidth="1"/>
    <col min="11521" max="11521" width="2.7109375" style="18" customWidth="1"/>
    <col min="11522" max="11522" width="3.5703125" style="18" customWidth="1"/>
    <col min="11523" max="11767" width="9.28515625" style="18"/>
    <col min="11768" max="11768" width="8.7109375" style="18" customWidth="1"/>
    <col min="11769" max="11769" width="9.7109375" style="18" customWidth="1"/>
    <col min="11770" max="11770" width="14.42578125" style="18" customWidth="1"/>
    <col min="11771" max="11771" width="7.28515625" style="18" customWidth="1"/>
    <col min="11772" max="11772" width="5.5703125" style="18" customWidth="1"/>
    <col min="11773" max="11773" width="9" style="18" customWidth="1"/>
    <col min="11774" max="11775" width="9.7109375" style="18" customWidth="1"/>
    <col min="11776" max="11776" width="11.28515625" style="18" customWidth="1"/>
    <col min="11777" max="11777" width="2.7109375" style="18" customWidth="1"/>
    <col min="11778" max="11778" width="3.5703125" style="18" customWidth="1"/>
    <col min="11779" max="12023" width="9.28515625" style="18"/>
    <col min="12024" max="12024" width="8.7109375" style="18" customWidth="1"/>
    <col min="12025" max="12025" width="9.7109375" style="18" customWidth="1"/>
    <col min="12026" max="12026" width="14.42578125" style="18" customWidth="1"/>
    <col min="12027" max="12027" width="7.28515625" style="18" customWidth="1"/>
    <col min="12028" max="12028" width="5.5703125" style="18" customWidth="1"/>
    <col min="12029" max="12029" width="9" style="18" customWidth="1"/>
    <col min="12030" max="12031" width="9.7109375" style="18" customWidth="1"/>
    <col min="12032" max="12032" width="11.28515625" style="18" customWidth="1"/>
    <col min="12033" max="12033" width="2.7109375" style="18" customWidth="1"/>
    <col min="12034" max="12034" width="3.5703125" style="18" customWidth="1"/>
    <col min="12035" max="12279" width="9.28515625" style="18"/>
    <col min="12280" max="12280" width="8.7109375" style="18" customWidth="1"/>
    <col min="12281" max="12281" width="9.7109375" style="18" customWidth="1"/>
    <col min="12282" max="12282" width="14.42578125" style="18" customWidth="1"/>
    <col min="12283" max="12283" width="7.28515625" style="18" customWidth="1"/>
    <col min="12284" max="12284" width="5.5703125" style="18" customWidth="1"/>
    <col min="12285" max="12285" width="9" style="18" customWidth="1"/>
    <col min="12286" max="12287" width="9.7109375" style="18" customWidth="1"/>
    <col min="12288" max="12288" width="11.28515625" style="18" customWidth="1"/>
    <col min="12289" max="12289" width="2.7109375" style="18" customWidth="1"/>
    <col min="12290" max="12290" width="3.5703125" style="18" customWidth="1"/>
    <col min="12291" max="12535" width="9.28515625" style="18"/>
    <col min="12536" max="12536" width="8.7109375" style="18" customWidth="1"/>
    <col min="12537" max="12537" width="9.7109375" style="18" customWidth="1"/>
    <col min="12538" max="12538" width="14.42578125" style="18" customWidth="1"/>
    <col min="12539" max="12539" width="7.28515625" style="18" customWidth="1"/>
    <col min="12540" max="12540" width="5.5703125" style="18" customWidth="1"/>
    <col min="12541" max="12541" width="9" style="18" customWidth="1"/>
    <col min="12542" max="12543" width="9.7109375" style="18" customWidth="1"/>
    <col min="12544" max="12544" width="11.28515625" style="18" customWidth="1"/>
    <col min="12545" max="12545" width="2.7109375" style="18" customWidth="1"/>
    <col min="12546" max="12546" width="3.5703125" style="18" customWidth="1"/>
    <col min="12547" max="12791" width="9.28515625" style="18"/>
    <col min="12792" max="12792" width="8.7109375" style="18" customWidth="1"/>
    <col min="12793" max="12793" width="9.7109375" style="18" customWidth="1"/>
    <col min="12794" max="12794" width="14.42578125" style="18" customWidth="1"/>
    <col min="12795" max="12795" width="7.28515625" style="18" customWidth="1"/>
    <col min="12796" max="12796" width="5.5703125" style="18" customWidth="1"/>
    <col min="12797" max="12797" width="9" style="18" customWidth="1"/>
    <col min="12798" max="12799" width="9.7109375" style="18" customWidth="1"/>
    <col min="12800" max="12800" width="11.28515625" style="18" customWidth="1"/>
    <col min="12801" max="12801" width="2.7109375" style="18" customWidth="1"/>
    <col min="12802" max="12802" width="3.5703125" style="18" customWidth="1"/>
    <col min="12803" max="13047" width="9.28515625" style="18"/>
    <col min="13048" max="13048" width="8.7109375" style="18" customWidth="1"/>
    <col min="13049" max="13049" width="9.7109375" style="18" customWidth="1"/>
    <col min="13050" max="13050" width="14.42578125" style="18" customWidth="1"/>
    <col min="13051" max="13051" width="7.28515625" style="18" customWidth="1"/>
    <col min="13052" max="13052" width="5.5703125" style="18" customWidth="1"/>
    <col min="13053" max="13053" width="9" style="18" customWidth="1"/>
    <col min="13054" max="13055" width="9.7109375" style="18" customWidth="1"/>
    <col min="13056" max="13056" width="11.28515625" style="18" customWidth="1"/>
    <col min="13057" max="13057" width="2.7109375" style="18" customWidth="1"/>
    <col min="13058" max="13058" width="3.5703125" style="18" customWidth="1"/>
    <col min="13059" max="13303" width="9.28515625" style="18"/>
    <col min="13304" max="13304" width="8.7109375" style="18" customWidth="1"/>
    <col min="13305" max="13305" width="9.7109375" style="18" customWidth="1"/>
    <col min="13306" max="13306" width="14.42578125" style="18" customWidth="1"/>
    <col min="13307" max="13307" width="7.28515625" style="18" customWidth="1"/>
    <col min="13308" max="13308" width="5.5703125" style="18" customWidth="1"/>
    <col min="13309" max="13309" width="9" style="18" customWidth="1"/>
    <col min="13310" max="13311" width="9.7109375" style="18" customWidth="1"/>
    <col min="13312" max="13312" width="11.28515625" style="18" customWidth="1"/>
    <col min="13313" max="13313" width="2.7109375" style="18" customWidth="1"/>
    <col min="13314" max="13314" width="3.5703125" style="18" customWidth="1"/>
    <col min="13315" max="13559" width="9.28515625" style="18"/>
    <col min="13560" max="13560" width="8.7109375" style="18" customWidth="1"/>
    <col min="13561" max="13561" width="9.7109375" style="18" customWidth="1"/>
    <col min="13562" max="13562" width="14.42578125" style="18" customWidth="1"/>
    <col min="13563" max="13563" width="7.28515625" style="18" customWidth="1"/>
    <col min="13564" max="13564" width="5.5703125" style="18" customWidth="1"/>
    <col min="13565" max="13565" width="9" style="18" customWidth="1"/>
    <col min="13566" max="13567" width="9.7109375" style="18" customWidth="1"/>
    <col min="13568" max="13568" width="11.28515625" style="18" customWidth="1"/>
    <col min="13569" max="13569" width="2.7109375" style="18" customWidth="1"/>
    <col min="13570" max="13570" width="3.5703125" style="18" customWidth="1"/>
    <col min="13571" max="13815" width="9.28515625" style="18"/>
    <col min="13816" max="13816" width="8.7109375" style="18" customWidth="1"/>
    <col min="13817" max="13817" width="9.7109375" style="18" customWidth="1"/>
    <col min="13818" max="13818" width="14.42578125" style="18" customWidth="1"/>
    <col min="13819" max="13819" width="7.28515625" style="18" customWidth="1"/>
    <col min="13820" max="13820" width="5.5703125" style="18" customWidth="1"/>
    <col min="13821" max="13821" width="9" style="18" customWidth="1"/>
    <col min="13822" max="13823" width="9.7109375" style="18" customWidth="1"/>
    <col min="13824" max="13824" width="11.28515625" style="18" customWidth="1"/>
    <col min="13825" max="13825" width="2.7109375" style="18" customWidth="1"/>
    <col min="13826" max="13826" width="3.5703125" style="18" customWidth="1"/>
    <col min="13827" max="14071" width="9.28515625" style="18"/>
    <col min="14072" max="14072" width="8.7109375" style="18" customWidth="1"/>
    <col min="14073" max="14073" width="9.7109375" style="18" customWidth="1"/>
    <col min="14074" max="14074" width="14.42578125" style="18" customWidth="1"/>
    <col min="14075" max="14075" width="7.28515625" style="18" customWidth="1"/>
    <col min="14076" max="14076" width="5.5703125" style="18" customWidth="1"/>
    <col min="14077" max="14077" width="9" style="18" customWidth="1"/>
    <col min="14078" max="14079" width="9.7109375" style="18" customWidth="1"/>
    <col min="14080" max="14080" width="11.28515625" style="18" customWidth="1"/>
    <col min="14081" max="14081" width="2.7109375" style="18" customWidth="1"/>
    <col min="14082" max="14082" width="3.5703125" style="18" customWidth="1"/>
    <col min="14083" max="14327" width="9.28515625" style="18"/>
    <col min="14328" max="14328" width="8.7109375" style="18" customWidth="1"/>
    <col min="14329" max="14329" width="9.7109375" style="18" customWidth="1"/>
    <col min="14330" max="14330" width="14.42578125" style="18" customWidth="1"/>
    <col min="14331" max="14331" width="7.28515625" style="18" customWidth="1"/>
    <col min="14332" max="14332" width="5.5703125" style="18" customWidth="1"/>
    <col min="14333" max="14333" width="9" style="18" customWidth="1"/>
    <col min="14334" max="14335" width="9.7109375" style="18" customWidth="1"/>
    <col min="14336" max="14336" width="11.28515625" style="18" customWidth="1"/>
    <col min="14337" max="14337" width="2.7109375" style="18" customWidth="1"/>
    <col min="14338" max="14338" width="3.5703125" style="18" customWidth="1"/>
    <col min="14339" max="14583" width="9.28515625" style="18"/>
    <col min="14584" max="14584" width="8.7109375" style="18" customWidth="1"/>
    <col min="14585" max="14585" width="9.7109375" style="18" customWidth="1"/>
    <col min="14586" max="14586" width="14.42578125" style="18" customWidth="1"/>
    <col min="14587" max="14587" width="7.28515625" style="18" customWidth="1"/>
    <col min="14588" max="14588" width="5.5703125" style="18" customWidth="1"/>
    <col min="14589" max="14589" width="9" style="18" customWidth="1"/>
    <col min="14590" max="14591" width="9.7109375" style="18" customWidth="1"/>
    <col min="14592" max="14592" width="11.28515625" style="18" customWidth="1"/>
    <col min="14593" max="14593" width="2.7109375" style="18" customWidth="1"/>
    <col min="14594" max="14594" width="3.5703125" style="18" customWidth="1"/>
    <col min="14595" max="14839" width="9.28515625" style="18"/>
    <col min="14840" max="14840" width="8.7109375" style="18" customWidth="1"/>
    <col min="14841" max="14841" width="9.7109375" style="18" customWidth="1"/>
    <col min="14842" max="14842" width="14.42578125" style="18" customWidth="1"/>
    <col min="14843" max="14843" width="7.28515625" style="18" customWidth="1"/>
    <col min="14844" max="14844" width="5.5703125" style="18" customWidth="1"/>
    <col min="14845" max="14845" width="9" style="18" customWidth="1"/>
    <col min="14846" max="14847" width="9.7109375" style="18" customWidth="1"/>
    <col min="14848" max="14848" width="11.28515625" style="18" customWidth="1"/>
    <col min="14849" max="14849" width="2.7109375" style="18" customWidth="1"/>
    <col min="14850" max="14850" width="3.5703125" style="18" customWidth="1"/>
    <col min="14851" max="15095" width="9.28515625" style="18"/>
    <col min="15096" max="15096" width="8.7109375" style="18" customWidth="1"/>
    <col min="15097" max="15097" width="9.7109375" style="18" customWidth="1"/>
    <col min="15098" max="15098" width="14.42578125" style="18" customWidth="1"/>
    <col min="15099" max="15099" width="7.28515625" style="18" customWidth="1"/>
    <col min="15100" max="15100" width="5.5703125" style="18" customWidth="1"/>
    <col min="15101" max="15101" width="9" style="18" customWidth="1"/>
    <col min="15102" max="15103" width="9.7109375" style="18" customWidth="1"/>
    <col min="15104" max="15104" width="11.28515625" style="18" customWidth="1"/>
    <col min="15105" max="15105" width="2.7109375" style="18" customWidth="1"/>
    <col min="15106" max="15106" width="3.5703125" style="18" customWidth="1"/>
    <col min="15107" max="15351" width="9.28515625" style="18"/>
    <col min="15352" max="15352" width="8.7109375" style="18" customWidth="1"/>
    <col min="15353" max="15353" width="9.7109375" style="18" customWidth="1"/>
    <col min="15354" max="15354" width="14.42578125" style="18" customWidth="1"/>
    <col min="15355" max="15355" width="7.28515625" style="18" customWidth="1"/>
    <col min="15356" max="15356" width="5.5703125" style="18" customWidth="1"/>
    <col min="15357" max="15357" width="9" style="18" customWidth="1"/>
    <col min="15358" max="15359" width="9.7109375" style="18" customWidth="1"/>
    <col min="15360" max="15360" width="11.28515625" style="18" customWidth="1"/>
    <col min="15361" max="15361" width="2.7109375" style="18" customWidth="1"/>
    <col min="15362" max="15362" width="3.5703125" style="18" customWidth="1"/>
    <col min="15363" max="15607" width="9.28515625" style="18"/>
    <col min="15608" max="15608" width="8.7109375" style="18" customWidth="1"/>
    <col min="15609" max="15609" width="9.7109375" style="18" customWidth="1"/>
    <col min="15610" max="15610" width="14.42578125" style="18" customWidth="1"/>
    <col min="15611" max="15611" width="7.28515625" style="18" customWidth="1"/>
    <col min="15612" max="15612" width="5.5703125" style="18" customWidth="1"/>
    <col min="15613" max="15613" width="9" style="18" customWidth="1"/>
    <col min="15614" max="15615" width="9.7109375" style="18" customWidth="1"/>
    <col min="15616" max="15616" width="11.28515625" style="18" customWidth="1"/>
    <col min="15617" max="15617" width="2.7109375" style="18" customWidth="1"/>
    <col min="15618" max="15618" width="3.5703125" style="18" customWidth="1"/>
    <col min="15619" max="15863" width="9.28515625" style="18"/>
    <col min="15864" max="15864" width="8.7109375" style="18" customWidth="1"/>
    <col min="15865" max="15865" width="9.7109375" style="18" customWidth="1"/>
    <col min="15866" max="15866" width="14.42578125" style="18" customWidth="1"/>
    <col min="15867" max="15867" width="7.28515625" style="18" customWidth="1"/>
    <col min="15868" max="15868" width="5.5703125" style="18" customWidth="1"/>
    <col min="15869" max="15869" width="9" style="18" customWidth="1"/>
    <col min="15870" max="15871" width="9.7109375" style="18" customWidth="1"/>
    <col min="15872" max="15872" width="11.28515625" style="18" customWidth="1"/>
    <col min="15873" max="15873" width="2.7109375" style="18" customWidth="1"/>
    <col min="15874" max="15874" width="3.5703125" style="18" customWidth="1"/>
    <col min="15875" max="16119" width="9.28515625" style="18"/>
    <col min="16120" max="16120" width="8.7109375" style="18" customWidth="1"/>
    <col min="16121" max="16121" width="9.7109375" style="18" customWidth="1"/>
    <col min="16122" max="16122" width="14.42578125" style="18" customWidth="1"/>
    <col min="16123" max="16123" width="7.28515625" style="18" customWidth="1"/>
    <col min="16124" max="16124" width="5.5703125" style="18" customWidth="1"/>
    <col min="16125" max="16125" width="9" style="18" customWidth="1"/>
    <col min="16126" max="16127" width="9.7109375" style="18" customWidth="1"/>
    <col min="16128" max="16128" width="11.28515625" style="18" customWidth="1"/>
    <col min="16129" max="16129" width="2.7109375" style="18" customWidth="1"/>
    <col min="16130" max="16130" width="3.5703125" style="18" customWidth="1"/>
    <col min="16131" max="16384" width="9.28515625" style="18"/>
  </cols>
  <sheetData>
    <row r="1" spans="1:26" ht="46.5" customHeight="1" x14ac:dyDescent="0.25">
      <c r="A1" s="187" t="s">
        <v>162</v>
      </c>
      <c r="B1" s="187"/>
      <c r="C1" s="187"/>
      <c r="D1" s="187"/>
      <c r="E1" s="187"/>
      <c r="F1" s="187"/>
      <c r="G1" s="187"/>
      <c r="H1" s="187"/>
    </row>
    <row r="2" spans="1:26" ht="16.5" customHeight="1" x14ac:dyDescent="0.25">
      <c r="A2" s="188" t="s">
        <v>0</v>
      </c>
      <c r="B2" s="188"/>
      <c r="C2" s="188"/>
      <c r="D2" s="188"/>
      <c r="E2" s="188"/>
      <c r="F2" s="188"/>
      <c r="G2" s="188"/>
      <c r="H2" s="188"/>
    </row>
    <row r="3" spans="1:26" x14ac:dyDescent="0.25">
      <c r="A3" s="129" t="s">
        <v>1</v>
      </c>
      <c r="B3" s="129"/>
      <c r="C3" s="129"/>
      <c r="D3" s="129"/>
      <c r="E3" s="129" t="str">
        <f ca="1">TEXT(TODAY(),"DD/MM/YYYY")</f>
        <v>19/09/2025</v>
      </c>
      <c r="F3" s="129"/>
      <c r="G3" s="129"/>
      <c r="H3" s="129"/>
      <c r="K3" s="49" t="s">
        <v>234</v>
      </c>
      <c r="L3" s="48" t="s">
        <v>232</v>
      </c>
      <c r="M3" s="48" t="s">
        <v>237</v>
      </c>
      <c r="N3" s="48" t="s">
        <v>235</v>
      </c>
      <c r="O3" s="48" t="s">
        <v>236</v>
      </c>
      <c r="P3" s="48" t="s">
        <v>238</v>
      </c>
    </row>
    <row r="4" spans="1:26" ht="15" customHeight="1" x14ac:dyDescent="0.25">
      <c r="A4" s="129" t="s">
        <v>231</v>
      </c>
      <c r="B4" s="129"/>
      <c r="C4" s="129"/>
      <c r="D4" s="129"/>
      <c r="E4" s="129" t="s">
        <v>232</v>
      </c>
      <c r="F4" s="129"/>
      <c r="G4" s="129"/>
      <c r="H4" s="129"/>
      <c r="K4" s="47" t="s">
        <v>233</v>
      </c>
      <c r="L4" s="48" t="s">
        <v>168</v>
      </c>
      <c r="M4" s="48" t="s">
        <v>242</v>
      </c>
      <c r="N4" s="48" t="s">
        <v>244</v>
      </c>
      <c r="O4" s="48" t="s">
        <v>246</v>
      </c>
      <c r="P4" s="48"/>
    </row>
    <row r="5" spans="1:26" ht="15" customHeight="1" x14ac:dyDescent="0.25">
      <c r="A5" s="129" t="s">
        <v>2</v>
      </c>
      <c r="B5" s="129"/>
      <c r="C5" s="129"/>
      <c r="D5" s="129"/>
      <c r="E5" s="129" t="s">
        <v>168</v>
      </c>
      <c r="F5" s="129"/>
      <c r="G5" s="129"/>
      <c r="H5" s="129"/>
      <c r="K5" s="47"/>
      <c r="L5" s="48" t="s">
        <v>239</v>
      </c>
      <c r="M5" s="48" t="s">
        <v>243</v>
      </c>
      <c r="N5" s="48" t="s">
        <v>245</v>
      </c>
      <c r="O5" s="48" t="s">
        <v>247</v>
      </c>
      <c r="P5" s="48"/>
    </row>
    <row r="6" spans="1:26" x14ac:dyDescent="0.25">
      <c r="A6" s="129" t="s">
        <v>3</v>
      </c>
      <c r="B6" s="129"/>
      <c r="C6" s="129"/>
      <c r="D6" s="129"/>
      <c r="E6" s="189">
        <v>45909</v>
      </c>
      <c r="F6" s="129"/>
      <c r="G6" s="129"/>
      <c r="H6" s="129"/>
      <c r="K6" s="47"/>
      <c r="L6" s="48" t="s">
        <v>240</v>
      </c>
      <c r="M6" s="48"/>
      <c r="N6" s="48"/>
      <c r="O6" s="48" t="s">
        <v>248</v>
      </c>
      <c r="P6" s="48"/>
    </row>
    <row r="7" spans="1:26" ht="16.5" customHeight="1" x14ac:dyDescent="0.25">
      <c r="A7" s="129" t="s">
        <v>4</v>
      </c>
      <c r="B7" s="129"/>
      <c r="C7" s="129"/>
      <c r="D7" s="129"/>
      <c r="E7" s="128" t="s">
        <v>333</v>
      </c>
      <c r="F7" s="129"/>
      <c r="G7" s="129"/>
      <c r="H7" s="129"/>
      <c r="K7" s="47"/>
      <c r="L7" s="48" t="s">
        <v>241</v>
      </c>
      <c r="M7" s="48"/>
      <c r="N7" s="48"/>
      <c r="O7" s="48" t="s">
        <v>248</v>
      </c>
      <c r="P7" s="48"/>
    </row>
    <row r="8" spans="1:26" ht="15" customHeight="1" x14ac:dyDescent="0.25">
      <c r="A8" s="129" t="s">
        <v>5</v>
      </c>
      <c r="B8" s="129"/>
      <c r="C8" s="129"/>
      <c r="D8" s="129"/>
      <c r="E8" s="129" t="str">
        <f>E7</f>
        <v xml:space="preserve">Jsb Homemakers Private Limited
</v>
      </c>
      <c r="F8" s="129"/>
      <c r="G8" s="129"/>
      <c r="H8" s="129"/>
      <c r="K8" s="47"/>
      <c r="L8" s="48"/>
      <c r="M8" s="48"/>
      <c r="N8" s="48"/>
      <c r="O8" s="48" t="s">
        <v>249</v>
      </c>
      <c r="P8" s="48"/>
    </row>
    <row r="9" spans="1:26" x14ac:dyDescent="0.25">
      <c r="A9" s="129" t="s">
        <v>6</v>
      </c>
      <c r="B9" s="129"/>
      <c r="C9" s="129"/>
      <c r="D9" s="129"/>
      <c r="E9" s="185" t="s">
        <v>334</v>
      </c>
      <c r="F9" s="183"/>
      <c r="G9" s="183"/>
      <c r="H9" s="183"/>
      <c r="K9" s="47"/>
      <c r="L9" s="48"/>
      <c r="M9" s="48"/>
      <c r="N9" s="48"/>
      <c r="O9" s="48" t="s">
        <v>250</v>
      </c>
      <c r="P9" s="48"/>
    </row>
    <row r="10" spans="1:26" x14ac:dyDescent="0.25">
      <c r="A10" s="129" t="s">
        <v>165</v>
      </c>
      <c r="B10" s="129"/>
      <c r="C10" s="129"/>
      <c r="D10" s="129"/>
      <c r="E10" s="129">
        <v>7710986666</v>
      </c>
      <c r="F10" s="129"/>
      <c r="G10" s="129"/>
      <c r="H10" s="129"/>
      <c r="K10" s="47"/>
      <c r="L10" s="48"/>
      <c r="M10" s="48"/>
      <c r="N10" s="48"/>
      <c r="O10" s="48"/>
      <c r="P10" s="48"/>
    </row>
    <row r="11" spans="1:26" x14ac:dyDescent="0.25">
      <c r="A11" s="129" t="s">
        <v>166</v>
      </c>
      <c r="B11" s="129"/>
      <c r="C11" s="129"/>
      <c r="D11" s="129"/>
      <c r="E11" s="129" t="s">
        <v>375</v>
      </c>
      <c r="F11" s="129"/>
      <c r="G11" s="129"/>
      <c r="H11" s="129"/>
    </row>
    <row r="12" spans="1:26" x14ac:dyDescent="0.25">
      <c r="A12" s="129" t="s">
        <v>7</v>
      </c>
      <c r="B12" s="129"/>
      <c r="C12" s="129"/>
      <c r="D12" s="129"/>
      <c r="E12" s="129" t="s">
        <v>335</v>
      </c>
      <c r="F12" s="129"/>
      <c r="G12" s="129"/>
      <c r="H12" s="129"/>
    </row>
    <row r="13" spans="1:26" x14ac:dyDescent="0.25">
      <c r="A13" s="129" t="s">
        <v>169</v>
      </c>
      <c r="B13" s="129"/>
      <c r="C13" s="129"/>
      <c r="D13" s="129"/>
      <c r="E13" s="129" t="s">
        <v>28</v>
      </c>
      <c r="F13" s="129"/>
      <c r="G13" s="129"/>
      <c r="H13" s="129"/>
      <c r="S13" s="48" t="s">
        <v>177</v>
      </c>
      <c r="T13" s="48" t="s">
        <v>186</v>
      </c>
      <c r="U13" s="48" t="s">
        <v>170</v>
      </c>
      <c r="V13" s="48" t="s">
        <v>191</v>
      </c>
      <c r="W13" s="48" t="s">
        <v>209</v>
      </c>
      <c r="X13"/>
      <c r="Y13" t="s">
        <v>191</v>
      </c>
      <c r="Z13" t="e">
        <f ca="1">OFFSET($S$13,1,MATCH($G20,$S$13:$W$13,0)-1,15,1)</f>
        <v>#VALUE!</v>
      </c>
    </row>
    <row r="14" spans="1:26" x14ac:dyDescent="0.25">
      <c r="A14" s="109" t="s">
        <v>277</v>
      </c>
      <c r="B14" s="109"/>
      <c r="C14" s="109"/>
      <c r="D14" s="109"/>
      <c r="E14" s="128" t="s">
        <v>224</v>
      </c>
      <c r="F14" s="128"/>
      <c r="G14" s="128"/>
      <c r="H14" s="128"/>
      <c r="S14" s="48" t="s">
        <v>177</v>
      </c>
      <c r="T14" s="48" t="s">
        <v>184</v>
      </c>
      <c r="U14" s="48" t="s">
        <v>206</v>
      </c>
      <c r="V14" s="48" t="s">
        <v>192</v>
      </c>
      <c r="W14" s="48" t="s">
        <v>210</v>
      </c>
      <c r="X14"/>
      <c r="Y14"/>
      <c r="Z14"/>
    </row>
    <row r="15" spans="1:26" x14ac:dyDescent="0.25">
      <c r="A15" s="109" t="s">
        <v>8</v>
      </c>
      <c r="B15" s="109"/>
      <c r="C15" s="109"/>
      <c r="D15" s="109"/>
      <c r="E15" s="128" t="s">
        <v>336</v>
      </c>
      <c r="F15" s="129"/>
      <c r="G15" s="129"/>
      <c r="H15" s="129"/>
      <c r="I15" s="105" t="e">
        <f ca="1">OFFSET($D$5,1,MATCH($J13,$D$5:$H$5,0)-1,15,1)</f>
        <v>#N/A</v>
      </c>
      <c r="J15" s="106"/>
      <c r="K15" s="106"/>
      <c r="L15" s="106"/>
      <c r="M15" s="106"/>
      <c r="N15" s="106"/>
      <c r="O15" s="106"/>
      <c r="P15" s="106"/>
      <c r="S15" s="48" t="s">
        <v>178</v>
      </c>
      <c r="T15" s="48" t="s">
        <v>185</v>
      </c>
      <c r="U15" s="48" t="s">
        <v>207</v>
      </c>
      <c r="V15" s="48" t="s">
        <v>193</v>
      </c>
      <c r="W15" s="48" t="s">
        <v>223</v>
      </c>
      <c r="X15"/>
      <c r="Y15"/>
      <c r="Z15"/>
    </row>
    <row r="16" spans="1:26" ht="48.75" customHeight="1" x14ac:dyDescent="0.25">
      <c r="A16" s="113" t="s">
        <v>9</v>
      </c>
      <c r="B16" s="113"/>
      <c r="C16" s="113" t="str">
        <f>CONCATENATE((IF(OR(E9="",E9="NA"),"",E9)),", ",(IF(OR(A17="",A17="NA"),"",A17)),".",(IF(OR(C17="",C17="NA"),"",C17)),", near ",(IF(OR(C22="",C22="NA"),"",C22)),", ",(IF(OR(C19="",C19="NA"),"",C19)),", ",(IF(OR(C18="",C18="NA"),"",C18)),", ",(IF(OR(G19="",G19="NA"),"",G19)),", ",(IF(OR(C20="",C20="NA"),"",C20)),", ",(IF(OR(C21="",C21="NA"),"",C21)),", ",(IF(OR(G20="",G20="NA"),"",G20))," - ",(IF(OR(G21="",G21="NA"),"",G21)),".")</f>
        <v>Gokul Nakshatra, Survey No.164, 173, Hissa No.3/1, Survey No.188 Hissa No.C &amp; Survey No. 334, near Viva Swarganga, Bolinj Road, Bolinj, Bolinj, Virar West, Vasai, Palghar - 401303.</v>
      </c>
      <c r="D16" s="113"/>
      <c r="E16" s="113"/>
      <c r="F16" s="113"/>
      <c r="G16" s="113"/>
      <c r="H16" s="113"/>
      <c r="S16" s="48" t="s">
        <v>179</v>
      </c>
      <c r="T16" s="48" t="s">
        <v>187</v>
      </c>
      <c r="U16" s="48" t="s">
        <v>208</v>
      </c>
      <c r="V16" s="48" t="s">
        <v>194</v>
      </c>
      <c r="W16" s="48" t="s">
        <v>211</v>
      </c>
      <c r="X16"/>
      <c r="Y16"/>
      <c r="Z16"/>
    </row>
    <row r="17" spans="1:26" x14ac:dyDescent="0.25">
      <c r="A17" s="128" t="s">
        <v>389</v>
      </c>
      <c r="B17" s="128"/>
      <c r="C17" s="128" t="s">
        <v>337</v>
      </c>
      <c r="D17" s="128"/>
      <c r="E17" s="128"/>
      <c r="F17" s="128"/>
      <c r="G17" s="128"/>
      <c r="H17" s="128"/>
      <c r="S17" s="48" t="s">
        <v>180</v>
      </c>
      <c r="T17" s="48" t="s">
        <v>188</v>
      </c>
      <c r="U17" s="48" t="s">
        <v>170</v>
      </c>
      <c r="V17" s="48" t="s">
        <v>195</v>
      </c>
      <c r="W17" s="48" t="s">
        <v>212</v>
      </c>
      <c r="X17"/>
      <c r="Y17"/>
      <c r="Z17"/>
    </row>
    <row r="18" spans="1:26" ht="15.75" customHeight="1" x14ac:dyDescent="0.25">
      <c r="A18" s="128" t="s">
        <v>160</v>
      </c>
      <c r="B18" s="128"/>
      <c r="C18" s="128" t="s">
        <v>338</v>
      </c>
      <c r="D18" s="128"/>
      <c r="E18" s="128"/>
      <c r="F18" s="128"/>
      <c r="G18" s="128"/>
      <c r="H18" s="128"/>
      <c r="S18" s="48" t="s">
        <v>181</v>
      </c>
      <c r="T18" s="48" t="s">
        <v>186</v>
      </c>
      <c r="U18" s="48"/>
      <c r="V18" s="48" t="s">
        <v>196</v>
      </c>
      <c r="W18" s="48" t="s">
        <v>213</v>
      </c>
      <c r="X18"/>
      <c r="Y18"/>
      <c r="Z18"/>
    </row>
    <row r="19" spans="1:26" ht="15.75" customHeight="1" x14ac:dyDescent="0.25">
      <c r="A19" s="113" t="s">
        <v>10</v>
      </c>
      <c r="B19" s="113"/>
      <c r="C19" s="129" t="s">
        <v>376</v>
      </c>
      <c r="D19" s="129"/>
      <c r="E19" s="113" t="s">
        <v>68</v>
      </c>
      <c r="F19" s="113"/>
      <c r="G19" s="128" t="s">
        <v>338</v>
      </c>
      <c r="H19" s="128"/>
      <c r="S19" s="48" t="s">
        <v>182</v>
      </c>
      <c r="T19" s="48" t="s">
        <v>189</v>
      </c>
      <c r="U19" s="48"/>
      <c r="V19" s="48" t="s">
        <v>197</v>
      </c>
      <c r="W19" s="48" t="s">
        <v>214</v>
      </c>
      <c r="X19"/>
      <c r="Y19"/>
      <c r="Z19"/>
    </row>
    <row r="20" spans="1:26" x14ac:dyDescent="0.25">
      <c r="A20" s="109" t="s">
        <v>12</v>
      </c>
      <c r="B20" s="109"/>
      <c r="C20" s="128" t="s">
        <v>377</v>
      </c>
      <c r="D20" s="128"/>
      <c r="E20" s="113" t="s">
        <v>11</v>
      </c>
      <c r="F20" s="113"/>
      <c r="G20" s="193" t="s">
        <v>186</v>
      </c>
      <c r="H20" s="193"/>
      <c r="S20" s="48" t="s">
        <v>183</v>
      </c>
      <c r="T20" s="48" t="s">
        <v>190</v>
      </c>
      <c r="U20" s="48"/>
      <c r="V20" s="48" t="s">
        <v>198</v>
      </c>
      <c r="W20" s="48" t="s">
        <v>215</v>
      </c>
      <c r="X20"/>
      <c r="Y20"/>
      <c r="Z20"/>
    </row>
    <row r="21" spans="1:26" x14ac:dyDescent="0.25">
      <c r="A21" s="109" t="s">
        <v>69</v>
      </c>
      <c r="B21" s="109"/>
      <c r="C21" s="128" t="s">
        <v>187</v>
      </c>
      <c r="D21" s="128"/>
      <c r="E21" s="113" t="s">
        <v>13</v>
      </c>
      <c r="F21" s="113"/>
      <c r="G21" s="128">
        <v>401303</v>
      </c>
      <c r="H21" s="128"/>
      <c r="S21" s="48"/>
      <c r="T21" s="48"/>
      <c r="U21" s="48"/>
      <c r="V21" s="48" t="s">
        <v>199</v>
      </c>
      <c r="W21" s="48" t="s">
        <v>216</v>
      </c>
      <c r="X21"/>
      <c r="Y21"/>
      <c r="Z21"/>
    </row>
    <row r="22" spans="1:26" ht="32.25" customHeight="1" x14ac:dyDescent="0.25">
      <c r="A22" s="109" t="s">
        <v>116</v>
      </c>
      <c r="B22" s="109"/>
      <c r="C22" s="128" t="s">
        <v>378</v>
      </c>
      <c r="D22" s="128"/>
      <c r="E22" s="113" t="s">
        <v>14</v>
      </c>
      <c r="F22" s="113"/>
      <c r="G22" s="128" t="s">
        <v>379</v>
      </c>
      <c r="H22" s="128"/>
      <c r="S22" s="48"/>
      <c r="T22" s="48"/>
      <c r="U22" s="48"/>
      <c r="V22" s="48" t="s">
        <v>200</v>
      </c>
      <c r="W22" s="48" t="s">
        <v>217</v>
      </c>
      <c r="X22"/>
      <c r="Y22"/>
      <c r="Z22"/>
    </row>
    <row r="23" spans="1:26" ht="15" customHeight="1" x14ac:dyDescent="0.25">
      <c r="A23" s="113" t="s">
        <v>70</v>
      </c>
      <c r="B23" s="113"/>
      <c r="C23" s="113"/>
      <c r="D23" s="113"/>
      <c r="E23" s="129" t="s">
        <v>15</v>
      </c>
      <c r="F23" s="129"/>
      <c r="G23" s="129"/>
      <c r="H23" s="129"/>
      <c r="S23" s="48"/>
      <c r="T23" s="48"/>
      <c r="U23" s="48"/>
      <c r="V23" s="48" t="s">
        <v>201</v>
      </c>
      <c r="W23" s="48" t="s">
        <v>218</v>
      </c>
      <c r="X23"/>
      <c r="Y23"/>
      <c r="Z23"/>
    </row>
    <row r="24" spans="1:26" ht="18.75" customHeight="1" x14ac:dyDescent="0.25">
      <c r="A24" s="113"/>
      <c r="B24" s="113"/>
      <c r="C24" s="113"/>
      <c r="D24" s="113"/>
      <c r="E24" s="129"/>
      <c r="F24" s="129"/>
      <c r="G24" s="129"/>
      <c r="H24" s="129"/>
      <c r="S24" s="48"/>
      <c r="T24" s="48"/>
      <c r="U24" s="48"/>
      <c r="V24" s="48" t="s">
        <v>202</v>
      </c>
      <c r="W24" s="48" t="s">
        <v>219</v>
      </c>
      <c r="X24"/>
      <c r="Y24"/>
      <c r="Z24"/>
    </row>
    <row r="25" spans="1:26" ht="15" customHeight="1" x14ac:dyDescent="0.25">
      <c r="A25" s="113" t="s">
        <v>16</v>
      </c>
      <c r="B25" s="113"/>
      <c r="C25" s="113"/>
      <c r="D25" s="113"/>
      <c r="E25" s="128" t="s">
        <v>17</v>
      </c>
      <c r="F25" s="128"/>
      <c r="G25" s="128"/>
      <c r="H25" s="128"/>
      <c r="S25" s="48"/>
      <c r="T25" s="48"/>
      <c r="U25" s="48"/>
      <c r="V25" s="48" t="s">
        <v>203</v>
      </c>
      <c r="W25" s="48" t="s">
        <v>220</v>
      </c>
      <c r="X25"/>
      <c r="Y25"/>
      <c r="Z25"/>
    </row>
    <row r="26" spans="1:26" ht="15" customHeight="1" x14ac:dyDescent="0.25">
      <c r="A26" s="109" t="s">
        <v>18</v>
      </c>
      <c r="B26" s="109"/>
      <c r="C26" s="109"/>
      <c r="D26" s="109"/>
      <c r="E26" s="128" t="str">
        <f>IF(AND(G20="Mumbai"),"Upper Class","Middle Class")</f>
        <v>Middle Class</v>
      </c>
      <c r="F26" s="128"/>
      <c r="G26" s="128"/>
      <c r="H26" s="128"/>
      <c r="S26" s="48"/>
      <c r="T26" s="48"/>
      <c r="U26" s="48"/>
      <c r="V26" s="48" t="s">
        <v>204</v>
      </c>
      <c r="W26" s="48" t="s">
        <v>221</v>
      </c>
      <c r="X26"/>
      <c r="Y26"/>
      <c r="Z26"/>
    </row>
    <row r="27" spans="1:26" x14ac:dyDescent="0.25">
      <c r="A27" s="109" t="s">
        <v>19</v>
      </c>
      <c r="B27" s="109"/>
      <c r="C27" s="109"/>
      <c r="D27" s="109"/>
      <c r="E27" s="128" t="s">
        <v>20</v>
      </c>
      <c r="F27" s="128"/>
      <c r="G27" s="128"/>
      <c r="H27" s="128"/>
      <c r="S27" s="48"/>
      <c r="T27" s="48"/>
      <c r="U27" s="48"/>
      <c r="V27" s="48" t="s">
        <v>205</v>
      </c>
      <c r="W27" s="48" t="s">
        <v>222</v>
      </c>
      <c r="X27"/>
      <c r="Y27"/>
      <c r="Z27"/>
    </row>
    <row r="28" spans="1:26" ht="15.75" customHeight="1" x14ac:dyDescent="0.25">
      <c r="A28" s="109" t="s">
        <v>21</v>
      </c>
      <c r="B28" s="109"/>
      <c r="C28" s="109"/>
      <c r="D28" s="109"/>
      <c r="E28" s="128" t="str">
        <f>IF(AND(G20="Mumbai"),"Developed","Developing")</f>
        <v>Developing</v>
      </c>
      <c r="F28" s="128"/>
      <c r="G28" s="128"/>
      <c r="H28" s="128"/>
    </row>
    <row r="29" spans="1:26" x14ac:dyDescent="0.25">
      <c r="A29" s="109" t="s">
        <v>22</v>
      </c>
      <c r="B29" s="109"/>
      <c r="C29" s="109"/>
      <c r="D29" s="109"/>
      <c r="E29" s="128" t="s">
        <v>23</v>
      </c>
      <c r="F29" s="128"/>
      <c r="G29" s="128"/>
      <c r="H29" s="128"/>
    </row>
    <row r="30" spans="1:26" ht="15.75" customHeight="1" x14ac:dyDescent="0.25">
      <c r="A30" s="109" t="s">
        <v>75</v>
      </c>
      <c r="B30" s="109"/>
      <c r="C30" s="109"/>
      <c r="D30" s="109"/>
      <c r="E30" s="128" t="s">
        <v>76</v>
      </c>
      <c r="F30" s="128"/>
      <c r="G30" s="128"/>
      <c r="H30" s="128"/>
    </row>
    <row r="31" spans="1:26" ht="15" customHeight="1" x14ac:dyDescent="0.25">
      <c r="A31" s="109" t="s">
        <v>30</v>
      </c>
      <c r="B31" s="109"/>
      <c r="C31" s="109"/>
      <c r="D31" s="109"/>
      <c r="E31" s="12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8"/>
      <c r="G31" s="128"/>
      <c r="H31" s="128"/>
    </row>
    <row r="32" spans="1:26" ht="15.75" customHeight="1" x14ac:dyDescent="0.25">
      <c r="A32" s="109" t="s">
        <v>87</v>
      </c>
      <c r="B32" s="109"/>
      <c r="C32" s="109"/>
      <c r="D32" s="109"/>
      <c r="E32" s="128" t="s">
        <v>31</v>
      </c>
      <c r="F32" s="128"/>
      <c r="G32" s="128"/>
      <c r="H32" s="128"/>
    </row>
    <row r="33" spans="1:19" s="19" customFormat="1" x14ac:dyDescent="0.25">
      <c r="A33" s="198" t="s">
        <v>88</v>
      </c>
      <c r="B33" s="198"/>
      <c r="C33" s="195" t="s">
        <v>171</v>
      </c>
      <c r="D33" s="196"/>
      <c r="E33" s="197"/>
      <c r="F33" s="195" t="s">
        <v>29</v>
      </c>
      <c r="G33" s="196"/>
      <c r="H33" s="197"/>
      <c r="S33" s="19" t="e">
        <f ca="1">OFFSET($S$13,1,MATCH($G20,$S$13:$W$13,0)-1,15,1)</f>
        <v>#VALUE!</v>
      </c>
    </row>
    <row r="34" spans="1:19" s="19" customFormat="1" x14ac:dyDescent="0.25">
      <c r="A34" s="194" t="s">
        <v>24</v>
      </c>
      <c r="B34" s="194" t="s">
        <v>28</v>
      </c>
      <c r="C34" s="190" t="s">
        <v>382</v>
      </c>
      <c r="D34" s="191"/>
      <c r="E34" s="192"/>
      <c r="F34" s="190" t="s">
        <v>10</v>
      </c>
      <c r="G34" s="191"/>
      <c r="H34" s="192"/>
    </row>
    <row r="35" spans="1:19" x14ac:dyDescent="0.25">
      <c r="A35" s="194" t="s">
        <v>25</v>
      </c>
      <c r="B35" s="194" t="s">
        <v>28</v>
      </c>
      <c r="C35" s="190" t="s">
        <v>384</v>
      </c>
      <c r="D35" s="191"/>
      <c r="E35" s="192"/>
      <c r="F35" s="190" t="s">
        <v>385</v>
      </c>
      <c r="G35" s="191"/>
      <c r="H35" s="192"/>
    </row>
    <row r="36" spans="1:19" s="19" customFormat="1" x14ac:dyDescent="0.25">
      <c r="A36" s="194" t="s">
        <v>27</v>
      </c>
      <c r="B36" s="194" t="s">
        <v>28</v>
      </c>
      <c r="C36" s="190" t="s">
        <v>380</v>
      </c>
      <c r="D36" s="191"/>
      <c r="E36" s="192"/>
      <c r="F36" s="190" t="s">
        <v>381</v>
      </c>
      <c r="G36" s="191"/>
      <c r="H36" s="192"/>
    </row>
    <row r="37" spans="1:19" x14ac:dyDescent="0.25">
      <c r="A37" s="194" t="s">
        <v>26</v>
      </c>
      <c r="B37" s="194" t="s">
        <v>28</v>
      </c>
      <c r="C37" s="190" t="s">
        <v>383</v>
      </c>
      <c r="D37" s="191"/>
      <c r="E37" s="192"/>
      <c r="F37" s="190" t="s">
        <v>376</v>
      </c>
      <c r="G37" s="191"/>
      <c r="H37" s="192"/>
    </row>
    <row r="38" spans="1:19" x14ac:dyDescent="0.25">
      <c r="A38" s="109" t="s">
        <v>278</v>
      </c>
      <c r="B38" s="109"/>
      <c r="C38" s="109"/>
      <c r="D38" s="109"/>
      <c r="E38" s="109"/>
      <c r="F38" s="109"/>
      <c r="G38" s="109"/>
      <c r="H38" s="109"/>
    </row>
    <row r="39" spans="1:19" ht="15.75" customHeight="1" x14ac:dyDescent="0.25">
      <c r="A39" s="109" t="s">
        <v>163</v>
      </c>
      <c r="B39" s="109"/>
      <c r="C39" s="180" t="s">
        <v>386</v>
      </c>
      <c r="D39" s="180"/>
      <c r="E39" s="180"/>
      <c r="F39" s="180"/>
      <c r="G39" s="180"/>
      <c r="H39" s="180"/>
    </row>
    <row r="40" spans="1:19" x14ac:dyDescent="0.25">
      <c r="A40" s="109" t="s">
        <v>159</v>
      </c>
      <c r="B40" s="109"/>
      <c r="C40" s="217" t="s">
        <v>387</v>
      </c>
      <c r="D40" s="128"/>
      <c r="E40" s="128"/>
      <c r="F40" s="128"/>
      <c r="G40" s="128"/>
      <c r="H40" s="128"/>
    </row>
    <row r="41" spans="1:19" x14ac:dyDescent="0.25">
      <c r="A41" s="180" t="s">
        <v>32</v>
      </c>
      <c r="B41" s="180"/>
      <c r="C41" s="180"/>
      <c r="D41" s="180"/>
      <c r="E41" s="180"/>
      <c r="F41" s="180"/>
      <c r="G41" s="180"/>
      <c r="H41" s="180"/>
    </row>
    <row r="42" spans="1:19" x14ac:dyDescent="0.25">
      <c r="A42" s="109" t="s">
        <v>33</v>
      </c>
      <c r="B42" s="109"/>
      <c r="C42" s="109"/>
      <c r="D42" s="109"/>
      <c r="E42" s="202">
        <v>142975.26</v>
      </c>
      <c r="F42" s="202"/>
      <c r="G42" s="202"/>
      <c r="H42" s="202"/>
    </row>
    <row r="43" spans="1:19" x14ac:dyDescent="0.25">
      <c r="A43" s="109" t="s">
        <v>34</v>
      </c>
      <c r="B43" s="109"/>
      <c r="C43" s="109"/>
      <c r="D43" s="109"/>
      <c r="E43" s="115">
        <f>157272.79/E42</f>
        <v>1.1000000279768682</v>
      </c>
      <c r="F43" s="115"/>
      <c r="G43" s="115"/>
      <c r="H43" s="115"/>
    </row>
    <row r="44" spans="1:19" x14ac:dyDescent="0.25">
      <c r="A44" s="109" t="s">
        <v>35</v>
      </c>
      <c r="B44" s="109"/>
      <c r="C44" s="109"/>
      <c r="D44" s="109"/>
      <c r="E44" s="115">
        <f>E46/E42-E43</f>
        <v>0.2323886664028445</v>
      </c>
      <c r="F44" s="115"/>
      <c r="G44" s="115"/>
      <c r="H44" s="115"/>
    </row>
    <row r="45" spans="1:19" x14ac:dyDescent="0.25">
      <c r="A45" s="109" t="s">
        <v>36</v>
      </c>
      <c r="B45" s="109"/>
      <c r="C45" s="109"/>
      <c r="D45" s="109"/>
      <c r="E45" s="115">
        <f>E43+E44</f>
        <v>1.3323886943797127</v>
      </c>
      <c r="F45" s="115"/>
      <c r="G45" s="115"/>
      <c r="H45" s="115"/>
    </row>
    <row r="46" spans="1:19" x14ac:dyDescent="0.25">
      <c r="A46" s="109" t="s">
        <v>86</v>
      </c>
      <c r="B46" s="109"/>
      <c r="C46" s="109"/>
      <c r="D46" s="109"/>
      <c r="E46" s="206">
        <v>190498.62</v>
      </c>
      <c r="F46" s="206"/>
      <c r="G46" s="206"/>
      <c r="H46" s="206"/>
    </row>
    <row r="47" spans="1:19" x14ac:dyDescent="0.25">
      <c r="A47" s="129" t="s">
        <v>37</v>
      </c>
      <c r="B47" s="129"/>
      <c r="C47" s="129"/>
      <c r="D47" s="129"/>
      <c r="E47" s="129" t="s">
        <v>339</v>
      </c>
      <c r="F47" s="129"/>
      <c r="G47" s="129"/>
      <c r="H47" s="129"/>
    </row>
    <row r="48" spans="1:19" x14ac:dyDescent="0.25">
      <c r="A48" s="180" t="s">
        <v>38</v>
      </c>
      <c r="B48" s="180"/>
      <c r="C48" s="180"/>
      <c r="D48" s="180"/>
      <c r="E48" s="180"/>
      <c r="F48" s="180"/>
      <c r="G48" s="180"/>
      <c r="H48" s="180"/>
    </row>
    <row r="49" spans="1:24" ht="33.75" customHeight="1" x14ac:dyDescent="0.25">
      <c r="A49" s="122" t="s">
        <v>148</v>
      </c>
      <c r="B49" s="123"/>
      <c r="C49" s="221" t="s">
        <v>273</v>
      </c>
      <c r="D49" s="222"/>
      <c r="E49" s="222"/>
      <c r="F49" s="222"/>
      <c r="G49" s="222"/>
      <c r="H49" s="223"/>
      <c r="R49" t="s">
        <v>251</v>
      </c>
      <c r="S49" t="s">
        <v>170</v>
      </c>
      <c r="T49" t="s">
        <v>177</v>
      </c>
      <c r="U49" t="s">
        <v>191</v>
      </c>
      <c r="V49" t="s">
        <v>186</v>
      </c>
    </row>
    <row r="50" spans="1:24" ht="32.25" customHeight="1" x14ac:dyDescent="0.25">
      <c r="A50" s="122" t="s">
        <v>39</v>
      </c>
      <c r="B50" s="123"/>
      <c r="C50" s="122" t="s">
        <v>340</v>
      </c>
      <c r="D50" s="124"/>
      <c r="E50" s="123"/>
      <c r="F50" s="17" t="s">
        <v>40</v>
      </c>
      <c r="G50" s="125">
        <v>45338</v>
      </c>
      <c r="H50" s="123"/>
      <c r="R50"/>
      <c r="S50" t="s">
        <v>252</v>
      </c>
      <c r="T50" t="s">
        <v>257</v>
      </c>
      <c r="U50" t="s">
        <v>268</v>
      </c>
      <c r="V50" t="s">
        <v>273</v>
      </c>
    </row>
    <row r="51" spans="1:24" ht="31.5" customHeight="1" x14ac:dyDescent="0.25">
      <c r="A51" s="122" t="s">
        <v>41</v>
      </c>
      <c r="B51" s="123"/>
      <c r="C51" s="122" t="str">
        <f>C50</f>
        <v>VVCMC/TP/AMEND/VP/0369/272/ 2023-24</v>
      </c>
      <c r="D51" s="124"/>
      <c r="E51" s="123"/>
      <c r="F51" s="17" t="s">
        <v>40</v>
      </c>
      <c r="G51" s="125">
        <f>G50</f>
        <v>45338</v>
      </c>
      <c r="H51" s="126"/>
      <c r="R51"/>
      <c r="S51" t="s">
        <v>253</v>
      </c>
      <c r="T51" t="s">
        <v>258</v>
      </c>
      <c r="U51" t="s">
        <v>266</v>
      </c>
      <c r="V51" t="s">
        <v>274</v>
      </c>
    </row>
    <row r="52" spans="1:24" s="20" customFormat="1" x14ac:dyDescent="0.25">
      <c r="A52" s="140" t="s">
        <v>152</v>
      </c>
      <c r="B52" s="141"/>
      <c r="C52" s="122" t="s">
        <v>341</v>
      </c>
      <c r="D52" s="124"/>
      <c r="E52" s="123"/>
      <c r="F52" s="17" t="s">
        <v>40</v>
      </c>
      <c r="G52" s="125">
        <f>G51</f>
        <v>45338</v>
      </c>
      <c r="H52" s="126"/>
      <c r="R52"/>
      <c r="S52" t="s">
        <v>254</v>
      </c>
      <c r="T52" t="s">
        <v>259</v>
      </c>
      <c r="U52" t="s">
        <v>256</v>
      </c>
      <c r="V52" t="s">
        <v>275</v>
      </c>
    </row>
    <row r="53" spans="1:24" s="20" customFormat="1" x14ac:dyDescent="0.25">
      <c r="A53" s="142"/>
      <c r="B53" s="143"/>
      <c r="C53" s="122" t="s">
        <v>342</v>
      </c>
      <c r="D53" s="124"/>
      <c r="E53" s="124"/>
      <c r="F53" s="124"/>
      <c r="G53" s="124"/>
      <c r="H53" s="123"/>
      <c r="R53"/>
      <c r="S53" t="s">
        <v>255</v>
      </c>
      <c r="T53" t="s">
        <v>262</v>
      </c>
      <c r="U53" t="s">
        <v>269</v>
      </c>
    </row>
    <row r="54" spans="1:24" s="20" customFormat="1" x14ac:dyDescent="0.25">
      <c r="A54" s="132" t="s">
        <v>279</v>
      </c>
      <c r="B54" s="133"/>
      <c r="C54" s="122" t="s">
        <v>399</v>
      </c>
      <c r="D54" s="124"/>
      <c r="E54" s="123"/>
      <c r="F54" s="17" t="s">
        <v>40</v>
      </c>
      <c r="G54" s="125">
        <v>44930</v>
      </c>
      <c r="H54" s="123"/>
      <c r="R54"/>
      <c r="S54" t="s">
        <v>254</v>
      </c>
      <c r="T54" t="s">
        <v>259</v>
      </c>
      <c r="U54" t="s">
        <v>256</v>
      </c>
      <c r="V54" t="s">
        <v>275</v>
      </c>
    </row>
    <row r="55" spans="1:24" s="20" customFormat="1" ht="32.25" customHeight="1" x14ac:dyDescent="0.25">
      <c r="A55" s="134"/>
      <c r="B55" s="135"/>
      <c r="C55" s="218" t="s">
        <v>400</v>
      </c>
      <c r="D55" s="219"/>
      <c r="E55" s="219"/>
      <c r="F55" s="219"/>
      <c r="G55" s="219"/>
      <c r="H55" s="220"/>
      <c r="R55"/>
      <c r="S55" t="s">
        <v>256</v>
      </c>
      <c r="T55" t="s">
        <v>260</v>
      </c>
      <c r="U55" t="s">
        <v>270</v>
      </c>
      <c r="V55" s="18"/>
      <c r="W55" s="18"/>
      <c r="X55" s="18"/>
    </row>
    <row r="56" spans="1:24" s="20" customFormat="1" ht="34.5" customHeight="1" x14ac:dyDescent="0.25">
      <c r="A56" s="132" t="s">
        <v>280</v>
      </c>
      <c r="B56" s="133"/>
      <c r="C56" s="122" t="s">
        <v>397</v>
      </c>
      <c r="D56" s="124"/>
      <c r="E56" s="123"/>
      <c r="F56" s="17" t="s">
        <v>40</v>
      </c>
      <c r="G56" s="125">
        <v>41451</v>
      </c>
      <c r="H56" s="123"/>
      <c r="R56"/>
      <c r="S56" s="18"/>
      <c r="T56" t="s">
        <v>261</v>
      </c>
      <c r="U56" t="s">
        <v>271</v>
      </c>
      <c r="V56" s="18"/>
      <c r="W56" s="18"/>
      <c r="X56" s="18"/>
    </row>
    <row r="57" spans="1:24" s="20" customFormat="1" ht="32.25" customHeight="1" x14ac:dyDescent="0.25">
      <c r="A57" s="134"/>
      <c r="B57" s="135"/>
      <c r="C57" s="122" t="s">
        <v>398</v>
      </c>
      <c r="D57" s="124"/>
      <c r="E57" s="124"/>
      <c r="F57" s="124"/>
      <c r="G57" s="124"/>
      <c r="H57" s="123"/>
      <c r="R57"/>
      <c r="S57" s="18"/>
      <c r="T57" t="s">
        <v>263</v>
      </c>
      <c r="U57" t="s">
        <v>272</v>
      </c>
      <c r="V57" s="18"/>
      <c r="W57" s="18"/>
      <c r="X57" s="18"/>
    </row>
    <row r="58" spans="1:24" s="20" customFormat="1" ht="15.75" hidden="1" customHeight="1" x14ac:dyDescent="0.25">
      <c r="A58" s="136" t="s">
        <v>281</v>
      </c>
      <c r="B58" s="137"/>
      <c r="C58" s="122" t="str">
        <f>C57</f>
        <v>Survey No.334, New Survey No.164, Survey No.173, Hissa No.371, Survey No.188, Hissa No.6/2</v>
      </c>
      <c r="D58" s="124"/>
      <c r="E58" s="123"/>
      <c r="F58" s="17" t="s">
        <v>40</v>
      </c>
      <c r="G58" s="122">
        <f>G57</f>
        <v>0</v>
      </c>
      <c r="H58" s="123"/>
      <c r="R58"/>
      <c r="S58" s="18"/>
      <c r="T58" t="s">
        <v>264</v>
      </c>
      <c r="U58" s="18" t="s">
        <v>295</v>
      </c>
      <c r="V58" s="18"/>
      <c r="W58" s="18"/>
      <c r="X58" s="18"/>
    </row>
    <row r="59" spans="1:24" s="20" customFormat="1" ht="33.75" hidden="1" customHeight="1" x14ac:dyDescent="0.25">
      <c r="A59" s="138"/>
      <c r="B59" s="139"/>
      <c r="C59" s="122"/>
      <c r="D59" s="124"/>
      <c r="E59" s="124"/>
      <c r="F59" s="124"/>
      <c r="G59" s="124"/>
      <c r="H59" s="123"/>
      <c r="R59"/>
      <c r="S59" s="18"/>
      <c r="T59" t="s">
        <v>265</v>
      </c>
      <c r="U59" s="18"/>
      <c r="V59" s="18"/>
      <c r="W59" s="18"/>
      <c r="X59" s="18"/>
    </row>
    <row r="60" spans="1:24" x14ac:dyDescent="0.25">
      <c r="A60" s="110" t="s">
        <v>42</v>
      </c>
      <c r="B60" s="111"/>
      <c r="C60" s="110" t="s">
        <v>99</v>
      </c>
      <c r="D60" s="112"/>
      <c r="E60" s="111"/>
      <c r="F60" s="40" t="s">
        <v>40</v>
      </c>
      <c r="G60" s="130" t="s">
        <v>28</v>
      </c>
      <c r="H60" s="131"/>
      <c r="R60"/>
      <c r="T60" t="s">
        <v>267</v>
      </c>
    </row>
    <row r="61" spans="1:24" x14ac:dyDescent="0.25">
      <c r="A61" s="127" t="s">
        <v>44</v>
      </c>
      <c r="B61" s="127"/>
      <c r="C61" s="127"/>
      <c r="D61" s="127"/>
      <c r="E61" s="127"/>
      <c r="F61" s="127"/>
      <c r="G61" s="127"/>
      <c r="H61" s="127"/>
      <c r="T61" t="s">
        <v>276</v>
      </c>
    </row>
    <row r="62" spans="1:24" x14ac:dyDescent="0.25">
      <c r="A62" s="113" t="s">
        <v>85</v>
      </c>
      <c r="B62" s="113"/>
      <c r="C62" s="113"/>
      <c r="D62" s="109">
        <f>E46</f>
        <v>190498.62</v>
      </c>
      <c r="E62" s="109"/>
      <c r="F62" s="109"/>
      <c r="G62" s="109"/>
      <c r="H62" s="109"/>
      <c r="R62"/>
    </row>
    <row r="63" spans="1:24" x14ac:dyDescent="0.25">
      <c r="A63" s="128" t="s">
        <v>45</v>
      </c>
      <c r="B63" s="129"/>
      <c r="C63" s="129"/>
      <c r="D63" s="129" t="s">
        <v>392</v>
      </c>
      <c r="E63" s="129"/>
      <c r="F63" s="129"/>
      <c r="G63" s="129"/>
      <c r="H63" s="129"/>
      <c r="I63" s="21"/>
      <c r="R63"/>
    </row>
    <row r="64" spans="1:24" x14ac:dyDescent="0.25">
      <c r="A64" s="132" t="s">
        <v>46</v>
      </c>
      <c r="B64" s="147"/>
      <c r="C64" s="133"/>
      <c r="D64" s="186" t="s">
        <v>393</v>
      </c>
      <c r="E64" s="215"/>
      <c r="F64" s="215"/>
      <c r="G64" s="215"/>
      <c r="H64" s="215"/>
      <c r="R64"/>
    </row>
    <row r="65" spans="1:19" ht="15.75" customHeight="1" x14ac:dyDescent="0.25">
      <c r="A65" s="132" t="s">
        <v>83</v>
      </c>
      <c r="B65" s="147"/>
      <c r="C65" s="147"/>
      <c r="D65" s="128" t="s">
        <v>393</v>
      </c>
      <c r="E65" s="129"/>
      <c r="F65" s="129"/>
      <c r="G65" s="129"/>
      <c r="H65" s="129"/>
      <c r="R65"/>
    </row>
    <row r="66" spans="1:19" ht="15.75" hidden="1" customHeight="1" x14ac:dyDescent="0.25">
      <c r="A66" s="148"/>
      <c r="B66" s="149"/>
      <c r="C66" s="149"/>
      <c r="D66" s="151" t="s">
        <v>394</v>
      </c>
      <c r="E66" s="152"/>
      <c r="F66" s="152"/>
      <c r="G66" s="152"/>
      <c r="H66" s="153"/>
      <c r="R66"/>
    </row>
    <row r="67" spans="1:19" ht="15.75" hidden="1" customHeight="1" x14ac:dyDescent="0.25">
      <c r="A67" s="134"/>
      <c r="B67" s="150"/>
      <c r="C67" s="150"/>
      <c r="D67" s="144" t="s">
        <v>395</v>
      </c>
      <c r="E67" s="145"/>
      <c r="F67" s="145"/>
      <c r="G67" s="145"/>
      <c r="H67" s="146"/>
      <c r="S67"/>
    </row>
    <row r="68" spans="1:19" ht="15.75" customHeight="1" x14ac:dyDescent="0.25">
      <c r="A68" s="109" t="s">
        <v>43</v>
      </c>
      <c r="B68" s="109"/>
      <c r="C68" s="109"/>
      <c r="D68" s="203" t="s">
        <v>343</v>
      </c>
      <c r="E68" s="203"/>
      <c r="F68" s="203"/>
      <c r="G68" s="203"/>
      <c r="H68" s="203"/>
      <c r="J68" s="22"/>
      <c r="K68" s="21"/>
      <c r="N68" s="21"/>
      <c r="S68"/>
    </row>
    <row r="69" spans="1:19" ht="15.75" customHeight="1" x14ac:dyDescent="0.25">
      <c r="A69" s="109" t="s">
        <v>81</v>
      </c>
      <c r="B69" s="109"/>
      <c r="C69" s="109"/>
      <c r="D69" s="205" t="str">
        <f>(IF(G60="NA","60 Years After Completion",IF(G60&lt;&gt;"NA",""&amp;60-ROUNDDOWN((E3-G60)/360,0)&amp;" Years"," ")))</f>
        <v>60 Years After Completion</v>
      </c>
      <c r="E69" s="205"/>
      <c r="F69" s="205"/>
      <c r="G69" s="205"/>
      <c r="H69" s="205"/>
      <c r="N69" s="21"/>
      <c r="S69"/>
    </row>
    <row r="70" spans="1:19" ht="15.75" customHeight="1" x14ac:dyDescent="0.25">
      <c r="A70" s="109" t="s">
        <v>82</v>
      </c>
      <c r="B70" s="109"/>
      <c r="C70" s="109"/>
      <c r="D70" s="113" t="s">
        <v>23</v>
      </c>
      <c r="E70" s="113"/>
      <c r="F70" s="113"/>
      <c r="G70" s="113"/>
      <c r="H70" s="113"/>
      <c r="J70" s="23"/>
      <c r="K70" s="23"/>
      <c r="S70"/>
    </row>
    <row r="71" spans="1:19" ht="33.75" customHeight="1" x14ac:dyDescent="0.25">
      <c r="A71" s="129" t="s">
        <v>390</v>
      </c>
      <c r="B71" s="129"/>
      <c r="C71" s="129"/>
      <c r="D71" s="128" t="s">
        <v>388</v>
      </c>
      <c r="E71" s="113"/>
      <c r="F71" s="113"/>
      <c r="G71" s="113"/>
      <c r="H71" s="113"/>
      <c r="S71"/>
    </row>
    <row r="72" spans="1:19" x14ac:dyDescent="0.25">
      <c r="A72" s="113" t="s">
        <v>144</v>
      </c>
      <c r="B72" s="113"/>
      <c r="C72" s="113"/>
      <c r="D72" s="113" t="s">
        <v>28</v>
      </c>
      <c r="E72" s="113"/>
      <c r="F72" s="113"/>
      <c r="G72" s="113"/>
      <c r="H72" s="113"/>
      <c r="I72" s="24"/>
      <c r="J72" s="24"/>
      <c r="K72" s="24"/>
      <c r="L72" s="24"/>
      <c r="M72" s="24"/>
      <c r="N72" s="24"/>
    </row>
    <row r="73" spans="1:19" ht="15.75" customHeight="1" x14ac:dyDescent="0.25">
      <c r="A73" s="114" t="s">
        <v>80</v>
      </c>
      <c r="B73" s="114"/>
      <c r="C73" s="114"/>
      <c r="D73" s="186" t="str">
        <f ca="1">(IF(G79&gt;95%,"Nothing",IF(G79&gt;0%,"Cement, Aggregate, Steel, etc",IF(G79=0%,"Work not yet Started"))))</f>
        <v>Cement, Aggregate, Steel, etc</v>
      </c>
      <c r="E73" s="186"/>
      <c r="F73" s="186"/>
      <c r="G73" s="186"/>
      <c r="H73" s="186"/>
      <c r="J73" s="23"/>
      <c r="S73"/>
    </row>
    <row r="74" spans="1:19" ht="33.75" customHeight="1" thickBot="1" x14ac:dyDescent="0.3">
      <c r="A74" s="113" t="s">
        <v>112</v>
      </c>
      <c r="B74" s="113"/>
      <c r="C74" s="113"/>
      <c r="D74" s="128" t="str">
        <f ca="1">(IF(D73="Nothing","Yes",IF(D73="Cement, Aggregate, Steel, etc","Under Construction",IF(D73="Work not yet Started","Work not yet Started"))))</f>
        <v>Under Construction</v>
      </c>
      <c r="E74" s="128"/>
      <c r="F74" s="128" t="str">
        <f ca="1">(IF(D73="Nothing","Yes",IF(D73="Cement, Aggregate, Steel, etc","Under Construction",IF(D73="Work not yet Started","Work not yet Started"))))</f>
        <v>Under Construction</v>
      </c>
      <c r="G74" s="128"/>
      <c r="H74" s="128"/>
      <c r="S74"/>
    </row>
    <row r="75" spans="1:19" ht="15.75" customHeight="1" x14ac:dyDescent="0.25">
      <c r="A75" s="184" t="s">
        <v>134</v>
      </c>
      <c r="B75" s="184"/>
      <c r="C75" s="184" t="str">
        <f>D65</f>
        <v xml:space="preserve">Building No. 1,2 &amp; 3 = G + 1P &amp; 2P + 1st to 25th Floor
</v>
      </c>
      <c r="D75" s="184"/>
      <c r="E75" s="184"/>
      <c r="F75" s="184"/>
      <c r="G75" s="184"/>
      <c r="H75" s="184"/>
      <c r="I75" s="75" t="str">
        <f ca="1">IF(D88=100%,"All work Completed. Possession granted to the Building.",IF(D87=100%,"All work Completed, Waiting for OC",I76&amp;""&amp;I77&amp;""&amp;J76&amp;""&amp;J75&amp;" "&amp;J77))</f>
        <v xml:space="preserve">Excavation, Plinth Completed </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46" t="s">
        <v>136</v>
      </c>
      <c r="B76" s="46">
        <f>IF(AND(ISNUMBER(SEARCH("1B",C75))),1,IF(AND(ISNUMBER(SEARCH("2B",C75))),2,IF(AND(ISNUMBER(SEARCH("3B",C75))),3,IF(AND(ISNUMBER(SEARCH("4B",C75))),4,IF(ISNUMBER(SEARCH("5B",C75)),5,0)))))</f>
        <v>0</v>
      </c>
      <c r="C76" s="46" t="s">
        <v>67</v>
      </c>
      <c r="D76" s="46">
        <v>1</v>
      </c>
      <c r="E76" s="46" t="s">
        <v>66</v>
      </c>
      <c r="F76" s="46">
        <v>0</v>
      </c>
      <c r="G76" s="46" t="s">
        <v>74</v>
      </c>
      <c r="H76" s="46">
        <f ca="1">--TRIM(RIGHT(SUBSTITUTE(LEFT(C75,_xlfn.AGGREGATE(16,6,FIND({0,1,2,3,4,5,6,7,8,9},C75,ROW(INDIRECT("1:"&amp;LEN(C75)))),1))," ",REPT(" ",LEN(C75))),LEN(C75)))</f>
        <v>25</v>
      </c>
      <c r="I76" s="76" t="str">
        <f ca="1">IF(D79=100%,"Excavation","")&amp;IF(D80=100%,", Plinth","")&amp;IF(D81=100%,", RCC Slab","")&amp;IF(D82=100%,", Brickwork","")&amp;IF(D83=100%,", Internal Plaster","")&amp;IF(D84=100%,", External Plaster","")&amp;IF(D85=100%,", Flooring","")&amp;IF(D86=100%,", Painting","")&amp;IF(D87=100%,", Building common Amenities","")</f>
        <v>Excavation, Plinth</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83" t="s">
        <v>84</v>
      </c>
      <c r="B77" s="183"/>
      <c r="C77" s="185" t="str">
        <f ca="1">I75</f>
        <v xml:space="preserve">Excavation, Plinth Completed </v>
      </c>
      <c r="D77" s="185"/>
      <c r="E77" s="185"/>
      <c r="F77" s="185"/>
      <c r="G77" s="185"/>
      <c r="H77" s="185"/>
      <c r="I77" s="76" t="str">
        <f ca="1">IF(I76&lt;&gt;""," Completed","")</f>
        <v xml:space="preserve"> Completed</v>
      </c>
      <c r="J77" s="45" t="str">
        <f ca="1">IF(J75&lt;&gt;"","Completed","")</f>
        <v/>
      </c>
      <c r="S77"/>
    </row>
    <row r="78" spans="1:19" ht="15.75" customHeight="1" x14ac:dyDescent="0.25">
      <c r="A78" s="121" t="s">
        <v>47</v>
      </c>
      <c r="B78" s="121"/>
      <c r="C78" s="68" t="s">
        <v>133</v>
      </c>
      <c r="D78" s="68" t="s">
        <v>77</v>
      </c>
      <c r="E78" s="169" t="s">
        <v>79</v>
      </c>
      <c r="F78" s="169"/>
      <c r="G78" s="169" t="s">
        <v>78</v>
      </c>
      <c r="H78" s="169"/>
      <c r="I78" s="13" t="s">
        <v>135</v>
      </c>
      <c r="J78" s="25">
        <f ca="1">H76*25%</f>
        <v>6.25</v>
      </c>
      <c r="S78"/>
    </row>
    <row r="79" spans="1:19" x14ac:dyDescent="0.25">
      <c r="A79" s="121" t="s">
        <v>122</v>
      </c>
      <c r="B79" s="121"/>
      <c r="C79" s="68">
        <f ca="1">J80</f>
        <v>25</v>
      </c>
      <c r="D79" s="69">
        <f ca="1">((100/H76)*C79)/100</f>
        <v>1</v>
      </c>
      <c r="E79" s="204">
        <f ca="1">(((C80/H76*10)+(40/(D76+F76+H76)*C81)+(7.5/(H76)*C82)+(7.5/(H76)*C83)+(10/H76*C84)+(10/H76*C85)+(5/H76*C86)+(5/H76*C87)+(5/H76*C88))/100)</f>
        <v>0.1</v>
      </c>
      <c r="F79" s="204"/>
      <c r="G79" s="204">
        <f ca="1">((((C79/H76)*20)+((C80/H76)*25)+(30/(H76+F76+D76)*C81)+(5/H76*C82)+(5/H76*C83)+(5/H76*C84)+(5/H76*C85)+(0/H76*C86)+(0/H76*C87)+(5/H76*C88))/100)</f>
        <v>0.45</v>
      </c>
      <c r="H79" s="204"/>
      <c r="I79" s="13" t="s">
        <v>94</v>
      </c>
      <c r="J79" s="26">
        <f ca="1">H76*50%</f>
        <v>12.5</v>
      </c>
    </row>
    <row r="80" spans="1:19" x14ac:dyDescent="0.25">
      <c r="A80" s="121" t="s">
        <v>48</v>
      </c>
      <c r="B80" s="121"/>
      <c r="C80" s="72">
        <f ca="1">J88</f>
        <v>25</v>
      </c>
      <c r="D80" s="69">
        <f ca="1">((100/H76)*C80)/100</f>
        <v>1</v>
      </c>
      <c r="E80" s="204"/>
      <c r="F80" s="204"/>
      <c r="G80" s="204"/>
      <c r="H80" s="204"/>
      <c r="I80" s="13" t="s">
        <v>95</v>
      </c>
      <c r="J80" s="26">
        <f ca="1">H76</f>
        <v>25</v>
      </c>
      <c r="S80"/>
    </row>
    <row r="81" spans="1:19" ht="15.75" customHeight="1" x14ac:dyDescent="0.25">
      <c r="A81" s="121" t="s">
        <v>123</v>
      </c>
      <c r="B81" s="121"/>
      <c r="C81" s="68">
        <v>0</v>
      </c>
      <c r="D81" s="69">
        <f ca="1">((100/(D76+F76+H76))*C81)/100</f>
        <v>0</v>
      </c>
      <c r="E81" s="204"/>
      <c r="F81" s="204"/>
      <c r="G81" s="204"/>
      <c r="H81" s="204"/>
      <c r="I81" s="13" t="s">
        <v>96</v>
      </c>
      <c r="J81" s="27">
        <f ca="1">(IF(B76&gt;1,(H76/(B76+2)),H76/4))</f>
        <v>6.25</v>
      </c>
      <c r="S81"/>
    </row>
    <row r="82" spans="1:19" ht="15.75" customHeight="1" x14ac:dyDescent="0.25">
      <c r="A82" s="121" t="s">
        <v>130</v>
      </c>
      <c r="B82" s="121" t="s">
        <v>124</v>
      </c>
      <c r="C82" s="68">
        <v>0</v>
      </c>
      <c r="D82" s="69">
        <f ca="1">((100/H76)*C82)/100</f>
        <v>0</v>
      </c>
      <c r="E82" s="204"/>
      <c r="F82" s="204"/>
      <c r="G82" s="204"/>
      <c r="H82" s="204"/>
      <c r="I82" s="13" t="s">
        <v>97</v>
      </c>
      <c r="J82" s="27">
        <f ca="1">(IF(B76&gt;1,(H76/(B76+2)+J81),H76/4+J81))</f>
        <v>12.5</v>
      </c>
    </row>
    <row r="83" spans="1:19" ht="15.75" customHeight="1" x14ac:dyDescent="0.25">
      <c r="A83" s="121" t="s">
        <v>131</v>
      </c>
      <c r="B83" s="121" t="s">
        <v>124</v>
      </c>
      <c r="C83" s="68">
        <v>0</v>
      </c>
      <c r="D83" s="69">
        <f ca="1">((100/H76)*C83)/100</f>
        <v>0</v>
      </c>
      <c r="E83" s="204"/>
      <c r="F83" s="204"/>
      <c r="G83" s="204"/>
      <c r="H83" s="204"/>
      <c r="I83" s="13" t="s">
        <v>142</v>
      </c>
      <c r="J83" s="27">
        <f>(IF(B76&gt;1,(H76/(B76+2)+J82),0))</f>
        <v>0</v>
      </c>
    </row>
    <row r="84" spans="1:19" ht="15" customHeight="1" x14ac:dyDescent="0.25">
      <c r="A84" s="121" t="s">
        <v>129</v>
      </c>
      <c r="B84" s="121" t="s">
        <v>126</v>
      </c>
      <c r="C84" s="68">
        <v>0</v>
      </c>
      <c r="D84" s="69">
        <f ca="1">((100/(H76))*C84)/100</f>
        <v>0</v>
      </c>
      <c r="E84" s="204"/>
      <c r="F84" s="204"/>
      <c r="G84" s="204"/>
      <c r="H84" s="204"/>
      <c r="I84" s="13" t="s">
        <v>137</v>
      </c>
      <c r="J84" s="27">
        <f>(IF(B76&gt;2,(H76/(B76+2)+J83),0))</f>
        <v>0</v>
      </c>
    </row>
    <row r="85" spans="1:19" ht="15.75" customHeight="1" x14ac:dyDescent="0.25">
      <c r="A85" s="121" t="s">
        <v>125</v>
      </c>
      <c r="B85" s="121" t="s">
        <v>125</v>
      </c>
      <c r="C85" s="68">
        <v>0</v>
      </c>
      <c r="D85" s="69">
        <f ca="1">((100/H76)*C85)/100</f>
        <v>0</v>
      </c>
      <c r="E85" s="204"/>
      <c r="F85" s="204"/>
      <c r="G85" s="204"/>
      <c r="H85" s="204"/>
      <c r="I85" s="13" t="s">
        <v>138</v>
      </c>
      <c r="J85" s="28">
        <f>(IF(B76&gt;3,(H76/(B76+2)+J84),0))</f>
        <v>0</v>
      </c>
    </row>
    <row r="86" spans="1:19" ht="15.75" customHeight="1" x14ac:dyDescent="0.25">
      <c r="A86" s="121" t="s">
        <v>132</v>
      </c>
      <c r="B86" s="121"/>
      <c r="C86" s="68">
        <v>0</v>
      </c>
      <c r="D86" s="69">
        <f ca="1">((100/H76)*C86)/100</f>
        <v>0</v>
      </c>
      <c r="E86" s="204"/>
      <c r="F86" s="204"/>
      <c r="G86" s="204"/>
      <c r="H86" s="204"/>
      <c r="I86" s="13" t="s">
        <v>139</v>
      </c>
      <c r="J86" s="27">
        <f>(IF(B76&gt;4,(H76/(B76+2)+J85),0))</f>
        <v>0</v>
      </c>
    </row>
    <row r="87" spans="1:19" ht="15.75" customHeight="1" x14ac:dyDescent="0.25">
      <c r="A87" s="121" t="s">
        <v>127</v>
      </c>
      <c r="B87" s="121" t="s">
        <v>127</v>
      </c>
      <c r="C87" s="68">
        <v>0</v>
      </c>
      <c r="D87" s="69">
        <f ca="1">((100/(H76))*C87)/100</f>
        <v>0</v>
      </c>
      <c r="E87" s="204"/>
      <c r="F87" s="204"/>
      <c r="G87" s="204"/>
      <c r="H87" s="204"/>
      <c r="I87" s="13" t="s">
        <v>143</v>
      </c>
      <c r="J87" s="27">
        <f ca="1">(IF(B76=1,(H76/(B76+3)+J82),IF(B76=0,(H76/4+J82),IF(B76&gt;1,0))))</f>
        <v>18.75</v>
      </c>
    </row>
    <row r="88" spans="1:19" ht="16.5" thickBot="1" x14ac:dyDescent="0.3">
      <c r="A88" s="121" t="s">
        <v>128</v>
      </c>
      <c r="B88" s="121"/>
      <c r="C88" s="68">
        <v>0</v>
      </c>
      <c r="D88" s="69">
        <f ca="1">((100/(H76))*C88)/100</f>
        <v>0</v>
      </c>
      <c r="E88" s="204"/>
      <c r="F88" s="204"/>
      <c r="G88" s="204"/>
      <c r="H88" s="204"/>
      <c r="I88" s="14" t="s">
        <v>98</v>
      </c>
      <c r="J88" s="29">
        <f ca="1">(IF(B76&gt;1.5,(H76/(B76+2)+J82+MAX(0,J83-J82)+MAX(0,J84-J83)+MAX(0,J85-J84)+MAX(0,J86-J85)+MAX(0,J87-J86)),IF(B76=1,(H76/(B76+3)+J87),IF(B76=0,H76/4+J87))))</f>
        <v>25</v>
      </c>
    </row>
    <row r="89" spans="1:19" ht="15.75" hidden="1" customHeight="1" x14ac:dyDescent="0.25">
      <c r="A89" s="116" t="s">
        <v>134</v>
      </c>
      <c r="B89" s="117"/>
      <c r="C89" s="118" t="str">
        <f>D66</f>
        <v>Building No. 2 = G + 1P &amp; 2P + 1st to 25th Floor</v>
      </c>
      <c r="D89" s="119"/>
      <c r="E89" s="119"/>
      <c r="F89" s="119"/>
      <c r="G89" s="119"/>
      <c r="H89" s="120"/>
      <c r="I89" s="42" t="str">
        <f ca="1">IF(D102=100%,"All work Completed. Possession granted to the Building.",IF(D101=100%,"All work Completed, Waiting for OC",I90&amp;""&amp;I91&amp;""&amp;J90&amp;""&amp;J89&amp;" "&amp;J91))</f>
        <v xml:space="preserve">Excavation Completed, Footing work is process </v>
      </c>
      <c r="J89"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25">
      <c r="A90" s="15" t="s">
        <v>136</v>
      </c>
      <c r="B90" s="46">
        <f>IF(AND(ISNUMBER(SEARCH("1B",C89))),1,IF(AND(ISNUMBER(SEARCH("2B",C89))),2,IF(AND(ISNUMBER(SEARCH("3B",C89))),3,IF(AND(ISNUMBER(SEARCH("4B",C89))),4,IF(ISNUMBER(SEARCH("5B",C89)),5,0)))))</f>
        <v>0</v>
      </c>
      <c r="C90" s="46" t="s">
        <v>67</v>
      </c>
      <c r="D90" s="46">
        <v>1</v>
      </c>
      <c r="E90" s="46" t="s">
        <v>66</v>
      </c>
      <c r="F90" s="46">
        <v>0</v>
      </c>
      <c r="G90" s="46" t="s">
        <v>74</v>
      </c>
      <c r="H90" s="16">
        <f ca="1">--TRIM(RIGHT(SUBSTITUTE(LEFT(C89,_xlfn.AGGREGATE(16,6,FIND({0,1,2,3,4,5,6,7,8,9},C89,ROW(INDIRECT("1:"&amp;LEN(C89)))),1))," ",REPT(" ",LEN(C89))),LEN(C89)))</f>
        <v>25</v>
      </c>
      <c r="I90" s="44" t="str">
        <f ca="1">IF(D93=100%,"Excavation","")&amp;IF(D94=100%,", Plinth","")&amp;IF(D95=100%,", RCC Slab","")&amp;IF(D96=100%,", Brickwork","")&amp;IF(D97=100%,", Internal Plaster","")&amp;IF(D98=100%,", External Plaster","")&amp;IF(D99=100%,", Flooring","")&amp;IF(D100=100%,", Painting","")&amp;IF(D101=100%,", Building common Amenities","")</f>
        <v>Excavation</v>
      </c>
      <c r="J90" s="45"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Footing work is process</v>
      </c>
    </row>
    <row r="91" spans="1:19" hidden="1" x14ac:dyDescent="0.25">
      <c r="A91" s="207" t="s">
        <v>84</v>
      </c>
      <c r="B91" s="183"/>
      <c r="C91" s="185" t="str">
        <f ca="1">(IF($G$60="NA",I89,"All work Completed. OC Received."))</f>
        <v xml:space="preserve">Excavation Completed, Footing work is process </v>
      </c>
      <c r="D91" s="185"/>
      <c r="E91" s="185"/>
      <c r="F91" s="185"/>
      <c r="G91" s="185"/>
      <c r="H91" s="216"/>
      <c r="I91" s="44" t="str">
        <f ca="1">IF(I90&lt;&gt;""," Completed","")</f>
        <v xml:space="preserve"> Completed</v>
      </c>
      <c r="J91" s="45" t="str">
        <f ca="1">IF(J89&lt;&gt;"","Completed","")</f>
        <v/>
      </c>
    </row>
    <row r="92" spans="1:19" ht="15.75" hidden="1" customHeight="1" x14ac:dyDescent="0.25">
      <c r="A92" s="155" t="s">
        <v>47</v>
      </c>
      <c r="B92" s="121"/>
      <c r="C92" s="68" t="s">
        <v>133</v>
      </c>
      <c r="D92" s="68" t="s">
        <v>77</v>
      </c>
      <c r="E92" s="169" t="s">
        <v>79</v>
      </c>
      <c r="F92" s="169"/>
      <c r="G92" s="169" t="s">
        <v>78</v>
      </c>
      <c r="H92" s="170"/>
      <c r="I92" s="13" t="s">
        <v>135</v>
      </c>
      <c r="J92" s="25">
        <f ca="1">H90*25%</f>
        <v>6.25</v>
      </c>
    </row>
    <row r="93" spans="1:19" hidden="1" x14ac:dyDescent="0.25">
      <c r="A93" s="155" t="s">
        <v>122</v>
      </c>
      <c r="B93" s="121"/>
      <c r="C93" s="68">
        <f ca="1">J94</f>
        <v>25</v>
      </c>
      <c r="D93" s="69">
        <f ca="1">((100/H90)*C93)/100</f>
        <v>1</v>
      </c>
      <c r="E93" s="171">
        <f ca="1">(((C94/H90*10)+(40/(D90+F90+H90)*C95)+(7.5/(H90)*C96)+(7.5/(H90)*C97)+(10/H90*C98)+(10/H90*C99)+(5/H90*C100)+(5/H90*C101)+(5/H90*C102))/100)</f>
        <v>2.5000000000000001E-2</v>
      </c>
      <c r="F93" s="172"/>
      <c r="G93" s="171">
        <f ca="1">((((C93/H90)*20)+((C94/H90)*25)+(30/(H90+F90+D90)*C95)+(5/H90*C96)+(5/H90*C97)+(5/H90*C98)+(5/H90*C99)+(0/H90*C100)+(0/H90*C101)+(5/H90*C102))/100)</f>
        <v>0.26250000000000001</v>
      </c>
      <c r="H93" s="199"/>
      <c r="I93" s="13" t="s">
        <v>94</v>
      </c>
      <c r="J93" s="26">
        <f ca="1">H90*50%</f>
        <v>12.5</v>
      </c>
    </row>
    <row r="94" spans="1:19" hidden="1" x14ac:dyDescent="0.25">
      <c r="A94" s="155" t="s">
        <v>48</v>
      </c>
      <c r="B94" s="121"/>
      <c r="C94" s="72">
        <f ca="1">J95</f>
        <v>6.25</v>
      </c>
      <c r="D94" s="69">
        <f ca="1">((100/H90)*C94)/100</f>
        <v>0.25</v>
      </c>
      <c r="E94" s="173"/>
      <c r="F94" s="174"/>
      <c r="G94" s="173"/>
      <c r="H94" s="200"/>
      <c r="I94" s="13" t="s">
        <v>95</v>
      </c>
      <c r="J94" s="26">
        <f ca="1">H90</f>
        <v>25</v>
      </c>
    </row>
    <row r="95" spans="1:19" ht="15.75" hidden="1" customHeight="1" x14ac:dyDescent="0.25">
      <c r="A95" s="155" t="s">
        <v>123</v>
      </c>
      <c r="B95" s="121"/>
      <c r="C95" s="68">
        <v>0</v>
      </c>
      <c r="D95" s="69">
        <f ca="1">((100/(D90+F90+H90))*C95)/100</f>
        <v>0</v>
      </c>
      <c r="E95" s="173"/>
      <c r="F95" s="174"/>
      <c r="G95" s="173"/>
      <c r="H95" s="200"/>
      <c r="I95" s="13" t="s">
        <v>96</v>
      </c>
      <c r="J95" s="27">
        <f ca="1">(IF(B90&gt;1,(H90/(B90+2)),H90/4))</f>
        <v>6.25</v>
      </c>
    </row>
    <row r="96" spans="1:19" ht="15.75" hidden="1" customHeight="1" x14ac:dyDescent="0.25">
      <c r="A96" s="155" t="s">
        <v>130</v>
      </c>
      <c r="B96" s="121" t="s">
        <v>124</v>
      </c>
      <c r="C96" s="68">
        <v>0</v>
      </c>
      <c r="D96" s="69">
        <f ca="1">((100/H90)*C96)/100</f>
        <v>0</v>
      </c>
      <c r="E96" s="173"/>
      <c r="F96" s="174"/>
      <c r="G96" s="173"/>
      <c r="H96" s="200"/>
      <c r="I96" s="13" t="s">
        <v>97</v>
      </c>
      <c r="J96" s="27">
        <f ca="1">(IF(B90&gt;1,(H90/(B90+2)+J95),H90/4+J95))</f>
        <v>12.5</v>
      </c>
    </row>
    <row r="97" spans="1:10" ht="15.75" hidden="1" customHeight="1" x14ac:dyDescent="0.25">
      <c r="A97" s="155" t="s">
        <v>131</v>
      </c>
      <c r="B97" s="121" t="s">
        <v>124</v>
      </c>
      <c r="C97" s="68">
        <v>0</v>
      </c>
      <c r="D97" s="69">
        <f ca="1">((100/H90)*C97)/100</f>
        <v>0</v>
      </c>
      <c r="E97" s="173"/>
      <c r="F97" s="174"/>
      <c r="G97" s="173"/>
      <c r="H97" s="200"/>
      <c r="I97" s="13" t="s">
        <v>142</v>
      </c>
      <c r="J97" s="27">
        <f>(IF(B90&gt;1,(H90/(B90+2)+J96),0))</f>
        <v>0</v>
      </c>
    </row>
    <row r="98" spans="1:10" ht="15" hidden="1" customHeight="1" x14ac:dyDescent="0.25">
      <c r="A98" s="155" t="s">
        <v>129</v>
      </c>
      <c r="B98" s="121" t="s">
        <v>126</v>
      </c>
      <c r="C98" s="68">
        <v>0</v>
      </c>
      <c r="D98" s="69">
        <f ca="1">((100/(H90))*C98)/100</f>
        <v>0</v>
      </c>
      <c r="E98" s="173"/>
      <c r="F98" s="174"/>
      <c r="G98" s="173"/>
      <c r="H98" s="200"/>
      <c r="I98" s="13" t="s">
        <v>137</v>
      </c>
      <c r="J98" s="27">
        <f>(IF(B90&gt;2,(H90/(B90+2)+J97),0))</f>
        <v>0</v>
      </c>
    </row>
    <row r="99" spans="1:10" ht="15.75" hidden="1" customHeight="1" x14ac:dyDescent="0.25">
      <c r="A99" s="155" t="s">
        <v>125</v>
      </c>
      <c r="B99" s="121" t="s">
        <v>125</v>
      </c>
      <c r="C99" s="68">
        <v>0</v>
      </c>
      <c r="D99" s="69">
        <f ca="1">((100/H90)*C99)/100</f>
        <v>0</v>
      </c>
      <c r="E99" s="173"/>
      <c r="F99" s="174"/>
      <c r="G99" s="173"/>
      <c r="H99" s="200"/>
      <c r="I99" s="13" t="s">
        <v>138</v>
      </c>
      <c r="J99" s="28">
        <f>(IF(B90&gt;3,(H90/(B90+2)+J98),0))</f>
        <v>0</v>
      </c>
    </row>
    <row r="100" spans="1:10" ht="15.75" hidden="1" customHeight="1" x14ac:dyDescent="0.25">
      <c r="A100" s="155" t="s">
        <v>132</v>
      </c>
      <c r="B100" s="121"/>
      <c r="C100" s="68">
        <v>0</v>
      </c>
      <c r="D100" s="69">
        <f ca="1">((100/H90)*C100)/100</f>
        <v>0</v>
      </c>
      <c r="E100" s="173"/>
      <c r="F100" s="174"/>
      <c r="G100" s="173"/>
      <c r="H100" s="200"/>
      <c r="I100" s="13" t="s">
        <v>139</v>
      </c>
      <c r="J100" s="27">
        <f>(IF(B90&gt;4,(H90/(B90+2)+J99),0))</f>
        <v>0</v>
      </c>
    </row>
    <row r="101" spans="1:10" ht="15.75" hidden="1" customHeight="1" x14ac:dyDescent="0.25">
      <c r="A101" s="155" t="s">
        <v>127</v>
      </c>
      <c r="B101" s="121" t="s">
        <v>127</v>
      </c>
      <c r="C101" s="68">
        <v>0</v>
      </c>
      <c r="D101" s="69">
        <f ca="1">((100/(H90))*C101)/100</f>
        <v>0</v>
      </c>
      <c r="E101" s="173"/>
      <c r="F101" s="174"/>
      <c r="G101" s="173"/>
      <c r="H101" s="200"/>
      <c r="I101" s="13" t="s">
        <v>143</v>
      </c>
      <c r="J101" s="27">
        <f ca="1">(IF(B90=1,(H90/(B90+3)+J96),IF(B90=0,(H90/4+J96),IF(B90&gt;1,0))))</f>
        <v>18.75</v>
      </c>
    </row>
    <row r="102" spans="1:10" ht="16.5" hidden="1" thickBot="1" x14ac:dyDescent="0.3">
      <c r="A102" s="156" t="s">
        <v>128</v>
      </c>
      <c r="B102" s="157"/>
      <c r="C102" s="70">
        <v>0</v>
      </c>
      <c r="D102" s="71">
        <f ca="1">((100/(H90))*C102)/100</f>
        <v>0</v>
      </c>
      <c r="E102" s="175"/>
      <c r="F102" s="176"/>
      <c r="G102" s="175"/>
      <c r="H102" s="201"/>
      <c r="I102" s="14" t="s">
        <v>98</v>
      </c>
      <c r="J102" s="29">
        <f ca="1">(IF(B90&gt;1.5,(H90/(B90+2)+J96+MAX(0,J97-J96)+MAX(0,J98-J97)+MAX(0,J99-J98)+MAX(0,J100-J99)+MAX(0,J101-J100)),IF(B90=1,(H90/(B90+3)+J101),IF(B90=0,H90/4+J101))))</f>
        <v>25</v>
      </c>
    </row>
    <row r="103" spans="1:10" ht="15.75" hidden="1" customHeight="1" x14ac:dyDescent="0.25">
      <c r="A103" s="208" t="s">
        <v>134</v>
      </c>
      <c r="B103" s="209"/>
      <c r="C103" s="210" t="str">
        <f>D67</f>
        <v>Building No. 3 = G + 1P &amp; 2P + 1st to 25th Floor</v>
      </c>
      <c r="D103" s="211"/>
      <c r="E103" s="211"/>
      <c r="F103" s="211"/>
      <c r="G103" s="211"/>
      <c r="H103" s="212"/>
      <c r="I103" s="42" t="str">
        <f ca="1">IF(D116=100%,"All work Completed. Possession granted to the Building.",IF(D115=100%,"All work Completed, Waiting for OC",I104&amp;""&amp;I105&amp;""&amp;J104&amp;""&amp;J103&amp;" "&amp;J105))</f>
        <v xml:space="preserve">Excavation, Plinth Completed </v>
      </c>
      <c r="J103" s="43"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25">
      <c r="A104" s="15" t="s">
        <v>136</v>
      </c>
      <c r="B104" s="46">
        <f>IF(AND(ISNUMBER(SEARCH("1B",C103))),1,IF(AND(ISNUMBER(SEARCH("2B",C103))),2,IF(AND(ISNUMBER(SEARCH("3B",C103))),3,IF(AND(ISNUMBER(SEARCH("4B",C103))),4,IF(ISNUMBER(SEARCH("5B",C103)),5,0)))))</f>
        <v>0</v>
      </c>
      <c r="C104" s="46" t="s">
        <v>67</v>
      </c>
      <c r="D104" s="46">
        <v>1</v>
      </c>
      <c r="E104" s="46" t="s">
        <v>66</v>
      </c>
      <c r="F104" s="46">
        <v>0</v>
      </c>
      <c r="G104" s="46" t="s">
        <v>74</v>
      </c>
      <c r="H104" s="16">
        <f ca="1">--TRIM(RIGHT(SUBSTITUTE(LEFT(C103,_xlfn.AGGREGATE(16,6,FIND({0,1,2,3,4,5,6,7,8,9},C103,ROW(INDIRECT("1:"&amp;LEN(C103)))),1))," ",REPT(" ",LEN(C103))),LEN(C103)))</f>
        <v>25</v>
      </c>
      <c r="I104" s="44" t="str">
        <f ca="1">IF(D107=100%,"Excavation","")&amp;IF(D108=100%,", Plinth","")&amp;IF(D109=100%,", RCC Slab","")&amp;IF(D110=100%,", Brickwork","")&amp;IF(D111=100%,", Internal Plaster","")&amp;IF(D112=100%,", External Plaster","")&amp;IF(D113=100%,", Flooring","")&amp;IF(D114=100%,", Painting","")&amp;IF(D115=100%,", Building common Amenities","")</f>
        <v>Excavation, Plinth</v>
      </c>
      <c r="J104" s="45"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25">
      <c r="A105" s="207" t="s">
        <v>84</v>
      </c>
      <c r="B105" s="183"/>
      <c r="C105" s="185" t="str">
        <f ca="1">(IF($G$60="NA",I103,"All work Completed. OC Received."))</f>
        <v xml:space="preserve">Excavation, Plinth Completed </v>
      </c>
      <c r="D105" s="185"/>
      <c r="E105" s="185"/>
      <c r="F105" s="185"/>
      <c r="G105" s="185"/>
      <c r="H105" s="216"/>
      <c r="I105" s="44" t="str">
        <f ca="1">IF(I104&lt;&gt;""," Completed","")</f>
        <v xml:space="preserve"> Completed</v>
      </c>
      <c r="J105" s="45" t="str">
        <f ca="1">IF(J103&lt;&gt;"","Completed","")</f>
        <v/>
      </c>
    </row>
    <row r="106" spans="1:10" ht="15.75" hidden="1" customHeight="1" x14ac:dyDescent="0.25">
      <c r="A106" s="155" t="s">
        <v>47</v>
      </c>
      <c r="B106" s="121"/>
      <c r="C106" s="68" t="s">
        <v>133</v>
      </c>
      <c r="D106" s="68" t="s">
        <v>77</v>
      </c>
      <c r="E106" s="169" t="s">
        <v>79</v>
      </c>
      <c r="F106" s="169"/>
      <c r="G106" s="169" t="s">
        <v>78</v>
      </c>
      <c r="H106" s="170"/>
      <c r="I106" s="13" t="s">
        <v>135</v>
      </c>
      <c r="J106" s="25">
        <f ca="1">H104*25%</f>
        <v>6.25</v>
      </c>
    </row>
    <row r="107" spans="1:10" hidden="1" x14ac:dyDescent="0.25">
      <c r="A107" s="155" t="s">
        <v>122</v>
      </c>
      <c r="B107" s="121"/>
      <c r="C107" s="68">
        <f ca="1">J108</f>
        <v>25</v>
      </c>
      <c r="D107" s="69">
        <f ca="1">((100/H104)*C107)/100</f>
        <v>1</v>
      </c>
      <c r="E107" s="171">
        <f ca="1">(((C108/H104*10)+(40/(D104+F104+H104)*C109)+(7.5/(H104)*C110)+(7.5/(H104)*C111)+(10/H104*C112)+(10/H104*C113)+(5/H104*C114)+(5/H104*C115)+(5/H104*C116))/100)</f>
        <v>0.1</v>
      </c>
      <c r="F107" s="172"/>
      <c r="G107" s="171">
        <f ca="1">((((C107/H104)*20)+((C108/H104)*25)+(30/(H104+F104+D104)*C109)+(5/H104*C110)+(5/H104*C111)+(5/H104*C112)+(5/H104*C113)+(0/H104*C114)+(0/H104*C115)+(5/H104*C116))/100)</f>
        <v>0.45</v>
      </c>
      <c r="H107" s="199"/>
      <c r="I107" s="13" t="s">
        <v>94</v>
      </c>
      <c r="J107" s="26">
        <f ca="1">H104*50%</f>
        <v>12.5</v>
      </c>
    </row>
    <row r="108" spans="1:10" hidden="1" x14ac:dyDescent="0.25">
      <c r="A108" s="155" t="s">
        <v>48</v>
      </c>
      <c r="B108" s="121"/>
      <c r="C108" s="68">
        <f ca="1">J116</f>
        <v>25</v>
      </c>
      <c r="D108" s="69">
        <f ca="1">((100/H104)*C108)/100</f>
        <v>1</v>
      </c>
      <c r="E108" s="173"/>
      <c r="F108" s="174"/>
      <c r="G108" s="173"/>
      <c r="H108" s="200"/>
      <c r="I108" s="13" t="s">
        <v>95</v>
      </c>
      <c r="J108" s="26">
        <f ca="1">H104</f>
        <v>25</v>
      </c>
    </row>
    <row r="109" spans="1:10" ht="15.75" hidden="1" customHeight="1" x14ac:dyDescent="0.25">
      <c r="A109" s="155" t="s">
        <v>123</v>
      </c>
      <c r="B109" s="121"/>
      <c r="C109" s="68">
        <v>0</v>
      </c>
      <c r="D109" s="69">
        <f ca="1">((100/(D104+F104+H104))*C109)/100</f>
        <v>0</v>
      </c>
      <c r="E109" s="173"/>
      <c r="F109" s="174"/>
      <c r="G109" s="173"/>
      <c r="H109" s="200"/>
      <c r="I109" s="13" t="s">
        <v>96</v>
      </c>
      <c r="J109" s="27">
        <f ca="1">(IF(B104&gt;1,(H104/(B104+2)),H104/4))</f>
        <v>6.25</v>
      </c>
    </row>
    <row r="110" spans="1:10" ht="15.75" hidden="1" customHeight="1" x14ac:dyDescent="0.25">
      <c r="A110" s="155" t="s">
        <v>130</v>
      </c>
      <c r="B110" s="121" t="s">
        <v>124</v>
      </c>
      <c r="C110" s="68">
        <v>0</v>
      </c>
      <c r="D110" s="69">
        <f ca="1">((100/H104)*C110)/100</f>
        <v>0</v>
      </c>
      <c r="E110" s="173"/>
      <c r="F110" s="174"/>
      <c r="G110" s="173"/>
      <c r="H110" s="200"/>
      <c r="I110" s="13" t="s">
        <v>97</v>
      </c>
      <c r="J110" s="27">
        <f ca="1">(IF(B104&gt;1,(H104/(B104+2)+J109),H104/4+J109))</f>
        <v>12.5</v>
      </c>
    </row>
    <row r="111" spans="1:10" ht="15.75" hidden="1" customHeight="1" x14ac:dyDescent="0.25">
      <c r="A111" s="155" t="s">
        <v>131</v>
      </c>
      <c r="B111" s="121" t="s">
        <v>124</v>
      </c>
      <c r="C111" s="68">
        <v>0</v>
      </c>
      <c r="D111" s="69">
        <f ca="1">((100/H104)*C111)/100</f>
        <v>0</v>
      </c>
      <c r="E111" s="173"/>
      <c r="F111" s="174"/>
      <c r="G111" s="173"/>
      <c r="H111" s="200"/>
      <c r="I111" s="13" t="s">
        <v>142</v>
      </c>
      <c r="J111" s="27">
        <f>(IF(B104&gt;1,(H104/(B104+2)+J110),0))</f>
        <v>0</v>
      </c>
    </row>
    <row r="112" spans="1:10" ht="15" hidden="1" customHeight="1" x14ac:dyDescent="0.25">
      <c r="A112" s="155" t="s">
        <v>129</v>
      </c>
      <c r="B112" s="121" t="s">
        <v>126</v>
      </c>
      <c r="C112" s="68">
        <v>0</v>
      </c>
      <c r="D112" s="69">
        <f ca="1">((100/(H104))*C112)/100</f>
        <v>0</v>
      </c>
      <c r="E112" s="173"/>
      <c r="F112" s="174"/>
      <c r="G112" s="173"/>
      <c r="H112" s="200"/>
      <c r="I112" s="13" t="s">
        <v>137</v>
      </c>
      <c r="J112" s="27">
        <f>(IF(B104&gt;2,(H104/(B104+2)+J111),0))</f>
        <v>0</v>
      </c>
    </row>
    <row r="113" spans="1:22" ht="15.75" hidden="1" customHeight="1" x14ac:dyDescent="0.25">
      <c r="A113" s="155" t="s">
        <v>125</v>
      </c>
      <c r="B113" s="121" t="s">
        <v>125</v>
      </c>
      <c r="C113" s="68">
        <v>0</v>
      </c>
      <c r="D113" s="69">
        <f ca="1">((100/H104)*C113)/100</f>
        <v>0</v>
      </c>
      <c r="E113" s="173"/>
      <c r="F113" s="174"/>
      <c r="G113" s="173"/>
      <c r="H113" s="200"/>
      <c r="I113" s="13" t="s">
        <v>138</v>
      </c>
      <c r="J113" s="28">
        <f>(IF(B104&gt;3,(H104/(B104+2)+J112),0))</f>
        <v>0</v>
      </c>
    </row>
    <row r="114" spans="1:22" ht="15.75" hidden="1" customHeight="1" x14ac:dyDescent="0.25">
      <c r="A114" s="155" t="s">
        <v>132</v>
      </c>
      <c r="B114" s="121"/>
      <c r="C114" s="68">
        <v>0</v>
      </c>
      <c r="D114" s="69">
        <f ca="1">((100/H104)*C114)/100</f>
        <v>0</v>
      </c>
      <c r="E114" s="173"/>
      <c r="F114" s="174"/>
      <c r="G114" s="173"/>
      <c r="H114" s="200"/>
      <c r="I114" s="13" t="s">
        <v>139</v>
      </c>
      <c r="J114" s="27">
        <f>(IF(B104&gt;4,(H104/(B104+2)+J113),0))</f>
        <v>0</v>
      </c>
    </row>
    <row r="115" spans="1:22" ht="15.75" hidden="1" customHeight="1" x14ac:dyDescent="0.25">
      <c r="A115" s="155" t="s">
        <v>127</v>
      </c>
      <c r="B115" s="121" t="s">
        <v>127</v>
      </c>
      <c r="C115" s="68">
        <v>0</v>
      </c>
      <c r="D115" s="69">
        <f ca="1">((100/(H104))*C115)/100</f>
        <v>0</v>
      </c>
      <c r="E115" s="173"/>
      <c r="F115" s="174"/>
      <c r="G115" s="173"/>
      <c r="H115" s="200"/>
      <c r="I115" s="13" t="s">
        <v>143</v>
      </c>
      <c r="J115" s="27">
        <f ca="1">(IF(B104=1,(H104/(B104+3)+J110),IF(B104=0,(H104/4+J110),IF(B104&gt;1,0))))</f>
        <v>18.75</v>
      </c>
    </row>
    <row r="116" spans="1:22" ht="16.5" hidden="1" thickBot="1" x14ac:dyDescent="0.3">
      <c r="A116" s="156" t="s">
        <v>128</v>
      </c>
      <c r="B116" s="157"/>
      <c r="C116" s="70">
        <v>0</v>
      </c>
      <c r="D116" s="71">
        <f ca="1">((100/(H104))*C116)/100</f>
        <v>0</v>
      </c>
      <c r="E116" s="175"/>
      <c r="F116" s="176"/>
      <c r="G116" s="175"/>
      <c r="H116" s="201"/>
      <c r="I116" s="14" t="s">
        <v>98</v>
      </c>
      <c r="J116" s="29">
        <f ca="1">(IF(B104&gt;1.5,(H104/(B104+2)+J110+MAX(0,J111-J110)+MAX(0,J112-J111)+MAX(0,J113-J112)+MAX(0,J114-J113)+MAX(0,J115-J114)),IF(B104=1,(H104/(B104+3)+J115),IF(B104=0,H104/4+J115))))</f>
        <v>25</v>
      </c>
    </row>
    <row r="117" spans="1:22" x14ac:dyDescent="0.25">
      <c r="A117" s="225" t="s">
        <v>154</v>
      </c>
      <c r="B117" s="225"/>
      <c r="C117" s="225"/>
      <c r="D117" s="225"/>
      <c r="E117" s="225"/>
      <c r="F117" s="177" t="s">
        <v>158</v>
      </c>
      <c r="G117" s="177"/>
      <c r="H117" s="177"/>
      <c r="R117" t="s">
        <v>251</v>
      </c>
      <c r="S117" t="s">
        <v>170</v>
      </c>
      <c r="T117" t="s">
        <v>176</v>
      </c>
      <c r="U117" t="s">
        <v>191</v>
      </c>
      <c r="V117" t="s">
        <v>186</v>
      </c>
    </row>
    <row r="118" spans="1:22" x14ac:dyDescent="0.25">
      <c r="A118" s="109" t="s">
        <v>156</v>
      </c>
      <c r="B118" s="109"/>
      <c r="C118" s="109"/>
      <c r="D118" s="109"/>
      <c r="E118" s="109"/>
      <c r="F118" s="107">
        <v>6500</v>
      </c>
      <c r="G118" s="107"/>
      <c r="H118" s="107"/>
      <c r="I118" s="73" t="s">
        <v>401</v>
      </c>
      <c r="N118"/>
      <c r="R118"/>
      <c r="S118">
        <v>800000</v>
      </c>
      <c r="T118">
        <v>150000</v>
      </c>
      <c r="U118">
        <v>100000</v>
      </c>
      <c r="V118">
        <v>100000</v>
      </c>
    </row>
    <row r="119" spans="1:22" x14ac:dyDescent="0.25">
      <c r="A119" s="109" t="s">
        <v>155</v>
      </c>
      <c r="B119" s="109"/>
      <c r="C119" s="109"/>
      <c r="D119" s="109"/>
      <c r="E119" s="109"/>
      <c r="F119" s="107">
        <v>10000</v>
      </c>
      <c r="G119" s="107"/>
      <c r="H119" s="107"/>
      <c r="R119"/>
      <c r="S119">
        <v>900000</v>
      </c>
      <c r="T119">
        <v>200000</v>
      </c>
      <c r="U119">
        <v>150000</v>
      </c>
      <c r="V119">
        <v>150000</v>
      </c>
    </row>
    <row r="120" spans="1:22" hidden="1" x14ac:dyDescent="0.25">
      <c r="A120" s="109" t="s">
        <v>157</v>
      </c>
      <c r="B120" s="109"/>
      <c r="C120" s="109"/>
      <c r="D120" s="109"/>
      <c r="E120" s="109"/>
      <c r="F120" s="107"/>
      <c r="G120" s="107"/>
      <c r="H120" s="107"/>
      <c r="R120"/>
      <c r="S120">
        <v>1000000</v>
      </c>
      <c r="T120">
        <v>250000</v>
      </c>
      <c r="U120">
        <v>200000</v>
      </c>
      <c r="V120">
        <v>200000</v>
      </c>
    </row>
    <row r="121" spans="1:22" s="30" customFormat="1" hidden="1" x14ac:dyDescent="0.25">
      <c r="A121" s="109" t="s">
        <v>173</v>
      </c>
      <c r="B121" s="109"/>
      <c r="C121" s="109"/>
      <c r="D121" s="109"/>
      <c r="E121" s="109"/>
      <c r="F121" s="107"/>
      <c r="G121" s="107"/>
      <c r="H121" s="107"/>
      <c r="R121"/>
      <c r="S121">
        <v>1100000</v>
      </c>
      <c r="T121">
        <v>300000</v>
      </c>
      <c r="U121">
        <v>250000</v>
      </c>
      <c r="V121" s="20">
        <v>250000</v>
      </c>
    </row>
    <row r="122" spans="1:22" s="30" customFormat="1" hidden="1" x14ac:dyDescent="0.25">
      <c r="A122" s="109" t="s">
        <v>89</v>
      </c>
      <c r="B122" s="109"/>
      <c r="C122" s="109"/>
      <c r="D122" s="109"/>
      <c r="E122" s="109"/>
      <c r="F122" s="107"/>
      <c r="G122" s="107"/>
      <c r="H122" s="107"/>
      <c r="R122"/>
      <c r="S122">
        <v>1200000</v>
      </c>
      <c r="T122">
        <v>350000</v>
      </c>
      <c r="U122">
        <v>300000</v>
      </c>
      <c r="V122">
        <v>300000</v>
      </c>
    </row>
    <row r="123" spans="1:22" s="30" customFormat="1" x14ac:dyDescent="0.25">
      <c r="A123" s="109" t="s">
        <v>402</v>
      </c>
      <c r="B123" s="109"/>
      <c r="C123" s="109"/>
      <c r="D123" s="109"/>
      <c r="E123" s="109"/>
      <c r="F123" s="107">
        <v>300000</v>
      </c>
      <c r="G123" s="107"/>
      <c r="H123" s="107"/>
      <c r="R123"/>
      <c r="S123">
        <v>1300000</v>
      </c>
      <c r="T123">
        <v>400000</v>
      </c>
      <c r="U123">
        <v>350000</v>
      </c>
      <c r="V123" s="20">
        <v>400000</v>
      </c>
    </row>
    <row r="124" spans="1:22" s="30" customFormat="1" hidden="1" x14ac:dyDescent="0.25">
      <c r="A124" s="109" t="s">
        <v>90</v>
      </c>
      <c r="B124" s="109"/>
      <c r="C124" s="109"/>
      <c r="D124" s="109"/>
      <c r="E124" s="109"/>
      <c r="F124" s="107"/>
      <c r="G124" s="107"/>
      <c r="H124" s="107"/>
      <c r="R124"/>
      <c r="S124">
        <v>1400000</v>
      </c>
      <c r="T124">
        <v>500000</v>
      </c>
      <c r="U124">
        <v>400000</v>
      </c>
      <c r="V124"/>
    </row>
    <row r="125" spans="1:22" s="30" customFormat="1" hidden="1" x14ac:dyDescent="0.25">
      <c r="A125" s="109" t="s">
        <v>91</v>
      </c>
      <c r="B125" s="109"/>
      <c r="C125" s="109"/>
      <c r="D125" s="109"/>
      <c r="E125" s="109"/>
      <c r="F125" s="107"/>
      <c r="G125" s="107"/>
      <c r="H125" s="107"/>
      <c r="R125"/>
      <c r="S125">
        <v>1500000</v>
      </c>
      <c r="T125">
        <v>600000</v>
      </c>
      <c r="U125">
        <v>500000</v>
      </c>
      <c r="V125" s="20"/>
    </row>
    <row r="126" spans="1:22" s="30" customFormat="1" hidden="1" x14ac:dyDescent="0.25">
      <c r="A126" s="109" t="s">
        <v>92</v>
      </c>
      <c r="B126" s="109"/>
      <c r="C126" s="109"/>
      <c r="D126" s="109"/>
      <c r="E126" s="109"/>
      <c r="F126" s="107"/>
      <c r="G126" s="107"/>
      <c r="H126" s="107"/>
      <c r="R126"/>
      <c r="S126">
        <v>1600000</v>
      </c>
      <c r="T126">
        <v>700000</v>
      </c>
      <c r="U126">
        <v>600000</v>
      </c>
      <c r="V126"/>
    </row>
    <row r="127" spans="1:22" s="30" customFormat="1" hidden="1" x14ac:dyDescent="0.25">
      <c r="A127" s="109" t="s">
        <v>93</v>
      </c>
      <c r="B127" s="109"/>
      <c r="C127" s="109"/>
      <c r="D127" s="109"/>
      <c r="E127" s="109"/>
      <c r="F127" s="107"/>
      <c r="G127" s="107"/>
      <c r="H127" s="107"/>
      <c r="R127"/>
      <c r="S127">
        <v>1700000</v>
      </c>
      <c r="T127">
        <v>800000</v>
      </c>
      <c r="U127"/>
      <c r="V127" s="20"/>
    </row>
    <row r="128" spans="1:22" x14ac:dyDescent="0.25">
      <c r="A128" s="109" t="s">
        <v>49</v>
      </c>
      <c r="B128" s="109"/>
      <c r="C128" s="109"/>
      <c r="D128" s="109"/>
      <c r="E128" s="109"/>
      <c r="F128" s="107">
        <v>300000</v>
      </c>
      <c r="G128" s="107"/>
      <c r="H128" s="107"/>
      <c r="R128"/>
      <c r="S128">
        <v>1800000</v>
      </c>
      <c r="T128">
        <v>900000</v>
      </c>
      <c r="U128"/>
    </row>
    <row r="129" spans="1:22" s="31" customFormat="1" x14ac:dyDescent="0.25">
      <c r="A129" s="180" t="s">
        <v>50</v>
      </c>
      <c r="B129" s="180"/>
      <c r="C129" s="180"/>
      <c r="D129" s="180"/>
      <c r="E129" s="180"/>
      <c r="F129" s="107">
        <f>F118*0.8</f>
        <v>5200</v>
      </c>
      <c r="G129" s="107"/>
      <c r="H129" s="107"/>
      <c r="R129" s="18"/>
      <c r="S129" s="18"/>
      <c r="T129">
        <v>1000000</v>
      </c>
      <c r="U129"/>
      <c r="V129" s="18"/>
    </row>
    <row r="130" spans="1:22" s="32" customFormat="1" ht="15.75" customHeight="1" x14ac:dyDescent="0.25">
      <c r="A130" s="87" t="s">
        <v>371</v>
      </c>
      <c r="B130" s="87"/>
      <c r="C130" s="87"/>
      <c r="D130" s="87"/>
      <c r="E130" s="87"/>
      <c r="F130" s="87"/>
      <c r="G130" s="87"/>
      <c r="H130" s="87"/>
      <c r="R130"/>
      <c r="S130" s="18"/>
      <c r="T130"/>
      <c r="U130"/>
      <c r="V130" s="18"/>
    </row>
    <row r="131" spans="1:22" s="32" customFormat="1" ht="15.75" customHeight="1" x14ac:dyDescent="0.25">
      <c r="A131" s="88" t="s">
        <v>51</v>
      </c>
      <c r="B131" s="88"/>
      <c r="C131" s="89" t="s">
        <v>72</v>
      </c>
      <c r="D131" s="89"/>
      <c r="E131" s="90" t="s">
        <v>52</v>
      </c>
      <c r="F131" s="90"/>
      <c r="G131" s="88" t="s">
        <v>53</v>
      </c>
      <c r="H131" s="88"/>
      <c r="R131"/>
      <c r="S131" s="18"/>
      <c r="T131"/>
      <c r="U131" s="18"/>
      <c r="V131" s="18"/>
    </row>
    <row r="132" spans="1:22" s="32" customFormat="1" x14ac:dyDescent="0.25">
      <c r="A132" s="91" t="s">
        <v>372</v>
      </c>
      <c r="B132" s="91"/>
      <c r="C132" s="84">
        <f>COUNT(D152:D159)</f>
        <v>8</v>
      </c>
      <c r="D132" s="92"/>
      <c r="E132" s="84">
        <f>SUM(F152:F159)</f>
        <v>19216.9692</v>
      </c>
      <c r="F132" s="92"/>
      <c r="G132" s="84">
        <f>SUM(H152:H159)</f>
        <v>28825.453799999999</v>
      </c>
      <c r="H132" s="92"/>
      <c r="R132"/>
      <c r="S132" s="18"/>
      <c r="T132"/>
      <c r="U132" s="18"/>
      <c r="V132" s="18"/>
    </row>
    <row r="133" spans="1:22" s="32" customFormat="1" x14ac:dyDescent="0.25">
      <c r="A133" s="87" t="s">
        <v>147</v>
      </c>
      <c r="B133" s="87"/>
      <c r="C133" s="226">
        <f>SUM(C132)</f>
        <v>8</v>
      </c>
      <c r="D133" s="89"/>
      <c r="E133" s="226">
        <f t="shared" ref="E133" si="0">SUM(E132)</f>
        <v>19216.9692</v>
      </c>
      <c r="F133" s="89"/>
      <c r="G133" s="226">
        <f t="shared" ref="G133" si="1">SUM(G132)</f>
        <v>28825.453799999999</v>
      </c>
      <c r="H133" s="89"/>
      <c r="R133"/>
      <c r="S133" s="18"/>
      <c r="T133"/>
      <c r="U133" s="18"/>
      <c r="V133" s="18"/>
    </row>
    <row r="134" spans="1:22" s="32" customFormat="1" x14ac:dyDescent="0.25">
      <c r="A134" s="87" t="s">
        <v>373</v>
      </c>
      <c r="B134" s="87"/>
      <c r="C134" s="87"/>
      <c r="D134" s="87"/>
      <c r="E134" s="87"/>
      <c r="F134" s="87"/>
      <c r="G134" s="87"/>
      <c r="H134" s="87"/>
      <c r="T134"/>
    </row>
    <row r="135" spans="1:22" s="32" customFormat="1" ht="15.75" customHeight="1" x14ac:dyDescent="0.25">
      <c r="A135" s="88" t="s">
        <v>51</v>
      </c>
      <c r="B135" s="88"/>
      <c r="C135" s="89" t="s">
        <v>72</v>
      </c>
      <c r="D135" s="89"/>
      <c r="E135" s="90" t="s">
        <v>52</v>
      </c>
      <c r="F135" s="90"/>
      <c r="G135" s="88" t="s">
        <v>53</v>
      </c>
      <c r="H135" s="88"/>
      <c r="T135"/>
    </row>
    <row r="136" spans="1:22" s="32" customFormat="1" x14ac:dyDescent="0.25">
      <c r="A136" s="91" t="s">
        <v>361</v>
      </c>
      <c r="B136" s="91"/>
      <c r="C136" s="84">
        <f>COUNT(D231:D234)</f>
        <v>4</v>
      </c>
      <c r="D136" s="92"/>
      <c r="E136" s="84">
        <f t="shared" ref="E136" si="2">SUM(F231:F234)</f>
        <v>2608.33248</v>
      </c>
      <c r="F136" s="92"/>
      <c r="G136" s="84">
        <f t="shared" ref="G136" si="3">SUM(H231:H234)</f>
        <v>3826.4835959999991</v>
      </c>
      <c r="H136" s="92"/>
      <c r="T136"/>
    </row>
    <row r="137" spans="1:22" s="32" customFormat="1" x14ac:dyDescent="0.25">
      <c r="A137" s="91" t="s">
        <v>368</v>
      </c>
      <c r="B137" s="91"/>
      <c r="C137" s="84">
        <f>COUNT(D259:D262)+COUNT(D264:D267)</f>
        <v>8</v>
      </c>
      <c r="D137" s="92"/>
      <c r="E137" s="84">
        <f t="shared" ref="E137" si="4">SUM(F259:F262)+SUM(F264:F267)</f>
        <v>4532.0207399999999</v>
      </c>
      <c r="F137" s="92"/>
      <c r="G137" s="84">
        <f t="shared" ref="G137" si="5">SUM(H259:H262)+SUM(H264:H267)</f>
        <v>6776.3766329999989</v>
      </c>
      <c r="H137" s="92"/>
      <c r="T137"/>
    </row>
    <row r="138" spans="1:22" s="32" customFormat="1" x14ac:dyDescent="0.25">
      <c r="A138" s="93" t="s">
        <v>147</v>
      </c>
      <c r="B138" s="93"/>
      <c r="C138" s="94">
        <f>SUM(C136:D137)</f>
        <v>12</v>
      </c>
      <c r="D138" s="95"/>
      <c r="E138" s="94">
        <f t="shared" ref="E138" si="6">SUM(E136:F137)</f>
        <v>7140.35322</v>
      </c>
      <c r="F138" s="95"/>
      <c r="G138" s="94">
        <f t="shared" ref="G138" si="7">SUM(G136:H137)</f>
        <v>10602.860228999998</v>
      </c>
      <c r="H138" s="95"/>
      <c r="T138"/>
    </row>
    <row r="139" spans="1:22" s="32" customFormat="1" x14ac:dyDescent="0.25">
      <c r="A139" s="87" t="s">
        <v>374</v>
      </c>
      <c r="B139" s="87"/>
      <c r="C139" s="87"/>
      <c r="D139" s="87"/>
      <c r="E139" s="87"/>
      <c r="F139" s="87"/>
      <c r="G139" s="87"/>
      <c r="H139" s="87"/>
      <c r="T139"/>
    </row>
    <row r="140" spans="1:22" s="32" customFormat="1" ht="15.75" customHeight="1" x14ac:dyDescent="0.25">
      <c r="A140" s="88" t="s">
        <v>51</v>
      </c>
      <c r="B140" s="88"/>
      <c r="C140" s="89" t="s">
        <v>72</v>
      </c>
      <c r="D140" s="89"/>
      <c r="E140" s="90" t="s">
        <v>52</v>
      </c>
      <c r="F140" s="90"/>
      <c r="G140" s="88" t="s">
        <v>53</v>
      </c>
      <c r="H140" s="88"/>
      <c r="T140"/>
    </row>
    <row r="141" spans="1:22" s="32" customFormat="1" x14ac:dyDescent="0.25">
      <c r="A141" s="91" t="s">
        <v>344</v>
      </c>
      <c r="B141" s="91"/>
      <c r="C141" s="84">
        <f>COUNT(D172:D174,D178)+COUNT(D180:D186)+COUNT(D188:D194)+COUNT(D196:D202)+COUNT(D204:D210)*18+COUNT(D220,D222:D226)*4</f>
        <v>175</v>
      </c>
      <c r="D141" s="84"/>
      <c r="E141" s="84">
        <f>SUM(F172:F174,F178)+SUM(F180:F186)+SUM(F188:F194)+SUM(F196:F202)+SUM(F204:F210)*18+SUM(F220,F222:F226)*4</f>
        <v>133340.96060999998</v>
      </c>
      <c r="F141" s="84"/>
      <c r="G141" s="84">
        <f>SUM(H172:H174,H178)+SUM(H180:H186)+SUM(H188:H194)+SUM(H196:H202)+SUM(H204:H210)*18+SUM(H220,H222:H226)*4</f>
        <v>194325.20856449998</v>
      </c>
      <c r="H141" s="84"/>
      <c r="T141"/>
    </row>
    <row r="142" spans="1:22" s="32" customFormat="1" x14ac:dyDescent="0.25">
      <c r="A142" s="91" t="s">
        <v>361</v>
      </c>
      <c r="B142" s="91"/>
      <c r="C142" s="84">
        <f>COUNT(D236:D239)+COUNT(D241:D244)+COUNT(D246:D249)*18+COUNT(D251:D254)*4</f>
        <v>96</v>
      </c>
      <c r="D142" s="84"/>
      <c r="E142" s="84">
        <f>SUM(F236:F239)+SUM(F241:F244)+SUM(F246:F249)*18+SUM(F251:F254)*4</f>
        <v>63726.647400000002</v>
      </c>
      <c r="F142" s="84"/>
      <c r="G142" s="84">
        <f t="shared" ref="G142" si="8">SUM(H236:H239)+SUM(H241:H244)+SUM(H246:H249)*18+SUM(H251:H254)*4</f>
        <v>92403.638729999991</v>
      </c>
      <c r="H142" s="84"/>
      <c r="T142"/>
    </row>
    <row r="143" spans="1:22" s="32" customFormat="1" x14ac:dyDescent="0.25">
      <c r="A143" s="91" t="s">
        <v>368</v>
      </c>
      <c r="B143" s="91"/>
      <c r="C143" s="84">
        <f>COUNT(D269:D272)+COUNT(D274:D277)*18+COUNT(D279,D281:D282)*4</f>
        <v>88</v>
      </c>
      <c r="D143" s="84"/>
      <c r="E143" s="84">
        <f t="shared" ref="E143" si="9">SUM(F269:F272)+SUM(F274:F277)*18+SUM(F279,F281:F282)*4</f>
        <v>56661.319259999989</v>
      </c>
      <c r="F143" s="84"/>
      <c r="G143" s="84">
        <f t="shared" ref="G143" si="10">SUM(H269:H272)+SUM(H274:H277)*18+SUM(H279,H281:H282)*4</f>
        <v>82158.912926999983</v>
      </c>
      <c r="H143" s="84"/>
      <c r="T143"/>
    </row>
    <row r="144" spans="1:22" s="32" customFormat="1" ht="16.5" thickBot="1" x14ac:dyDescent="0.3">
      <c r="A144" s="93" t="s">
        <v>147</v>
      </c>
      <c r="B144" s="93"/>
      <c r="C144" s="94">
        <f>SUM(C141:D143)</f>
        <v>359</v>
      </c>
      <c r="D144" s="95"/>
      <c r="E144" s="94">
        <f t="shared" ref="E144" si="11">SUM(E141:F143)</f>
        <v>253728.92726999996</v>
      </c>
      <c r="F144" s="95"/>
      <c r="G144" s="94">
        <f t="shared" ref="G144" si="12">SUM(G141:H143)</f>
        <v>368887.76022149995</v>
      </c>
      <c r="H144" s="95"/>
      <c r="T144"/>
    </row>
    <row r="145" spans="1:20" s="32" customFormat="1" ht="16.5" thickBot="1" x14ac:dyDescent="0.3">
      <c r="A145" s="161" t="s">
        <v>164</v>
      </c>
      <c r="B145" s="162"/>
      <c r="C145" s="163">
        <f>C133+C138+C144</f>
        <v>379</v>
      </c>
      <c r="D145" s="164"/>
      <c r="E145" s="163">
        <f t="shared" ref="E145" si="13">E133+E138+E144</f>
        <v>280086.24968999997</v>
      </c>
      <c r="F145" s="164"/>
      <c r="G145" s="163">
        <f t="shared" ref="G145" si="14">G133+G138+G144</f>
        <v>408316.07425049995</v>
      </c>
      <c r="H145" s="164"/>
      <c r="T145"/>
    </row>
    <row r="146" spans="1:20" s="31" customFormat="1" x14ac:dyDescent="0.25">
      <c r="A146" s="177" t="s">
        <v>54</v>
      </c>
      <c r="B146" s="177"/>
      <c r="C146" s="177"/>
      <c r="D146" s="177"/>
      <c r="E146" s="177"/>
      <c r="F146" s="177"/>
      <c r="G146" s="177"/>
      <c r="H146" s="177"/>
      <c r="T146" s="32"/>
    </row>
    <row r="147" spans="1:20" x14ac:dyDescent="0.25">
      <c r="A147" s="108" t="s">
        <v>172</v>
      </c>
      <c r="B147" s="108"/>
      <c r="C147" s="108"/>
      <c r="D147" s="108"/>
      <c r="E147" s="108"/>
      <c r="F147" s="108"/>
      <c r="G147" s="108"/>
      <c r="H147" s="108"/>
      <c r="T147" s="32"/>
    </row>
    <row r="148" spans="1:20" ht="47.25" customHeight="1" x14ac:dyDescent="0.25">
      <c r="A148" s="99" t="s">
        <v>391</v>
      </c>
      <c r="B148" s="99" t="s">
        <v>174</v>
      </c>
      <c r="C148" s="99" t="s">
        <v>55</v>
      </c>
      <c r="D148" s="99" t="s">
        <v>230</v>
      </c>
      <c r="E148" s="213" t="s">
        <v>153</v>
      </c>
      <c r="F148" s="99" t="s">
        <v>56</v>
      </c>
      <c r="G148" s="213" t="s">
        <v>57</v>
      </c>
      <c r="H148" s="66" t="s">
        <v>145</v>
      </c>
      <c r="T148" s="32"/>
    </row>
    <row r="149" spans="1:20" s="34" customFormat="1" x14ac:dyDescent="0.25">
      <c r="A149" s="100"/>
      <c r="B149" s="100"/>
      <c r="C149" s="100"/>
      <c r="D149" s="100"/>
      <c r="E149" s="214"/>
      <c r="F149" s="100"/>
      <c r="G149" s="214"/>
      <c r="H149" s="67">
        <v>0.5</v>
      </c>
      <c r="K149" s="65">
        <f>10.764</f>
        <v>10.763999999999999</v>
      </c>
      <c r="T149" s="32"/>
    </row>
    <row r="150" spans="1:20" s="34" customFormat="1" x14ac:dyDescent="0.25">
      <c r="A150" s="224" t="s">
        <v>344</v>
      </c>
      <c r="B150" s="224"/>
      <c r="C150" s="224"/>
      <c r="D150" s="224"/>
      <c r="E150" s="224"/>
      <c r="F150" s="224"/>
      <c r="G150" s="224"/>
      <c r="H150" s="224"/>
      <c r="T150" s="32"/>
    </row>
    <row r="151" spans="1:20" s="34" customFormat="1" ht="15.75" customHeight="1" x14ac:dyDescent="0.25">
      <c r="A151" s="86" t="s">
        <v>345</v>
      </c>
      <c r="B151" s="86"/>
      <c r="C151" s="86"/>
      <c r="D151" s="86"/>
      <c r="E151" s="86"/>
      <c r="F151" s="86"/>
      <c r="G151" s="86"/>
      <c r="H151" s="86"/>
      <c r="J151" s="33"/>
      <c r="T151" s="32"/>
    </row>
    <row r="152" spans="1:20" s="34" customFormat="1" ht="47.25" x14ac:dyDescent="0.25">
      <c r="A152" s="85">
        <v>1</v>
      </c>
      <c r="B152" s="85"/>
      <c r="C152" s="39" t="s">
        <v>346</v>
      </c>
      <c r="D152" s="65">
        <f>(76.11+104.93)*(10.764)</f>
        <v>1948.7145600000001</v>
      </c>
      <c r="E152" s="39">
        <v>0</v>
      </c>
      <c r="F152" s="39">
        <f>D152+(IF(E152&lt;201,E152,IF(E152&lt;301,E152/2,E152/3)))</f>
        <v>1948.7145600000001</v>
      </c>
      <c r="G152" s="39">
        <v>0</v>
      </c>
      <c r="H152" s="39">
        <f>(F152+(IF(G152&lt;101,G152,IF(G152&lt;201,G152/2,IF(G152&lt;=301,G152/3,G152/4)))))*(($H$149)+1)</f>
        <v>2923.0718400000001</v>
      </c>
      <c r="I152" s="33">
        <f>6.55*11.39</f>
        <v>74.604500000000002</v>
      </c>
      <c r="J152" s="33">
        <f>7.75*13.49</f>
        <v>104.5475</v>
      </c>
      <c r="K152" s="33">
        <f>I152+J152</f>
        <v>179.15199999999999</v>
      </c>
      <c r="L152" s="101"/>
      <c r="M152" s="101"/>
      <c r="N152" s="33"/>
      <c r="T152" s="32"/>
    </row>
    <row r="153" spans="1:20" s="34" customFormat="1" ht="47.25" x14ac:dyDescent="0.25">
      <c r="A153" s="80">
        <f t="shared" ref="A153:A159" si="15">A152+1</f>
        <v>2</v>
      </c>
      <c r="B153" s="81"/>
      <c r="C153" s="39" t="s">
        <v>346</v>
      </c>
      <c r="D153" s="65">
        <f>(60.18+70.69)*(10.764)</f>
        <v>1408.6846800000001</v>
      </c>
      <c r="E153" s="39">
        <v>0</v>
      </c>
      <c r="F153" s="39">
        <f t="shared" ref="F153:F155" si="16">D153+(IF(E153&lt;201,E153,IF(E153&lt;301,E153/2,E153/3)))</f>
        <v>1408.6846800000001</v>
      </c>
      <c r="G153" s="39">
        <v>0</v>
      </c>
      <c r="H153" s="39">
        <f t="shared" ref="H153:H155" si="17">(F153+(IF(G153&lt;101,G153,IF(G153&lt;201,G153/2,IF(G153&lt;=301,G153/3,G153/4)))))*(($H$149)+1)</f>
        <v>2113.02702</v>
      </c>
      <c r="I153" s="33"/>
      <c r="L153" s="101"/>
      <c r="M153" s="101"/>
      <c r="N153" s="33"/>
      <c r="T153" s="31"/>
    </row>
    <row r="154" spans="1:20" s="34" customFormat="1" ht="47.25" x14ac:dyDescent="0.25">
      <c r="A154" s="80">
        <f t="shared" si="15"/>
        <v>3</v>
      </c>
      <c r="B154" s="81"/>
      <c r="C154" s="39" t="s">
        <v>346</v>
      </c>
      <c r="D154" s="65">
        <f>(69.85+81.63)*(10.764)</f>
        <v>1630.5307199999997</v>
      </c>
      <c r="E154" s="39">
        <v>0</v>
      </c>
      <c r="F154" s="39">
        <f t="shared" si="16"/>
        <v>1630.5307199999997</v>
      </c>
      <c r="G154" s="39">
        <v>0</v>
      </c>
      <c r="H154" s="39">
        <f t="shared" si="17"/>
        <v>2445.7960799999996</v>
      </c>
      <c r="I154" s="33">
        <f>5.95*11.62</f>
        <v>69.138999999999996</v>
      </c>
      <c r="J154" s="33">
        <f>5.95*13.72</f>
        <v>81.634</v>
      </c>
      <c r="K154" s="33">
        <f>I154+J154</f>
        <v>150.773</v>
      </c>
      <c r="L154" s="101"/>
      <c r="M154" s="101"/>
      <c r="N154" s="33"/>
      <c r="T154" s="18"/>
    </row>
    <row r="155" spans="1:20" s="34" customFormat="1" ht="47.25" x14ac:dyDescent="0.25">
      <c r="A155" s="80">
        <f t="shared" si="15"/>
        <v>4</v>
      </c>
      <c r="B155" s="81"/>
      <c r="C155" s="39" t="s">
        <v>346</v>
      </c>
      <c r="D155" s="65">
        <f>(57.89+68.4)*(10.764)</f>
        <v>1359.3855599999999</v>
      </c>
      <c r="E155" s="39">
        <v>0</v>
      </c>
      <c r="F155" s="39">
        <f t="shared" si="16"/>
        <v>1359.3855599999999</v>
      </c>
      <c r="G155" s="39">
        <v>0</v>
      </c>
      <c r="H155" s="39">
        <f t="shared" si="17"/>
        <v>2039.07834</v>
      </c>
      <c r="I155" s="33"/>
      <c r="L155" s="101"/>
      <c r="M155" s="101"/>
      <c r="N155" s="33"/>
      <c r="T155" s="18"/>
    </row>
    <row r="156" spans="1:20" s="34" customFormat="1" ht="47.25" x14ac:dyDescent="0.25">
      <c r="A156" s="80">
        <f t="shared" si="15"/>
        <v>5</v>
      </c>
      <c r="B156" s="81"/>
      <c r="C156" s="39" t="s">
        <v>346</v>
      </c>
      <c r="D156" s="65">
        <f>(58.28+69.61)*(10.764)</f>
        <v>1376.6079599999998</v>
      </c>
      <c r="E156" s="39">
        <v>0</v>
      </c>
      <c r="F156" s="39">
        <f t="shared" ref="F156:F158" si="18">D156+(IF(E156&lt;201,E156,IF(E156&lt;301,E156/2,E156/3)))</f>
        <v>1376.6079599999998</v>
      </c>
      <c r="G156" s="39">
        <v>0</v>
      </c>
      <c r="H156" s="39">
        <f t="shared" ref="H156:H158" si="19">(F156+(IF(G156&lt;101,G156,IF(G156&lt;201,G156/2,IF(G156&lt;=301,G156/3,G156/4)))))*(($H$149)+1)</f>
        <v>2064.91194</v>
      </c>
      <c r="I156" s="33"/>
      <c r="L156" s="101"/>
      <c r="M156" s="101"/>
      <c r="N156" s="33"/>
      <c r="T156" s="31"/>
    </row>
    <row r="157" spans="1:20" s="34" customFormat="1" ht="47.25" x14ac:dyDescent="0.25">
      <c r="A157" s="80">
        <f t="shared" si="15"/>
        <v>6</v>
      </c>
      <c r="B157" s="81"/>
      <c r="C157" s="39" t="s">
        <v>346</v>
      </c>
      <c r="D157" s="65">
        <f>(111.57+133.8)*(10.764)</f>
        <v>2641.1626799999999</v>
      </c>
      <c r="E157" s="39">
        <v>0</v>
      </c>
      <c r="F157" s="39">
        <f t="shared" si="18"/>
        <v>2641.1626799999999</v>
      </c>
      <c r="G157" s="39">
        <v>0</v>
      </c>
      <c r="H157" s="39">
        <f t="shared" si="19"/>
        <v>3961.7440200000001</v>
      </c>
      <c r="I157" s="33"/>
      <c r="L157" s="101"/>
      <c r="M157" s="101"/>
      <c r="N157" s="33"/>
      <c r="T157" s="18"/>
    </row>
    <row r="158" spans="1:20" s="34" customFormat="1" ht="47.25" x14ac:dyDescent="0.25">
      <c r="A158" s="80">
        <f t="shared" si="15"/>
        <v>7</v>
      </c>
      <c r="B158" s="81"/>
      <c r="C158" s="39" t="s">
        <v>349</v>
      </c>
      <c r="D158" s="65">
        <f>(128.74+141.22+141.22)*(10.764)</f>
        <v>4425.9415200000003</v>
      </c>
      <c r="E158" s="39">
        <v>0</v>
      </c>
      <c r="F158" s="39">
        <f t="shared" si="18"/>
        <v>4425.9415200000003</v>
      </c>
      <c r="G158" s="39">
        <v>0</v>
      </c>
      <c r="H158" s="39">
        <f t="shared" si="19"/>
        <v>6638.9122800000005</v>
      </c>
      <c r="I158" s="33"/>
      <c r="L158" s="101"/>
      <c r="M158" s="101"/>
      <c r="N158" s="33"/>
      <c r="T158" s="18"/>
    </row>
    <row r="159" spans="1:20" s="34" customFormat="1" ht="47.25" x14ac:dyDescent="0.25">
      <c r="A159" s="80">
        <f t="shared" si="15"/>
        <v>8</v>
      </c>
      <c r="B159" s="81"/>
      <c r="C159" s="39" t="s">
        <v>349</v>
      </c>
      <c r="D159" s="65">
        <f>(128.74+141.22+141.22)*(10.764)</f>
        <v>4425.9415200000003</v>
      </c>
      <c r="E159" s="39">
        <v>0</v>
      </c>
      <c r="F159" s="39">
        <f t="shared" ref="F159" si="20">D159+(IF(E159&lt;201,E159,IF(E159&lt;301,E159/2,E159/3)))</f>
        <v>4425.9415200000003</v>
      </c>
      <c r="G159" s="39">
        <v>0</v>
      </c>
      <c r="H159" s="39">
        <f t="shared" ref="H159" si="21">(F159+(IF(G159&lt;101,G159,IF(G159&lt;201,G159/2,IF(G159&lt;=301,G159/3,G159/4)))))*(($H$149)+1)</f>
        <v>6638.9122800000005</v>
      </c>
      <c r="I159" s="33"/>
      <c r="L159" s="101"/>
      <c r="M159" s="101"/>
      <c r="N159" s="33"/>
      <c r="T159" s="31"/>
    </row>
    <row r="160" spans="1:20" s="34" customFormat="1" ht="15.75" customHeight="1" x14ac:dyDescent="0.25">
      <c r="A160" s="77" t="s">
        <v>347</v>
      </c>
      <c r="B160" s="78"/>
      <c r="C160" s="78"/>
      <c r="D160" s="78"/>
      <c r="E160" s="78"/>
      <c r="F160" s="78"/>
      <c r="G160" s="78"/>
      <c r="H160" s="79"/>
      <c r="J160" s="33"/>
      <c r="T160" s="32"/>
    </row>
    <row r="161" spans="1:20" s="34" customFormat="1" ht="31.5" customHeight="1" x14ac:dyDescent="0.25">
      <c r="A161" s="77" t="s">
        <v>348</v>
      </c>
      <c r="B161" s="78"/>
      <c r="C161" s="78"/>
      <c r="D161" s="78"/>
      <c r="E161" s="78"/>
      <c r="F161" s="78"/>
      <c r="G161" s="78"/>
      <c r="H161" s="79"/>
      <c r="J161" s="33"/>
      <c r="T161" s="32"/>
    </row>
    <row r="162" spans="1:20" s="34" customFormat="1" ht="15.75" hidden="1" customHeight="1" x14ac:dyDescent="0.25">
      <c r="A162" s="77" t="s">
        <v>113</v>
      </c>
      <c r="B162" s="78"/>
      <c r="C162" s="78"/>
      <c r="D162" s="78"/>
      <c r="E162" s="78"/>
      <c r="F162" s="78"/>
      <c r="G162" s="78"/>
      <c r="H162" s="79"/>
      <c r="J162" s="33"/>
      <c r="T162" s="32"/>
    </row>
    <row r="163" spans="1:20" s="34" customFormat="1" ht="15.75" hidden="1" customHeight="1" x14ac:dyDescent="0.25">
      <c r="A163" s="80">
        <v>1</v>
      </c>
      <c r="B163" s="81"/>
      <c r="C163" s="39"/>
      <c r="D163" s="39">
        <v>0</v>
      </c>
      <c r="E163" s="39">
        <v>0</v>
      </c>
      <c r="F163" s="39">
        <f>D163+(IF(E163&lt;201,E163,IF(E163&lt;301,E163/2,E163/3)))</f>
        <v>0</v>
      </c>
      <c r="G163" s="39">
        <v>0</v>
      </c>
      <c r="H163" s="39">
        <f>(F163+(IF(G163&lt;101,G163,IF(G163&lt;201,G163/2,IF(G163&lt;=301,G163/3,G163/4)))))*(($H$149)+1)</f>
        <v>0</v>
      </c>
      <c r="I163" s="33"/>
      <c r="L163" s="101"/>
      <c r="M163" s="101"/>
      <c r="N163" s="33"/>
      <c r="T163" s="32"/>
    </row>
    <row r="164" spans="1:20" s="34" customFormat="1" ht="15.75" hidden="1" customHeight="1" x14ac:dyDescent="0.25">
      <c r="A164" s="80">
        <f>A163+1</f>
        <v>2</v>
      </c>
      <c r="B164" s="81"/>
      <c r="C164" s="39"/>
      <c r="D164" s="39"/>
      <c r="E164" s="39">
        <v>0</v>
      </c>
      <c r="F164" s="39">
        <f t="shared" ref="F164:F166" si="22">D164+(IF(E164&lt;201,E164,IF(E164&lt;301,E164/2,E164/3)))</f>
        <v>0</v>
      </c>
      <c r="G164" s="39">
        <v>0</v>
      </c>
      <c r="H164" s="39">
        <f t="shared" ref="H164:H166" si="23">(F164+(IF(G164&lt;101,G164,IF(G164&lt;201,G164/2,IF(G164&lt;=301,G164/3,G164/4)))))*(($H$149)+1)</f>
        <v>0</v>
      </c>
      <c r="I164" s="33"/>
      <c r="L164" s="101"/>
      <c r="M164" s="101"/>
      <c r="N164" s="33"/>
      <c r="T164" s="31"/>
    </row>
    <row r="165" spans="1:20" s="34" customFormat="1" ht="15.75" hidden="1" customHeight="1" x14ac:dyDescent="0.25">
      <c r="A165" s="80">
        <f>A164+1</f>
        <v>3</v>
      </c>
      <c r="B165" s="81"/>
      <c r="C165" s="39"/>
      <c r="D165" s="39"/>
      <c r="E165" s="39">
        <v>0</v>
      </c>
      <c r="F165" s="39">
        <f t="shared" si="22"/>
        <v>0</v>
      </c>
      <c r="G165" s="39">
        <v>0</v>
      </c>
      <c r="H165" s="39">
        <f t="shared" si="23"/>
        <v>0</v>
      </c>
      <c r="I165" s="33"/>
      <c r="L165" s="101"/>
      <c r="M165" s="101"/>
      <c r="N165" s="33"/>
      <c r="T165" s="18"/>
    </row>
    <row r="166" spans="1:20" s="34" customFormat="1" ht="15.75" hidden="1" customHeight="1" x14ac:dyDescent="0.25">
      <c r="A166" s="80">
        <f>A165+1</f>
        <v>4</v>
      </c>
      <c r="B166" s="81"/>
      <c r="C166" s="39"/>
      <c r="D166" s="39"/>
      <c r="E166" s="39">
        <v>0</v>
      </c>
      <c r="F166" s="39">
        <f t="shared" si="22"/>
        <v>0</v>
      </c>
      <c r="G166" s="39">
        <v>0</v>
      </c>
      <c r="H166" s="39">
        <f t="shared" si="23"/>
        <v>0</v>
      </c>
      <c r="I166" s="33"/>
      <c r="L166" s="101"/>
      <c r="M166" s="101"/>
      <c r="N166" s="33"/>
      <c r="T166" s="18"/>
    </row>
    <row r="167" spans="1:20" s="34" customFormat="1" x14ac:dyDescent="0.25">
      <c r="A167" s="80"/>
      <c r="B167" s="96"/>
      <c r="C167" s="96"/>
      <c r="D167" s="96"/>
      <c r="E167" s="96"/>
      <c r="F167" s="96"/>
      <c r="G167" s="96"/>
      <c r="H167" s="81"/>
      <c r="I167" s="33"/>
      <c r="N167" s="33"/>
    </row>
    <row r="168" spans="1:20" ht="47.25" customHeight="1" x14ac:dyDescent="0.25">
      <c r="A168" s="97" t="s">
        <v>115</v>
      </c>
      <c r="B168" s="181" t="s">
        <v>175</v>
      </c>
      <c r="C168" s="181" t="s">
        <v>55</v>
      </c>
      <c r="D168" s="99" t="s">
        <v>353</v>
      </c>
      <c r="E168" s="99" t="s">
        <v>229</v>
      </c>
      <c r="F168" s="99" t="s">
        <v>56</v>
      </c>
      <c r="G168" s="213" t="s">
        <v>57</v>
      </c>
      <c r="H168" s="66" t="s">
        <v>145</v>
      </c>
      <c r="I168" s="33"/>
      <c r="T168" s="34"/>
    </row>
    <row r="169" spans="1:20" s="34" customFormat="1" x14ac:dyDescent="0.25">
      <c r="A169" s="98"/>
      <c r="B169" s="182"/>
      <c r="C169" s="182"/>
      <c r="D169" s="100"/>
      <c r="E169" s="100"/>
      <c r="F169" s="100"/>
      <c r="G169" s="214"/>
      <c r="H169" s="67">
        <v>0.45</v>
      </c>
      <c r="I169" s="33"/>
    </row>
    <row r="170" spans="1:20" s="34" customFormat="1" x14ac:dyDescent="0.25">
      <c r="A170" s="102" t="s">
        <v>364</v>
      </c>
      <c r="B170" s="103"/>
      <c r="C170" s="103"/>
      <c r="D170" s="103"/>
      <c r="E170" s="103"/>
      <c r="F170" s="103"/>
      <c r="G170" s="103"/>
      <c r="H170" s="104"/>
      <c r="T170" s="32"/>
    </row>
    <row r="171" spans="1:20" s="34" customFormat="1" x14ac:dyDescent="0.25">
      <c r="A171" s="86" t="s">
        <v>356</v>
      </c>
      <c r="B171" s="86"/>
      <c r="C171" s="86"/>
      <c r="D171" s="86"/>
      <c r="E171" s="86"/>
      <c r="F171" s="86"/>
      <c r="G171" s="86"/>
      <c r="H171" s="86"/>
      <c r="I171" s="33"/>
      <c r="L171" s="101"/>
      <c r="M171" s="101"/>
    </row>
    <row r="172" spans="1:20" s="34" customFormat="1" x14ac:dyDescent="0.25">
      <c r="A172" s="85">
        <v>1</v>
      </c>
      <c r="B172" s="85"/>
      <c r="C172" s="39" t="s">
        <v>350</v>
      </c>
      <c r="D172" s="65">
        <f>(58.11)*(10.764)</f>
        <v>625.49603999999999</v>
      </c>
      <c r="E172" s="65">
        <f>(4.35)*(10.764)</f>
        <v>46.823399999999992</v>
      </c>
      <c r="F172" s="39">
        <f>D172+E172</f>
        <v>672.31943999999999</v>
      </c>
      <c r="G172" s="65">
        <f>(92.38)*(10.764)</f>
        <v>994.37831999999992</v>
      </c>
      <c r="H172" s="39">
        <f>F172*(($H$169)+1)+(IF(G172&lt;101,G172,IF(G172&lt;201,G172/2,IF(G172&lt;=301,G172/3,G172/4))))</f>
        <v>1223.457768</v>
      </c>
      <c r="I172" s="33">
        <f>(2.9*4.7+2.33*3+2.83*3+3.05*4.05+2.1*1.35+2.1*1.35+1.85*2.4+0.9*4)</f>
        <v>55.172499999999999</v>
      </c>
      <c r="J172" s="33">
        <f>1.45*2.9</f>
        <v>4.2050000000000001</v>
      </c>
      <c r="N172" s="33"/>
    </row>
    <row r="173" spans="1:20" s="34" customFormat="1" x14ac:dyDescent="0.25">
      <c r="A173" s="85">
        <f>A172+1</f>
        <v>2</v>
      </c>
      <c r="B173" s="85"/>
      <c r="C173" s="39" t="s">
        <v>351</v>
      </c>
      <c r="D173" s="65">
        <f>(39.72)*(10.764)</f>
        <v>427.54607999999996</v>
      </c>
      <c r="E173" s="65">
        <f>(4.35)*(10.764)</f>
        <v>46.823399999999992</v>
      </c>
      <c r="F173" s="39">
        <f>D173+E173</f>
        <v>474.36947999999995</v>
      </c>
      <c r="G173" s="65">
        <f>(96.22)*(10.764)</f>
        <v>1035.71208</v>
      </c>
      <c r="H173" s="39">
        <f>F173*(($H$169)+1)+(IF(G173&lt;101,G173,IF(G173&lt;201,G173/2,IF(G173&lt;=301,G173/3,G173/4))))</f>
        <v>946.7637659999998</v>
      </c>
      <c r="I173" s="33"/>
      <c r="J173" s="33">
        <f>5.3*8.2+3.05*7.3</f>
        <v>65.724999999999994</v>
      </c>
      <c r="N173" s="33"/>
    </row>
    <row r="174" spans="1:20" s="34" customFormat="1" x14ac:dyDescent="0.25">
      <c r="A174" s="85">
        <f>A173+1</f>
        <v>3</v>
      </c>
      <c r="B174" s="85"/>
      <c r="C174" s="39" t="s">
        <v>352</v>
      </c>
      <c r="D174" s="65">
        <f>(73.44)*(10.764)</f>
        <v>790.50815999999998</v>
      </c>
      <c r="E174" s="65">
        <f>(4.35)*(10.764)</f>
        <v>46.823399999999992</v>
      </c>
      <c r="F174" s="39">
        <f>D174+E174</f>
        <v>837.33155999999997</v>
      </c>
      <c r="G174" s="65">
        <f>(125.03)*(10.764)</f>
        <v>1345.8229199999998</v>
      </c>
      <c r="H174" s="39">
        <f>F174*(($H$169)+1)+(IF(G174&lt;101,G174,IF(G174&lt;201,G174/2,IF(G174&lt;=301,G174/3,G174/4))))</f>
        <v>1550.5864919999999</v>
      </c>
      <c r="I174" s="33">
        <f>(2.9*5.55+2.32*2.4+2.83*3.45+2.9*2.89+2.9*4.2+1.35*2.3+1.1*3.3+1.6*0.9+3*1.12+2.17*1.2+1.2*1.95+1.2*0.5)</f>
        <v>69.066499999999991</v>
      </c>
      <c r="J174" s="33">
        <f>1.5*2.9</f>
        <v>4.3499999999999996</v>
      </c>
      <c r="N174" s="33"/>
    </row>
    <row r="175" spans="1:20" s="34" customFormat="1" x14ac:dyDescent="0.25">
      <c r="A175" s="85">
        <f t="shared" ref="A175:A177" si="24">A174+1</f>
        <v>4</v>
      </c>
      <c r="B175" s="85"/>
      <c r="C175" s="227" t="s">
        <v>396</v>
      </c>
      <c r="D175" s="228"/>
      <c r="E175" s="228"/>
      <c r="F175" s="228"/>
      <c r="G175" s="228"/>
      <c r="H175" s="229"/>
      <c r="I175" s="33"/>
      <c r="N175" s="33"/>
    </row>
    <row r="176" spans="1:20" s="34" customFormat="1" x14ac:dyDescent="0.25">
      <c r="A176" s="85">
        <f t="shared" si="24"/>
        <v>5</v>
      </c>
      <c r="B176" s="85"/>
      <c r="C176" s="230"/>
      <c r="D176" s="231"/>
      <c r="E176" s="231"/>
      <c r="F176" s="231"/>
      <c r="G176" s="231"/>
      <c r="H176" s="232"/>
      <c r="I176" s="33">
        <f>(2.9*4.59+2.25*2.4+2.9*3.45+2.1*1.2+1.2*1.95+3*0.6+2*0.9)</f>
        <v>37.175999999999995</v>
      </c>
      <c r="N176" s="33"/>
    </row>
    <row r="177" spans="1:14" s="34" customFormat="1" x14ac:dyDescent="0.25">
      <c r="A177" s="85">
        <f t="shared" si="24"/>
        <v>6</v>
      </c>
      <c r="B177" s="85"/>
      <c r="C177" s="233"/>
      <c r="D177" s="234"/>
      <c r="E177" s="234"/>
      <c r="F177" s="234"/>
      <c r="G177" s="234"/>
      <c r="H177" s="235"/>
      <c r="I177" s="33"/>
      <c r="N177" s="33"/>
    </row>
    <row r="178" spans="1:14" s="34" customFormat="1" x14ac:dyDescent="0.25">
      <c r="A178" s="85">
        <v>7</v>
      </c>
      <c r="B178" s="85"/>
      <c r="C178" s="39" t="s">
        <v>350</v>
      </c>
      <c r="D178" s="65">
        <f>(62.28)*(10.764)</f>
        <v>670.38191999999992</v>
      </c>
      <c r="E178" s="65">
        <f>(4.42)*(10.764)</f>
        <v>47.576879999999996</v>
      </c>
      <c r="F178" s="39">
        <f>D178+E178</f>
        <v>717.95879999999988</v>
      </c>
      <c r="G178" s="65">
        <f>(50.85)*(10.764)</f>
        <v>547.34939999999995</v>
      </c>
      <c r="H178" s="39">
        <f>F178*(($H$169)+1)+(IF(G178&lt;101,G178,IF(G178&lt;201,G178/2,IF(G178&lt;=301,G178/3,G178/4))))</f>
        <v>1177.8776099999998</v>
      </c>
      <c r="I178" s="33"/>
      <c r="N178" s="33"/>
    </row>
    <row r="179" spans="1:14" s="34" customFormat="1" x14ac:dyDescent="0.25">
      <c r="A179" s="86" t="s">
        <v>355</v>
      </c>
      <c r="B179" s="86"/>
      <c r="C179" s="86"/>
      <c r="D179" s="86"/>
      <c r="E179" s="86"/>
      <c r="F179" s="86"/>
      <c r="G179" s="86"/>
      <c r="H179" s="86"/>
      <c r="I179" s="33"/>
      <c r="L179" s="101"/>
      <c r="M179" s="101"/>
    </row>
    <row r="180" spans="1:14" s="34" customFormat="1" x14ac:dyDescent="0.25">
      <c r="A180" s="85">
        <v>1</v>
      </c>
      <c r="B180" s="85"/>
      <c r="C180" s="39" t="s">
        <v>350</v>
      </c>
      <c r="D180" s="65">
        <f>(58.11)*(10.764)</f>
        <v>625.49603999999999</v>
      </c>
      <c r="E180" s="65">
        <f>(4.35+8.9*0.75)*(10.764)</f>
        <v>118.67309999999999</v>
      </c>
      <c r="F180" s="39">
        <f t="shared" ref="F180:F186" si="25">D180+E180</f>
        <v>744.16913999999997</v>
      </c>
      <c r="G180" s="39">
        <v>0</v>
      </c>
      <c r="H180" s="39">
        <f t="shared" ref="H180:H186" si="26">F180*(($H$169)+1)+(IF(G180&lt;101,G180,IF(G180&lt;201,G180/2,IF(G180&lt;=301,G180/3,G180/4))))</f>
        <v>1079.045253</v>
      </c>
      <c r="I180" s="33"/>
      <c r="N180" s="33"/>
    </row>
    <row r="181" spans="1:14" s="34" customFormat="1" x14ac:dyDescent="0.25">
      <c r="A181" s="85">
        <f t="shared" ref="A181:A186" si="27">A180+1</f>
        <v>2</v>
      </c>
      <c r="B181" s="85"/>
      <c r="C181" s="39" t="s">
        <v>351</v>
      </c>
      <c r="D181" s="65">
        <f>(39.72)*(10.764)</f>
        <v>427.54607999999996</v>
      </c>
      <c r="E181" s="65">
        <f>(4.35+5.5*0.75)*(10.764)</f>
        <v>91.224899999999991</v>
      </c>
      <c r="F181" s="39">
        <f t="shared" si="25"/>
        <v>518.77098000000001</v>
      </c>
      <c r="G181" s="39">
        <v>0</v>
      </c>
      <c r="H181" s="39">
        <f t="shared" si="26"/>
        <v>752.21792099999993</v>
      </c>
      <c r="I181" s="33"/>
      <c r="N181" s="33"/>
    </row>
    <row r="182" spans="1:14" s="34" customFormat="1" x14ac:dyDescent="0.25">
      <c r="A182" s="85">
        <f t="shared" si="27"/>
        <v>3</v>
      </c>
      <c r="B182" s="85"/>
      <c r="C182" s="39" t="s">
        <v>352</v>
      </c>
      <c r="D182" s="65">
        <f>(73.44)*(10.764)</f>
        <v>790.50815999999998</v>
      </c>
      <c r="E182" s="65">
        <f>(4.35+0.75*(5.5+6.1))*(10.764)</f>
        <v>140.47019999999998</v>
      </c>
      <c r="F182" s="39">
        <f t="shared" si="25"/>
        <v>930.97835999999995</v>
      </c>
      <c r="G182" s="39">
        <v>0</v>
      </c>
      <c r="H182" s="39">
        <f t="shared" si="26"/>
        <v>1349.9186219999999</v>
      </c>
      <c r="I182" s="33"/>
      <c r="N182" s="33"/>
    </row>
    <row r="183" spans="1:14" s="34" customFormat="1" x14ac:dyDescent="0.25">
      <c r="A183" s="85">
        <f t="shared" si="27"/>
        <v>4</v>
      </c>
      <c r="B183" s="85"/>
      <c r="C183" s="39" t="s">
        <v>352</v>
      </c>
      <c r="D183" s="65">
        <f>(73.35)*(10.764)</f>
        <v>789.53939999999989</v>
      </c>
      <c r="E183" s="65">
        <f>(4.35+0.75*(6.1+5.5))*(10.764)</f>
        <v>140.47019999999998</v>
      </c>
      <c r="F183" s="39">
        <f t="shared" si="25"/>
        <v>930.00959999999986</v>
      </c>
      <c r="G183" s="39">
        <v>0</v>
      </c>
      <c r="H183" s="39">
        <f t="shared" si="26"/>
        <v>1348.5139199999999</v>
      </c>
      <c r="I183" s="33"/>
      <c r="N183" s="33"/>
    </row>
    <row r="184" spans="1:14" s="34" customFormat="1" x14ac:dyDescent="0.25">
      <c r="A184" s="85">
        <f t="shared" si="27"/>
        <v>5</v>
      </c>
      <c r="B184" s="85"/>
      <c r="C184" s="39" t="s">
        <v>351</v>
      </c>
      <c r="D184" s="65">
        <f>(39.25)*(10.764)</f>
        <v>422.48699999999997</v>
      </c>
      <c r="E184" s="65">
        <f>(0.75*(3.2+5.5))*(10.764)</f>
        <v>70.235099999999989</v>
      </c>
      <c r="F184" s="39">
        <f t="shared" si="25"/>
        <v>492.72209999999995</v>
      </c>
      <c r="G184" s="39">
        <v>0</v>
      </c>
      <c r="H184" s="39">
        <f t="shared" si="26"/>
        <v>714.44704499999989</v>
      </c>
      <c r="I184" s="33">
        <f>(2.9*4.59+2.25*2.4+2.9*3.45+2.1*1.2+1.2*1.95+3*0.6+2*0.9)</f>
        <v>37.175999999999995</v>
      </c>
      <c r="N184" s="33"/>
    </row>
    <row r="185" spans="1:14" s="34" customFormat="1" x14ac:dyDescent="0.25">
      <c r="A185" s="85">
        <f t="shared" si="27"/>
        <v>6</v>
      </c>
      <c r="B185" s="85"/>
      <c r="C185" s="39" t="s">
        <v>352</v>
      </c>
      <c r="D185" s="65">
        <f>(73.3)*(10.764)</f>
        <v>789.00119999999993</v>
      </c>
      <c r="E185" s="65">
        <f>(0.75*(5.5+8.36))*(10.764)</f>
        <v>111.89177999999998</v>
      </c>
      <c r="F185" s="39">
        <f t="shared" si="25"/>
        <v>900.89297999999985</v>
      </c>
      <c r="G185" s="39">
        <v>0</v>
      </c>
      <c r="H185" s="39">
        <f t="shared" si="26"/>
        <v>1306.2948209999997</v>
      </c>
      <c r="I185" s="33"/>
      <c r="N185" s="33"/>
    </row>
    <row r="186" spans="1:14" s="34" customFormat="1" x14ac:dyDescent="0.25">
      <c r="A186" s="85">
        <f t="shared" si="27"/>
        <v>7</v>
      </c>
      <c r="B186" s="85"/>
      <c r="C186" s="39" t="s">
        <v>350</v>
      </c>
      <c r="D186" s="65">
        <f>(62.28)*(10.764)</f>
        <v>670.38191999999992</v>
      </c>
      <c r="E186" s="65">
        <f>(4.42+0.75*(5.6+3.45))*(10.764)</f>
        <v>120.63752999999998</v>
      </c>
      <c r="F186" s="39">
        <f t="shared" si="25"/>
        <v>791.01944999999989</v>
      </c>
      <c r="G186" s="39">
        <v>0</v>
      </c>
      <c r="H186" s="39">
        <f t="shared" si="26"/>
        <v>1146.9782024999997</v>
      </c>
      <c r="I186" s="33"/>
      <c r="N186" s="33"/>
    </row>
    <row r="187" spans="1:14" s="34" customFormat="1" x14ac:dyDescent="0.25">
      <c r="A187" s="86" t="s">
        <v>354</v>
      </c>
      <c r="B187" s="86"/>
      <c r="C187" s="86"/>
      <c r="D187" s="86"/>
      <c r="E187" s="86"/>
      <c r="F187" s="86"/>
      <c r="G187" s="86"/>
      <c r="H187" s="86"/>
      <c r="I187" s="33"/>
      <c r="L187" s="101"/>
      <c r="M187" s="101"/>
    </row>
    <row r="188" spans="1:14" s="34" customFormat="1" x14ac:dyDescent="0.25">
      <c r="A188" s="85">
        <v>1</v>
      </c>
      <c r="B188" s="85"/>
      <c r="C188" s="39" t="s">
        <v>350</v>
      </c>
      <c r="D188" s="65">
        <f>(58.11)*(10.764)</f>
        <v>625.49603999999999</v>
      </c>
      <c r="E188" s="65">
        <f>(4.35+8.9*0.75)*(10.764)</f>
        <v>118.67309999999999</v>
      </c>
      <c r="F188" s="39">
        <f t="shared" ref="F188:F194" si="28">D188+E188</f>
        <v>744.16913999999997</v>
      </c>
      <c r="G188" s="39">
        <v>0</v>
      </c>
      <c r="H188" s="39">
        <f t="shared" ref="H188:H194" si="29">F188*(($H$169)+1)+(IF(G188&lt;101,G188,IF(G188&lt;201,G188/2,IF(G188&lt;=301,G188/3,G188/4))))</f>
        <v>1079.045253</v>
      </c>
      <c r="I188" s="33"/>
      <c r="N188" s="33"/>
    </row>
    <row r="189" spans="1:14" s="34" customFormat="1" x14ac:dyDescent="0.25">
      <c r="A189" s="85">
        <f t="shared" ref="A189:A194" si="30">A188+1</f>
        <v>2</v>
      </c>
      <c r="B189" s="85"/>
      <c r="C189" s="39" t="s">
        <v>351</v>
      </c>
      <c r="D189" s="65">
        <f>(39.72)*(10.764)</f>
        <v>427.54607999999996</v>
      </c>
      <c r="E189" s="65">
        <f>(4.35+5.5*0.75)*(10.764)</f>
        <v>91.224899999999991</v>
      </c>
      <c r="F189" s="39">
        <f t="shared" si="28"/>
        <v>518.77098000000001</v>
      </c>
      <c r="G189" s="39">
        <v>0</v>
      </c>
      <c r="H189" s="39">
        <f t="shared" si="29"/>
        <v>752.21792099999993</v>
      </c>
      <c r="I189" s="33"/>
      <c r="N189" s="33"/>
    </row>
    <row r="190" spans="1:14" s="34" customFormat="1" x14ac:dyDescent="0.25">
      <c r="A190" s="85">
        <f t="shared" si="30"/>
        <v>3</v>
      </c>
      <c r="B190" s="85"/>
      <c r="C190" s="39" t="s">
        <v>352</v>
      </c>
      <c r="D190" s="65">
        <f>(73.44)*(10.764)</f>
        <v>790.50815999999998</v>
      </c>
      <c r="E190" s="65">
        <f>(4.35+0.75*(5.5+6.1))*(10.764)</f>
        <v>140.47019999999998</v>
      </c>
      <c r="F190" s="39">
        <f t="shared" si="28"/>
        <v>930.97835999999995</v>
      </c>
      <c r="G190" s="39">
        <v>0</v>
      </c>
      <c r="H190" s="39">
        <f t="shared" si="29"/>
        <v>1349.9186219999999</v>
      </c>
      <c r="I190" s="33"/>
      <c r="N190" s="33"/>
    </row>
    <row r="191" spans="1:14" s="34" customFormat="1" x14ac:dyDescent="0.25">
      <c r="A191" s="85">
        <f t="shared" si="30"/>
        <v>4</v>
      </c>
      <c r="B191" s="85"/>
      <c r="C191" s="39" t="s">
        <v>352</v>
      </c>
      <c r="D191" s="65">
        <f>(73.35)*(10.764)</f>
        <v>789.53939999999989</v>
      </c>
      <c r="E191" s="65">
        <f>(4.35+0.75*(6.1+5.5))*(10.764)</f>
        <v>140.47019999999998</v>
      </c>
      <c r="F191" s="39">
        <f t="shared" si="28"/>
        <v>930.00959999999986</v>
      </c>
      <c r="G191" s="39">
        <v>0</v>
      </c>
      <c r="H191" s="39">
        <f t="shared" si="29"/>
        <v>1348.5139199999999</v>
      </c>
      <c r="I191" s="33"/>
      <c r="N191" s="33"/>
    </row>
    <row r="192" spans="1:14" s="34" customFormat="1" x14ac:dyDescent="0.25">
      <c r="A192" s="85">
        <f t="shared" si="30"/>
        <v>5</v>
      </c>
      <c r="B192" s="85"/>
      <c r="C192" s="39" t="s">
        <v>351</v>
      </c>
      <c r="D192" s="65">
        <f>(39.25)*(10.764)</f>
        <v>422.48699999999997</v>
      </c>
      <c r="E192" s="65">
        <f>(0.75*(3.2+5.5))*(10.764)</f>
        <v>70.235099999999989</v>
      </c>
      <c r="F192" s="39">
        <f t="shared" si="28"/>
        <v>492.72209999999995</v>
      </c>
      <c r="G192" s="39">
        <v>0</v>
      </c>
      <c r="H192" s="39">
        <f t="shared" si="29"/>
        <v>714.44704499999989</v>
      </c>
      <c r="I192" s="33"/>
      <c r="N192" s="33"/>
    </row>
    <row r="193" spans="1:14" s="34" customFormat="1" x14ac:dyDescent="0.25">
      <c r="A193" s="85">
        <f t="shared" si="30"/>
        <v>6</v>
      </c>
      <c r="B193" s="85"/>
      <c r="C193" s="39" t="s">
        <v>352</v>
      </c>
      <c r="D193" s="65">
        <f>(73.3)*(10.764)</f>
        <v>789.00119999999993</v>
      </c>
      <c r="E193" s="65">
        <f>(0.75*(5.5+8.36))*(10.764)</f>
        <v>111.89177999999998</v>
      </c>
      <c r="F193" s="39">
        <f t="shared" si="28"/>
        <v>900.89297999999985</v>
      </c>
      <c r="G193" s="39">
        <v>0</v>
      </c>
      <c r="H193" s="39">
        <f t="shared" si="29"/>
        <v>1306.2948209999997</v>
      </c>
      <c r="I193" s="33"/>
      <c r="N193" s="33"/>
    </row>
    <row r="194" spans="1:14" s="34" customFormat="1" x14ac:dyDescent="0.25">
      <c r="A194" s="85">
        <f t="shared" si="30"/>
        <v>7</v>
      </c>
      <c r="B194" s="85"/>
      <c r="C194" s="39" t="s">
        <v>350</v>
      </c>
      <c r="D194" s="65">
        <f>(62.28)*(10.764)</f>
        <v>670.38191999999992</v>
      </c>
      <c r="E194" s="65">
        <f>(4.42+0.75*(5.6+3.45))*(10.764)</f>
        <v>120.63752999999998</v>
      </c>
      <c r="F194" s="39">
        <f t="shared" si="28"/>
        <v>791.01944999999989</v>
      </c>
      <c r="G194" s="39">
        <v>0</v>
      </c>
      <c r="H194" s="39">
        <f t="shared" si="29"/>
        <v>1146.9782024999997</v>
      </c>
      <c r="I194" s="33"/>
      <c r="N194" s="33"/>
    </row>
    <row r="195" spans="1:14" s="34" customFormat="1" x14ac:dyDescent="0.25">
      <c r="A195" s="86" t="s">
        <v>357</v>
      </c>
      <c r="B195" s="86"/>
      <c r="C195" s="86"/>
      <c r="D195" s="86"/>
      <c r="E195" s="86"/>
      <c r="F195" s="86"/>
      <c r="G195" s="86"/>
      <c r="H195" s="86"/>
      <c r="I195" s="33"/>
      <c r="L195" s="101"/>
      <c r="M195" s="101"/>
    </row>
    <row r="196" spans="1:14" s="34" customFormat="1" x14ac:dyDescent="0.25">
      <c r="A196" s="85">
        <v>1</v>
      </c>
      <c r="B196" s="85"/>
      <c r="C196" s="39" t="s">
        <v>350</v>
      </c>
      <c r="D196" s="65">
        <f>(58.11)*(10.764)</f>
        <v>625.49603999999999</v>
      </c>
      <c r="E196" s="65">
        <f>(4.35+8.9*0.75)*(10.764)</f>
        <v>118.67309999999999</v>
      </c>
      <c r="F196" s="39">
        <f t="shared" ref="F196:F202" si="31">D196+E196</f>
        <v>744.16913999999997</v>
      </c>
      <c r="G196" s="39">
        <v>0</v>
      </c>
      <c r="H196" s="39">
        <f t="shared" ref="H196:H202" si="32">F196*(($H$169)+1)+(IF(G196&lt;101,G196,IF(G196&lt;201,G196/2,IF(G196&lt;=301,G196/3,G196/4))))</f>
        <v>1079.045253</v>
      </c>
      <c r="I196" s="33"/>
      <c r="N196" s="33"/>
    </row>
    <row r="197" spans="1:14" s="34" customFormat="1" x14ac:dyDescent="0.25">
      <c r="A197" s="85">
        <v>2</v>
      </c>
      <c r="B197" s="85"/>
      <c r="C197" s="39" t="s">
        <v>351</v>
      </c>
      <c r="D197" s="65">
        <f>(39.72)*(10.764)</f>
        <v>427.54607999999996</v>
      </c>
      <c r="E197" s="65">
        <f>(4.35+5.5*0.75)*(10.764)</f>
        <v>91.224899999999991</v>
      </c>
      <c r="F197" s="39">
        <f t="shared" si="31"/>
        <v>518.77098000000001</v>
      </c>
      <c r="G197" s="39">
        <v>0</v>
      </c>
      <c r="H197" s="39">
        <f t="shared" si="32"/>
        <v>752.21792099999993</v>
      </c>
      <c r="I197" s="33"/>
      <c r="N197" s="33"/>
    </row>
    <row r="198" spans="1:14" s="34" customFormat="1" x14ac:dyDescent="0.25">
      <c r="A198" s="85">
        <f>A197+1</f>
        <v>3</v>
      </c>
      <c r="B198" s="85"/>
      <c r="C198" s="39" t="s">
        <v>352</v>
      </c>
      <c r="D198" s="65">
        <f>(73.44)*(10.764)</f>
        <v>790.50815999999998</v>
      </c>
      <c r="E198" s="65">
        <f>(4.35+0.75*(5.5+6.1))*(10.764)</f>
        <v>140.47019999999998</v>
      </c>
      <c r="F198" s="39">
        <f t="shared" si="31"/>
        <v>930.97835999999995</v>
      </c>
      <c r="G198" s="39">
        <v>0</v>
      </c>
      <c r="H198" s="39">
        <f t="shared" si="32"/>
        <v>1349.9186219999999</v>
      </c>
      <c r="I198" s="33"/>
      <c r="K198" s="34">
        <f>8300000/H199</f>
        <v>6154.9234879236546</v>
      </c>
      <c r="N198" s="33"/>
    </row>
    <row r="199" spans="1:14" s="34" customFormat="1" x14ac:dyDescent="0.25">
      <c r="A199" s="85">
        <f>A198+1</f>
        <v>4</v>
      </c>
      <c r="B199" s="85"/>
      <c r="C199" s="39" t="s">
        <v>352</v>
      </c>
      <c r="D199" s="65">
        <f>(73.35)*(10.764)</f>
        <v>789.53939999999989</v>
      </c>
      <c r="E199" s="65">
        <f>(4.35+0.75*(6.1+5.5))*(10.764)</f>
        <v>140.47019999999998</v>
      </c>
      <c r="F199" s="39">
        <f t="shared" si="31"/>
        <v>930.00959999999986</v>
      </c>
      <c r="G199" s="39">
        <v>0</v>
      </c>
      <c r="H199" s="39">
        <f t="shared" si="32"/>
        <v>1348.5139199999999</v>
      </c>
      <c r="I199" s="33"/>
      <c r="N199" s="33"/>
    </row>
    <row r="200" spans="1:14" s="34" customFormat="1" x14ac:dyDescent="0.25">
      <c r="A200" s="85">
        <f>A199+1</f>
        <v>5</v>
      </c>
      <c r="B200" s="85"/>
      <c r="C200" s="39" t="s">
        <v>351</v>
      </c>
      <c r="D200" s="65">
        <f>(39.25)*(10.764)</f>
        <v>422.48699999999997</v>
      </c>
      <c r="E200" s="65">
        <f>(0.75*(3.2+5.5))*(10.764)</f>
        <v>70.235099999999989</v>
      </c>
      <c r="F200" s="39">
        <f t="shared" si="31"/>
        <v>492.72209999999995</v>
      </c>
      <c r="G200" s="39">
        <v>0</v>
      </c>
      <c r="H200" s="39">
        <f t="shared" si="32"/>
        <v>714.44704499999989</v>
      </c>
      <c r="I200" s="33"/>
      <c r="N200" s="33"/>
    </row>
    <row r="201" spans="1:14" s="34" customFormat="1" x14ac:dyDescent="0.25">
      <c r="A201" s="85">
        <f>A200+1</f>
        <v>6</v>
      </c>
      <c r="B201" s="85"/>
      <c r="C201" s="39" t="s">
        <v>352</v>
      </c>
      <c r="D201" s="65">
        <f>(73.3)*(10.764)</f>
        <v>789.00119999999993</v>
      </c>
      <c r="E201" s="65">
        <f>(0.75*(5.5+8.36))*(10.764)</f>
        <v>111.89177999999998</v>
      </c>
      <c r="F201" s="39">
        <f t="shared" si="31"/>
        <v>900.89297999999985</v>
      </c>
      <c r="G201" s="39">
        <v>0</v>
      </c>
      <c r="H201" s="39">
        <f t="shared" si="32"/>
        <v>1306.2948209999997</v>
      </c>
      <c r="I201" s="33"/>
      <c r="N201" s="33"/>
    </row>
    <row r="202" spans="1:14" s="34" customFormat="1" x14ac:dyDescent="0.25">
      <c r="A202" s="85">
        <f>A201+1</f>
        <v>7</v>
      </c>
      <c r="B202" s="85"/>
      <c r="C202" s="39" t="s">
        <v>350</v>
      </c>
      <c r="D202" s="65">
        <f>(62.28)*(10.764)</f>
        <v>670.38191999999992</v>
      </c>
      <c r="E202" s="65">
        <f>(4.42+0.75*(5.6+3.45))*(10.764)</f>
        <v>120.63752999999998</v>
      </c>
      <c r="F202" s="39">
        <f t="shared" si="31"/>
        <v>791.01944999999989</v>
      </c>
      <c r="G202" s="39">
        <v>0</v>
      </c>
      <c r="H202" s="39">
        <f t="shared" si="32"/>
        <v>1146.9782024999997</v>
      </c>
      <c r="I202" s="33"/>
      <c r="N202" s="33"/>
    </row>
    <row r="203" spans="1:14" s="34" customFormat="1" ht="15.75" customHeight="1" x14ac:dyDescent="0.25">
      <c r="A203" s="77" t="s">
        <v>403</v>
      </c>
      <c r="B203" s="78"/>
      <c r="C203" s="78"/>
      <c r="D203" s="78"/>
      <c r="E203" s="78"/>
      <c r="F203" s="78"/>
      <c r="G203" s="78"/>
      <c r="H203" s="79"/>
      <c r="I203" s="33"/>
    </row>
    <row r="204" spans="1:14" s="34" customFormat="1" ht="15.75" customHeight="1" x14ac:dyDescent="0.25">
      <c r="A204" s="80">
        <v>1</v>
      </c>
      <c r="B204" s="81"/>
      <c r="C204" s="39" t="s">
        <v>350</v>
      </c>
      <c r="D204" s="65">
        <f>(58.11)*(10.764)</f>
        <v>625.49603999999999</v>
      </c>
      <c r="E204" s="65">
        <f>(4.35+8.9*0.75)*(10.764)</f>
        <v>118.67309999999999</v>
      </c>
      <c r="F204" s="39">
        <f t="shared" ref="F204:F210" si="33">D204+E204</f>
        <v>744.16913999999997</v>
      </c>
      <c r="G204" s="39">
        <v>0</v>
      </c>
      <c r="H204" s="39">
        <f t="shared" ref="H204:H210" si="34">F204*(($H$169)+1)+(IF(G204&lt;101,G204,IF(G204&lt;201,G204/2,IF(G204&lt;=301,G204/3,G204/4))))</f>
        <v>1079.045253</v>
      </c>
      <c r="I204" s="33"/>
    </row>
    <row r="205" spans="1:14" s="34" customFormat="1" ht="15.75" customHeight="1" x14ac:dyDescent="0.25">
      <c r="A205" s="80">
        <v>2</v>
      </c>
      <c r="B205" s="81"/>
      <c r="C205" s="39" t="s">
        <v>351</v>
      </c>
      <c r="D205" s="65">
        <f>(39.72)*(10.764)</f>
        <v>427.54607999999996</v>
      </c>
      <c r="E205" s="65">
        <f>(4.35+5.5*0.75)*(10.764)</f>
        <v>91.224899999999991</v>
      </c>
      <c r="F205" s="39">
        <f t="shared" si="33"/>
        <v>518.77098000000001</v>
      </c>
      <c r="G205" s="39">
        <v>0</v>
      </c>
      <c r="H205" s="39">
        <f t="shared" si="34"/>
        <v>752.21792099999993</v>
      </c>
      <c r="I205" s="33"/>
    </row>
    <row r="206" spans="1:14" s="34" customFormat="1" ht="15.75" customHeight="1" x14ac:dyDescent="0.25">
      <c r="A206" s="80">
        <v>3</v>
      </c>
      <c r="B206" s="81"/>
      <c r="C206" s="39" t="s">
        <v>352</v>
      </c>
      <c r="D206" s="65">
        <f>(73.44)*(10.764)</f>
        <v>790.50815999999998</v>
      </c>
      <c r="E206" s="65">
        <f>(4.35+0.75*(5.5+6.1))*(10.764)</f>
        <v>140.47019999999998</v>
      </c>
      <c r="F206" s="39">
        <f t="shared" si="33"/>
        <v>930.97835999999995</v>
      </c>
      <c r="G206" s="39">
        <v>0</v>
      </c>
      <c r="H206" s="39">
        <f t="shared" si="34"/>
        <v>1349.9186219999999</v>
      </c>
      <c r="I206" s="33"/>
    </row>
    <row r="207" spans="1:14" s="34" customFormat="1" ht="15.75" customHeight="1" x14ac:dyDescent="0.25">
      <c r="A207" s="80">
        <v>4</v>
      </c>
      <c r="B207" s="81"/>
      <c r="C207" s="39" t="s">
        <v>352</v>
      </c>
      <c r="D207" s="65">
        <f>(73.35)*(10.764)</f>
        <v>789.53939999999989</v>
      </c>
      <c r="E207" s="65">
        <f>(4.35+0.75*(6.1+5.5))*(10.764)</f>
        <v>140.47019999999998</v>
      </c>
      <c r="F207" s="39">
        <f t="shared" si="33"/>
        <v>930.00959999999986</v>
      </c>
      <c r="G207" s="39">
        <v>0</v>
      </c>
      <c r="H207" s="39">
        <f t="shared" si="34"/>
        <v>1348.5139199999999</v>
      </c>
      <c r="I207" s="33"/>
    </row>
    <row r="208" spans="1:14" s="34" customFormat="1" ht="15.75" customHeight="1" x14ac:dyDescent="0.25">
      <c r="A208" s="80">
        <v>5</v>
      </c>
      <c r="B208" s="81"/>
      <c r="C208" s="39" t="s">
        <v>351</v>
      </c>
      <c r="D208" s="65">
        <f>(39.25)*(10.764)</f>
        <v>422.48699999999997</v>
      </c>
      <c r="E208" s="65">
        <f>(0.75*(3.2+5.5))*(10.764)</f>
        <v>70.235099999999989</v>
      </c>
      <c r="F208" s="39">
        <f t="shared" si="33"/>
        <v>492.72209999999995</v>
      </c>
      <c r="G208" s="39">
        <v>0</v>
      </c>
      <c r="H208" s="39">
        <f t="shared" si="34"/>
        <v>714.44704499999989</v>
      </c>
      <c r="I208" s="33"/>
    </row>
    <row r="209" spans="1:15" s="34" customFormat="1" ht="15.75" customHeight="1" x14ac:dyDescent="0.25">
      <c r="A209" s="80">
        <v>6</v>
      </c>
      <c r="B209" s="81"/>
      <c r="C209" s="39" t="s">
        <v>352</v>
      </c>
      <c r="D209" s="65">
        <f>(73.3)*(10.764)</f>
        <v>789.00119999999993</v>
      </c>
      <c r="E209" s="65">
        <f>(0.75*(5.5+8.36))*(10.764)</f>
        <v>111.89177999999998</v>
      </c>
      <c r="F209" s="39">
        <f t="shared" si="33"/>
        <v>900.89297999999985</v>
      </c>
      <c r="G209" s="39">
        <v>0</v>
      </c>
      <c r="H209" s="39">
        <f t="shared" si="34"/>
        <v>1306.2948209999997</v>
      </c>
      <c r="I209" s="33"/>
    </row>
    <row r="210" spans="1:15" s="34" customFormat="1" ht="15.75" customHeight="1" x14ac:dyDescent="0.25">
      <c r="A210" s="80">
        <v>7</v>
      </c>
      <c r="B210" s="81"/>
      <c r="C210" s="39" t="s">
        <v>350</v>
      </c>
      <c r="D210" s="65">
        <f>(62.28)*(10.764)</f>
        <v>670.38191999999992</v>
      </c>
      <c r="E210" s="65">
        <f>(4.42+0.75*(5.6+3.45))*(10.764)</f>
        <v>120.63752999999998</v>
      </c>
      <c r="F210" s="39">
        <f t="shared" si="33"/>
        <v>791.01944999999989</v>
      </c>
      <c r="G210" s="39">
        <v>0</v>
      </c>
      <c r="H210" s="39">
        <f t="shared" si="34"/>
        <v>1146.9782024999997</v>
      </c>
      <c r="I210" s="33"/>
    </row>
    <row r="211" spans="1:15" s="34" customFormat="1" ht="15.75" customHeight="1" x14ac:dyDescent="0.25">
      <c r="A211" s="77" t="s">
        <v>404</v>
      </c>
      <c r="B211" s="78"/>
      <c r="C211" s="78"/>
      <c r="D211" s="78"/>
      <c r="E211" s="78"/>
      <c r="F211" s="78"/>
      <c r="G211" s="78"/>
      <c r="H211" s="79"/>
      <c r="I211" s="33"/>
    </row>
    <row r="212" spans="1:15" s="34" customFormat="1" ht="15.75" customHeight="1" x14ac:dyDescent="0.25">
      <c r="A212" s="80">
        <v>1</v>
      </c>
      <c r="B212" s="81"/>
      <c r="C212" s="39" t="s">
        <v>350</v>
      </c>
      <c r="D212" s="65">
        <f>(58.11)*(10.764)</f>
        <v>625.49603999999999</v>
      </c>
      <c r="E212" s="65">
        <f>(4.35+8.9*0.75)*(10.764)</f>
        <v>118.67309999999999</v>
      </c>
      <c r="F212" s="39">
        <f t="shared" ref="F212:F218" si="35">D212+E212</f>
        <v>744.16913999999997</v>
      </c>
      <c r="G212" s="39">
        <v>0</v>
      </c>
      <c r="H212" s="39">
        <f t="shared" ref="H212:H218" si="36">F212*(($H$169)+1)+(IF(G212&lt;101,G212,IF(G212&lt;201,G212/2,IF(G212&lt;=301,G212/3,G212/4))))</f>
        <v>1079.045253</v>
      </c>
      <c r="I212" s="33"/>
    </row>
    <row r="213" spans="1:15" s="34" customFormat="1" ht="15.75" customHeight="1" x14ac:dyDescent="0.25">
      <c r="A213" s="80">
        <v>2</v>
      </c>
      <c r="B213" s="81"/>
      <c r="C213" s="39" t="s">
        <v>351</v>
      </c>
      <c r="D213" s="65">
        <f>(39.72)*(10.764)</f>
        <v>427.54607999999996</v>
      </c>
      <c r="E213" s="65">
        <f>(4.35+5.5*0.75)*(10.764)</f>
        <v>91.224899999999991</v>
      </c>
      <c r="F213" s="39">
        <f t="shared" si="35"/>
        <v>518.77098000000001</v>
      </c>
      <c r="G213" s="39">
        <v>0</v>
      </c>
      <c r="H213" s="39">
        <f t="shared" si="36"/>
        <v>752.21792099999993</v>
      </c>
      <c r="I213" s="33"/>
    </row>
    <row r="214" spans="1:15" s="34" customFormat="1" ht="15.75" customHeight="1" x14ac:dyDescent="0.25">
      <c r="A214" s="80">
        <v>3</v>
      </c>
      <c r="B214" s="81"/>
      <c r="C214" s="39" t="s">
        <v>352</v>
      </c>
      <c r="D214" s="65">
        <f>(73.44)*(10.764)</f>
        <v>790.50815999999998</v>
      </c>
      <c r="E214" s="65">
        <f>(4.35+0.75*(5.5+6.1))*(10.764)</f>
        <v>140.47019999999998</v>
      </c>
      <c r="F214" s="39">
        <f t="shared" si="35"/>
        <v>930.97835999999995</v>
      </c>
      <c r="G214" s="39">
        <v>0</v>
      </c>
      <c r="H214" s="39">
        <v>1488</v>
      </c>
      <c r="I214" s="33"/>
      <c r="J214" s="34">
        <f>H214*6500+300000+300000</f>
        <v>10272000</v>
      </c>
      <c r="L214" s="34">
        <f>7700000/0.75</f>
        <v>10266666.666666666</v>
      </c>
      <c r="M214" s="34">
        <f>(10266667-300000-300000)/6500</f>
        <v>1487.1795384615384</v>
      </c>
    </row>
    <row r="215" spans="1:15" s="34" customFormat="1" ht="15.75" customHeight="1" x14ac:dyDescent="0.25">
      <c r="A215" s="80">
        <v>4</v>
      </c>
      <c r="B215" s="81"/>
      <c r="C215" s="39" t="s">
        <v>352</v>
      </c>
      <c r="D215" s="65">
        <f>(73.35)*(10.764)</f>
        <v>789.53939999999989</v>
      </c>
      <c r="E215" s="65">
        <f>(4.35+0.75*(6.1+5.5))*(10.764)</f>
        <v>140.47019999999998</v>
      </c>
      <c r="F215" s="39">
        <f t="shared" si="35"/>
        <v>930.00959999999986</v>
      </c>
      <c r="G215" s="39">
        <v>0</v>
      </c>
      <c r="H215" s="39">
        <f t="shared" si="36"/>
        <v>1348.5139199999999</v>
      </c>
      <c r="I215" s="82" t="s">
        <v>405</v>
      </c>
      <c r="J215" s="83"/>
      <c r="K215" s="83"/>
      <c r="L215" s="83"/>
      <c r="M215" s="83"/>
      <c r="N215" s="83"/>
      <c r="O215" s="83"/>
    </row>
    <row r="216" spans="1:15" s="34" customFormat="1" ht="15.75" customHeight="1" x14ac:dyDescent="0.25">
      <c r="A216" s="80">
        <v>5</v>
      </c>
      <c r="B216" s="81"/>
      <c r="C216" s="39" t="s">
        <v>351</v>
      </c>
      <c r="D216" s="65">
        <f>(39.25)*(10.764)</f>
        <v>422.48699999999997</v>
      </c>
      <c r="E216" s="65">
        <f>(0.75*(3.2+5.5))*(10.764)</f>
        <v>70.235099999999989</v>
      </c>
      <c r="F216" s="39">
        <f t="shared" si="35"/>
        <v>492.72209999999995</v>
      </c>
      <c r="G216" s="39">
        <v>0</v>
      </c>
      <c r="H216" s="39">
        <f t="shared" si="36"/>
        <v>714.44704499999989</v>
      </c>
      <c r="I216" s="33"/>
    </row>
    <row r="217" spans="1:15" s="34" customFormat="1" ht="15.75" customHeight="1" x14ac:dyDescent="0.25">
      <c r="A217" s="80">
        <v>6</v>
      </c>
      <c r="B217" s="81"/>
      <c r="C217" s="39" t="s">
        <v>352</v>
      </c>
      <c r="D217" s="65">
        <f>(73.3)*(10.764)</f>
        <v>789.00119999999993</v>
      </c>
      <c r="E217" s="65">
        <f>(0.75*(5.5+8.36))*(10.764)</f>
        <v>111.89177999999998</v>
      </c>
      <c r="F217" s="39">
        <f t="shared" si="35"/>
        <v>900.89297999999985</v>
      </c>
      <c r="G217" s="39">
        <v>0</v>
      </c>
      <c r="H217" s="39">
        <f t="shared" si="36"/>
        <v>1306.2948209999997</v>
      </c>
      <c r="I217" s="33"/>
    </row>
    <row r="218" spans="1:15" s="34" customFormat="1" ht="15.75" customHeight="1" x14ac:dyDescent="0.25">
      <c r="A218" s="80">
        <v>7</v>
      </c>
      <c r="B218" s="81"/>
      <c r="C218" s="39" t="s">
        <v>350</v>
      </c>
      <c r="D218" s="65">
        <f>(62.28)*(10.764)</f>
        <v>670.38191999999992</v>
      </c>
      <c r="E218" s="65">
        <f>(4.42+0.75*(5.6+3.45))*(10.764)</f>
        <v>120.63752999999998</v>
      </c>
      <c r="F218" s="39">
        <f t="shared" si="35"/>
        <v>791.01944999999989</v>
      </c>
      <c r="G218" s="39">
        <v>0</v>
      </c>
      <c r="H218" s="39">
        <f t="shared" si="36"/>
        <v>1146.9782024999997</v>
      </c>
      <c r="I218" s="33"/>
    </row>
    <row r="219" spans="1:15" s="34" customFormat="1" ht="15.75" customHeight="1" x14ac:dyDescent="0.25">
      <c r="A219" s="86" t="s">
        <v>359</v>
      </c>
      <c r="B219" s="86"/>
      <c r="C219" s="86"/>
      <c r="D219" s="86"/>
      <c r="E219" s="86"/>
      <c r="F219" s="86"/>
      <c r="G219" s="86"/>
      <c r="H219" s="86"/>
      <c r="I219" s="33"/>
    </row>
    <row r="220" spans="1:15" s="34" customFormat="1" ht="15.75" customHeight="1" x14ac:dyDescent="0.25">
      <c r="A220" s="85">
        <v>1</v>
      </c>
      <c r="B220" s="85"/>
      <c r="C220" s="39" t="s">
        <v>350</v>
      </c>
      <c r="D220" s="65">
        <f>(58.11)*(10.764)</f>
        <v>625.49603999999999</v>
      </c>
      <c r="E220" s="65">
        <f>(4.35+8.9*0.75)*(10.764)</f>
        <v>118.67309999999999</v>
      </c>
      <c r="F220" s="39">
        <f>D220+E220</f>
        <v>744.16913999999997</v>
      </c>
      <c r="G220" s="39">
        <v>0</v>
      </c>
      <c r="H220" s="39">
        <f>F220*(($H$169)+1)+(IF(G220&lt;101,G220,IF(G220&lt;201,G220/2,IF(G220&lt;=301,G220/3,G220/4))))</f>
        <v>1079.045253</v>
      </c>
      <c r="I220" s="33"/>
    </row>
    <row r="221" spans="1:15" s="34" customFormat="1" ht="15.75" customHeight="1" x14ac:dyDescent="0.25">
      <c r="A221" s="85">
        <v>2</v>
      </c>
      <c r="B221" s="85"/>
      <c r="C221" s="85" t="s">
        <v>360</v>
      </c>
      <c r="D221" s="85"/>
      <c r="E221" s="85"/>
      <c r="F221" s="85"/>
      <c r="G221" s="85"/>
      <c r="H221" s="85"/>
      <c r="I221" s="33"/>
    </row>
    <row r="222" spans="1:15" s="34" customFormat="1" ht="15.75" customHeight="1" x14ac:dyDescent="0.25">
      <c r="A222" s="85">
        <v>3</v>
      </c>
      <c r="B222" s="85"/>
      <c r="C222" s="39" t="s">
        <v>352</v>
      </c>
      <c r="D222" s="65">
        <f>(73.44)*(10.764)</f>
        <v>790.50815999999998</v>
      </c>
      <c r="E222" s="65">
        <f>(4.35+0.75*(5.5+6.1))*(10.764)</f>
        <v>140.47019999999998</v>
      </c>
      <c r="F222" s="39">
        <f>D222+E222</f>
        <v>930.97835999999995</v>
      </c>
      <c r="G222" s="39">
        <v>0</v>
      </c>
      <c r="H222" s="39">
        <f>F222*(($H$169)+1)+(IF(G222&lt;101,G222,IF(G222&lt;201,G222/2,IF(G222&lt;=301,G222/3,G222/4))))</f>
        <v>1349.9186219999999</v>
      </c>
      <c r="I222" s="33"/>
    </row>
    <row r="223" spans="1:15" s="34" customFormat="1" ht="15.75" customHeight="1" x14ac:dyDescent="0.25">
      <c r="A223" s="85">
        <v>4</v>
      </c>
      <c r="B223" s="85"/>
      <c r="C223" s="39" t="s">
        <v>352</v>
      </c>
      <c r="D223" s="65">
        <f>(73.35)*(10.764)</f>
        <v>789.53939999999989</v>
      </c>
      <c r="E223" s="65">
        <f>(4.35+0.75*(6.1+5.5))*(10.764)</f>
        <v>140.47019999999998</v>
      </c>
      <c r="F223" s="39">
        <f>D223+E223</f>
        <v>930.00959999999986</v>
      </c>
      <c r="G223" s="39">
        <v>0</v>
      </c>
      <c r="H223" s="39">
        <f>F223*(($H$169)+1)+(IF(G223&lt;101,G223,IF(G223&lt;201,G223/2,IF(G223&lt;=301,G223/3,G223/4))))</f>
        <v>1348.5139199999999</v>
      </c>
      <c r="I223" s="33"/>
    </row>
    <row r="224" spans="1:15" s="34" customFormat="1" ht="15.75" customHeight="1" x14ac:dyDescent="0.25">
      <c r="A224" s="85">
        <v>5</v>
      </c>
      <c r="B224" s="85"/>
      <c r="C224" s="39" t="s">
        <v>351</v>
      </c>
      <c r="D224" s="65">
        <f>(39.25)*(10.764)</f>
        <v>422.48699999999997</v>
      </c>
      <c r="E224" s="65">
        <f>(0.75*(3.2+5.5))*(10.764)</f>
        <v>70.235099999999989</v>
      </c>
      <c r="F224" s="39">
        <f>D224+E224</f>
        <v>492.72209999999995</v>
      </c>
      <c r="G224" s="39">
        <v>0</v>
      </c>
      <c r="H224" s="39">
        <f>F224*(($H$169)+1)+(IF(G224&lt;101,G224,IF(G224&lt;201,G224/2,IF(G224&lt;=301,G224/3,G224/4))))</f>
        <v>714.44704499999989</v>
      </c>
      <c r="I224" s="33"/>
    </row>
    <row r="225" spans="1:20" s="34" customFormat="1" ht="15.75" customHeight="1" x14ac:dyDescent="0.25">
      <c r="A225" s="80">
        <v>6</v>
      </c>
      <c r="B225" s="81"/>
      <c r="C225" s="39" t="s">
        <v>352</v>
      </c>
      <c r="D225" s="65">
        <f>(73.3)*(10.764)</f>
        <v>789.00119999999993</v>
      </c>
      <c r="E225" s="65">
        <f>(0.75*(5.5+8.36))*(10.764)</f>
        <v>111.89177999999998</v>
      </c>
      <c r="F225" s="39">
        <f>D225+E225</f>
        <v>900.89297999999985</v>
      </c>
      <c r="G225" s="39">
        <v>0</v>
      </c>
      <c r="H225" s="39">
        <f>F225*(($H$169)+1)+(IF(G225&lt;101,G225,IF(G225&lt;201,G225/2,IF(G225&lt;=301,G225/3,G225/4))))</f>
        <v>1306.2948209999997</v>
      </c>
      <c r="I225" s="33"/>
    </row>
    <row r="226" spans="1:20" s="34" customFormat="1" ht="15.75" customHeight="1" x14ac:dyDescent="0.25">
      <c r="A226" s="80">
        <v>7</v>
      </c>
      <c r="B226" s="81"/>
      <c r="C226" s="39" t="s">
        <v>350</v>
      </c>
      <c r="D226" s="65">
        <f>(62.28)*(10.764)</f>
        <v>670.38191999999992</v>
      </c>
      <c r="E226" s="65">
        <f>(4.42+0.75*(5.6+3.45))*(10.764)</f>
        <v>120.63752999999998</v>
      </c>
      <c r="F226" s="39">
        <f>D226+E226</f>
        <v>791.01944999999989</v>
      </c>
      <c r="G226" s="39">
        <v>0</v>
      </c>
      <c r="H226" s="39">
        <f>F226*(($H$169)+1)+(IF(G226&lt;101,G226,IF(G226&lt;201,G226/2,IF(G226&lt;=301,G226/3,G226/4))))</f>
        <v>1146.9782024999997</v>
      </c>
      <c r="I226" s="33"/>
    </row>
    <row r="227" spans="1:20" s="34" customFormat="1" x14ac:dyDescent="0.25">
      <c r="A227" s="102" t="s">
        <v>361</v>
      </c>
      <c r="B227" s="103"/>
      <c r="C227" s="103"/>
      <c r="D227" s="103"/>
      <c r="E227" s="103"/>
      <c r="F227" s="103"/>
      <c r="G227" s="103"/>
      <c r="H227" s="104"/>
      <c r="T227" s="32"/>
    </row>
    <row r="228" spans="1:20" s="34" customFormat="1" x14ac:dyDescent="0.25">
      <c r="A228" s="77" t="s">
        <v>362</v>
      </c>
      <c r="B228" s="78"/>
      <c r="C228" s="78"/>
      <c r="D228" s="78"/>
      <c r="E228" s="78"/>
      <c r="F228" s="78"/>
      <c r="G228" s="78"/>
      <c r="H228" s="79"/>
      <c r="J228" s="33"/>
    </row>
    <row r="229" spans="1:20" s="34" customFormat="1" x14ac:dyDescent="0.25">
      <c r="A229" s="77" t="s">
        <v>363</v>
      </c>
      <c r="B229" s="78"/>
      <c r="C229" s="78"/>
      <c r="D229" s="78"/>
      <c r="E229" s="78"/>
      <c r="F229" s="78"/>
      <c r="G229" s="78"/>
      <c r="H229" s="79"/>
      <c r="J229" s="33"/>
    </row>
    <row r="230" spans="1:20" s="34" customFormat="1" x14ac:dyDescent="0.25">
      <c r="A230" s="86" t="s">
        <v>355</v>
      </c>
      <c r="B230" s="86"/>
      <c r="C230" s="86"/>
      <c r="D230" s="86"/>
      <c r="E230" s="86"/>
      <c r="F230" s="86"/>
      <c r="G230" s="86"/>
      <c r="H230" s="86"/>
      <c r="I230" s="33"/>
      <c r="L230" s="101"/>
      <c r="M230" s="101"/>
    </row>
    <row r="231" spans="1:20" s="34" customFormat="1" x14ac:dyDescent="0.25">
      <c r="A231" s="39">
        <v>1</v>
      </c>
      <c r="B231" s="39" t="s">
        <v>365</v>
      </c>
      <c r="C231" s="39" t="s">
        <v>350</v>
      </c>
      <c r="D231" s="65">
        <f>(48.92)*(10.764)</f>
        <v>526.57488000000001</v>
      </c>
      <c r="E231" s="65">
        <f>(13.24+0.75*8.35)*(10.764)</f>
        <v>209.92490999999995</v>
      </c>
      <c r="F231" s="39">
        <f>D231+E231</f>
        <v>736.49978999999996</v>
      </c>
      <c r="G231" s="39">
        <v>0</v>
      </c>
      <c r="H231" s="39">
        <f>F231*(($H$169)+1)+(IF(G231&lt;101,G231,IF(G231&lt;201,G231/2,IF(G231&lt;=301,G231/3,G231/4))))</f>
        <v>1067.9246954999999</v>
      </c>
      <c r="I231" s="33">
        <f>(4.93*2.9+1.91*2.25+1.91*2.9+2.9*2.75+2.05*0.6+1.2*2.1+1.2*1.95+2.4*1.8+4*0.9)</f>
        <v>46.118499999999997</v>
      </c>
      <c r="J231" s="33">
        <f>0.9*(2.25+2.9)+1.7*2.75+1.34*2.9</f>
        <v>13.196000000000002</v>
      </c>
      <c r="N231" s="33"/>
    </row>
    <row r="232" spans="1:20" s="34" customFormat="1" x14ac:dyDescent="0.25">
      <c r="A232" s="39">
        <f>A231+1</f>
        <v>2</v>
      </c>
      <c r="B232" s="39" t="s">
        <v>365</v>
      </c>
      <c r="C232" s="39" t="s">
        <v>350</v>
      </c>
      <c r="D232" s="65">
        <f>(45.02)*(10.764)</f>
        <v>484.59528</v>
      </c>
      <c r="E232" s="65">
        <f>(8.98+0.75*(8.35+3.13))*(10.764)</f>
        <v>189.33875999999998</v>
      </c>
      <c r="F232" s="39">
        <f>D232+E232</f>
        <v>673.93403999999998</v>
      </c>
      <c r="G232" s="39">
        <v>0</v>
      </c>
      <c r="H232" s="39">
        <f>F232*(($H$169)+1)+(IF(G232&lt;101,G232,IF(G232&lt;201,G232/2,IF(G232&lt;=301,G232/3,G232/4))))</f>
        <v>977.20435799999996</v>
      </c>
      <c r="I232" s="33"/>
      <c r="N232" s="33"/>
    </row>
    <row r="233" spans="1:20" s="34" customFormat="1" x14ac:dyDescent="0.25">
      <c r="A233" s="39">
        <f>A232+1</f>
        <v>3</v>
      </c>
      <c r="B233" s="39" t="s">
        <v>365</v>
      </c>
      <c r="C233" s="39" t="s">
        <v>351</v>
      </c>
      <c r="D233" s="65">
        <f>(29.75)*(10.764)</f>
        <v>320.22899999999998</v>
      </c>
      <c r="E233" s="65">
        <f>(9.06+0.75*8.85)*(10.764)</f>
        <v>168.96788999999998</v>
      </c>
      <c r="F233" s="39">
        <f>D233+E233</f>
        <v>489.19688999999994</v>
      </c>
      <c r="G233" s="39">
        <v>0</v>
      </c>
      <c r="H233" s="39">
        <f>F233*(($H$169)+1)+(IF(G233&lt;101,G233,IF(G233&lt;201,G233/2,IF(G233&lt;=301,G233/3,G233/4))))</f>
        <v>709.33549049999988</v>
      </c>
      <c r="I233" s="33">
        <f>(3.2*2.75+2.85*2.75+2.25*2.75+1.3*0.5+1.2*2.1+1.2*2.1)</f>
        <v>28.515000000000001</v>
      </c>
      <c r="J233" s="33">
        <f>2.75*(0.9+1.4+0.8)</f>
        <v>8.5249999999999986</v>
      </c>
      <c r="N233" s="33"/>
    </row>
    <row r="234" spans="1:20" s="34" customFormat="1" x14ac:dyDescent="0.25">
      <c r="A234" s="39">
        <f>A233+1</f>
        <v>4</v>
      </c>
      <c r="B234" s="39" t="s">
        <v>365</v>
      </c>
      <c r="C234" s="39" t="s">
        <v>350</v>
      </c>
      <c r="D234" s="65">
        <f>(47.18)*(10.764)</f>
        <v>507.84551999999996</v>
      </c>
      <c r="E234" s="65">
        <f>(12.36+0.75*(2.9+2.75+2.75))*(10.764)</f>
        <v>200.85623999999999</v>
      </c>
      <c r="F234" s="39">
        <f>D234+E234</f>
        <v>708.70175999999992</v>
      </c>
      <c r="G234" s="39">
        <f>1.5*2.75*10.764</f>
        <v>44.401499999999999</v>
      </c>
      <c r="H234" s="39">
        <f>F234*(($H$169)+1)+(IF(G234&lt;101,G234,IF(G234&lt;201,G234/2,IF(G234&lt;=301,G234/3,G234/4))))</f>
        <v>1072.0190519999999</v>
      </c>
      <c r="I234" s="33"/>
      <c r="N234" s="33"/>
    </row>
    <row r="235" spans="1:20" s="34" customFormat="1" x14ac:dyDescent="0.25">
      <c r="A235" s="86" t="s">
        <v>354</v>
      </c>
      <c r="B235" s="86"/>
      <c r="C235" s="86"/>
      <c r="D235" s="86"/>
      <c r="E235" s="86"/>
      <c r="F235" s="86"/>
      <c r="G235" s="86"/>
      <c r="H235" s="86"/>
      <c r="I235" s="33"/>
      <c r="L235" s="101"/>
      <c r="M235" s="101"/>
    </row>
    <row r="236" spans="1:20" s="34" customFormat="1" x14ac:dyDescent="0.25">
      <c r="A236" s="39">
        <v>1</v>
      </c>
      <c r="B236" s="39" t="s">
        <v>366</v>
      </c>
      <c r="C236" s="39" t="s">
        <v>350</v>
      </c>
      <c r="D236" s="65">
        <f>(58.86)*(10.764)</f>
        <v>633.56903999999997</v>
      </c>
      <c r="E236" s="65">
        <f>(4.35+0.75*8.35)*(10.764)</f>
        <v>114.23294999999999</v>
      </c>
      <c r="F236" s="39">
        <f>D236+E236</f>
        <v>747.80198999999993</v>
      </c>
      <c r="G236" s="39">
        <v>0</v>
      </c>
      <c r="H236" s="39">
        <f>F236*(($H$169)+1)+(IF(G236&lt;101,G236,IF(G236&lt;201,G236/2,IF(G236&lt;=301,G236/3,G236/4))))</f>
        <v>1084.3128854999998</v>
      </c>
      <c r="I236" s="33"/>
      <c r="N236" s="33"/>
    </row>
    <row r="237" spans="1:20" s="34" customFormat="1" x14ac:dyDescent="0.25">
      <c r="A237" s="39">
        <f>A236+1</f>
        <v>2</v>
      </c>
      <c r="B237" s="39" t="s">
        <v>366</v>
      </c>
      <c r="C237" s="39" t="s">
        <v>350</v>
      </c>
      <c r="D237" s="65">
        <f>(54)*(10.764)</f>
        <v>581.25599999999997</v>
      </c>
      <c r="E237" s="65">
        <f>(0.75*(8.35+3.13))*(10.764)</f>
        <v>92.678039999999982</v>
      </c>
      <c r="F237" s="39">
        <f>D237+E237</f>
        <v>673.93403999999998</v>
      </c>
      <c r="G237" s="39">
        <v>0</v>
      </c>
      <c r="H237" s="39">
        <f>F237*(($H$169)+1)+(IF(G237&lt;101,G237,IF(G237&lt;201,G237/2,IF(G237&lt;=301,G237/3,G237/4))))</f>
        <v>977.20435799999996</v>
      </c>
      <c r="I237" s="33"/>
      <c r="N237" s="33"/>
    </row>
    <row r="238" spans="1:20" s="34" customFormat="1" x14ac:dyDescent="0.25">
      <c r="A238" s="39">
        <f>A237+1</f>
        <v>3</v>
      </c>
      <c r="B238" s="39" t="s">
        <v>366</v>
      </c>
      <c r="C238" s="39" t="s">
        <v>351</v>
      </c>
      <c r="D238" s="65">
        <f>(38.81)*(10.764)</f>
        <v>417.75083999999998</v>
      </c>
      <c r="E238" s="65">
        <f>(0.75*8.85)*(10.764)</f>
        <v>71.446049999999985</v>
      </c>
      <c r="F238" s="39">
        <f>D238+E238</f>
        <v>489.19688999999994</v>
      </c>
      <c r="G238" s="39">
        <v>0</v>
      </c>
      <c r="H238" s="39">
        <f>F238*(($H$169)+1)+(IF(G238&lt;101,G238,IF(G238&lt;201,G238/2,IF(G238&lt;=301,G238/3,G238/4))))</f>
        <v>709.33549049999988</v>
      </c>
      <c r="I238" s="33"/>
      <c r="N238" s="33"/>
    </row>
    <row r="239" spans="1:20" s="34" customFormat="1" x14ac:dyDescent="0.25">
      <c r="A239" s="39">
        <f>A238+1</f>
        <v>4</v>
      </c>
      <c r="B239" s="39" t="s">
        <v>366</v>
      </c>
      <c r="C239" s="39" t="s">
        <v>350</v>
      </c>
      <c r="D239" s="65">
        <f>(60.03)*(10.764)</f>
        <v>646.16291999999999</v>
      </c>
      <c r="E239" s="65">
        <f>(4.12+0.75*(2.9+2.75+2.75))*(10.764)</f>
        <v>112.16088000000001</v>
      </c>
      <c r="F239" s="39">
        <f>D239+E239</f>
        <v>758.32380000000001</v>
      </c>
      <c r="G239" s="39">
        <v>0</v>
      </c>
      <c r="H239" s="39">
        <f>F239*(($H$169)+1)+(IF(G239&lt;101,G239,IF(G239&lt;201,G239/2,IF(G239&lt;=301,G239/3,G239/4))))</f>
        <v>1099.56951</v>
      </c>
      <c r="I239" s="33"/>
      <c r="N239" s="33"/>
    </row>
    <row r="240" spans="1:20" s="34" customFormat="1" x14ac:dyDescent="0.25">
      <c r="A240" s="86" t="s">
        <v>357</v>
      </c>
      <c r="B240" s="86"/>
      <c r="C240" s="86"/>
      <c r="D240" s="86"/>
      <c r="E240" s="86"/>
      <c r="F240" s="86"/>
      <c r="G240" s="86"/>
      <c r="H240" s="86"/>
      <c r="I240" s="33"/>
      <c r="L240" s="101"/>
      <c r="M240" s="101"/>
    </row>
    <row r="241" spans="1:20" s="34" customFormat="1" x14ac:dyDescent="0.25">
      <c r="A241" s="39">
        <v>1</v>
      </c>
      <c r="B241" s="39" t="s">
        <v>366</v>
      </c>
      <c r="C241" s="39" t="s">
        <v>350</v>
      </c>
      <c r="D241" s="65">
        <f>(58.86)*(10.764)</f>
        <v>633.56903999999997</v>
      </c>
      <c r="E241" s="65">
        <f>(4.35+0.75*8.35)*(10.764)</f>
        <v>114.23294999999999</v>
      </c>
      <c r="F241" s="39">
        <f>D241+E241</f>
        <v>747.80198999999993</v>
      </c>
      <c r="G241" s="39">
        <v>0</v>
      </c>
      <c r="H241" s="39">
        <f>F241*(($H$169)+1)+(IF(G241&lt;101,G241,IF(G241&lt;201,G241/2,IF(G241&lt;=301,G241/3,G241/4))))</f>
        <v>1084.3128854999998</v>
      </c>
      <c r="I241" s="33"/>
      <c r="N241" s="33"/>
    </row>
    <row r="242" spans="1:20" s="34" customFormat="1" x14ac:dyDescent="0.25">
      <c r="A242" s="39">
        <f>A241+1</f>
        <v>2</v>
      </c>
      <c r="B242" s="39" t="s">
        <v>366</v>
      </c>
      <c r="C242" s="39" t="s">
        <v>350</v>
      </c>
      <c r="D242" s="65">
        <f>(54)*(10.764)</f>
        <v>581.25599999999997</v>
      </c>
      <c r="E242" s="65">
        <f>(0.75*(8.35+3.13))*(10.764)</f>
        <v>92.678039999999982</v>
      </c>
      <c r="F242" s="39">
        <f>D242+E242</f>
        <v>673.93403999999998</v>
      </c>
      <c r="G242" s="39">
        <v>0</v>
      </c>
      <c r="H242" s="39">
        <f>F242*(($H$169)+1)+(IF(G242&lt;101,G242,IF(G242&lt;201,G242/2,IF(G242&lt;=301,G242/3,G242/4))))</f>
        <v>977.20435799999996</v>
      </c>
      <c r="I242" s="33"/>
      <c r="N242" s="33"/>
    </row>
    <row r="243" spans="1:20" s="34" customFormat="1" x14ac:dyDescent="0.25">
      <c r="A243" s="39">
        <f>A242+1</f>
        <v>3</v>
      </c>
      <c r="B243" s="39" t="s">
        <v>366</v>
      </c>
      <c r="C243" s="39" t="s">
        <v>351</v>
      </c>
      <c r="D243" s="65">
        <f>(38.81)*(10.764)</f>
        <v>417.75083999999998</v>
      </c>
      <c r="E243" s="65">
        <f>(0.75*8.85)*(10.764)</f>
        <v>71.446049999999985</v>
      </c>
      <c r="F243" s="39">
        <f>D243+E243</f>
        <v>489.19688999999994</v>
      </c>
      <c r="G243" s="39">
        <v>0</v>
      </c>
      <c r="H243" s="39">
        <f>F243*(($H$169)+1)+(IF(G243&lt;101,G243,IF(G243&lt;201,G243/2,IF(G243&lt;=301,G243/3,G243/4))))</f>
        <v>709.33549049999988</v>
      </c>
      <c r="I243" s="33"/>
      <c r="N243" s="33"/>
    </row>
    <row r="244" spans="1:20" s="34" customFormat="1" x14ac:dyDescent="0.25">
      <c r="A244" s="39">
        <f>A243+1</f>
        <v>4</v>
      </c>
      <c r="B244" s="39" t="s">
        <v>366</v>
      </c>
      <c r="C244" s="39" t="s">
        <v>350</v>
      </c>
      <c r="D244" s="65">
        <f>(60.03)*(10.764)</f>
        <v>646.16291999999999</v>
      </c>
      <c r="E244" s="65">
        <f>(4.12+0.75*(2.9+2.75+2.75))*(10.764)</f>
        <v>112.16088000000001</v>
      </c>
      <c r="F244" s="39">
        <f>D244+E244</f>
        <v>758.32380000000001</v>
      </c>
      <c r="G244" s="39">
        <v>0</v>
      </c>
      <c r="H244" s="39">
        <f>F244*(($H$169)+1)+(IF(G244&lt;101,G244,IF(G244&lt;201,G244/2,IF(G244&lt;=301,G244/3,G244/4))))</f>
        <v>1099.56951</v>
      </c>
      <c r="I244" s="33"/>
      <c r="N244" s="33"/>
    </row>
    <row r="245" spans="1:20" s="34" customFormat="1" ht="15.75" customHeight="1" x14ac:dyDescent="0.25">
      <c r="A245" s="77" t="s">
        <v>358</v>
      </c>
      <c r="B245" s="78"/>
      <c r="C245" s="78"/>
      <c r="D245" s="78"/>
      <c r="E245" s="78"/>
      <c r="F245" s="78"/>
      <c r="G245" s="78"/>
      <c r="H245" s="79"/>
      <c r="I245" s="33"/>
    </row>
    <row r="246" spans="1:20" s="34" customFormat="1" ht="15.75" customHeight="1" x14ac:dyDescent="0.25">
      <c r="A246" s="39">
        <v>1</v>
      </c>
      <c r="B246" s="39" t="s">
        <v>366</v>
      </c>
      <c r="C246" s="39" t="s">
        <v>350</v>
      </c>
      <c r="D246" s="65">
        <f>(58.86)*(10.764)</f>
        <v>633.56903999999997</v>
      </c>
      <c r="E246" s="65">
        <f>(4.35+0.75*8.35)*(10.764)</f>
        <v>114.23294999999999</v>
      </c>
      <c r="F246" s="39">
        <f>D246+E246</f>
        <v>747.80198999999993</v>
      </c>
      <c r="G246" s="39">
        <v>0</v>
      </c>
      <c r="H246" s="39">
        <f>F246*(($H$169)+1)+(IF(G246&lt;101,G246,IF(G246&lt;201,G246/2,IF(G246&lt;=301,G246/3,G246/4))))</f>
        <v>1084.3128854999998</v>
      </c>
      <c r="I246" s="33"/>
    </row>
    <row r="247" spans="1:20" s="34" customFormat="1" ht="15.75" customHeight="1" x14ac:dyDescent="0.25">
      <c r="A247" s="39">
        <v>2</v>
      </c>
      <c r="B247" s="39" t="s">
        <v>366</v>
      </c>
      <c r="C247" s="39" t="s">
        <v>350</v>
      </c>
      <c r="D247" s="65">
        <f>(54)*(10.764)</f>
        <v>581.25599999999997</v>
      </c>
      <c r="E247" s="65">
        <f>(0.75*(8.35+3.13))*(10.764)</f>
        <v>92.678039999999982</v>
      </c>
      <c r="F247" s="39">
        <f>D247+E247</f>
        <v>673.93403999999998</v>
      </c>
      <c r="G247" s="39">
        <v>0</v>
      </c>
      <c r="H247" s="39">
        <f>F247*(($H$169)+1)+(IF(G247&lt;101,G247,IF(G247&lt;201,G247/2,IF(G247&lt;=301,G247/3,G247/4))))</f>
        <v>977.20435799999996</v>
      </c>
      <c r="I247" s="33"/>
    </row>
    <row r="248" spans="1:20" s="34" customFormat="1" ht="15.75" customHeight="1" x14ac:dyDescent="0.25">
      <c r="A248" s="39">
        <v>3</v>
      </c>
      <c r="B248" s="39" t="s">
        <v>366</v>
      </c>
      <c r="C248" s="39" t="s">
        <v>351</v>
      </c>
      <c r="D248" s="65">
        <f>(38.81)*(10.764)</f>
        <v>417.75083999999998</v>
      </c>
      <c r="E248" s="65">
        <f>(0.75*8.85)*(10.764)</f>
        <v>71.446049999999985</v>
      </c>
      <c r="F248" s="39">
        <f>D248+E248</f>
        <v>489.19688999999994</v>
      </c>
      <c r="G248" s="39">
        <v>0</v>
      </c>
      <c r="H248" s="39">
        <f>F248*(($H$169)+1)+(IF(G248&lt;101,G248,IF(G248&lt;201,G248/2,IF(G248&lt;=301,G248/3,G248/4))))</f>
        <v>709.33549049999988</v>
      </c>
      <c r="I248" s="33"/>
    </row>
    <row r="249" spans="1:20" s="34" customFormat="1" ht="15.75" customHeight="1" x14ac:dyDescent="0.25">
      <c r="A249" s="39">
        <v>4</v>
      </c>
      <c r="B249" s="39" t="s">
        <v>366</v>
      </c>
      <c r="C249" s="39" t="s">
        <v>350</v>
      </c>
      <c r="D249" s="65">
        <f>(60.03)*(10.764)</f>
        <v>646.16291999999999</v>
      </c>
      <c r="E249" s="65">
        <f>(4.12+0.75*(2.9+2.75+2.75))*(10.764)</f>
        <v>112.16088000000001</v>
      </c>
      <c r="F249" s="39">
        <f>D249+E249</f>
        <v>758.32380000000001</v>
      </c>
      <c r="G249" s="39">
        <v>0</v>
      </c>
      <c r="H249" s="39">
        <f>F249*(($H$169)+1)+(IF(G249&lt;101,G249,IF(G249&lt;201,G249/2,IF(G249&lt;=301,G249/3,G249/4))))</f>
        <v>1099.56951</v>
      </c>
      <c r="I249" s="33">
        <f>(4.95*2.75+2.7*2.75+2.1*2.9+3.6*2.75+1.2*2.1+1.6*1.1+3.45*2.9+2.1*1.2+1.5*1.6)</f>
        <v>56.232500000000009</v>
      </c>
    </row>
    <row r="250" spans="1:20" s="34" customFormat="1" ht="15.75" customHeight="1" x14ac:dyDescent="0.25">
      <c r="A250" s="77" t="s">
        <v>359</v>
      </c>
      <c r="B250" s="78"/>
      <c r="C250" s="78"/>
      <c r="D250" s="78"/>
      <c r="E250" s="78"/>
      <c r="F250" s="78"/>
      <c r="G250" s="78"/>
      <c r="H250" s="79"/>
      <c r="I250" s="33"/>
    </row>
    <row r="251" spans="1:20" s="34" customFormat="1" ht="15.75" customHeight="1" x14ac:dyDescent="0.25">
      <c r="A251" s="39">
        <v>1</v>
      </c>
      <c r="B251" s="39" t="s">
        <v>366</v>
      </c>
      <c r="C251" s="39" t="s">
        <v>350</v>
      </c>
      <c r="D251" s="65">
        <f>(58.86)*(10.764)</f>
        <v>633.56903999999997</v>
      </c>
      <c r="E251" s="65">
        <f>(4.35+0.75*8.35)*(10.764)</f>
        <v>114.23294999999999</v>
      </c>
      <c r="F251" s="39">
        <f>D251+E251</f>
        <v>747.80198999999993</v>
      </c>
      <c r="G251" s="39">
        <v>0</v>
      </c>
      <c r="H251" s="39">
        <f>F251*(($H$169)+1)+(IF(G251&lt;101,G251,IF(G251&lt;201,G251/2,IF(G251&lt;=301,G251/3,G251/4))))</f>
        <v>1084.3128854999998</v>
      </c>
      <c r="I251" s="33"/>
    </row>
    <row r="252" spans="1:20" s="34" customFormat="1" ht="15.75" customHeight="1" x14ac:dyDescent="0.25">
      <c r="A252" s="39">
        <v>2</v>
      </c>
      <c r="B252" s="39" t="s">
        <v>366</v>
      </c>
      <c r="C252" s="39" t="s">
        <v>367</v>
      </c>
      <c r="D252" s="65">
        <f>(63.76)*(10.764)</f>
        <v>686.31263999999999</v>
      </c>
      <c r="E252" s="65">
        <f>(0.75*(8.35+3.13))*(10.764)</f>
        <v>92.678039999999982</v>
      </c>
      <c r="F252" s="39">
        <f>D252+E252</f>
        <v>778.99068</v>
      </c>
      <c r="G252" s="39">
        <v>0</v>
      </c>
      <c r="H252" s="39">
        <f>F252*(($H$169)+1)+(IF(G252&lt;101,G252,IF(G252&lt;201,G252/2,IF(G252&lt;=301,G252/3,G252/4))))</f>
        <v>1129.536486</v>
      </c>
      <c r="I252" s="33"/>
    </row>
    <row r="253" spans="1:20" s="34" customFormat="1" ht="15.75" customHeight="1" x14ac:dyDescent="0.25">
      <c r="A253" s="39">
        <v>3</v>
      </c>
      <c r="B253" s="39" t="s">
        <v>366</v>
      </c>
      <c r="C253" s="39" t="s">
        <v>351</v>
      </c>
      <c r="D253" s="65">
        <f>(38.81)*(10.764)</f>
        <v>417.75083999999998</v>
      </c>
      <c r="E253" s="65">
        <f>(0.75*8.85)*(10.764)</f>
        <v>71.446049999999985</v>
      </c>
      <c r="F253" s="39">
        <f>D253+E253</f>
        <v>489.19688999999994</v>
      </c>
      <c r="G253" s="39">
        <v>0</v>
      </c>
      <c r="H253" s="39">
        <f>F253*(($H$169)+1)+(IF(G253&lt;101,G253,IF(G253&lt;201,G253/2,IF(G253&lt;=301,G253/3,G253/4))))</f>
        <v>709.33549049999988</v>
      </c>
      <c r="I253" s="33"/>
    </row>
    <row r="254" spans="1:20" s="34" customFormat="1" ht="15.75" customHeight="1" x14ac:dyDescent="0.25">
      <c r="A254" s="39">
        <v>4</v>
      </c>
      <c r="B254" s="39" t="s">
        <v>366</v>
      </c>
      <c r="C254" s="39" t="s">
        <v>351</v>
      </c>
      <c r="D254" s="65">
        <f>(44.54)*(10.764)</f>
        <v>479.42855999999995</v>
      </c>
      <c r="E254" s="65">
        <f>(4.12+0.75*(2.9+2.75))*(10.764)</f>
        <v>89.960130000000007</v>
      </c>
      <c r="F254" s="39">
        <f>D254+E254</f>
        <v>569.38869</v>
      </c>
      <c r="G254" s="39">
        <v>0</v>
      </c>
      <c r="H254" s="39">
        <f>F254*(($H$169)+1)+(IF(G254&lt;101,G254,IF(G254&lt;201,G254/2,IF(G254&lt;=301,G254/3,G254/4))))</f>
        <v>825.61360049999996</v>
      </c>
      <c r="I254" s="33">
        <f>(4.95*2.75+2.7*2.75+2.1*2.9+3.45*2.9+2.1*1.2+1.5*1.6)</f>
        <v>42.052500000000002</v>
      </c>
    </row>
    <row r="255" spans="1:20" s="34" customFormat="1" x14ac:dyDescent="0.25">
      <c r="A255" s="102" t="s">
        <v>368</v>
      </c>
      <c r="B255" s="103"/>
      <c r="C255" s="103"/>
      <c r="D255" s="103"/>
      <c r="E255" s="103"/>
      <c r="F255" s="103"/>
      <c r="G255" s="103"/>
      <c r="H255" s="104"/>
      <c r="T255" s="32"/>
    </row>
    <row r="256" spans="1:20" s="34" customFormat="1" x14ac:dyDescent="0.25">
      <c r="A256" s="77" t="s">
        <v>362</v>
      </c>
      <c r="B256" s="78"/>
      <c r="C256" s="78"/>
      <c r="D256" s="78"/>
      <c r="E256" s="78"/>
      <c r="F256" s="78"/>
      <c r="G256" s="78"/>
      <c r="H256" s="79"/>
      <c r="J256" s="33"/>
    </row>
    <row r="257" spans="1:20" s="34" customFormat="1" x14ac:dyDescent="0.25">
      <c r="A257" s="77" t="s">
        <v>363</v>
      </c>
      <c r="B257" s="78"/>
      <c r="C257" s="78"/>
      <c r="D257" s="78"/>
      <c r="E257" s="78"/>
      <c r="F257" s="78"/>
      <c r="G257" s="78"/>
      <c r="H257" s="79"/>
      <c r="J257" s="33"/>
    </row>
    <row r="258" spans="1:20" s="34" customFormat="1" x14ac:dyDescent="0.25">
      <c r="A258" s="86" t="s">
        <v>355</v>
      </c>
      <c r="B258" s="86"/>
      <c r="C258" s="86"/>
      <c r="D258" s="86"/>
      <c r="E258" s="86"/>
      <c r="F258" s="86"/>
      <c r="G258" s="86"/>
      <c r="H258" s="86"/>
      <c r="I258" s="33"/>
      <c r="L258" s="101"/>
      <c r="M258" s="101"/>
    </row>
    <row r="259" spans="1:20" s="34" customFormat="1" x14ac:dyDescent="0.25">
      <c r="A259" s="39">
        <v>1</v>
      </c>
      <c r="B259" s="39" t="s">
        <v>365</v>
      </c>
      <c r="C259" s="39" t="s">
        <v>350</v>
      </c>
      <c r="D259" s="65">
        <f>(47.54)*(10.764)</f>
        <v>511.72055999999998</v>
      </c>
      <c r="E259" s="65">
        <f>(7.92+0.75*(2.9+5.6+2.75))*(10.764)</f>
        <v>176.07213000000002</v>
      </c>
      <c r="F259" s="39">
        <f>D259+E259</f>
        <v>687.79268999999999</v>
      </c>
      <c r="G259" s="39">
        <v>0</v>
      </c>
      <c r="H259" s="39">
        <f>F259*(($H$169)+1)+(IF(G259&lt;101,G259,IF(G259&lt;201,G259/2,IF(G259&lt;=301,G259/3,G259/4))))</f>
        <v>997.29940049999993</v>
      </c>
      <c r="I259" s="33">
        <f>(2.9*4.55+2.25*2.35+2.9*2.35+2.75*2.65+2.1*1.2+1.2*1.95+1.05*3+0.9*4.7)</f>
        <v>44.825000000000003</v>
      </c>
      <c r="J259" s="33">
        <f>0.95*(2.25+2.9+2.75)</f>
        <v>7.5049999999999999</v>
      </c>
      <c r="K259" s="34">
        <f>6100000/H259</f>
        <v>6116.5182661713634</v>
      </c>
      <c r="N259" s="33"/>
    </row>
    <row r="260" spans="1:20" s="34" customFormat="1" x14ac:dyDescent="0.25">
      <c r="A260" s="39">
        <f>A259+1</f>
        <v>2</v>
      </c>
      <c r="B260" s="39" t="s">
        <v>365</v>
      </c>
      <c r="C260" s="39" t="s">
        <v>351</v>
      </c>
      <c r="D260" s="65">
        <f>(29.93)*(10.764)</f>
        <v>322.16651999999999</v>
      </c>
      <c r="E260" s="65">
        <f>(8.68+0.75*10.2)*(10.764)</f>
        <v>175.77611999999996</v>
      </c>
      <c r="F260" s="39">
        <f>D260+E260</f>
        <v>497.94263999999998</v>
      </c>
      <c r="G260" s="39">
        <v>0</v>
      </c>
      <c r="H260" s="39">
        <f>F260*(($H$169)+1)+(IF(G260&lt;101,G260,IF(G260&lt;201,G260/2,IF(G260&lt;=301,G260/3,G260/4))))</f>
        <v>722.01682799999992</v>
      </c>
      <c r="I260" s="33">
        <f>(3.2*2.87+3.2*2.17+2*3.36+1.2*2.16+1.8*1.2+0.9*1.5)</f>
        <v>28.95</v>
      </c>
      <c r="J260" s="33">
        <f>1*(2.87+2.17)+0.85*3.36</f>
        <v>7.8959999999999999</v>
      </c>
      <c r="N260" s="33"/>
    </row>
    <row r="261" spans="1:20" s="34" customFormat="1" x14ac:dyDescent="0.25">
      <c r="A261" s="39">
        <f>A260+1</f>
        <v>3</v>
      </c>
      <c r="B261" s="39" t="s">
        <v>365</v>
      </c>
      <c r="C261" s="39" t="s">
        <v>351</v>
      </c>
      <c r="D261" s="65">
        <f>(29.99)*(10.764)</f>
        <v>322.81235999999996</v>
      </c>
      <c r="E261" s="65">
        <f>(8.49+0.75*(5.45+2.9+3.05))*(10.764)</f>
        <v>183.41855999999999</v>
      </c>
      <c r="F261" s="39">
        <f>D261+E261</f>
        <v>506.23091999999997</v>
      </c>
      <c r="G261" s="65">
        <f>(2.9*3.5+1.4*2.1)*(10.764)</f>
        <v>140.90075999999999</v>
      </c>
      <c r="H261" s="39">
        <f>F261*(($H$169)+1)+(IF(G261&lt;101,G261,IF(G261&lt;201,G261/2,IF(G261&lt;=301,G261/3,G261/4))))</f>
        <v>804.48521399999993</v>
      </c>
      <c r="I261" s="33"/>
      <c r="N261" s="33"/>
    </row>
    <row r="262" spans="1:20" s="34" customFormat="1" x14ac:dyDescent="0.25">
      <c r="A262" s="39">
        <f>A261+1</f>
        <v>4</v>
      </c>
      <c r="B262" s="39" t="s">
        <v>365</v>
      </c>
      <c r="C262" s="39" t="s">
        <v>350</v>
      </c>
      <c r="D262" s="65">
        <f>(46.37)*(10.764)</f>
        <v>499.12667999999996</v>
      </c>
      <c r="E262" s="65">
        <f>(7.11+0.75*(5.6+2.75))*(10.764)</f>
        <v>143.94158999999999</v>
      </c>
      <c r="F262" s="39">
        <f>D262+E262</f>
        <v>643.06826999999998</v>
      </c>
      <c r="G262" s="39">
        <v>0</v>
      </c>
      <c r="H262" s="39">
        <f>F262*(($H$169)+1)+(IF(G262&lt;101,G262,IF(G262&lt;201,G262/2,IF(G262&lt;=301,G262/3,G262/4))))</f>
        <v>932.44899149999992</v>
      </c>
      <c r="I262" s="33"/>
      <c r="N262" s="33"/>
    </row>
    <row r="263" spans="1:20" s="34" customFormat="1" x14ac:dyDescent="0.25">
      <c r="A263" s="86" t="s">
        <v>354</v>
      </c>
      <c r="B263" s="86"/>
      <c r="C263" s="86"/>
      <c r="D263" s="86"/>
      <c r="E263" s="86"/>
      <c r="F263" s="86"/>
      <c r="G263" s="86"/>
      <c r="H263" s="86"/>
      <c r="J263" s="33"/>
    </row>
    <row r="264" spans="1:20" s="34" customFormat="1" ht="15.75" customHeight="1" x14ac:dyDescent="0.25">
      <c r="A264" s="39">
        <v>1</v>
      </c>
      <c r="B264" s="39" t="s">
        <v>365</v>
      </c>
      <c r="C264" s="39" t="s">
        <v>350</v>
      </c>
      <c r="D264" s="65">
        <f>(47.54)*(10.764)</f>
        <v>511.72055999999998</v>
      </c>
      <c r="E264" s="65">
        <f>(7.92+0.75*(2.9+5.6+2.75))*(10.764)</f>
        <v>176.07213000000002</v>
      </c>
      <c r="F264" s="39">
        <f>D264+E264</f>
        <v>687.79268999999999</v>
      </c>
      <c r="G264" s="39">
        <v>0</v>
      </c>
      <c r="H264" s="39">
        <f>F264*(($H$169)+1)+(IF(G264&lt;101,G264,IF(G264&lt;201,G264/2,IF(G264&lt;=301,G264/3,G264/4))))</f>
        <v>997.29940049999993</v>
      </c>
      <c r="I264" s="33"/>
      <c r="L264" s="101"/>
      <c r="M264" s="101"/>
      <c r="N264" s="33"/>
    </row>
    <row r="265" spans="1:20" s="34" customFormat="1" ht="15.75" customHeight="1" x14ac:dyDescent="0.25">
      <c r="A265" s="39">
        <f>A264+1</f>
        <v>2</v>
      </c>
      <c r="B265" s="39" t="s">
        <v>365</v>
      </c>
      <c r="C265" s="39" t="s">
        <v>351</v>
      </c>
      <c r="D265" s="65">
        <f>(29.93)*(10.764)</f>
        <v>322.16651999999999</v>
      </c>
      <c r="E265" s="65">
        <f>(8.68+0.75*10.2)*(10.764)</f>
        <v>175.77611999999996</v>
      </c>
      <c r="F265" s="39">
        <f>D265+E265</f>
        <v>497.94263999999998</v>
      </c>
      <c r="G265" s="39">
        <v>0</v>
      </c>
      <c r="H265" s="39">
        <f>F265*(($H$169)+1)+(IF(G265&lt;101,G265,IF(G265&lt;201,G265/2,IF(G265&lt;=301,G265/3,G265/4))))</f>
        <v>722.01682799999992</v>
      </c>
      <c r="I265" s="33"/>
      <c r="K265" s="34">
        <f>4350000/H265</f>
        <v>6024.7903252471015</v>
      </c>
      <c r="L265" s="101"/>
      <c r="M265" s="101"/>
      <c r="N265" s="33"/>
    </row>
    <row r="266" spans="1:20" s="34" customFormat="1" ht="15.75" customHeight="1" x14ac:dyDescent="0.25">
      <c r="A266" s="39">
        <f>A265+1</f>
        <v>3</v>
      </c>
      <c r="B266" s="39" t="s">
        <v>365</v>
      </c>
      <c r="C266" s="39" t="s">
        <v>351</v>
      </c>
      <c r="D266" s="65">
        <f>(29.99)*(10.764)</f>
        <v>322.81235999999996</v>
      </c>
      <c r="E266" s="65">
        <f>(8.49+0.75*(5.45+2.9+3.05))*(10.764)</f>
        <v>183.41855999999999</v>
      </c>
      <c r="F266" s="39">
        <f>D266+E266</f>
        <v>506.23091999999997</v>
      </c>
      <c r="G266" s="65">
        <f>(2.9*3.5+1.4*2.1)*(10.764)</f>
        <v>140.90075999999999</v>
      </c>
      <c r="H266" s="39">
        <f>F266*(($H$169)+1)+(IF(G266&lt;101,G266,IF(G266&lt;201,G266/2,IF(G266&lt;=301,G266/3,G266/4))))</f>
        <v>804.48521399999993</v>
      </c>
      <c r="I266" s="33"/>
      <c r="L266" s="101"/>
      <c r="M266" s="101"/>
      <c r="N266" s="33"/>
    </row>
    <row r="267" spans="1:20" s="34" customFormat="1" ht="15.75" customHeight="1" x14ac:dyDescent="0.25">
      <c r="A267" s="39">
        <f>A266+1</f>
        <v>4</v>
      </c>
      <c r="B267" s="39" t="s">
        <v>365</v>
      </c>
      <c r="C267" s="39" t="s">
        <v>351</v>
      </c>
      <c r="D267" s="65">
        <f>(29.8)*(10.764)</f>
        <v>320.7672</v>
      </c>
      <c r="E267" s="65">
        <f>(8.68+0.75*(2.9+5.6+2.75))*(10.764)</f>
        <v>184.25277</v>
      </c>
      <c r="F267" s="39">
        <f>D267+E267</f>
        <v>505.01997</v>
      </c>
      <c r="G267" s="65">
        <f>(2.7*3.3+2.3*1.3)*(10.764)</f>
        <v>128.0916</v>
      </c>
      <c r="H267" s="39">
        <f>F267*(($H$169)+1)+(IF(G267&lt;101,G267,IF(G267&lt;201,G267/2,IF(G267&lt;=301,G267/3,G267/4))))</f>
        <v>796.32475649999992</v>
      </c>
      <c r="I267" s="33">
        <f>(2.9*3.2+2.25*2.05+2.9*2.05+1.12*3+1.2*1.95+0.85*4.3)</f>
        <v>29.192499999999999</v>
      </c>
      <c r="J267" s="33">
        <f>2.9*1.3+0.75*(2.25+2.9)</f>
        <v>7.6325000000000003</v>
      </c>
      <c r="L267" s="101"/>
      <c r="M267" s="101"/>
      <c r="N267" s="33"/>
      <c r="T267" s="18"/>
    </row>
    <row r="268" spans="1:20" s="34" customFormat="1" x14ac:dyDescent="0.25">
      <c r="A268" s="77" t="s">
        <v>357</v>
      </c>
      <c r="B268" s="78"/>
      <c r="C268" s="78"/>
      <c r="D268" s="78"/>
      <c r="E268" s="78"/>
      <c r="F268" s="78"/>
      <c r="G268" s="78"/>
      <c r="H268" s="79"/>
      <c r="J268" s="33"/>
    </row>
    <row r="269" spans="1:20" s="34" customFormat="1" ht="15.75" customHeight="1" x14ac:dyDescent="0.25">
      <c r="A269" s="39">
        <v>1</v>
      </c>
      <c r="B269" s="39" t="s">
        <v>366</v>
      </c>
      <c r="C269" s="39" t="s">
        <v>350</v>
      </c>
      <c r="D269" s="65">
        <f>(55.49)*(10.764)</f>
        <v>597.29435999999998</v>
      </c>
      <c r="E269" s="65">
        <f>(0.75*(2.9+5.6+2.75))*(10.764)</f>
        <v>90.821249999999992</v>
      </c>
      <c r="F269" s="39">
        <f>D269+E269</f>
        <v>688.11560999999995</v>
      </c>
      <c r="G269" s="39">
        <v>0</v>
      </c>
      <c r="H269" s="39">
        <f>F269*(($H$169)+1)+(IF(G269&lt;101,G269,IF(G269&lt;201,G269/2,IF(G269&lt;=301,G269/3,G269/4))))</f>
        <v>997.76763449999987</v>
      </c>
      <c r="I269" s="33"/>
      <c r="L269" s="101"/>
      <c r="M269" s="101"/>
      <c r="N269" s="33"/>
    </row>
    <row r="270" spans="1:20" s="34" customFormat="1" ht="15.75" customHeight="1" x14ac:dyDescent="0.25">
      <c r="A270" s="39">
        <f>A269+1</f>
        <v>2</v>
      </c>
      <c r="B270" s="39" t="s">
        <v>366</v>
      </c>
      <c r="C270" s="39" t="s">
        <v>351</v>
      </c>
      <c r="D270" s="65">
        <f>(38.9)*(10.764)</f>
        <v>418.71959999999996</v>
      </c>
      <c r="E270" s="65">
        <f>(0.75*10.2)*(10.764)</f>
        <v>82.344599999999986</v>
      </c>
      <c r="F270" s="39">
        <f>D270+E270</f>
        <v>501.06419999999991</v>
      </c>
      <c r="G270" s="39">
        <v>0</v>
      </c>
      <c r="H270" s="39">
        <f>F270*(($H$169)+1)+(IF(G270&lt;101,G270,IF(G270&lt;201,G270/2,IF(G270&lt;=301,G270/3,G270/4))))</f>
        <v>726.54308999999989</v>
      </c>
      <c r="I270" s="33"/>
      <c r="L270" s="101"/>
      <c r="M270" s="101"/>
      <c r="N270" s="33"/>
    </row>
    <row r="271" spans="1:20" s="34" customFormat="1" ht="15.75" customHeight="1" x14ac:dyDescent="0.25">
      <c r="A271" s="39">
        <f>A270+1</f>
        <v>3</v>
      </c>
      <c r="B271" s="39" t="s">
        <v>366</v>
      </c>
      <c r="C271" s="39" t="s">
        <v>350</v>
      </c>
      <c r="D271" s="65">
        <f>(53.63)*(10.764)</f>
        <v>577.27332000000001</v>
      </c>
      <c r="E271" s="65">
        <f>(0.75*(5.45+2.9+3.05))*(10.764)</f>
        <v>92.032199999999989</v>
      </c>
      <c r="F271" s="39">
        <f>D271+E271</f>
        <v>669.30552</v>
      </c>
      <c r="G271" s="39">
        <v>0</v>
      </c>
      <c r="H271" s="39">
        <f>F271*(($H$169)+1)+(IF(G271&lt;101,G271,IF(G271&lt;201,G271/2,IF(G271&lt;=301,G271/3,G271/4))))</f>
        <v>970.49300399999993</v>
      </c>
      <c r="I271" s="33">
        <f>(2.9*4.55+2.25*3.05+2.75*3.05+2.9*3.45+1.2*2.1+1.2*1.95+3*1.24+4.25*0.9)</f>
        <v>50.855000000000004</v>
      </c>
      <c r="L271" s="101"/>
      <c r="M271" s="101"/>
      <c r="N271" s="33"/>
    </row>
    <row r="272" spans="1:20" s="34" customFormat="1" ht="15.75" customHeight="1" x14ac:dyDescent="0.25">
      <c r="A272" s="39">
        <f>A271+1</f>
        <v>4</v>
      </c>
      <c r="B272" s="39" t="s">
        <v>366</v>
      </c>
      <c r="C272" s="39" t="s">
        <v>350</v>
      </c>
      <c r="D272" s="65">
        <f>(53.5)*(10.764)</f>
        <v>575.87399999999991</v>
      </c>
      <c r="E272" s="65">
        <f>(0.75*(2.9+5.6+2.75))*(10.764)</f>
        <v>90.821249999999992</v>
      </c>
      <c r="F272" s="39">
        <f>D272+E272</f>
        <v>666.69524999999987</v>
      </c>
      <c r="G272" s="39">
        <v>0</v>
      </c>
      <c r="H272" s="39">
        <f>F272*(($H$169)+1)+(IF(G272&lt;101,G272,IF(G272&lt;201,G272/2,IF(G272&lt;=301,G272/3,G272/4))))</f>
        <v>966.70811249999974</v>
      </c>
      <c r="I272" s="33"/>
      <c r="J272" s="33"/>
      <c r="L272" s="101"/>
      <c r="M272" s="101"/>
      <c r="N272" s="33"/>
      <c r="T272" s="18"/>
    </row>
    <row r="273" spans="1:14" s="34" customFormat="1" ht="15.75" customHeight="1" x14ac:dyDescent="0.25">
      <c r="A273" s="77" t="s">
        <v>358</v>
      </c>
      <c r="B273" s="78"/>
      <c r="C273" s="78"/>
      <c r="D273" s="78"/>
      <c r="E273" s="78"/>
      <c r="F273" s="78"/>
      <c r="G273" s="78"/>
      <c r="H273" s="79"/>
      <c r="I273" s="33"/>
    </row>
    <row r="274" spans="1:14" s="34" customFormat="1" ht="15.75" customHeight="1" x14ac:dyDescent="0.25">
      <c r="A274" s="39">
        <v>1</v>
      </c>
      <c r="B274" s="39" t="s">
        <v>366</v>
      </c>
      <c r="C274" s="39" t="s">
        <v>350</v>
      </c>
      <c r="D274" s="65">
        <f>(55.49)*(10.764)</f>
        <v>597.29435999999998</v>
      </c>
      <c r="E274" s="65">
        <f>(0.75*(2.9+5.6+2.75))*(10.764)</f>
        <v>90.821249999999992</v>
      </c>
      <c r="F274" s="39">
        <f>D274+E274</f>
        <v>688.11560999999995</v>
      </c>
      <c r="G274" s="39">
        <v>0</v>
      </c>
      <c r="H274" s="39">
        <f>F274*(($H$169)+1)+(IF(G274&lt;101,G274,IF(G274&lt;201,G274/2,IF(G274&lt;=301,G274/3,G274/4))))</f>
        <v>997.76763449999987</v>
      </c>
      <c r="I274" s="33"/>
    </row>
    <row r="275" spans="1:14" s="34" customFormat="1" ht="15.75" customHeight="1" x14ac:dyDescent="0.25">
      <c r="A275" s="39">
        <v>2</v>
      </c>
      <c r="B275" s="39" t="s">
        <v>366</v>
      </c>
      <c r="C275" s="39" t="s">
        <v>351</v>
      </c>
      <c r="D275" s="65">
        <f>(38.9)*(10.764)</f>
        <v>418.71959999999996</v>
      </c>
      <c r="E275" s="65">
        <f>(0.75*10.2)*(10.764)</f>
        <v>82.344599999999986</v>
      </c>
      <c r="F275" s="39">
        <f>D275+E275</f>
        <v>501.06419999999991</v>
      </c>
      <c r="G275" s="39">
        <v>0</v>
      </c>
      <c r="H275" s="39">
        <f>F275*(($H$169)+1)+(IF(G275&lt;101,G275,IF(G275&lt;201,G275/2,IF(G275&lt;=301,G275/3,G275/4))))</f>
        <v>726.54308999999989</v>
      </c>
      <c r="I275" s="33"/>
    </row>
    <row r="276" spans="1:14" s="34" customFormat="1" ht="15.75" customHeight="1" x14ac:dyDescent="0.25">
      <c r="A276" s="39">
        <v>3</v>
      </c>
      <c r="B276" s="39" t="s">
        <v>366</v>
      </c>
      <c r="C276" s="39" t="s">
        <v>350</v>
      </c>
      <c r="D276" s="65">
        <f>(53.83)*(10.764)</f>
        <v>579.42611999999997</v>
      </c>
      <c r="E276" s="65">
        <f>(0.75*(5.45+2.9+3.05))*(10.764)</f>
        <v>92.032199999999989</v>
      </c>
      <c r="F276" s="39">
        <f>D276+E276</f>
        <v>671.45831999999996</v>
      </c>
      <c r="G276" s="39">
        <v>0</v>
      </c>
      <c r="H276" s="39">
        <f>F276*(($H$169)+1)+(IF(G276&lt;101,G276,IF(G276&lt;201,G276/2,IF(G276&lt;=301,G276/3,G276/4))))</f>
        <v>973.61456399999986</v>
      </c>
      <c r="I276" s="33"/>
    </row>
    <row r="277" spans="1:14" s="34" customFormat="1" ht="15.75" customHeight="1" x14ac:dyDescent="0.25">
      <c r="A277" s="39">
        <v>4</v>
      </c>
      <c r="B277" s="39" t="s">
        <v>366</v>
      </c>
      <c r="C277" s="39" t="s">
        <v>350</v>
      </c>
      <c r="D277" s="65">
        <f>(53.5)*(10.764)</f>
        <v>575.87399999999991</v>
      </c>
      <c r="E277" s="65">
        <f>(0.75*(2.9+5.6+2.75))*(10.764)</f>
        <v>90.821249999999992</v>
      </c>
      <c r="F277" s="39">
        <f>D277+E277</f>
        <v>666.69524999999987</v>
      </c>
      <c r="G277" s="39">
        <v>0</v>
      </c>
      <c r="H277" s="39">
        <f>F277*(($H$169)+1)+(IF(G277&lt;101,G277,IF(G277&lt;201,G277/2,IF(G277&lt;=301,G277/3,G277/4))))</f>
        <v>966.70811249999974</v>
      </c>
      <c r="I277" s="33"/>
    </row>
    <row r="278" spans="1:14" s="34" customFormat="1" ht="15.75" customHeight="1" x14ac:dyDescent="0.25">
      <c r="A278" s="77" t="s">
        <v>359</v>
      </c>
      <c r="B278" s="78"/>
      <c r="C278" s="78"/>
      <c r="D278" s="78"/>
      <c r="E278" s="78"/>
      <c r="F278" s="78"/>
      <c r="G278" s="78"/>
      <c r="H278" s="79"/>
      <c r="I278" s="33"/>
    </row>
    <row r="279" spans="1:14" s="34" customFormat="1" ht="15.75" customHeight="1" x14ac:dyDescent="0.25">
      <c r="A279" s="39">
        <v>1</v>
      </c>
      <c r="B279" s="39" t="s">
        <v>366</v>
      </c>
      <c r="C279" s="39" t="s">
        <v>350</v>
      </c>
      <c r="D279" s="65">
        <f>(55.49)*(10.764)</f>
        <v>597.29435999999998</v>
      </c>
      <c r="E279" s="65">
        <f>(0.75*(2.9+5.6+2.75))*(10.764)</f>
        <v>90.821249999999992</v>
      </c>
      <c r="F279" s="39">
        <f>D279+E279</f>
        <v>688.11560999999995</v>
      </c>
      <c r="G279" s="39">
        <v>0</v>
      </c>
      <c r="H279" s="39">
        <f>F279*(($H$169)+1)+(IF(G279&lt;101,G279,IF(G279&lt;201,G279/2,IF(G279&lt;=301,G279/3,G279/4))))</f>
        <v>997.76763449999987</v>
      </c>
      <c r="I279" s="33"/>
    </row>
    <row r="280" spans="1:14" s="34" customFormat="1" ht="15.75" customHeight="1" x14ac:dyDescent="0.25">
      <c r="A280" s="39">
        <v>2</v>
      </c>
      <c r="B280" s="39" t="s">
        <v>369</v>
      </c>
      <c r="C280" s="80" t="s">
        <v>360</v>
      </c>
      <c r="D280" s="96"/>
      <c r="E280" s="96"/>
      <c r="F280" s="96"/>
      <c r="G280" s="96"/>
      <c r="H280" s="81"/>
      <c r="I280" s="33"/>
    </row>
    <row r="281" spans="1:14" s="34" customFormat="1" ht="15.75" customHeight="1" x14ac:dyDescent="0.25">
      <c r="A281" s="39">
        <v>3</v>
      </c>
      <c r="B281" s="39" t="s">
        <v>366</v>
      </c>
      <c r="C281" s="39" t="s">
        <v>367</v>
      </c>
      <c r="D281" s="65">
        <f>(63.83)*(10.764)</f>
        <v>687.06611999999996</v>
      </c>
      <c r="E281" s="65">
        <f>(0.75*(5.45+2.9+3.05+3.36))*(10.764)</f>
        <v>119.15747999999998</v>
      </c>
      <c r="F281" s="39">
        <f>D281+E281</f>
        <v>806.22359999999992</v>
      </c>
      <c r="G281" s="39">
        <v>0</v>
      </c>
      <c r="H281" s="39">
        <f>F281*(($H$169)+1)+(IF(G281&lt;101,G281,IF(G281&lt;201,G281/2,IF(G281&lt;=301,G281/3,G281/4))))</f>
        <v>1169.0242199999998</v>
      </c>
      <c r="I281" s="33">
        <f>(2.9*4.55+2.25*3.05+2.75*3.05+2.9*3.45+2.85*3.36+1.2*2.1+1.2*1.95+3*1.24+0.9*4.25)</f>
        <v>60.430999999999997</v>
      </c>
    </row>
    <row r="282" spans="1:14" s="34" customFormat="1" ht="15.75" customHeight="1" x14ac:dyDescent="0.25">
      <c r="A282" s="39">
        <v>4</v>
      </c>
      <c r="B282" s="39" t="s">
        <v>366</v>
      </c>
      <c r="C282" s="39" t="s">
        <v>350</v>
      </c>
      <c r="D282" s="65">
        <f>(53.5)*(10.764)</f>
        <v>575.87399999999991</v>
      </c>
      <c r="E282" s="65">
        <f>(0.75*(2.9+5.6+2.75))*(10.764)</f>
        <v>90.821249999999992</v>
      </c>
      <c r="F282" s="39">
        <f>D282+E282</f>
        <v>666.69524999999987</v>
      </c>
      <c r="G282" s="39">
        <v>0</v>
      </c>
      <c r="H282" s="39">
        <f>F282*(($H$169)+1)+(IF(G282&lt;101,G282,IF(G282&lt;201,G282/2,IF(G282&lt;=301,G282/3,G282/4))))</f>
        <v>966.70811249999974</v>
      </c>
      <c r="I282" s="33"/>
    </row>
    <row r="283" spans="1:14" s="34" customFormat="1" hidden="1" x14ac:dyDescent="0.25">
      <c r="A283" s="86" t="s">
        <v>113</v>
      </c>
      <c r="B283" s="86"/>
      <c r="C283" s="86"/>
      <c r="D283" s="86"/>
      <c r="E283" s="86"/>
      <c r="F283" s="86"/>
      <c r="G283" s="86"/>
      <c r="H283" s="86"/>
      <c r="I283" s="33"/>
      <c r="L283" s="101"/>
      <c r="M283" s="101"/>
    </row>
    <row r="284" spans="1:14" s="34" customFormat="1" hidden="1" x14ac:dyDescent="0.25">
      <c r="A284" s="85">
        <v>1</v>
      </c>
      <c r="B284" s="85"/>
      <c r="C284" s="39"/>
      <c r="D284" s="39"/>
      <c r="E284" s="39">
        <v>0</v>
      </c>
      <c r="F284" s="39">
        <f>D284+E284</f>
        <v>0</v>
      </c>
      <c r="G284" s="39">
        <v>0</v>
      </c>
      <c r="H284" s="39">
        <f>F284*(($H$169)+1)+(IF(G284&lt;101,G284,IF(G284&lt;201,G284/2,IF(G284&lt;=301,G284/3,G284/4))))</f>
        <v>0</v>
      </c>
      <c r="I284" s="33"/>
      <c r="N284" s="33"/>
    </row>
    <row r="285" spans="1:14" s="34" customFormat="1" hidden="1" x14ac:dyDescent="0.25">
      <c r="A285" s="85">
        <f>A284+1</f>
        <v>2</v>
      </c>
      <c r="B285" s="85"/>
      <c r="C285" s="39"/>
      <c r="D285" s="39"/>
      <c r="E285" s="39">
        <v>0</v>
      </c>
      <c r="F285" s="39">
        <f>D285+E285</f>
        <v>0</v>
      </c>
      <c r="G285" s="39">
        <v>0</v>
      </c>
      <c r="H285" s="39">
        <f>F285*(($H$169)+1)+(IF(G285&lt;101,G285,IF(G285&lt;201,G285/2,IF(G285&lt;=301,G285/3,G285/4))))</f>
        <v>0</v>
      </c>
      <c r="I285" s="33"/>
      <c r="N285" s="33"/>
    </row>
    <row r="286" spans="1:14" s="34" customFormat="1" hidden="1" x14ac:dyDescent="0.25">
      <c r="A286" s="85">
        <f>A285+1</f>
        <v>3</v>
      </c>
      <c r="B286" s="85"/>
      <c r="C286" s="39"/>
      <c r="D286" s="39"/>
      <c r="E286" s="39">
        <v>0</v>
      </c>
      <c r="F286" s="39">
        <f>D286+E286</f>
        <v>0</v>
      </c>
      <c r="G286" s="39">
        <v>0</v>
      </c>
      <c r="H286" s="39">
        <f>F286*(($H$169)+1)+(IF(G286&lt;101,G286,IF(G286&lt;201,G286/2,IF(G286&lt;=301,G286/3,G286/4))))</f>
        <v>0</v>
      </c>
      <c r="I286" s="33"/>
      <c r="N286" s="33"/>
    </row>
    <row r="287" spans="1:14" s="34" customFormat="1" hidden="1" x14ac:dyDescent="0.25">
      <c r="A287" s="85">
        <f>A286+1</f>
        <v>4</v>
      </c>
      <c r="B287" s="85"/>
      <c r="C287" s="39"/>
      <c r="D287" s="39"/>
      <c r="E287" s="39">
        <v>0</v>
      </c>
      <c r="F287" s="39">
        <f>D287+E287</f>
        <v>0</v>
      </c>
      <c r="G287" s="39">
        <v>0</v>
      </c>
      <c r="H287" s="39">
        <f>F287*(($H$169)+1)+(IF(G287&lt;101,G287,IF(G287&lt;201,G287/2,IF(G287&lt;=301,G287/3,G287/4))))</f>
        <v>0</v>
      </c>
      <c r="I287" s="33"/>
      <c r="N287" s="33"/>
    </row>
    <row r="288" spans="1:14" s="34" customFormat="1" hidden="1" x14ac:dyDescent="0.25">
      <c r="A288" s="86" t="s">
        <v>114</v>
      </c>
      <c r="B288" s="86"/>
      <c r="C288" s="86"/>
      <c r="D288" s="86"/>
      <c r="E288" s="86"/>
      <c r="F288" s="86"/>
      <c r="G288" s="86"/>
      <c r="H288" s="86"/>
      <c r="I288" s="33"/>
      <c r="L288" s="101"/>
      <c r="M288" s="101"/>
    </row>
    <row r="289" spans="1:14" s="34" customFormat="1" hidden="1" x14ac:dyDescent="0.25">
      <c r="A289" s="85">
        <f>LEFT(A288,SUM(LEN(A288)-LEN(SUBSTITUTE(A288,{"0","1","2","3","4","5","6","7","8","9"},""))))*100+1</f>
        <v>201</v>
      </c>
      <c r="B289" s="85"/>
      <c r="C289" s="39"/>
      <c r="D289" s="39"/>
      <c r="E289" s="39">
        <v>0</v>
      </c>
      <c r="F289" s="39">
        <f>D289+E289</f>
        <v>0</v>
      </c>
      <c r="G289" s="39">
        <v>0</v>
      </c>
      <c r="H289" s="39">
        <f>F289*(($H$169)+1)+(IF(G289&lt;101,G289,IF(G289&lt;201,G289/2,IF(G289&lt;=301,G289/3,G289/4))))</f>
        <v>0</v>
      </c>
      <c r="I289" s="33"/>
      <c r="N289" s="33"/>
    </row>
    <row r="290" spans="1:14" s="34" customFormat="1" hidden="1" x14ac:dyDescent="0.25">
      <c r="A290" s="85">
        <f>A289+1</f>
        <v>202</v>
      </c>
      <c r="B290" s="85"/>
      <c r="C290" s="39"/>
      <c r="D290" s="39"/>
      <c r="E290" s="39">
        <v>0</v>
      </c>
      <c r="F290" s="39">
        <f>D290+E290</f>
        <v>0</v>
      </c>
      <c r="G290" s="39">
        <v>0</v>
      </c>
      <c r="H290" s="39">
        <f>F290*(($H$169)+1)+(IF(G290&lt;101,G290,IF(G290&lt;201,G290/2,IF(G290&lt;=301,G290/3,G290/4))))</f>
        <v>0</v>
      </c>
      <c r="I290" s="33"/>
      <c r="N290" s="33"/>
    </row>
    <row r="291" spans="1:14" s="34" customFormat="1" hidden="1" x14ac:dyDescent="0.25">
      <c r="A291" s="85">
        <f>A290+1</f>
        <v>203</v>
      </c>
      <c r="B291" s="85"/>
      <c r="C291" s="39"/>
      <c r="D291" s="39"/>
      <c r="E291" s="39">
        <v>0</v>
      </c>
      <c r="F291" s="39">
        <f>D291+E291</f>
        <v>0</v>
      </c>
      <c r="G291" s="39">
        <v>0</v>
      </c>
      <c r="H291" s="39">
        <f>F291*(($H$169)+1)+(IF(G291&lt;101,G291,IF(G291&lt;201,G291/2,IF(G291&lt;=301,G291/3,G291/4))))</f>
        <v>0</v>
      </c>
      <c r="I291" s="33"/>
      <c r="N291" s="33"/>
    </row>
    <row r="292" spans="1:14" s="34" customFormat="1" hidden="1" x14ac:dyDescent="0.25">
      <c r="A292" s="85">
        <f>A291+1</f>
        <v>204</v>
      </c>
      <c r="B292" s="85"/>
      <c r="C292" s="39"/>
      <c r="D292" s="39"/>
      <c r="E292" s="39">
        <v>0</v>
      </c>
      <c r="F292" s="39">
        <f>D292+E292</f>
        <v>0</v>
      </c>
      <c r="G292" s="39">
        <v>0</v>
      </c>
      <c r="H292" s="39">
        <f>F292*(($H$169)+1)+(IF(G292&lt;101,G292,IF(G292&lt;201,G292/2,IF(G292&lt;=301,G292/3,G292/4))))</f>
        <v>0</v>
      </c>
      <c r="I292" s="33"/>
      <c r="N292" s="33"/>
    </row>
    <row r="293" spans="1:14" s="34" customFormat="1" hidden="1" x14ac:dyDescent="0.25">
      <c r="A293" s="85">
        <f>A292+1</f>
        <v>205</v>
      </c>
      <c r="B293" s="85"/>
      <c r="C293" s="39"/>
      <c r="D293" s="39"/>
      <c r="E293" s="39">
        <v>0</v>
      </c>
      <c r="F293" s="39">
        <f>D293+E293</f>
        <v>0</v>
      </c>
      <c r="G293" s="39">
        <v>0</v>
      </c>
      <c r="H293" s="39">
        <f>F293*(($H$169)+1)+(IF(G293&lt;101,G293,IF(G293&lt;201,G293/2,IF(G293&lt;=301,G293/3,G293/4))))</f>
        <v>0</v>
      </c>
      <c r="I293" s="33"/>
      <c r="N293" s="33"/>
    </row>
    <row r="294" spans="1:14" s="34" customFormat="1" ht="15.75" hidden="1" customHeight="1" x14ac:dyDescent="0.25">
      <c r="A294" s="77" t="s">
        <v>146</v>
      </c>
      <c r="B294" s="78"/>
      <c r="C294" s="78"/>
      <c r="D294" s="78"/>
      <c r="E294" s="78"/>
      <c r="F294" s="78"/>
      <c r="G294" s="78"/>
      <c r="H294" s="79"/>
      <c r="I294" s="33"/>
    </row>
    <row r="295" spans="1:14" s="34" customFormat="1" ht="15.75" hidden="1" customHeight="1" x14ac:dyDescent="0.25">
      <c r="A295" s="80" t="str">
        <f ca="1">(SUMPRODUCT(MID(0&amp;(LEFT(A294,SUM(LEN(A294)-LEN(SUBSTITUTE(A294,{"0","1","2"},""))))), LARGE(INDEX(ISNUMBER(--MID((LEFT(A294,SUM(LEN(A294)-LEN(SUBSTITUTE(A294,{"0","1","2"},""))))), ROW(INDIRECT("1:"&amp;LEN((LEFT(A294,SUM(LEN(A294)-LEN(SUBSTITUTE(A294,{"0","1","2"},"")))))))), 1)) * ROW(INDIRECT("1:"&amp;LEN((LEFT(A294,SUM(LEN(A294)-LEN(SUBSTITUTE(A294,{"0","1","2"},"")))))))), 0), ROW(INDIRECT("1:"&amp;LEN((LEFT(A294,SUM(LEN(A294)-LEN(SUBSTITUTE(A294,{"0","1","2"},"")))))))))+1, 1) * 10^ROW(INDIRECT("1:"&amp;LEN((LEFT(A294,SUM(LEN(A294)-LEN(SUBSTITUTE(A294,{"0","1","2"},""))))))))/10))*100+1&amp;""&amp;" ,.., "&amp;""&amp;(SUMPRODUCT(MID(0&amp;(--TRIM(RIGHT(SUBSTITUTE(LEFT(A294,_xlfn.AGGREGATE(16,6,FIND({0,1,2,3,4,5,6,7,8,9},A294,ROW(INDIRECT("1:"&amp;LEN(A294)))),1))," ",REPT(" ",LEN(A294))),LEN(A294)))), LARGE(INDEX(ISNUMBER(--MID((--TRIM(RIGHT(SUBSTITUTE(LEFT(A294,_xlfn.AGGREGATE(16,6,FIND({0,1,2,3,4,5,6,7,8,9},A294,ROW(INDIRECT("1:"&amp;LEN(A294)))),1))," ",REPT(" ",LEN(A294))),LEN(A294)))), ROW(INDIRECT("1:"&amp;LEN((--TRIM(RIGHT(SUBSTITUTE(LEFT(A294,_xlfn.AGGREGATE(16,6,FIND({0,1,2,3,4,5,6,7,8,9},A294,ROW(INDIRECT("1:"&amp;LEN(A294)))),1))," ",REPT(" ",LEN(A294))),LEN(A294))))))), 1)) * ROW(INDIRECT("1:"&amp;LEN((--TRIM(RIGHT(SUBSTITUTE(LEFT(A294,_xlfn.AGGREGATE(16,6,FIND({0,1,2,3,4,5,6,7,8,9},A294,ROW(INDIRECT("1:"&amp;LEN(A294)))),1))," ",REPT(" ",LEN(A294))),LEN(A294))))))), 0), ROW(INDIRECT("1:"&amp;LEN((--TRIM(RIGHT(SUBSTITUTE(LEFT(A294,_xlfn.AGGREGATE(16,6,FIND({0,1,2,3,4,5,6,7,8,9},A294,ROW(INDIRECT("1:"&amp;LEN(A294)))),1))," ",REPT(" ",LEN(A294))),LEN(A294))))))))+1, 1) * 10^ROW(INDIRECT("1:"&amp;LEN((--TRIM(RIGHT(SUBSTITUTE(LEFT(A294,_xlfn.AGGREGATE(16,6,FIND({0,1,2,3,4,5,6,7,8,9},A294,ROW(INDIRECT("1:"&amp;LEN(A294)))),1))," ",REPT(" ",LEN(A294))),LEN(A294)))))))/10))*100+1</f>
        <v>301 ,.., 1501</v>
      </c>
      <c r="B295" s="81"/>
      <c r="C295" s="39"/>
      <c r="D295" s="39"/>
      <c r="E295" s="39">
        <v>0</v>
      </c>
      <c r="F295" s="39">
        <f>D295+E295</f>
        <v>0</v>
      </c>
      <c r="G295" s="39">
        <v>0</v>
      </c>
      <c r="H295" s="39">
        <f>F295*(($H$169)+1)+(IF(G295&lt;101,G295,IF(G295&lt;201,G295/2,IF(G295&lt;=301,G295/3,G295/4))))</f>
        <v>0</v>
      </c>
      <c r="I295" s="33"/>
    </row>
    <row r="296" spans="1:14" s="34" customFormat="1" ht="15.75" hidden="1" customHeight="1" x14ac:dyDescent="0.25">
      <c r="A296" s="80" t="str">
        <f ca="1">(SUMPRODUCT(MID(0&amp;(LEFT(A295,SUM(LEN(A295)-LEN(SUBSTITUTE(A295,{"0","1","2"},""))))), LARGE(INDEX(ISNUMBER(--MID((LEFT(A295,SUM(LEN(A295)-LEN(SUBSTITUTE(A295,{"0","1","2"},""))))), ROW(INDIRECT("1:"&amp;LEN((LEFT(A295,SUM(LEN(A295)-LEN(SUBSTITUTE(A295,{"0","1","2"},"")))))))), 1)) * ROW(INDIRECT("1:"&amp;LEN((LEFT(A295,SUM(LEN(A295)-LEN(SUBSTITUTE(A295,{"0","1","2"},"")))))))), 0), ROW(INDIRECT("1:"&amp;LEN((LEFT(A295,SUM(LEN(A295)-LEN(SUBSTITUTE(A295,{"0","1","2"},"")))))))))+1, 1) * 10^ROW(INDIRECT("1:"&amp;LEN((LEFT(A295,SUM(LEN(A295)-LEN(SUBSTITUTE(A295,{"0","1","2"},""))))))))/10))*1+1&amp;""&amp;" ,.., "&amp;""&amp;(SUMPRODUCT(MID(0&amp;(--TRIM(RIGHT(SUBSTITUTE(LEFT(A295,_xlfn.AGGREGATE(16,6,FIND({0,1,2,3,4,5,6,7,8,9},A295,ROW(INDIRECT("1:"&amp;LEN(A295)))),1))," ",REPT(" ",LEN(A295))),LEN(A295)))), LARGE(INDEX(ISNUMBER(--MID((--TRIM(RIGHT(SUBSTITUTE(LEFT(A295,_xlfn.AGGREGATE(16,6,FIND({0,1,2,3,4,5,6,7,8,9},A295,ROW(INDIRECT("1:"&amp;LEN(A295)))),1))," ",REPT(" ",LEN(A295))),LEN(A295)))), ROW(INDIRECT("1:"&amp;LEN((--TRIM(RIGHT(SUBSTITUTE(LEFT(A295,_xlfn.AGGREGATE(16,6,FIND({0,1,2,3,4,5,6,7,8,9},A295,ROW(INDIRECT("1:"&amp;LEN(A295)))),1))," ",REPT(" ",LEN(A295))),LEN(A295))))))), 1)) * ROW(INDIRECT("1:"&amp;LEN((--TRIM(RIGHT(SUBSTITUTE(LEFT(A295,_xlfn.AGGREGATE(16,6,FIND({0,1,2,3,4,5,6,7,8,9},A295,ROW(INDIRECT("1:"&amp;LEN(A295)))),1))," ",REPT(" ",LEN(A295))),LEN(A295))))))), 0), ROW(INDIRECT("1:"&amp;LEN((--TRIM(RIGHT(SUBSTITUTE(LEFT(A295,_xlfn.AGGREGATE(16,6,FIND({0,1,2,3,4,5,6,7,8,9},A295,ROW(INDIRECT("1:"&amp;LEN(A295)))),1))," ",REPT(" ",LEN(A295))),LEN(A295))))))))+1, 1) * 10^ROW(INDIRECT("1:"&amp;LEN((--TRIM(RIGHT(SUBSTITUTE(LEFT(A295,_xlfn.AGGREGATE(16,6,FIND({0,1,2,3,4,5,6,7,8,9},A295,ROW(INDIRECT("1:"&amp;LEN(A295)))),1))," ",REPT(" ",LEN(A295))),LEN(A295)))))))/10))*1+1</f>
        <v>302 ,.., 1502</v>
      </c>
      <c r="B296" s="81"/>
      <c r="C296" s="39"/>
      <c r="D296" s="39"/>
      <c r="E296" s="39">
        <v>0</v>
      </c>
      <c r="F296" s="39">
        <f>D296+E296</f>
        <v>0</v>
      </c>
      <c r="G296" s="39">
        <v>0</v>
      </c>
      <c r="H296" s="39">
        <f>F296*(($H$169)+1)+(IF(G296&lt;101,G296,IF(G296&lt;201,G296/2,IF(G296&lt;=301,G296/3,G296/4))))</f>
        <v>0</v>
      </c>
      <c r="I296" s="33"/>
    </row>
    <row r="297" spans="1:14" s="34" customFormat="1" ht="15.75" hidden="1" customHeight="1" x14ac:dyDescent="0.25">
      <c r="A297" s="80" t="str">
        <f ca="1">(SUMPRODUCT(MID(0&amp;(LEFT(A296,SUM(LEN(A296)-LEN(SUBSTITUTE(A296,{"0","1","2"},""))))), LARGE(INDEX(ISNUMBER(--MID((LEFT(A296,SUM(LEN(A296)-LEN(SUBSTITUTE(A296,{"0","1","2"},""))))), ROW(INDIRECT("1:"&amp;LEN((LEFT(A296,SUM(LEN(A296)-LEN(SUBSTITUTE(A296,{"0","1","2"},"")))))))), 1)) * ROW(INDIRECT("1:"&amp;LEN((LEFT(A296,SUM(LEN(A296)-LEN(SUBSTITUTE(A296,{"0","1","2"},"")))))))), 0), ROW(INDIRECT("1:"&amp;LEN((LEFT(A296,SUM(LEN(A296)-LEN(SUBSTITUTE(A296,{"0","1","2"},"")))))))))+1, 1) * 10^ROW(INDIRECT("1:"&amp;LEN((LEFT(A296,SUM(LEN(A296)-LEN(SUBSTITUTE(A296,{"0","1","2"},""))))))))/10))*1+1&amp;""&amp;" ,.., "&amp;""&amp;(SUMPRODUCT(MID(0&amp;(--TRIM(RIGHT(SUBSTITUTE(LEFT(A296,_xlfn.AGGREGATE(16,6,FIND({0,1,2,3,4,5,6,7,8,9},A296,ROW(INDIRECT("1:"&amp;LEN(A296)))),1))," ",REPT(" ",LEN(A296))),LEN(A296)))), LARGE(INDEX(ISNUMBER(--MID((--TRIM(RIGHT(SUBSTITUTE(LEFT(A296,_xlfn.AGGREGATE(16,6,FIND({0,1,2,3,4,5,6,7,8,9},A296,ROW(INDIRECT("1:"&amp;LEN(A296)))),1))," ",REPT(" ",LEN(A296))),LEN(A296)))), ROW(INDIRECT("1:"&amp;LEN((--TRIM(RIGHT(SUBSTITUTE(LEFT(A296,_xlfn.AGGREGATE(16,6,FIND({0,1,2,3,4,5,6,7,8,9},A296,ROW(INDIRECT("1:"&amp;LEN(A296)))),1))," ",REPT(" ",LEN(A296))),LEN(A296))))))), 1)) * ROW(INDIRECT("1:"&amp;LEN((--TRIM(RIGHT(SUBSTITUTE(LEFT(A296,_xlfn.AGGREGATE(16,6,FIND({0,1,2,3,4,5,6,7,8,9},A296,ROW(INDIRECT("1:"&amp;LEN(A296)))),1))," ",REPT(" ",LEN(A296))),LEN(A296))))))), 0), ROW(INDIRECT("1:"&amp;LEN((--TRIM(RIGHT(SUBSTITUTE(LEFT(A296,_xlfn.AGGREGATE(16,6,FIND({0,1,2,3,4,5,6,7,8,9},A296,ROW(INDIRECT("1:"&amp;LEN(A296)))),1))," ",REPT(" ",LEN(A296))),LEN(A296))))))))+1, 1) * 10^ROW(INDIRECT("1:"&amp;LEN((--TRIM(RIGHT(SUBSTITUTE(LEFT(A296,_xlfn.AGGREGATE(16,6,FIND({0,1,2,3,4,5,6,7,8,9},A296,ROW(INDIRECT("1:"&amp;LEN(A296)))),1))," ",REPT(" ",LEN(A296))),LEN(A296)))))))/10))*1+1</f>
        <v>303 ,.., 1503</v>
      </c>
      <c r="B297" s="81"/>
      <c r="C297" s="39"/>
      <c r="D297" s="39"/>
      <c r="E297" s="39">
        <v>0</v>
      </c>
      <c r="F297" s="39">
        <f>D297+E297</f>
        <v>0</v>
      </c>
      <c r="G297" s="39">
        <v>0</v>
      </c>
      <c r="H297" s="39">
        <f>F297*(($H$169)+1)+(IF(G297&lt;101,G297,IF(G297&lt;201,G297/2,IF(G297&lt;=301,G297/3,G297/4))))</f>
        <v>0</v>
      </c>
      <c r="I297" s="33"/>
    </row>
    <row r="298" spans="1:14" s="34" customFormat="1" ht="15.75" hidden="1" customHeight="1" x14ac:dyDescent="0.25">
      <c r="A298" s="80" t="str">
        <f ca="1">(SUMPRODUCT(MID(0&amp;(LEFT(A297,SUM(LEN(A297)-LEN(SUBSTITUTE(A297,{"0","1","2"},""))))), LARGE(INDEX(ISNUMBER(--MID((LEFT(A297,SUM(LEN(A297)-LEN(SUBSTITUTE(A297,{"0","1","2"},""))))), ROW(INDIRECT("1:"&amp;LEN((LEFT(A297,SUM(LEN(A297)-LEN(SUBSTITUTE(A297,{"0","1","2"},"")))))))), 1)) * ROW(INDIRECT("1:"&amp;LEN((LEFT(A297,SUM(LEN(A297)-LEN(SUBSTITUTE(A297,{"0","1","2"},"")))))))), 0), ROW(INDIRECT("1:"&amp;LEN((LEFT(A297,SUM(LEN(A297)-LEN(SUBSTITUTE(A297,{"0","1","2"},"")))))))))+1, 1) * 10^ROW(INDIRECT("1:"&amp;LEN((LEFT(A297,SUM(LEN(A297)-LEN(SUBSTITUTE(A297,{"0","1","2"},""))))))))/10))*1+1&amp;""&amp;" ,.., "&amp;""&amp;(SUMPRODUCT(MID(0&amp;(--TRIM(RIGHT(SUBSTITUTE(LEFT(A297,_xlfn.AGGREGATE(16,6,FIND({0,1,2,3,4,5,6,7,8,9},A297,ROW(INDIRECT("1:"&amp;LEN(A297)))),1))," ",REPT(" ",LEN(A297))),LEN(A297)))), LARGE(INDEX(ISNUMBER(--MID((--TRIM(RIGHT(SUBSTITUTE(LEFT(A297,_xlfn.AGGREGATE(16,6,FIND({0,1,2,3,4,5,6,7,8,9},A297,ROW(INDIRECT("1:"&amp;LEN(A297)))),1))," ",REPT(" ",LEN(A297))),LEN(A297)))), ROW(INDIRECT("1:"&amp;LEN((--TRIM(RIGHT(SUBSTITUTE(LEFT(A297,_xlfn.AGGREGATE(16,6,FIND({0,1,2,3,4,5,6,7,8,9},A297,ROW(INDIRECT("1:"&amp;LEN(A297)))),1))," ",REPT(" ",LEN(A297))),LEN(A297))))))), 1)) * ROW(INDIRECT("1:"&amp;LEN((--TRIM(RIGHT(SUBSTITUTE(LEFT(A297,_xlfn.AGGREGATE(16,6,FIND({0,1,2,3,4,5,6,7,8,9},A297,ROW(INDIRECT("1:"&amp;LEN(A297)))),1))," ",REPT(" ",LEN(A297))),LEN(A297))))))), 0), ROW(INDIRECT("1:"&amp;LEN((--TRIM(RIGHT(SUBSTITUTE(LEFT(A297,_xlfn.AGGREGATE(16,6,FIND({0,1,2,3,4,5,6,7,8,9},A297,ROW(INDIRECT("1:"&amp;LEN(A297)))),1))," ",REPT(" ",LEN(A297))),LEN(A297))))))))+1, 1) * 10^ROW(INDIRECT("1:"&amp;LEN((--TRIM(RIGHT(SUBSTITUTE(LEFT(A297,_xlfn.AGGREGATE(16,6,FIND({0,1,2,3,4,5,6,7,8,9},A297,ROW(INDIRECT("1:"&amp;LEN(A297)))),1))," ",REPT(" ",LEN(A297))),LEN(A297)))))))/10))*1+1</f>
        <v>304 ,.., 1504</v>
      </c>
      <c r="B298" s="81"/>
      <c r="C298" s="39"/>
      <c r="D298" s="39"/>
      <c r="E298" s="39">
        <v>0</v>
      </c>
      <c r="F298" s="39">
        <f>D298+E298</f>
        <v>0</v>
      </c>
      <c r="G298" s="39">
        <v>0</v>
      </c>
      <c r="H298" s="39">
        <f>F298*(($H$169)+1)+(IF(G298&lt;101,G298,IF(G298&lt;201,G298/2,IF(G298&lt;=301,G298/3,G298/4))))</f>
        <v>0</v>
      </c>
      <c r="I298" s="33"/>
    </row>
    <row r="299" spans="1:14" s="34" customFormat="1" ht="15.75" hidden="1" customHeight="1" x14ac:dyDescent="0.25">
      <c r="A299" s="80" t="str">
        <f ca="1">(SUMPRODUCT(MID(0&amp;(LEFT(A298,SUM(LEN(A298)-LEN(SUBSTITUTE(A298,{"0","1","2"},""))))), LARGE(INDEX(ISNUMBER(--MID((LEFT(A298,SUM(LEN(A298)-LEN(SUBSTITUTE(A298,{"0","1","2"},""))))), ROW(INDIRECT("1:"&amp;LEN((LEFT(A298,SUM(LEN(A298)-LEN(SUBSTITUTE(A298,{"0","1","2"},"")))))))), 1)) * ROW(INDIRECT("1:"&amp;LEN((LEFT(A298,SUM(LEN(A298)-LEN(SUBSTITUTE(A298,{"0","1","2"},"")))))))), 0), ROW(INDIRECT("1:"&amp;LEN((LEFT(A298,SUM(LEN(A298)-LEN(SUBSTITUTE(A298,{"0","1","2"},"")))))))))+1, 1) * 10^ROW(INDIRECT("1:"&amp;LEN((LEFT(A298,SUM(LEN(A298)-LEN(SUBSTITUTE(A298,{"0","1","2"},""))))))))/10))*1+1&amp;""&amp;" ,.., "&amp;""&amp;(SUMPRODUCT(MID(0&amp;(--TRIM(RIGHT(SUBSTITUTE(LEFT(A298,_xlfn.AGGREGATE(16,6,FIND({0,1,2,3,4,5,6,7,8,9},A298,ROW(INDIRECT("1:"&amp;LEN(A298)))),1))," ",REPT(" ",LEN(A298))),LEN(A298)))), LARGE(INDEX(ISNUMBER(--MID((--TRIM(RIGHT(SUBSTITUTE(LEFT(A298,_xlfn.AGGREGATE(16,6,FIND({0,1,2,3,4,5,6,7,8,9},A298,ROW(INDIRECT("1:"&amp;LEN(A298)))),1))," ",REPT(" ",LEN(A298))),LEN(A298)))), ROW(INDIRECT("1:"&amp;LEN((--TRIM(RIGHT(SUBSTITUTE(LEFT(A298,_xlfn.AGGREGATE(16,6,FIND({0,1,2,3,4,5,6,7,8,9},A298,ROW(INDIRECT("1:"&amp;LEN(A298)))),1))," ",REPT(" ",LEN(A298))),LEN(A298))))))), 1)) * ROW(INDIRECT("1:"&amp;LEN((--TRIM(RIGHT(SUBSTITUTE(LEFT(A298,_xlfn.AGGREGATE(16,6,FIND({0,1,2,3,4,5,6,7,8,9},A298,ROW(INDIRECT("1:"&amp;LEN(A298)))),1))," ",REPT(" ",LEN(A298))),LEN(A298))))))), 0), ROW(INDIRECT("1:"&amp;LEN((--TRIM(RIGHT(SUBSTITUTE(LEFT(A298,_xlfn.AGGREGATE(16,6,FIND({0,1,2,3,4,5,6,7,8,9},A298,ROW(INDIRECT("1:"&amp;LEN(A298)))),1))," ",REPT(" ",LEN(A298))),LEN(A298))))))))+1, 1) * 10^ROW(INDIRECT("1:"&amp;LEN((--TRIM(RIGHT(SUBSTITUTE(LEFT(A298,_xlfn.AGGREGATE(16,6,FIND({0,1,2,3,4,5,6,7,8,9},A298,ROW(INDIRECT("1:"&amp;LEN(A298)))),1))," ",REPT(" ",LEN(A298))),LEN(A298)))))))/10))*1+1</f>
        <v>305 ,.., 1505</v>
      </c>
      <c r="B299" s="81"/>
      <c r="C299" s="39"/>
      <c r="D299" s="39"/>
      <c r="E299" s="39">
        <v>0</v>
      </c>
      <c r="F299" s="39">
        <f>D299+E299</f>
        <v>0</v>
      </c>
      <c r="G299" s="39">
        <v>0</v>
      </c>
      <c r="H299" s="39">
        <f>F299*(($H$169)+1)+(IF(G299&lt;101,G299,IF(G299&lt;201,G299/2,IF(G299&lt;=301,G299/3,G299/4))))</f>
        <v>0</v>
      </c>
      <c r="I299" s="33"/>
    </row>
    <row r="300" spans="1:14" s="34" customFormat="1" hidden="1" x14ac:dyDescent="0.25">
      <c r="A300" s="77" t="s">
        <v>140</v>
      </c>
      <c r="B300" s="78"/>
      <c r="C300" s="78"/>
      <c r="D300" s="78"/>
      <c r="E300" s="78"/>
      <c r="F300" s="78"/>
      <c r="G300" s="78"/>
      <c r="H300" s="79"/>
      <c r="I300" s="33"/>
    </row>
    <row r="301" spans="1:14" s="34" customFormat="1" ht="15.75" hidden="1" customHeight="1" x14ac:dyDescent="0.25">
      <c r="A301" s="80" t="str">
        <f ca="1">(SUMPRODUCT(MID(0&amp;(LEFT(A300,SUM(LEN(A300)-LEN(SUBSTITUTE(A300,{"0","1","2"},""))))), LARGE(INDEX(ISNUMBER(--MID((LEFT(A300,SUM(LEN(A300)-LEN(SUBSTITUTE(A300,{"0","1","2"},""))))), ROW(INDIRECT("1:"&amp;LEN((LEFT(A300,SUM(LEN(A300)-LEN(SUBSTITUTE(A300,{"0","1","2"},"")))))))), 1)) * ROW(INDIRECT("1:"&amp;LEN((LEFT(A300,SUM(LEN(A300)-LEN(SUBSTITUTE(A300,{"0","1","2"},"")))))))), 0), ROW(INDIRECT("1:"&amp;LEN((LEFT(A300,SUM(LEN(A300)-LEN(SUBSTITUTE(A300,{"0","1","2"},"")))))))))+1, 1) * 10^ROW(INDIRECT("1:"&amp;LEN((LEFT(A300,SUM(LEN(A300)-LEN(SUBSTITUTE(A300,{"0","1","2"},""))))))))/10))*100+1&amp;""&amp;" to "&amp;""&amp;(SUMPRODUCT(MID(0&amp;(--TRIM(RIGHT(SUBSTITUTE(LEFT(A300,_xlfn.AGGREGATE(16,6,FIND({0,1,2,3,4,5,6,7,8,9},A300,ROW(INDIRECT("1:"&amp;LEN(A300)))),1))," ",REPT(" ",LEN(A300))),LEN(A300)))), LARGE(INDEX(ISNUMBER(--MID((--TRIM(RIGHT(SUBSTITUTE(LEFT(A300,_xlfn.AGGREGATE(16,6,FIND({0,1,2,3,4,5,6,7,8,9},A300,ROW(INDIRECT("1:"&amp;LEN(A300)))),1))," ",REPT(" ",LEN(A300))),LEN(A300)))), ROW(INDIRECT("1:"&amp;LEN((--TRIM(RIGHT(SUBSTITUTE(LEFT(A300,_xlfn.AGGREGATE(16,6,FIND({0,1,2,3,4,5,6,7,8,9},A300,ROW(INDIRECT("1:"&amp;LEN(A300)))),1))," ",REPT(" ",LEN(A300))),LEN(A300))))))), 1)) * ROW(INDIRECT("1:"&amp;LEN((--TRIM(RIGHT(SUBSTITUTE(LEFT(A300,_xlfn.AGGREGATE(16,6,FIND({0,1,2,3,4,5,6,7,8,9},A300,ROW(INDIRECT("1:"&amp;LEN(A300)))),1))," ",REPT(" ",LEN(A300))),LEN(A300))))))), 0), ROW(INDIRECT("1:"&amp;LEN((--TRIM(RIGHT(SUBSTITUTE(LEFT(A300,_xlfn.AGGREGATE(16,6,FIND({0,1,2,3,4,5,6,7,8,9},A300,ROW(INDIRECT("1:"&amp;LEN(A300)))),1))," ",REPT(" ",LEN(A300))),LEN(A300))))))))+1, 1) * 10^ROW(INDIRECT("1:"&amp;LEN((--TRIM(RIGHT(SUBSTITUTE(LEFT(A300,_xlfn.AGGREGATE(16,6,FIND({0,1,2,3,4,5,6,7,8,9},A300,ROW(INDIRECT("1:"&amp;LEN(A300)))),1))," ",REPT(" ",LEN(A300))),LEN(A300)))))))/10))*100+1</f>
        <v>201 to 501</v>
      </c>
      <c r="B301" s="81"/>
      <c r="C301" s="39"/>
      <c r="D301" s="39"/>
      <c r="E301" s="39">
        <v>0</v>
      </c>
      <c r="F301" s="39">
        <f>D301+E301</f>
        <v>0</v>
      </c>
      <c r="G301" s="39">
        <v>0</v>
      </c>
      <c r="H301" s="39">
        <f>F301*(($H$169)+1)+(IF(G301&lt;101,G301,IF(G301&lt;201,G301/2,IF(G301&lt;=301,G301/3,G301/4))))</f>
        <v>0</v>
      </c>
      <c r="I301" s="33"/>
    </row>
    <row r="302" spans="1:14" s="34" customFormat="1" ht="15.75" hidden="1" customHeight="1" x14ac:dyDescent="0.25">
      <c r="A302" s="80" t="str">
        <f ca="1">(SUMPRODUCT(MID(0&amp;(LEFT(A301,SUM(LEN(A301)-LEN(SUBSTITUTE(A301,{"0","1","2"},""))))), LARGE(INDEX(ISNUMBER(--MID((LEFT(A301,SUM(LEN(A301)-LEN(SUBSTITUTE(A301,{"0","1","2"},""))))), ROW(INDIRECT("1:"&amp;LEN((LEFT(A301,SUM(LEN(A301)-LEN(SUBSTITUTE(A301,{"0","1","2"},"")))))))), 1)) * ROW(INDIRECT("1:"&amp;LEN((LEFT(A301,SUM(LEN(A301)-LEN(SUBSTITUTE(A301,{"0","1","2"},"")))))))), 0), ROW(INDIRECT("1:"&amp;LEN((LEFT(A301,SUM(LEN(A301)-LEN(SUBSTITUTE(A301,{"0","1","2"},"")))))))))+1, 1) * 10^ROW(INDIRECT("1:"&amp;LEN((LEFT(A301,SUM(LEN(A301)-LEN(SUBSTITUTE(A301,{"0","1","2"},""))))))))/10))*1+1&amp;""&amp;" to "&amp;""&amp;(SUMPRODUCT(MID(0&amp;(--TRIM(RIGHT(SUBSTITUTE(LEFT(A301,_xlfn.AGGREGATE(16,6,FIND({0,1,2,3,4,5,6,7,8,9},A301,ROW(INDIRECT("1:"&amp;LEN(A301)))),1))," ",REPT(" ",LEN(A301))),LEN(A301)))), LARGE(INDEX(ISNUMBER(--MID((--TRIM(RIGHT(SUBSTITUTE(LEFT(A301,_xlfn.AGGREGATE(16,6,FIND({0,1,2,3,4,5,6,7,8,9},A301,ROW(INDIRECT("1:"&amp;LEN(A301)))),1))," ",REPT(" ",LEN(A301))),LEN(A301)))), ROW(INDIRECT("1:"&amp;LEN((--TRIM(RIGHT(SUBSTITUTE(LEFT(A301,_xlfn.AGGREGATE(16,6,FIND({0,1,2,3,4,5,6,7,8,9},A301,ROW(INDIRECT("1:"&amp;LEN(A301)))),1))," ",REPT(" ",LEN(A301))),LEN(A301))))))), 1)) * ROW(INDIRECT("1:"&amp;LEN((--TRIM(RIGHT(SUBSTITUTE(LEFT(A301,_xlfn.AGGREGATE(16,6,FIND({0,1,2,3,4,5,6,7,8,9},A301,ROW(INDIRECT("1:"&amp;LEN(A301)))),1))," ",REPT(" ",LEN(A301))),LEN(A301))))))), 0), ROW(INDIRECT("1:"&amp;LEN((--TRIM(RIGHT(SUBSTITUTE(LEFT(A301,_xlfn.AGGREGATE(16,6,FIND({0,1,2,3,4,5,6,7,8,9},A301,ROW(INDIRECT("1:"&amp;LEN(A301)))),1))," ",REPT(" ",LEN(A301))),LEN(A301))))))))+1, 1) * 10^ROW(INDIRECT("1:"&amp;LEN((--TRIM(RIGHT(SUBSTITUTE(LEFT(A301,_xlfn.AGGREGATE(16,6,FIND({0,1,2,3,4,5,6,7,8,9},A301,ROW(INDIRECT("1:"&amp;LEN(A301)))),1))," ",REPT(" ",LEN(A301))),LEN(A301)))))))/10))*1+1</f>
        <v>202 to 502</v>
      </c>
      <c r="B302" s="81"/>
      <c r="C302" s="39"/>
      <c r="D302" s="39"/>
      <c r="E302" s="39">
        <v>0</v>
      </c>
      <c r="F302" s="39">
        <f>D302+E302</f>
        <v>0</v>
      </c>
      <c r="G302" s="39">
        <v>0</v>
      </c>
      <c r="H302" s="39">
        <f>F302*(($H$169)+1)+(IF(G302&lt;101,G302,IF(G302&lt;201,G302/2,IF(G302&lt;=301,G302/3,G302/4))))</f>
        <v>0</v>
      </c>
      <c r="I302" s="33"/>
    </row>
    <row r="303" spans="1:14" s="34" customFormat="1" ht="15.75" hidden="1" customHeight="1" x14ac:dyDescent="0.25">
      <c r="A303" s="80" t="str">
        <f ca="1">(SUMPRODUCT(MID(0&amp;(LEFT(A302,SUM(LEN(A302)-LEN(SUBSTITUTE(A302,{"0","1","2"},""))))), LARGE(INDEX(ISNUMBER(--MID((LEFT(A302,SUM(LEN(A302)-LEN(SUBSTITUTE(A302,{"0","1","2"},""))))), ROW(INDIRECT("1:"&amp;LEN((LEFT(A302,SUM(LEN(A302)-LEN(SUBSTITUTE(A302,{"0","1","2"},"")))))))), 1)) * ROW(INDIRECT("1:"&amp;LEN((LEFT(A302,SUM(LEN(A302)-LEN(SUBSTITUTE(A302,{"0","1","2"},"")))))))), 0), ROW(INDIRECT("1:"&amp;LEN((LEFT(A302,SUM(LEN(A302)-LEN(SUBSTITUTE(A302,{"0","1","2"},"")))))))))+1, 1) * 10^ROW(INDIRECT("1:"&amp;LEN((LEFT(A302,SUM(LEN(A302)-LEN(SUBSTITUTE(A302,{"0","1","2"},""))))))))/10))*1+1&amp;""&amp;" to "&amp;""&amp;(SUMPRODUCT(MID(0&amp;(--TRIM(RIGHT(SUBSTITUTE(LEFT(A302,_xlfn.AGGREGATE(16,6,FIND({0,1,2,3,4,5,6,7,8,9},A302,ROW(INDIRECT("1:"&amp;LEN(A302)))),1))," ",REPT(" ",LEN(A302))),LEN(A302)))), LARGE(INDEX(ISNUMBER(--MID((--TRIM(RIGHT(SUBSTITUTE(LEFT(A302,_xlfn.AGGREGATE(16,6,FIND({0,1,2,3,4,5,6,7,8,9},A302,ROW(INDIRECT("1:"&amp;LEN(A302)))),1))," ",REPT(" ",LEN(A302))),LEN(A302)))), ROW(INDIRECT("1:"&amp;LEN((--TRIM(RIGHT(SUBSTITUTE(LEFT(A302,_xlfn.AGGREGATE(16,6,FIND({0,1,2,3,4,5,6,7,8,9},A302,ROW(INDIRECT("1:"&amp;LEN(A302)))),1))," ",REPT(" ",LEN(A302))),LEN(A302))))))), 1)) * ROW(INDIRECT("1:"&amp;LEN((--TRIM(RIGHT(SUBSTITUTE(LEFT(A302,_xlfn.AGGREGATE(16,6,FIND({0,1,2,3,4,5,6,7,8,9},A302,ROW(INDIRECT("1:"&amp;LEN(A302)))),1))," ",REPT(" ",LEN(A302))),LEN(A302))))))), 0), ROW(INDIRECT("1:"&amp;LEN((--TRIM(RIGHT(SUBSTITUTE(LEFT(A302,_xlfn.AGGREGATE(16,6,FIND({0,1,2,3,4,5,6,7,8,9},A302,ROW(INDIRECT("1:"&amp;LEN(A302)))),1))," ",REPT(" ",LEN(A302))),LEN(A302))))))))+1, 1) * 10^ROW(INDIRECT("1:"&amp;LEN((--TRIM(RIGHT(SUBSTITUTE(LEFT(A302,_xlfn.AGGREGATE(16,6,FIND({0,1,2,3,4,5,6,7,8,9},A302,ROW(INDIRECT("1:"&amp;LEN(A302)))),1))," ",REPT(" ",LEN(A302))),LEN(A302)))))))/10))*1+1</f>
        <v>203 to 503</v>
      </c>
      <c r="B303" s="81"/>
      <c r="C303" s="39"/>
      <c r="D303" s="39"/>
      <c r="E303" s="39">
        <v>0</v>
      </c>
      <c r="F303" s="39">
        <f>D303+E303</f>
        <v>0</v>
      </c>
      <c r="G303" s="39">
        <v>0</v>
      </c>
      <c r="H303" s="39">
        <f>F303*(($H$169)+1)+(IF(G303&lt;101,G303,IF(G303&lt;201,G303/2,IF(G303&lt;=301,G303/3,G303/4))))</f>
        <v>0</v>
      </c>
      <c r="I303" s="33"/>
    </row>
    <row r="304" spans="1:14" s="34" customFormat="1" ht="15.75" hidden="1" customHeight="1" x14ac:dyDescent="0.25">
      <c r="A304" s="80" t="str">
        <f ca="1">(SUMPRODUCT(MID(0&amp;(LEFT(A303,SUM(LEN(A303)-LEN(SUBSTITUTE(A303,{"0","1","2"},""))))), LARGE(INDEX(ISNUMBER(--MID((LEFT(A303,SUM(LEN(A303)-LEN(SUBSTITUTE(A303,{"0","1","2"},""))))), ROW(INDIRECT("1:"&amp;LEN((LEFT(A303,SUM(LEN(A303)-LEN(SUBSTITUTE(A303,{"0","1","2"},"")))))))), 1)) * ROW(INDIRECT("1:"&amp;LEN((LEFT(A303,SUM(LEN(A303)-LEN(SUBSTITUTE(A303,{"0","1","2"},"")))))))), 0), ROW(INDIRECT("1:"&amp;LEN((LEFT(A303,SUM(LEN(A303)-LEN(SUBSTITUTE(A303,{"0","1","2"},"")))))))))+1, 1) * 10^ROW(INDIRECT("1:"&amp;LEN((LEFT(A303,SUM(LEN(A303)-LEN(SUBSTITUTE(A303,{"0","1","2"},""))))))))/10))*1+1&amp;""&amp;" to "&amp;""&amp;(SUMPRODUCT(MID(0&amp;(--TRIM(RIGHT(SUBSTITUTE(LEFT(A303,_xlfn.AGGREGATE(16,6,FIND({0,1,2,3,4,5,6,7,8,9},A303,ROW(INDIRECT("1:"&amp;LEN(A303)))),1))," ",REPT(" ",LEN(A303))),LEN(A303)))), LARGE(INDEX(ISNUMBER(--MID((--TRIM(RIGHT(SUBSTITUTE(LEFT(A303,_xlfn.AGGREGATE(16,6,FIND({0,1,2,3,4,5,6,7,8,9},A303,ROW(INDIRECT("1:"&amp;LEN(A303)))),1))," ",REPT(" ",LEN(A303))),LEN(A303)))), ROW(INDIRECT("1:"&amp;LEN((--TRIM(RIGHT(SUBSTITUTE(LEFT(A303,_xlfn.AGGREGATE(16,6,FIND({0,1,2,3,4,5,6,7,8,9},A303,ROW(INDIRECT("1:"&amp;LEN(A303)))),1))," ",REPT(" ",LEN(A303))),LEN(A303))))))), 1)) * ROW(INDIRECT("1:"&amp;LEN((--TRIM(RIGHT(SUBSTITUTE(LEFT(A303,_xlfn.AGGREGATE(16,6,FIND({0,1,2,3,4,5,6,7,8,9},A303,ROW(INDIRECT("1:"&amp;LEN(A303)))),1))," ",REPT(" ",LEN(A303))),LEN(A303))))))), 0), ROW(INDIRECT("1:"&amp;LEN((--TRIM(RIGHT(SUBSTITUTE(LEFT(A303,_xlfn.AGGREGATE(16,6,FIND({0,1,2,3,4,5,6,7,8,9},A303,ROW(INDIRECT("1:"&amp;LEN(A303)))),1))," ",REPT(" ",LEN(A303))),LEN(A303))))))))+1, 1) * 10^ROW(INDIRECT("1:"&amp;LEN((--TRIM(RIGHT(SUBSTITUTE(LEFT(A303,_xlfn.AGGREGATE(16,6,FIND({0,1,2,3,4,5,6,7,8,9},A303,ROW(INDIRECT("1:"&amp;LEN(A303)))),1))," ",REPT(" ",LEN(A303))),LEN(A303)))))))/10))*1+1</f>
        <v>204 to 504</v>
      </c>
      <c r="B304" s="81"/>
      <c r="C304" s="39"/>
      <c r="D304" s="39"/>
      <c r="E304" s="39">
        <v>0</v>
      </c>
      <c r="F304" s="39">
        <f>D304+E304</f>
        <v>0</v>
      </c>
      <c r="G304" s="39">
        <v>0</v>
      </c>
      <c r="H304" s="39">
        <f>F304*(($H$169)+1)+(IF(G304&lt;101,G304,IF(G304&lt;201,G304/2,IF(G304&lt;=301,G304/3,G304/4))))</f>
        <v>0</v>
      </c>
      <c r="I304" s="33"/>
    </row>
    <row r="305" spans="1:20" s="34" customFormat="1" ht="15.75" hidden="1" customHeight="1" x14ac:dyDescent="0.25">
      <c r="A305" s="80" t="str">
        <f ca="1">(SUMPRODUCT(MID(0&amp;(LEFT(A304,SUM(LEN(A304)-LEN(SUBSTITUTE(A304,{"0","1","2"},""))))), LARGE(INDEX(ISNUMBER(--MID((LEFT(A304,SUM(LEN(A304)-LEN(SUBSTITUTE(A304,{"0","1","2"},""))))), ROW(INDIRECT("1:"&amp;LEN((LEFT(A304,SUM(LEN(A304)-LEN(SUBSTITUTE(A304,{"0","1","2"},"")))))))), 1)) * ROW(INDIRECT("1:"&amp;LEN((LEFT(A304,SUM(LEN(A304)-LEN(SUBSTITUTE(A304,{"0","1","2"},"")))))))), 0), ROW(INDIRECT("1:"&amp;LEN((LEFT(A304,SUM(LEN(A304)-LEN(SUBSTITUTE(A304,{"0","1","2"},"")))))))))+1, 1) * 10^ROW(INDIRECT("1:"&amp;LEN((LEFT(A304,SUM(LEN(A304)-LEN(SUBSTITUTE(A304,{"0","1","2"},""))))))))/10))*1+1&amp;""&amp;" to "&amp;""&amp;(SUMPRODUCT(MID(0&amp;(--TRIM(RIGHT(SUBSTITUTE(LEFT(A304,_xlfn.AGGREGATE(16,6,FIND({0,1,2,3,4,5,6,7,8,9},A304,ROW(INDIRECT("1:"&amp;LEN(A304)))),1))," ",REPT(" ",LEN(A304))),LEN(A304)))), LARGE(INDEX(ISNUMBER(--MID((--TRIM(RIGHT(SUBSTITUTE(LEFT(A304,_xlfn.AGGREGATE(16,6,FIND({0,1,2,3,4,5,6,7,8,9},A304,ROW(INDIRECT("1:"&amp;LEN(A304)))),1))," ",REPT(" ",LEN(A304))),LEN(A304)))), ROW(INDIRECT("1:"&amp;LEN((--TRIM(RIGHT(SUBSTITUTE(LEFT(A304,_xlfn.AGGREGATE(16,6,FIND({0,1,2,3,4,5,6,7,8,9},A304,ROW(INDIRECT("1:"&amp;LEN(A304)))),1))," ",REPT(" ",LEN(A304))),LEN(A304))))))), 1)) * ROW(INDIRECT("1:"&amp;LEN((--TRIM(RIGHT(SUBSTITUTE(LEFT(A304,_xlfn.AGGREGATE(16,6,FIND({0,1,2,3,4,5,6,7,8,9},A304,ROW(INDIRECT("1:"&amp;LEN(A304)))),1))," ",REPT(" ",LEN(A304))),LEN(A304))))))), 0), ROW(INDIRECT("1:"&amp;LEN((--TRIM(RIGHT(SUBSTITUTE(LEFT(A304,_xlfn.AGGREGATE(16,6,FIND({0,1,2,3,4,5,6,7,8,9},A304,ROW(INDIRECT("1:"&amp;LEN(A304)))),1))," ",REPT(" ",LEN(A304))),LEN(A304))))))))+1, 1) * 10^ROW(INDIRECT("1:"&amp;LEN((--TRIM(RIGHT(SUBSTITUTE(LEFT(A304,_xlfn.AGGREGATE(16,6,FIND({0,1,2,3,4,5,6,7,8,9},A304,ROW(INDIRECT("1:"&amp;LEN(A304)))),1))," ",REPT(" ",LEN(A304))),LEN(A304)))))))/10))*1+1</f>
        <v>205 to 505</v>
      </c>
      <c r="B305" s="81"/>
      <c r="C305" s="39"/>
      <c r="D305" s="39"/>
      <c r="E305" s="39">
        <v>0</v>
      </c>
      <c r="F305" s="39">
        <f>D305+E305</f>
        <v>0</v>
      </c>
      <c r="G305" s="39">
        <v>0</v>
      </c>
      <c r="H305" s="39">
        <f>F305*(($H$169)+1)+(IF(G305&lt;101,G305,IF(G305&lt;201,G305/2,IF(G305&lt;=301,G305/3,G305/4))))</f>
        <v>0</v>
      </c>
      <c r="I305" s="33"/>
    </row>
    <row r="306" spans="1:20" s="34" customFormat="1" hidden="1" x14ac:dyDescent="0.25">
      <c r="A306" s="77" t="s">
        <v>141</v>
      </c>
      <c r="B306" s="78"/>
      <c r="C306" s="78"/>
      <c r="D306" s="78"/>
      <c r="E306" s="78"/>
      <c r="F306" s="78"/>
      <c r="G306" s="78"/>
      <c r="H306" s="79"/>
      <c r="I306" s="33"/>
    </row>
    <row r="307" spans="1:20" s="34" customFormat="1" ht="15.75" hidden="1" customHeight="1" x14ac:dyDescent="0.25">
      <c r="A307" s="80" t="str">
        <f ca="1">(SUMPRODUCT(MID(0&amp;(LEFT(A306,SUM(LEN(A306)-LEN(SUBSTITUTE(A306,{"0","1","2"},""))))), LARGE(INDEX(ISNUMBER(--MID((LEFT(A306,SUM(LEN(A306)-LEN(SUBSTITUTE(A306,{"0","1","2"},""))))), ROW(INDIRECT("1:"&amp;LEN((LEFT(A306,SUM(LEN(A306)-LEN(SUBSTITUTE(A306,{"0","1","2"},"")))))))), 1)) * ROW(INDIRECT("1:"&amp;LEN((LEFT(A306,SUM(LEN(A306)-LEN(SUBSTITUTE(A306,{"0","1","2"},"")))))))), 0), ROW(INDIRECT("1:"&amp;LEN((LEFT(A306,SUM(LEN(A306)-LEN(SUBSTITUTE(A306,{"0","1","2"},"")))))))))+1, 1) * 10^ROW(INDIRECT("1:"&amp;LEN((LEFT(A306,SUM(LEN(A306)-LEN(SUBSTITUTE(A306,{"0","1","2"},""))))))))/10))*100+1&amp;""&amp;" &amp; "&amp;""&amp;(SUMPRODUCT(MID(0&amp;(--TRIM(RIGHT(SUBSTITUTE(LEFT(A306,_xlfn.AGGREGATE(16,6,FIND({0,1,2,3,4,5,6,7,8,9},A306,ROW(INDIRECT("1:"&amp;LEN(A306)))),1))," ",REPT(" ",LEN(A306))),LEN(A306)))), LARGE(INDEX(ISNUMBER(--MID((--TRIM(RIGHT(SUBSTITUTE(LEFT(A306,_xlfn.AGGREGATE(16,6,FIND({0,1,2,3,4,5,6,7,8,9},A306,ROW(INDIRECT("1:"&amp;LEN(A306)))),1))," ",REPT(" ",LEN(A306))),LEN(A306)))), ROW(INDIRECT("1:"&amp;LEN((--TRIM(RIGHT(SUBSTITUTE(LEFT(A306,_xlfn.AGGREGATE(16,6,FIND({0,1,2,3,4,5,6,7,8,9},A306,ROW(INDIRECT("1:"&amp;LEN(A306)))),1))," ",REPT(" ",LEN(A306))),LEN(A306))))))), 1)) * ROW(INDIRECT("1:"&amp;LEN((--TRIM(RIGHT(SUBSTITUTE(LEFT(A306,_xlfn.AGGREGATE(16,6,FIND({0,1,2,3,4,5,6,7,8,9},A306,ROW(INDIRECT("1:"&amp;LEN(A306)))),1))," ",REPT(" ",LEN(A306))),LEN(A306))))))), 0), ROW(INDIRECT("1:"&amp;LEN((--TRIM(RIGHT(SUBSTITUTE(LEFT(A306,_xlfn.AGGREGATE(16,6,FIND({0,1,2,3,4,5,6,7,8,9},A306,ROW(INDIRECT("1:"&amp;LEN(A306)))),1))," ",REPT(" ",LEN(A306))),LEN(A306))))))))+1, 1) * 10^ROW(INDIRECT("1:"&amp;LEN((--TRIM(RIGHT(SUBSTITUTE(LEFT(A306,_xlfn.AGGREGATE(16,6,FIND({0,1,2,3,4,5,6,7,8,9},A306,ROW(INDIRECT("1:"&amp;LEN(A306)))),1))," ",REPT(" ",LEN(A306))),LEN(A306)))))))/10))*100+1</f>
        <v>201 &amp; 501</v>
      </c>
      <c r="B307" s="81"/>
      <c r="C307" s="39"/>
      <c r="D307" s="39"/>
      <c r="E307" s="39">
        <v>0</v>
      </c>
      <c r="F307" s="39">
        <f>D307+E307</f>
        <v>0</v>
      </c>
      <c r="G307" s="39">
        <v>0</v>
      </c>
      <c r="H307" s="39">
        <f>F307*(($H$169)+1)+(IF(G307&lt;101,G307,IF(G307&lt;201,G307/2,IF(G307&lt;=301,G307/3,G307/4))))</f>
        <v>0</v>
      </c>
      <c r="I307" s="33"/>
    </row>
    <row r="308" spans="1:20" s="34" customFormat="1" ht="15.75" hidden="1" customHeight="1" x14ac:dyDescent="0.25">
      <c r="A308" s="80" t="str">
        <f ca="1">(SUMPRODUCT(MID(0&amp;(LEFT(A307,SUM(LEN(A307)-LEN(SUBSTITUTE(A307,{"0","1","2"},""))))), LARGE(INDEX(ISNUMBER(--MID((LEFT(A307,SUM(LEN(A307)-LEN(SUBSTITUTE(A307,{"0","1","2"},""))))), ROW(INDIRECT("1:"&amp;LEN((LEFT(A307,SUM(LEN(A307)-LEN(SUBSTITUTE(A307,{"0","1","2"},"")))))))), 1)) * ROW(INDIRECT("1:"&amp;LEN((LEFT(A307,SUM(LEN(A307)-LEN(SUBSTITUTE(A307,{"0","1","2"},"")))))))), 0), ROW(INDIRECT("1:"&amp;LEN((LEFT(A307,SUM(LEN(A307)-LEN(SUBSTITUTE(A307,{"0","1","2"},"")))))))))+1, 1) * 10^ROW(INDIRECT("1:"&amp;LEN((LEFT(A307,SUM(LEN(A307)-LEN(SUBSTITUTE(A307,{"0","1","2"},""))))))))/10))*1+1&amp;""&amp;" &amp; "&amp;""&amp;(SUMPRODUCT(MID(0&amp;(--TRIM(RIGHT(SUBSTITUTE(LEFT(A307,_xlfn.AGGREGATE(16,6,FIND({0,1,2,3,4,5,6,7,8,9},A307,ROW(INDIRECT("1:"&amp;LEN(A307)))),1))," ",REPT(" ",LEN(A307))),LEN(A307)))), LARGE(INDEX(ISNUMBER(--MID((--TRIM(RIGHT(SUBSTITUTE(LEFT(A307,_xlfn.AGGREGATE(16,6,FIND({0,1,2,3,4,5,6,7,8,9},A307,ROW(INDIRECT("1:"&amp;LEN(A307)))),1))," ",REPT(" ",LEN(A307))),LEN(A307)))), ROW(INDIRECT("1:"&amp;LEN((--TRIM(RIGHT(SUBSTITUTE(LEFT(A307,_xlfn.AGGREGATE(16,6,FIND({0,1,2,3,4,5,6,7,8,9},A307,ROW(INDIRECT("1:"&amp;LEN(A307)))),1))," ",REPT(" ",LEN(A307))),LEN(A307))))))), 1)) * ROW(INDIRECT("1:"&amp;LEN((--TRIM(RIGHT(SUBSTITUTE(LEFT(A307,_xlfn.AGGREGATE(16,6,FIND({0,1,2,3,4,5,6,7,8,9},A307,ROW(INDIRECT("1:"&amp;LEN(A307)))),1))," ",REPT(" ",LEN(A307))),LEN(A307))))))), 0), ROW(INDIRECT("1:"&amp;LEN((--TRIM(RIGHT(SUBSTITUTE(LEFT(A307,_xlfn.AGGREGATE(16,6,FIND({0,1,2,3,4,5,6,7,8,9},A307,ROW(INDIRECT("1:"&amp;LEN(A307)))),1))," ",REPT(" ",LEN(A307))),LEN(A307))))))))+1, 1) * 10^ROW(INDIRECT("1:"&amp;LEN((--TRIM(RIGHT(SUBSTITUTE(LEFT(A307,_xlfn.AGGREGATE(16,6,FIND({0,1,2,3,4,5,6,7,8,9},A307,ROW(INDIRECT("1:"&amp;LEN(A307)))),1))," ",REPT(" ",LEN(A307))),LEN(A307)))))))/10))*1+1</f>
        <v>202 &amp; 502</v>
      </c>
      <c r="B308" s="81"/>
      <c r="C308" s="39"/>
      <c r="D308" s="39"/>
      <c r="E308" s="39">
        <v>0</v>
      </c>
      <c r="F308" s="39">
        <f>D308+E308</f>
        <v>0</v>
      </c>
      <c r="G308" s="39">
        <v>0</v>
      </c>
      <c r="H308" s="39">
        <f>F308*(($H$169)+1)+(IF(G308&lt;101,G308,IF(G308&lt;201,G308/2,IF(G308&lt;=301,G308/3,G308/4))))</f>
        <v>0</v>
      </c>
      <c r="I308" s="33"/>
    </row>
    <row r="309" spans="1:20" s="34" customFormat="1" ht="15.75" hidden="1" customHeight="1" x14ac:dyDescent="0.25">
      <c r="A309" s="80" t="str">
        <f ca="1">(SUMPRODUCT(MID(0&amp;(LEFT(A308,SUM(LEN(A308)-LEN(SUBSTITUTE(A308,{"0","1","2"},""))))), LARGE(INDEX(ISNUMBER(--MID((LEFT(A308,SUM(LEN(A308)-LEN(SUBSTITUTE(A308,{"0","1","2"},""))))), ROW(INDIRECT("1:"&amp;LEN((LEFT(A308,SUM(LEN(A308)-LEN(SUBSTITUTE(A308,{"0","1","2"},"")))))))), 1)) * ROW(INDIRECT("1:"&amp;LEN((LEFT(A308,SUM(LEN(A308)-LEN(SUBSTITUTE(A308,{"0","1","2"},"")))))))), 0), ROW(INDIRECT("1:"&amp;LEN((LEFT(A308,SUM(LEN(A308)-LEN(SUBSTITUTE(A308,{"0","1","2"},"")))))))))+1, 1) * 10^ROW(INDIRECT("1:"&amp;LEN((LEFT(A308,SUM(LEN(A308)-LEN(SUBSTITUTE(A308,{"0","1","2"},""))))))))/10))*1+1&amp;""&amp;" &amp; "&amp;""&amp;(SUMPRODUCT(MID(0&amp;(--TRIM(RIGHT(SUBSTITUTE(LEFT(A308,_xlfn.AGGREGATE(16,6,FIND({0,1,2,3,4,5,6,7,8,9},A308,ROW(INDIRECT("1:"&amp;LEN(A308)))),1))," ",REPT(" ",LEN(A308))),LEN(A308)))), LARGE(INDEX(ISNUMBER(--MID((--TRIM(RIGHT(SUBSTITUTE(LEFT(A308,_xlfn.AGGREGATE(16,6,FIND({0,1,2,3,4,5,6,7,8,9},A308,ROW(INDIRECT("1:"&amp;LEN(A308)))),1))," ",REPT(" ",LEN(A308))),LEN(A308)))), ROW(INDIRECT("1:"&amp;LEN((--TRIM(RIGHT(SUBSTITUTE(LEFT(A308,_xlfn.AGGREGATE(16,6,FIND({0,1,2,3,4,5,6,7,8,9},A308,ROW(INDIRECT("1:"&amp;LEN(A308)))),1))," ",REPT(" ",LEN(A308))),LEN(A308))))))), 1)) * ROW(INDIRECT("1:"&amp;LEN((--TRIM(RIGHT(SUBSTITUTE(LEFT(A308,_xlfn.AGGREGATE(16,6,FIND({0,1,2,3,4,5,6,7,8,9},A308,ROW(INDIRECT("1:"&amp;LEN(A308)))),1))," ",REPT(" ",LEN(A308))),LEN(A308))))))), 0), ROW(INDIRECT("1:"&amp;LEN((--TRIM(RIGHT(SUBSTITUTE(LEFT(A308,_xlfn.AGGREGATE(16,6,FIND({0,1,2,3,4,5,6,7,8,9},A308,ROW(INDIRECT("1:"&amp;LEN(A308)))),1))," ",REPT(" ",LEN(A308))),LEN(A308))))))))+1, 1) * 10^ROW(INDIRECT("1:"&amp;LEN((--TRIM(RIGHT(SUBSTITUTE(LEFT(A308,_xlfn.AGGREGATE(16,6,FIND({0,1,2,3,4,5,6,7,8,9},A308,ROW(INDIRECT("1:"&amp;LEN(A308)))),1))," ",REPT(" ",LEN(A308))),LEN(A308)))))))/10))*1+1</f>
        <v>203 &amp; 503</v>
      </c>
      <c r="B309" s="81"/>
      <c r="C309" s="39"/>
      <c r="D309" s="39"/>
      <c r="E309" s="39">
        <v>0</v>
      </c>
      <c r="F309" s="39">
        <f>D309+E309</f>
        <v>0</v>
      </c>
      <c r="G309" s="39">
        <v>0</v>
      </c>
      <c r="H309" s="39">
        <f>F309*(($H$169)+1)+(IF(G309&lt;101,G309,IF(G309&lt;201,G309/2,IF(G309&lt;=301,G309/3,G309/4))))</f>
        <v>0</v>
      </c>
      <c r="I309" s="33"/>
    </row>
    <row r="310" spans="1:20" s="34" customFormat="1" ht="15.75" hidden="1" customHeight="1" x14ac:dyDescent="0.25">
      <c r="A310" s="80" t="str">
        <f ca="1">(SUMPRODUCT(MID(0&amp;(LEFT(A309,SUM(LEN(A309)-LEN(SUBSTITUTE(A309,{"0","1","2"},""))))), LARGE(INDEX(ISNUMBER(--MID((LEFT(A309,SUM(LEN(A309)-LEN(SUBSTITUTE(A309,{"0","1","2"},""))))), ROW(INDIRECT("1:"&amp;LEN((LEFT(A309,SUM(LEN(A309)-LEN(SUBSTITUTE(A309,{"0","1","2"},"")))))))), 1)) * ROW(INDIRECT("1:"&amp;LEN((LEFT(A309,SUM(LEN(A309)-LEN(SUBSTITUTE(A309,{"0","1","2"},"")))))))), 0), ROW(INDIRECT("1:"&amp;LEN((LEFT(A309,SUM(LEN(A309)-LEN(SUBSTITUTE(A309,{"0","1","2"},"")))))))))+1, 1) * 10^ROW(INDIRECT("1:"&amp;LEN((LEFT(A309,SUM(LEN(A309)-LEN(SUBSTITUTE(A309,{"0","1","2"},""))))))))/10))*1+1&amp;""&amp;" &amp; "&amp;""&amp;(SUMPRODUCT(MID(0&amp;(--TRIM(RIGHT(SUBSTITUTE(LEFT(A309,_xlfn.AGGREGATE(16,6,FIND({0,1,2,3,4,5,6,7,8,9},A309,ROW(INDIRECT("1:"&amp;LEN(A309)))),1))," ",REPT(" ",LEN(A309))),LEN(A309)))), LARGE(INDEX(ISNUMBER(--MID((--TRIM(RIGHT(SUBSTITUTE(LEFT(A309,_xlfn.AGGREGATE(16,6,FIND({0,1,2,3,4,5,6,7,8,9},A309,ROW(INDIRECT("1:"&amp;LEN(A309)))),1))," ",REPT(" ",LEN(A309))),LEN(A309)))), ROW(INDIRECT("1:"&amp;LEN((--TRIM(RIGHT(SUBSTITUTE(LEFT(A309,_xlfn.AGGREGATE(16,6,FIND({0,1,2,3,4,5,6,7,8,9},A309,ROW(INDIRECT("1:"&amp;LEN(A309)))),1))," ",REPT(" ",LEN(A309))),LEN(A309))))))), 1)) * ROW(INDIRECT("1:"&amp;LEN((--TRIM(RIGHT(SUBSTITUTE(LEFT(A309,_xlfn.AGGREGATE(16,6,FIND({0,1,2,3,4,5,6,7,8,9},A309,ROW(INDIRECT("1:"&amp;LEN(A309)))),1))," ",REPT(" ",LEN(A309))),LEN(A309))))))), 0), ROW(INDIRECT("1:"&amp;LEN((--TRIM(RIGHT(SUBSTITUTE(LEFT(A309,_xlfn.AGGREGATE(16,6,FIND({0,1,2,3,4,5,6,7,8,9},A309,ROW(INDIRECT("1:"&amp;LEN(A309)))),1))," ",REPT(" ",LEN(A309))),LEN(A309))))))))+1, 1) * 10^ROW(INDIRECT("1:"&amp;LEN((--TRIM(RIGHT(SUBSTITUTE(LEFT(A309,_xlfn.AGGREGATE(16,6,FIND({0,1,2,3,4,5,6,7,8,9},A309,ROW(INDIRECT("1:"&amp;LEN(A309)))),1))," ",REPT(" ",LEN(A309))),LEN(A309)))))))/10))*1+1</f>
        <v>204 &amp; 504</v>
      </c>
      <c r="B310" s="81"/>
      <c r="C310" s="39"/>
      <c r="D310" s="39"/>
      <c r="E310" s="39">
        <v>0</v>
      </c>
      <c r="F310" s="39">
        <f>D310+E310</f>
        <v>0</v>
      </c>
      <c r="G310" s="39">
        <v>0</v>
      </c>
      <c r="H310" s="39">
        <f>F310*(($H$169)+1)+(IF(G310&lt;101,G310,IF(G310&lt;201,G310/2,IF(G310&lt;=301,G310/3,G310/4))))</f>
        <v>0</v>
      </c>
      <c r="I310" s="33"/>
    </row>
    <row r="311" spans="1:20" s="34" customFormat="1" ht="15.75" hidden="1" customHeight="1" x14ac:dyDescent="0.25">
      <c r="A311" s="80" t="str">
        <f ca="1">(SUMPRODUCT(MID(0&amp;(LEFT(A310,SUM(LEN(A310)-LEN(SUBSTITUTE(A310,{"0","1","2"},""))))), LARGE(INDEX(ISNUMBER(--MID((LEFT(A310,SUM(LEN(A310)-LEN(SUBSTITUTE(A310,{"0","1","2"},""))))), ROW(INDIRECT("1:"&amp;LEN((LEFT(A310,SUM(LEN(A310)-LEN(SUBSTITUTE(A310,{"0","1","2"},"")))))))), 1)) * ROW(INDIRECT("1:"&amp;LEN((LEFT(A310,SUM(LEN(A310)-LEN(SUBSTITUTE(A310,{"0","1","2"},"")))))))), 0), ROW(INDIRECT("1:"&amp;LEN((LEFT(A310,SUM(LEN(A310)-LEN(SUBSTITUTE(A310,{"0","1","2"},"")))))))))+1, 1) * 10^ROW(INDIRECT("1:"&amp;LEN((LEFT(A310,SUM(LEN(A310)-LEN(SUBSTITUTE(A310,{"0","1","2"},""))))))))/10))*1+1&amp;""&amp;" &amp; "&amp;""&amp;(SUMPRODUCT(MID(0&amp;(--TRIM(RIGHT(SUBSTITUTE(LEFT(A310,_xlfn.AGGREGATE(16,6,FIND({0,1,2,3,4,5,6,7,8,9},A310,ROW(INDIRECT("1:"&amp;LEN(A310)))),1))," ",REPT(" ",LEN(A310))),LEN(A310)))), LARGE(INDEX(ISNUMBER(--MID((--TRIM(RIGHT(SUBSTITUTE(LEFT(A310,_xlfn.AGGREGATE(16,6,FIND({0,1,2,3,4,5,6,7,8,9},A310,ROW(INDIRECT("1:"&amp;LEN(A310)))),1))," ",REPT(" ",LEN(A310))),LEN(A310)))), ROW(INDIRECT("1:"&amp;LEN((--TRIM(RIGHT(SUBSTITUTE(LEFT(A310,_xlfn.AGGREGATE(16,6,FIND({0,1,2,3,4,5,6,7,8,9},A310,ROW(INDIRECT("1:"&amp;LEN(A310)))),1))," ",REPT(" ",LEN(A310))),LEN(A310))))))), 1)) * ROW(INDIRECT("1:"&amp;LEN((--TRIM(RIGHT(SUBSTITUTE(LEFT(A310,_xlfn.AGGREGATE(16,6,FIND({0,1,2,3,4,5,6,7,8,9},A310,ROW(INDIRECT("1:"&amp;LEN(A310)))),1))," ",REPT(" ",LEN(A310))),LEN(A310))))))), 0), ROW(INDIRECT("1:"&amp;LEN((--TRIM(RIGHT(SUBSTITUTE(LEFT(A310,_xlfn.AGGREGATE(16,6,FIND({0,1,2,3,4,5,6,7,8,9},A310,ROW(INDIRECT("1:"&amp;LEN(A310)))),1))," ",REPT(" ",LEN(A310))),LEN(A310))))))))+1, 1) * 10^ROW(INDIRECT("1:"&amp;LEN((--TRIM(RIGHT(SUBSTITUTE(LEFT(A310,_xlfn.AGGREGATE(16,6,FIND({0,1,2,3,4,5,6,7,8,9},A310,ROW(INDIRECT("1:"&amp;LEN(A310)))),1))," ",REPT(" ",LEN(A310))),LEN(A310)))))))/10))*1+1</f>
        <v>205 &amp; 505</v>
      </c>
      <c r="B311" s="81"/>
      <c r="C311" s="39"/>
      <c r="D311" s="39"/>
      <c r="E311" s="39">
        <v>0</v>
      </c>
      <c r="F311" s="39">
        <f>D311+E311</f>
        <v>0</v>
      </c>
      <c r="G311" s="39">
        <v>0</v>
      </c>
      <c r="H311" s="39">
        <f>F311*(($H$169)+1)+(IF(G311&lt;101,G311,IF(G311&lt;201,G311/2,IF(G311&lt;=301,G311/3,G311/4))))</f>
        <v>0</v>
      </c>
      <c r="I311" s="33"/>
    </row>
    <row r="312" spans="1:20" s="32" customFormat="1" x14ac:dyDescent="0.25">
      <c r="A312" s="168" t="s">
        <v>409</v>
      </c>
      <c r="B312" s="168"/>
      <c r="C312" s="168"/>
      <c r="D312" s="168"/>
      <c r="E312" s="168"/>
      <c r="F312" s="168"/>
      <c r="G312" s="168"/>
      <c r="H312" s="168"/>
      <c r="T312" s="34"/>
    </row>
    <row r="313" spans="1:20" s="32" customFormat="1" ht="48" customHeight="1" x14ac:dyDescent="0.25">
      <c r="A313" s="41" t="s">
        <v>150</v>
      </c>
      <c r="B313" s="158" t="s">
        <v>410</v>
      </c>
      <c r="C313" s="159"/>
      <c r="D313" s="159"/>
      <c r="E313" s="159"/>
      <c r="F313" s="159"/>
      <c r="G313" s="159"/>
      <c r="H313" s="160"/>
      <c r="T313" s="34"/>
    </row>
    <row r="314" spans="1:20" s="32" customFormat="1" x14ac:dyDescent="0.25">
      <c r="A314" s="41" t="s">
        <v>150</v>
      </c>
      <c r="B314" s="158" t="str">
        <f>(IF(H168="Saleable area Loading :","We have considered Saleable area of Flats as per our Calculation.","We considered Saleable area of Flat as per Builder area Sheet."))</f>
        <v>We have considered Saleable area of Flats as per our Calculation.</v>
      </c>
      <c r="C314" s="159"/>
      <c r="D314" s="159"/>
      <c r="E314" s="159"/>
      <c r="F314" s="159"/>
      <c r="G314" s="159"/>
      <c r="H314" s="160"/>
      <c r="T314" s="34"/>
    </row>
    <row r="315" spans="1:20" s="32" customFormat="1" x14ac:dyDescent="0.25">
      <c r="A315" s="41" t="s">
        <v>150</v>
      </c>
      <c r="B315" s="158" t="str">
        <f>(IF(H148="Saleable area Loading :","We have considered Saleable area of Commercial as per our Calculation.","We considered Saleable area of Commercial as per Builder area Sheet."))</f>
        <v>We have considered Saleable area of Commercial as per our Calculation.</v>
      </c>
      <c r="C315" s="159"/>
      <c r="D315" s="159"/>
      <c r="E315" s="159"/>
      <c r="F315" s="159"/>
      <c r="G315" s="159"/>
      <c r="H315" s="160"/>
      <c r="T315" s="34"/>
    </row>
    <row r="316" spans="1:20" s="32" customFormat="1" x14ac:dyDescent="0.25">
      <c r="A316" s="41" t="s">
        <v>150</v>
      </c>
      <c r="B316" s="165" t="s">
        <v>117</v>
      </c>
      <c r="C316" s="166"/>
      <c r="D316" s="166"/>
      <c r="E316" s="166"/>
      <c r="F316" s="166"/>
      <c r="G316" s="166"/>
      <c r="H316" s="167"/>
      <c r="T316" s="34"/>
    </row>
    <row r="317" spans="1:20" s="32" customFormat="1" x14ac:dyDescent="0.25">
      <c r="A317" s="41" t="s">
        <v>150</v>
      </c>
      <c r="B317" s="165" t="s">
        <v>370</v>
      </c>
      <c r="C317" s="166"/>
      <c r="D317" s="166"/>
      <c r="E317" s="166"/>
      <c r="F317" s="166"/>
      <c r="G317" s="166"/>
      <c r="H317" s="167"/>
      <c r="T317" s="34"/>
    </row>
    <row r="318" spans="1:20" s="32" customFormat="1" x14ac:dyDescent="0.25">
      <c r="A318" s="41" t="s">
        <v>150</v>
      </c>
      <c r="B318" s="165" t="s">
        <v>149</v>
      </c>
      <c r="C318" s="166"/>
      <c r="D318" s="166"/>
      <c r="E318" s="166"/>
      <c r="F318" s="166"/>
      <c r="G318" s="166"/>
      <c r="H318" s="167"/>
    </row>
    <row r="319" spans="1:20" s="32" customFormat="1" x14ac:dyDescent="0.25">
      <c r="A319" s="41" t="s">
        <v>150</v>
      </c>
      <c r="B319" s="165" t="s">
        <v>118</v>
      </c>
      <c r="C319" s="166"/>
      <c r="D319" s="166"/>
      <c r="E319" s="166"/>
      <c r="F319" s="166"/>
      <c r="G319" s="166"/>
      <c r="H319" s="167"/>
    </row>
    <row r="320" spans="1:20" s="32" customFormat="1" ht="34.5" customHeight="1" x14ac:dyDescent="0.25">
      <c r="A320" s="41" t="s">
        <v>150</v>
      </c>
      <c r="B320" s="165" t="s">
        <v>151</v>
      </c>
      <c r="C320" s="166"/>
      <c r="D320" s="166"/>
      <c r="E320" s="166"/>
      <c r="F320" s="166"/>
      <c r="G320" s="166"/>
      <c r="H320" s="167"/>
    </row>
    <row r="321" spans="1:20" s="32" customFormat="1" x14ac:dyDescent="0.25">
      <c r="A321" s="41" t="s">
        <v>150</v>
      </c>
      <c r="B321" s="165" t="s">
        <v>119</v>
      </c>
      <c r="C321" s="166"/>
      <c r="D321" s="166"/>
      <c r="E321" s="166"/>
      <c r="F321" s="166"/>
      <c r="G321" s="166"/>
      <c r="H321" s="167"/>
    </row>
    <row r="322" spans="1:20" s="32" customFormat="1" x14ac:dyDescent="0.25">
      <c r="A322" s="41" t="s">
        <v>150</v>
      </c>
      <c r="B322" s="158" t="s">
        <v>406</v>
      </c>
      <c r="C322" s="159"/>
      <c r="D322" s="159"/>
      <c r="E322" s="159"/>
      <c r="F322" s="159"/>
      <c r="G322" s="159"/>
      <c r="H322" s="160"/>
    </row>
    <row r="323" spans="1:20" x14ac:dyDescent="0.25">
      <c r="A323" s="127" t="s">
        <v>58</v>
      </c>
      <c r="B323" s="127"/>
      <c r="C323" s="127"/>
      <c r="D323" s="127"/>
      <c r="E323" s="127"/>
      <c r="F323" s="127"/>
      <c r="G323" s="127"/>
      <c r="H323" s="127"/>
      <c r="T323" s="32"/>
    </row>
    <row r="324" spans="1:20" x14ac:dyDescent="0.25">
      <c r="A324" s="109" t="s">
        <v>59</v>
      </c>
      <c r="B324" s="109"/>
      <c r="C324" s="109"/>
      <c r="D324" s="109"/>
      <c r="E324" s="109"/>
      <c r="F324" s="109"/>
      <c r="G324" s="109"/>
      <c r="H324" s="109"/>
      <c r="T324" s="32"/>
    </row>
    <row r="325" spans="1:20" ht="15.75" customHeight="1" x14ac:dyDescent="0.25">
      <c r="A325" s="154" t="s">
        <v>60</v>
      </c>
      <c r="B325" s="154"/>
      <c r="C325" s="154"/>
      <c r="D325" s="154"/>
      <c r="E325" s="154"/>
      <c r="F325" s="154"/>
      <c r="G325" s="154"/>
      <c r="H325" s="154"/>
      <c r="T325" s="32"/>
    </row>
    <row r="326" spans="1:20" x14ac:dyDescent="0.25">
      <c r="A326" s="109" t="s">
        <v>61</v>
      </c>
      <c r="B326" s="109"/>
      <c r="C326" s="109"/>
      <c r="D326" s="109"/>
      <c r="E326" s="109"/>
      <c r="F326" s="109"/>
      <c r="G326" s="109"/>
      <c r="H326" s="109"/>
      <c r="T326" s="32"/>
    </row>
    <row r="327" spans="1:20" x14ac:dyDescent="0.25">
      <c r="A327" s="109" t="s">
        <v>62</v>
      </c>
      <c r="B327" s="109"/>
      <c r="C327" s="109"/>
      <c r="D327" s="109"/>
      <c r="E327" s="109"/>
      <c r="F327" s="109"/>
      <c r="G327" s="109"/>
      <c r="H327" s="109"/>
      <c r="T327" s="32"/>
    </row>
    <row r="328" spans="1:20" x14ac:dyDescent="0.25">
      <c r="A328" s="109" t="s">
        <v>120</v>
      </c>
      <c r="B328" s="109"/>
      <c r="C328" s="109"/>
      <c r="D328" s="109"/>
      <c r="E328" s="109"/>
      <c r="F328" s="109"/>
      <c r="G328" s="109"/>
      <c r="H328" s="109"/>
      <c r="T328" s="32"/>
    </row>
    <row r="329" spans="1:20" ht="34.15" customHeight="1" x14ac:dyDescent="0.25">
      <c r="A329" s="113" t="s">
        <v>121</v>
      </c>
      <c r="B329" s="113"/>
      <c r="C329" s="113"/>
      <c r="D329" s="113"/>
      <c r="E329" s="113"/>
      <c r="F329" s="113"/>
      <c r="G329" s="113"/>
      <c r="H329" s="113"/>
    </row>
    <row r="330" spans="1:20" x14ac:dyDescent="0.25">
      <c r="A330" s="179" t="s">
        <v>71</v>
      </c>
      <c r="B330" s="179"/>
      <c r="C330" s="179" t="s">
        <v>408</v>
      </c>
      <c r="D330" s="179"/>
      <c r="E330" s="179" t="s">
        <v>100</v>
      </c>
      <c r="F330" s="179"/>
      <c r="G330" s="179" t="s">
        <v>407</v>
      </c>
      <c r="H330" s="179"/>
    </row>
    <row r="331" spans="1:20" x14ac:dyDescent="0.25">
      <c r="A331" s="178" t="s">
        <v>73</v>
      </c>
      <c r="B331" s="178"/>
      <c r="C331" s="178"/>
      <c r="D331" s="178"/>
      <c r="E331" s="178"/>
      <c r="F331" s="178"/>
      <c r="G331" s="178"/>
      <c r="H331" s="178"/>
    </row>
    <row r="332" spans="1:20" x14ac:dyDescent="0.25">
      <c r="A332" s="178"/>
      <c r="B332" s="178"/>
      <c r="C332" s="178"/>
      <c r="D332" s="178"/>
      <c r="E332" s="178"/>
      <c r="F332" s="178"/>
      <c r="G332" s="178"/>
      <c r="H332" s="178"/>
    </row>
    <row r="333" spans="1:20" x14ac:dyDescent="0.25">
      <c r="A333" s="178"/>
      <c r="B333" s="178"/>
      <c r="C333" s="178"/>
      <c r="D333" s="178"/>
      <c r="E333" s="178"/>
      <c r="F333" s="178"/>
      <c r="G333" s="178"/>
      <c r="H333" s="178"/>
    </row>
    <row r="334" spans="1:20" x14ac:dyDescent="0.25">
      <c r="A334" s="178"/>
      <c r="B334" s="178"/>
      <c r="C334" s="178"/>
      <c r="D334" s="178"/>
      <c r="E334" s="178"/>
      <c r="F334" s="178"/>
      <c r="G334" s="178"/>
      <c r="H334" s="178"/>
    </row>
    <row r="335" spans="1:20" x14ac:dyDescent="0.25">
      <c r="A335" s="35" t="s">
        <v>63</v>
      </c>
      <c r="B335" s="36"/>
      <c r="C335" s="36"/>
      <c r="D335" s="35" t="str">
        <f>E9</f>
        <v>Gokul Nakshatra</v>
      </c>
      <c r="F335" s="36"/>
      <c r="G335" s="36"/>
      <c r="H335" s="36"/>
    </row>
    <row r="336" spans="1:20" x14ac:dyDescent="0.25">
      <c r="A336" s="36"/>
      <c r="B336" s="36"/>
      <c r="C336" s="36"/>
      <c r="D336" s="36"/>
      <c r="E336" s="36"/>
      <c r="F336" s="36"/>
      <c r="G336" s="36"/>
      <c r="H336" s="36"/>
    </row>
    <row r="337" spans="1:8" x14ac:dyDescent="0.25">
      <c r="A337" s="36"/>
      <c r="B337" s="36"/>
      <c r="C337" s="36"/>
      <c r="D337" s="36"/>
      <c r="E337" s="36"/>
      <c r="F337" s="36"/>
      <c r="G337" s="36"/>
      <c r="H337" s="36"/>
    </row>
    <row r="338" spans="1:8" ht="15" customHeight="1" x14ac:dyDescent="0.25"/>
    <row r="377" spans="1:1" x14ac:dyDescent="0.25">
      <c r="A377" s="38" t="s">
        <v>161</v>
      </c>
    </row>
    <row r="419" spans="1:1" x14ac:dyDescent="0.25">
      <c r="A419" s="38" t="s">
        <v>64</v>
      </c>
    </row>
  </sheetData>
  <mergeCells count="486">
    <mergeCell ref="A176:B176"/>
    <mergeCell ref="A177:B177"/>
    <mergeCell ref="C175:H177"/>
    <mergeCell ref="A245:H245"/>
    <mergeCell ref="A250:H250"/>
    <mergeCell ref="A230:H230"/>
    <mergeCell ref="L230:M230"/>
    <mergeCell ref="A240:H240"/>
    <mergeCell ref="L240:M240"/>
    <mergeCell ref="A227:H227"/>
    <mergeCell ref="A228:H228"/>
    <mergeCell ref="A229:H229"/>
    <mergeCell ref="A235:H235"/>
    <mergeCell ref="L235:M235"/>
    <mergeCell ref="L195:M195"/>
    <mergeCell ref="A196:B196"/>
    <mergeCell ref="A197:B197"/>
    <mergeCell ref="A198:B198"/>
    <mergeCell ref="A199:B199"/>
    <mergeCell ref="A200:B200"/>
    <mergeCell ref="A201:B201"/>
    <mergeCell ref="A202:B202"/>
    <mergeCell ref="A203:H203"/>
    <mergeCell ref="L187:M187"/>
    <mergeCell ref="A188:B188"/>
    <mergeCell ref="A189:B189"/>
    <mergeCell ref="A190:B190"/>
    <mergeCell ref="A191:B191"/>
    <mergeCell ref="A192:B192"/>
    <mergeCell ref="A193:B193"/>
    <mergeCell ref="A179:H179"/>
    <mergeCell ref="L179:M179"/>
    <mergeCell ref="A180:B180"/>
    <mergeCell ref="A181:B181"/>
    <mergeCell ref="A182:B182"/>
    <mergeCell ref="A183:B183"/>
    <mergeCell ref="A184:B184"/>
    <mergeCell ref="A185:B185"/>
    <mergeCell ref="A186:B186"/>
    <mergeCell ref="L157:M157"/>
    <mergeCell ref="A158:B158"/>
    <mergeCell ref="L158:M158"/>
    <mergeCell ref="A159:B159"/>
    <mergeCell ref="L159:M159"/>
    <mergeCell ref="A170:H170"/>
    <mergeCell ref="A171:H171"/>
    <mergeCell ref="L171:M171"/>
    <mergeCell ref="A160:H160"/>
    <mergeCell ref="A161:H161"/>
    <mergeCell ref="L152:M152"/>
    <mergeCell ref="A153:B153"/>
    <mergeCell ref="L153:M153"/>
    <mergeCell ref="A154:B154"/>
    <mergeCell ref="L154:M154"/>
    <mergeCell ref="A155:B155"/>
    <mergeCell ref="L155:M155"/>
    <mergeCell ref="A156:B156"/>
    <mergeCell ref="L156:M156"/>
    <mergeCell ref="A122:E122"/>
    <mergeCell ref="A102:B102"/>
    <mergeCell ref="A107:B107"/>
    <mergeCell ref="A144:B144"/>
    <mergeCell ref="E144:F144"/>
    <mergeCell ref="C105:H105"/>
    <mergeCell ref="A106:B106"/>
    <mergeCell ref="A127:E127"/>
    <mergeCell ref="G144:H144"/>
    <mergeCell ref="E133:F133"/>
    <mergeCell ref="G133:H133"/>
    <mergeCell ref="A133:B133"/>
    <mergeCell ref="C133:D133"/>
    <mergeCell ref="A143:B143"/>
    <mergeCell ref="C143:D143"/>
    <mergeCell ref="E143:F143"/>
    <mergeCell ref="G143:H143"/>
    <mergeCell ref="G93:H102"/>
    <mergeCell ref="A94:B94"/>
    <mergeCell ref="A95:B95"/>
    <mergeCell ref="A96:B96"/>
    <mergeCell ref="G106:H106"/>
    <mergeCell ref="A105:B105"/>
    <mergeCell ref="F117:H117"/>
    <mergeCell ref="B320:H320"/>
    <mergeCell ref="A303:B303"/>
    <mergeCell ref="A292:B292"/>
    <mergeCell ref="A150:H150"/>
    <mergeCell ref="A151:H151"/>
    <mergeCell ref="A152:B152"/>
    <mergeCell ref="B318:H318"/>
    <mergeCell ref="A108:B108"/>
    <mergeCell ref="A109:B109"/>
    <mergeCell ref="F119:H119"/>
    <mergeCell ref="A119:E119"/>
    <mergeCell ref="D148:D149"/>
    <mergeCell ref="A121:E121"/>
    <mergeCell ref="A112:B112"/>
    <mergeCell ref="A114:B114"/>
    <mergeCell ref="A115:B115"/>
    <mergeCell ref="A120:E120"/>
    <mergeCell ref="A117:E117"/>
    <mergeCell ref="F121:H121"/>
    <mergeCell ref="G148:G149"/>
    <mergeCell ref="A302:B302"/>
    <mergeCell ref="A157:B157"/>
    <mergeCell ref="A172:B172"/>
    <mergeCell ref="A173:B173"/>
    <mergeCell ref="L288:M288"/>
    <mergeCell ref="A293:B293"/>
    <mergeCell ref="A290:B290"/>
    <mergeCell ref="A291:B291"/>
    <mergeCell ref="A301:B301"/>
    <mergeCell ref="A40:B40"/>
    <mergeCell ref="C40:H40"/>
    <mergeCell ref="F148:F149"/>
    <mergeCell ref="C132:D132"/>
    <mergeCell ref="E132:F132"/>
    <mergeCell ref="B148:B149"/>
    <mergeCell ref="A148:A149"/>
    <mergeCell ref="C168:C169"/>
    <mergeCell ref="G168:G169"/>
    <mergeCell ref="L267:M267"/>
    <mergeCell ref="L264:M264"/>
    <mergeCell ref="G145:H145"/>
    <mergeCell ref="L265:M265"/>
    <mergeCell ref="L266:M266"/>
    <mergeCell ref="C55:H55"/>
    <mergeCell ref="A78:B78"/>
    <mergeCell ref="A49:B49"/>
    <mergeCell ref="C49:H49"/>
    <mergeCell ref="A81:B81"/>
    <mergeCell ref="A39:B39"/>
    <mergeCell ref="C39:H39"/>
    <mergeCell ref="A46:D46"/>
    <mergeCell ref="L166:M166"/>
    <mergeCell ref="L165:M165"/>
    <mergeCell ref="L164:M164"/>
    <mergeCell ref="L163:M163"/>
    <mergeCell ref="A86:B86"/>
    <mergeCell ref="C141:D141"/>
    <mergeCell ref="E141:F141"/>
    <mergeCell ref="G141:H141"/>
    <mergeCell ref="A118:E118"/>
    <mergeCell ref="A103:B103"/>
    <mergeCell ref="C103:H103"/>
    <mergeCell ref="A162:H162"/>
    <mergeCell ref="E148:E149"/>
    <mergeCell ref="A93:B93"/>
    <mergeCell ref="A47:D47"/>
    <mergeCell ref="A48:H48"/>
    <mergeCell ref="D64:H64"/>
    <mergeCell ref="A64:C64"/>
    <mergeCell ref="A85:B85"/>
    <mergeCell ref="C91:H91"/>
    <mergeCell ref="A45:D4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331:H334"/>
    <mergeCell ref="A330:B330"/>
    <mergeCell ref="E330:F330"/>
    <mergeCell ref="C330:D330"/>
    <mergeCell ref="G330:H330"/>
    <mergeCell ref="A130:H130"/>
    <mergeCell ref="A128:E128"/>
    <mergeCell ref="F128:H128"/>
    <mergeCell ref="A129:E129"/>
    <mergeCell ref="F129:H129"/>
    <mergeCell ref="A288:H288"/>
    <mergeCell ref="A141:B141"/>
    <mergeCell ref="A297:B297"/>
    <mergeCell ref="A132:B132"/>
    <mergeCell ref="A326:H326"/>
    <mergeCell ref="A139:H139"/>
    <mergeCell ref="A329:H329"/>
    <mergeCell ref="A327:H327"/>
    <mergeCell ref="A323:H323"/>
    <mergeCell ref="G140:H140"/>
    <mergeCell ref="A299:B299"/>
    <mergeCell ref="C148:C149"/>
    <mergeCell ref="B168:B169"/>
    <mergeCell ref="A324:H324"/>
    <mergeCell ref="F122:H122"/>
    <mergeCell ref="A166:B166"/>
    <mergeCell ref="A165:B165"/>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E140:F140"/>
    <mergeCell ref="A146:H146"/>
    <mergeCell ref="A136:B136"/>
    <mergeCell ref="C136:D136"/>
    <mergeCell ref="E136:F136"/>
    <mergeCell ref="G136:H136"/>
    <mergeCell ref="A142:B142"/>
    <mergeCell ref="A295:B295"/>
    <mergeCell ref="A163:B163"/>
    <mergeCell ref="B322:H322"/>
    <mergeCell ref="A145:B145"/>
    <mergeCell ref="C145:D145"/>
    <mergeCell ref="E145:F145"/>
    <mergeCell ref="B321:H321"/>
    <mergeCell ref="B319:H319"/>
    <mergeCell ref="B315:H315"/>
    <mergeCell ref="A309:B309"/>
    <mergeCell ref="A306:H306"/>
    <mergeCell ref="A307:B307"/>
    <mergeCell ref="A308:B308"/>
    <mergeCell ref="A311:B311"/>
    <mergeCell ref="A310:B310"/>
    <mergeCell ref="B313:H313"/>
    <mergeCell ref="B314:H314"/>
    <mergeCell ref="B316:H316"/>
    <mergeCell ref="B317:H317"/>
    <mergeCell ref="A312:H312"/>
    <mergeCell ref="A304:B304"/>
    <mergeCell ref="A305:B305"/>
    <mergeCell ref="A300:H300"/>
    <mergeCell ref="A294:H294"/>
    <mergeCell ref="D67:H67"/>
    <mergeCell ref="C52:E52"/>
    <mergeCell ref="A65:C67"/>
    <mergeCell ref="D65:H65"/>
    <mergeCell ref="D66:H66"/>
    <mergeCell ref="C51:E51"/>
    <mergeCell ref="A328:H328"/>
    <mergeCell ref="A325:H325"/>
    <mergeCell ref="A289:B289"/>
    <mergeCell ref="A140:B140"/>
    <mergeCell ref="D168:D169"/>
    <mergeCell ref="E168:E169"/>
    <mergeCell ref="A97:B97"/>
    <mergeCell ref="A98:B98"/>
    <mergeCell ref="A99:B99"/>
    <mergeCell ref="A113:B113"/>
    <mergeCell ref="F118:H118"/>
    <mergeCell ref="G132:H132"/>
    <mergeCell ref="A116:B116"/>
    <mergeCell ref="F124:H124"/>
    <mergeCell ref="C131:D131"/>
    <mergeCell ref="C144:D144"/>
    <mergeCell ref="A263:H263"/>
    <mergeCell ref="A298:B298"/>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I15:P15"/>
    <mergeCell ref="F127:H127"/>
    <mergeCell ref="F125:H125"/>
    <mergeCell ref="A296:B296"/>
    <mergeCell ref="A147:H147"/>
    <mergeCell ref="G131:H131"/>
    <mergeCell ref="A126:E126"/>
    <mergeCell ref="A164:B164"/>
    <mergeCell ref="A60:B60"/>
    <mergeCell ref="C60:E60"/>
    <mergeCell ref="D62:H62"/>
    <mergeCell ref="F126:H126"/>
    <mergeCell ref="E131:F131"/>
    <mergeCell ref="A131:B131"/>
    <mergeCell ref="C140:D140"/>
    <mergeCell ref="D72:H72"/>
    <mergeCell ref="A73:C73"/>
    <mergeCell ref="E43:H43"/>
    <mergeCell ref="A43:D43"/>
    <mergeCell ref="A89:B89"/>
    <mergeCell ref="C89:H89"/>
    <mergeCell ref="A84:B84"/>
    <mergeCell ref="A50:B50"/>
    <mergeCell ref="C50:E50"/>
    <mergeCell ref="L283:M283"/>
    <mergeCell ref="A268:H268"/>
    <mergeCell ref="L269:M269"/>
    <mergeCell ref="L270:M270"/>
    <mergeCell ref="L271:M271"/>
    <mergeCell ref="L272:M272"/>
    <mergeCell ref="A273:H273"/>
    <mergeCell ref="A255:H255"/>
    <mergeCell ref="A256:H256"/>
    <mergeCell ref="A257:H257"/>
    <mergeCell ref="A258:H258"/>
    <mergeCell ref="L258:M258"/>
    <mergeCell ref="A285:B285"/>
    <mergeCell ref="A286:B286"/>
    <mergeCell ref="A287:B287"/>
    <mergeCell ref="A134:H134"/>
    <mergeCell ref="A135:B135"/>
    <mergeCell ref="C135:D135"/>
    <mergeCell ref="E135:F135"/>
    <mergeCell ref="G135:H135"/>
    <mergeCell ref="A137:B137"/>
    <mergeCell ref="C137:D137"/>
    <mergeCell ref="E137:F137"/>
    <mergeCell ref="G137:H137"/>
    <mergeCell ref="A138:B138"/>
    <mergeCell ref="C138:D138"/>
    <mergeCell ref="E138:F138"/>
    <mergeCell ref="G138:H138"/>
    <mergeCell ref="A278:H278"/>
    <mergeCell ref="C280:H280"/>
    <mergeCell ref="A283:H283"/>
    <mergeCell ref="A167:H167"/>
    <mergeCell ref="A168:A169"/>
    <mergeCell ref="F168:F169"/>
    <mergeCell ref="A174:B174"/>
    <mergeCell ref="A178:B178"/>
    <mergeCell ref="C142:D142"/>
    <mergeCell ref="E142:F142"/>
    <mergeCell ref="G142:H142"/>
    <mergeCell ref="A284:B284"/>
    <mergeCell ref="A187:H187"/>
    <mergeCell ref="A194:B194"/>
    <mergeCell ref="A195:H195"/>
    <mergeCell ref="A204:B204"/>
    <mergeCell ref="A205:B205"/>
    <mergeCell ref="A206:B206"/>
    <mergeCell ref="A207:B207"/>
    <mergeCell ref="A208:B208"/>
    <mergeCell ref="A209:B209"/>
    <mergeCell ref="A210:B210"/>
    <mergeCell ref="A219:H219"/>
    <mergeCell ref="A220:B220"/>
    <mergeCell ref="A221:B221"/>
    <mergeCell ref="A222:B222"/>
    <mergeCell ref="A223:B223"/>
    <mergeCell ref="A224:B224"/>
    <mergeCell ref="A225:B225"/>
    <mergeCell ref="A226:B226"/>
    <mergeCell ref="C221:H221"/>
    <mergeCell ref="A175:B175"/>
    <mergeCell ref="A211:H211"/>
    <mergeCell ref="A212:B212"/>
    <mergeCell ref="A213:B213"/>
    <mergeCell ref="A214:B214"/>
    <mergeCell ref="A215:B215"/>
    <mergeCell ref="A216:B216"/>
    <mergeCell ref="A217:B217"/>
    <mergeCell ref="A218:B218"/>
    <mergeCell ref="I215:O215"/>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8:E149">
      <formula1>"Attached Loft area,Attached Otla area,Attached Mezzanine area"</formula1>
    </dataValidation>
    <dataValidation type="list" allowBlank="1" showInputMessage="1" showErrorMessage="1" sqref="G330:H330">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8:B149">
      <formula1>"Shop No. (Sale Plan),Sale / Rehab,Sale / Mhada"</formula1>
    </dataValidation>
    <dataValidation type="list" allowBlank="1" showInputMessage="1" showErrorMessage="1" sqref="B168:B16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8:E169">
      <formula1>"Fungible area,Balcony Area,Chajja Area,Cornice Area,AP Area,WS Area"</formula1>
    </dataValidation>
    <dataValidation type="list" allowBlank="1" showInputMessage="1" showErrorMessage="1" sqref="H149 H16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48 H168">
      <formula1>"Saleable area Loading :,Builder Saleable Area"</formula1>
    </dataValidation>
    <dataValidation type="list" allowBlank="1" showInputMessage="1" showErrorMessage="1" sqref="D148:D149 D168:D16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fitToHeight="0" orientation="portrait" r:id="rId2"/>
  <headerFooter>
    <oddHeader>&amp;C&amp;G</oddHeader>
    <oddFooter>&amp;L&amp;"Times New Roman,Bold"&amp;12Ref No: &amp;F&amp;C&amp;G&amp;R&amp;"Times New Roman,Bold"&amp;12&amp;P</oddFooter>
  </headerFooter>
  <rowBreaks count="5" manualBreakCount="5">
    <brk id="74" max="16383" man="1"/>
    <brk id="322" max="7" man="1"/>
    <brk id="334" max="16383" man="1"/>
    <brk id="376" max="16383" man="1"/>
    <brk id="41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5" sqref="A5"/>
    </sheetView>
  </sheetViews>
  <sheetFormatPr defaultRowHeight="15" x14ac:dyDescent="0.25"/>
  <cols>
    <col min="1" max="1" width="10.7109375" bestFit="1" customWidth="1"/>
  </cols>
  <sheetData>
    <row r="1" spans="1:1" x14ac:dyDescent="0.25">
      <c r="A1" s="74">
        <v>45608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A2" sqref="A2"/>
    </sheetView>
  </sheetViews>
  <sheetFormatPr defaultColWidth="8.7109375" defaultRowHeight="15" x14ac:dyDescent="0.2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6" t="s">
        <v>101</v>
      </c>
      <c r="C3" s="236"/>
      <c r="D3" s="236"/>
      <c r="E3" s="236"/>
      <c r="F3" s="236"/>
      <c r="G3" s="236"/>
      <c r="H3" s="236"/>
    </row>
    <row r="4" spans="1:9" x14ac:dyDescent="0.25">
      <c r="A4" s="2"/>
      <c r="B4" s="3" t="s">
        <v>102</v>
      </c>
      <c r="C4" s="3" t="s">
        <v>103</v>
      </c>
      <c r="D4" s="3" t="s">
        <v>65</v>
      </c>
      <c r="E4" s="3" t="s">
        <v>104</v>
      </c>
      <c r="F4" s="3" t="s">
        <v>110</v>
      </c>
      <c r="G4" s="3" t="s">
        <v>111</v>
      </c>
      <c r="H4" s="3" t="s">
        <v>105</v>
      </c>
    </row>
    <row r="5" spans="1:9" ht="15" customHeight="1" x14ac:dyDescent="0.25">
      <c r="A5" s="2"/>
      <c r="B5" s="5" t="s">
        <v>106</v>
      </c>
      <c r="C5" s="6"/>
      <c r="D5" s="5"/>
      <c r="E5" s="5"/>
      <c r="F5" s="7">
        <f>E5*1.6</f>
        <v>0</v>
      </c>
      <c r="G5" s="7" t="e">
        <f>H5/F5</f>
        <v>#DIV/0!</v>
      </c>
      <c r="H5" s="8"/>
    </row>
    <row r="6" spans="1:9" x14ac:dyDescent="0.25">
      <c r="A6" s="2"/>
      <c r="B6" s="5" t="s">
        <v>106</v>
      </c>
      <c r="C6" s="9"/>
      <c r="D6" s="5"/>
      <c r="E6" s="5"/>
      <c r="F6" s="7">
        <f t="shared" ref="F6:F11" si="0">E6*1.6</f>
        <v>0</v>
      </c>
      <c r="G6" s="7" t="e">
        <f t="shared" ref="G6:G11" si="1">H6/F6</f>
        <v>#DIV/0!</v>
      </c>
      <c r="H6" s="8"/>
    </row>
    <row r="7" spans="1:9" ht="15" customHeight="1" x14ac:dyDescent="0.25">
      <c r="A7" s="2"/>
      <c r="B7" s="5" t="s">
        <v>106</v>
      </c>
      <c r="C7" s="6"/>
      <c r="D7" s="5"/>
      <c r="E7" s="5"/>
      <c r="F7" s="7">
        <f t="shared" si="0"/>
        <v>0</v>
      </c>
      <c r="G7" s="7" t="e">
        <f t="shared" si="1"/>
        <v>#DIV/0!</v>
      </c>
      <c r="H7" s="8"/>
    </row>
    <row r="8" spans="1:9" x14ac:dyDescent="0.25">
      <c r="A8" s="2"/>
      <c r="B8" s="5" t="s">
        <v>106</v>
      </c>
      <c r="C8" s="9"/>
      <c r="D8" s="5"/>
      <c r="E8" s="5"/>
      <c r="F8" s="7">
        <f t="shared" si="0"/>
        <v>0</v>
      </c>
      <c r="G8" s="7" t="e">
        <f t="shared" si="1"/>
        <v>#DIV/0!</v>
      </c>
      <c r="H8" s="8"/>
    </row>
    <row r="9" spans="1:9" ht="15" customHeight="1" x14ac:dyDescent="0.25">
      <c r="A9" s="2"/>
      <c r="B9" s="5" t="s">
        <v>106</v>
      </c>
      <c r="C9" s="9"/>
      <c r="D9" s="5"/>
      <c r="E9" s="5"/>
      <c r="F9" s="7">
        <f t="shared" si="0"/>
        <v>0</v>
      </c>
      <c r="G9" s="7" t="e">
        <f t="shared" si="1"/>
        <v>#DIV/0!</v>
      </c>
      <c r="H9" s="8"/>
    </row>
    <row r="10" spans="1:9" ht="15" customHeight="1" x14ac:dyDescent="0.25">
      <c r="A10" s="2"/>
      <c r="B10" s="5" t="s">
        <v>107</v>
      </c>
      <c r="C10" s="6"/>
      <c r="D10" s="5"/>
      <c r="E10" s="5"/>
      <c r="F10" s="7">
        <f t="shared" si="0"/>
        <v>0</v>
      </c>
      <c r="G10" s="7" t="e">
        <f t="shared" si="1"/>
        <v>#DIV/0!</v>
      </c>
      <c r="H10" s="8"/>
    </row>
    <row r="11" spans="1:9" ht="15" customHeight="1" x14ac:dyDescent="0.25">
      <c r="A11" s="2"/>
      <c r="B11" s="5" t="s">
        <v>107</v>
      </c>
      <c r="C11" s="6"/>
      <c r="D11" s="5"/>
      <c r="E11" s="5"/>
      <c r="F11" s="7">
        <f t="shared" si="0"/>
        <v>0</v>
      </c>
      <c r="G11" s="7" t="e">
        <f t="shared" si="1"/>
        <v>#DIV/0!</v>
      </c>
      <c r="H11" s="8"/>
    </row>
    <row r="12" spans="1:9" ht="15" customHeight="1" x14ac:dyDescent="0.25">
      <c r="A12" s="2"/>
      <c r="B12" s="10" t="s">
        <v>108</v>
      </c>
      <c r="C12" s="5"/>
      <c r="D12" s="5"/>
      <c r="E12" s="5"/>
      <c r="F12" s="5"/>
      <c r="G12" s="11" t="e">
        <f>AVERAGE(G5:G11)</f>
        <v>#DIV/0!</v>
      </c>
      <c r="H12" s="5"/>
    </row>
    <row r="13" spans="1:9" ht="15" customHeight="1" x14ac:dyDescent="0.25">
      <c r="B13" s="10" t="s">
        <v>109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7109375" bestFit="1" customWidth="1"/>
    <col min="5" max="5" width="10.42578125" bestFit="1" customWidth="1"/>
    <col min="6" max="6" width="12.42578125" bestFit="1" customWidth="1"/>
    <col min="7" max="7" width="18.28515625" customWidth="1"/>
    <col min="8" max="8" width="10.5703125" bestFit="1" customWidth="1"/>
  </cols>
  <sheetData>
    <row r="3" spans="2:11" x14ac:dyDescent="0.25">
      <c r="J3">
        <v>1</v>
      </c>
      <c r="K3">
        <v>2</v>
      </c>
    </row>
    <row r="4" spans="2:11" x14ac:dyDescent="0.25">
      <c r="B4" s="47"/>
      <c r="C4" s="47" t="s">
        <v>11</v>
      </c>
      <c r="D4" s="48" t="s">
        <v>176</v>
      </c>
      <c r="E4" s="48" t="s">
        <v>186</v>
      </c>
      <c r="F4" s="48" t="s">
        <v>170</v>
      </c>
      <c r="G4" s="48" t="s">
        <v>191</v>
      </c>
      <c r="H4" s="48" t="s">
        <v>209</v>
      </c>
      <c r="J4" t="s">
        <v>191</v>
      </c>
      <c r="K4" t="s">
        <v>207</v>
      </c>
    </row>
    <row r="5" spans="2:11" x14ac:dyDescent="0.25">
      <c r="B5" s="47"/>
      <c r="C5" s="47"/>
      <c r="D5" s="48" t="s">
        <v>177</v>
      </c>
      <c r="E5" s="48" t="s">
        <v>184</v>
      </c>
      <c r="F5" s="48" t="s">
        <v>206</v>
      </c>
      <c r="G5" s="48" t="s">
        <v>192</v>
      </c>
      <c r="H5" s="48" t="s">
        <v>210</v>
      </c>
    </row>
    <row r="6" spans="2:11" x14ac:dyDescent="0.25">
      <c r="B6" s="47"/>
      <c r="C6" s="47"/>
      <c r="D6" s="48" t="s">
        <v>178</v>
      </c>
      <c r="E6" s="48" t="s">
        <v>185</v>
      </c>
      <c r="F6" s="48" t="s">
        <v>207</v>
      </c>
      <c r="G6" s="48" t="s">
        <v>193</v>
      </c>
      <c r="H6" s="48" t="s">
        <v>223</v>
      </c>
    </row>
    <row r="7" spans="2:11" x14ac:dyDescent="0.25">
      <c r="B7" s="47"/>
      <c r="C7" s="47"/>
      <c r="D7" s="48" t="s">
        <v>179</v>
      </c>
      <c r="E7" s="48" t="s">
        <v>187</v>
      </c>
      <c r="F7" s="48" t="s">
        <v>208</v>
      </c>
      <c r="G7" s="48" t="s">
        <v>194</v>
      </c>
      <c r="H7" s="48" t="s">
        <v>211</v>
      </c>
    </row>
    <row r="8" spans="2:11" x14ac:dyDescent="0.25">
      <c r="B8" s="47"/>
      <c r="C8" s="47"/>
      <c r="D8" s="48" t="s">
        <v>180</v>
      </c>
      <c r="E8" s="48" t="s">
        <v>188</v>
      </c>
      <c r="F8" s="48"/>
      <c r="G8" s="48" t="s">
        <v>195</v>
      </c>
      <c r="H8" s="48" t="s">
        <v>212</v>
      </c>
    </row>
    <row r="9" spans="2:11" x14ac:dyDescent="0.25">
      <c r="B9" s="47"/>
      <c r="C9" s="47"/>
      <c r="D9" s="48" t="s">
        <v>181</v>
      </c>
      <c r="E9" s="48" t="s">
        <v>186</v>
      </c>
      <c r="F9" s="48"/>
      <c r="G9" s="48" t="s">
        <v>196</v>
      </c>
      <c r="H9" s="48" t="s">
        <v>213</v>
      </c>
    </row>
    <row r="10" spans="2:11" x14ac:dyDescent="0.25">
      <c r="B10" s="47"/>
      <c r="C10" s="47"/>
      <c r="D10" s="48" t="s">
        <v>182</v>
      </c>
      <c r="E10" s="48" t="s">
        <v>189</v>
      </c>
      <c r="F10" s="48"/>
      <c r="G10" s="48" t="s">
        <v>197</v>
      </c>
      <c r="H10" s="48" t="s">
        <v>214</v>
      </c>
    </row>
    <row r="11" spans="2:11" x14ac:dyDescent="0.25">
      <c r="B11" s="47"/>
      <c r="C11" s="47"/>
      <c r="D11" s="48" t="s">
        <v>183</v>
      </c>
      <c r="E11" s="48" t="s">
        <v>190</v>
      </c>
      <c r="F11" s="48"/>
      <c r="G11" s="48" t="s">
        <v>198</v>
      </c>
      <c r="H11" s="48" t="s">
        <v>215</v>
      </c>
    </row>
    <row r="12" spans="2:11" x14ac:dyDescent="0.25">
      <c r="B12" s="47"/>
      <c r="C12" s="47"/>
      <c r="D12" s="48"/>
      <c r="E12" s="48"/>
      <c r="F12" s="48"/>
      <c r="G12" s="48" t="s">
        <v>199</v>
      </c>
      <c r="H12" s="48" t="s">
        <v>216</v>
      </c>
    </row>
    <row r="13" spans="2:11" x14ac:dyDescent="0.25">
      <c r="B13" s="47"/>
      <c r="C13" s="47"/>
      <c r="D13" s="48"/>
      <c r="E13" s="48"/>
      <c r="F13" s="48"/>
      <c r="G13" s="48" t="s">
        <v>200</v>
      </c>
      <c r="H13" s="48" t="s">
        <v>217</v>
      </c>
    </row>
    <row r="14" spans="2:11" x14ac:dyDescent="0.25">
      <c r="B14" s="47"/>
      <c r="C14" s="47"/>
      <c r="D14" s="48"/>
      <c r="E14" s="48"/>
      <c r="F14" s="48"/>
      <c r="G14" s="48" t="s">
        <v>201</v>
      </c>
      <c r="H14" s="48" t="s">
        <v>218</v>
      </c>
    </row>
    <row r="15" spans="2:11" x14ac:dyDescent="0.25">
      <c r="B15" s="47"/>
      <c r="C15" s="47"/>
      <c r="D15" s="48"/>
      <c r="E15" s="48"/>
      <c r="F15" s="48"/>
      <c r="G15" s="48" t="s">
        <v>202</v>
      </c>
      <c r="H15" s="48" t="s">
        <v>219</v>
      </c>
    </row>
    <row r="16" spans="2:11" x14ac:dyDescent="0.25">
      <c r="B16" s="47"/>
      <c r="C16" s="47"/>
      <c r="D16" s="48"/>
      <c r="E16" s="48"/>
      <c r="F16" s="48"/>
      <c r="G16" s="48" t="s">
        <v>203</v>
      </c>
      <c r="H16" s="48" t="s">
        <v>220</v>
      </c>
    </row>
    <row r="17" spans="2:8" x14ac:dyDescent="0.25">
      <c r="B17" s="47"/>
      <c r="C17" s="47"/>
      <c r="D17" s="48"/>
      <c r="E17" s="48"/>
      <c r="F17" s="48"/>
      <c r="G17" s="48" t="s">
        <v>204</v>
      </c>
      <c r="H17" s="48" t="s">
        <v>221</v>
      </c>
    </row>
    <row r="18" spans="2:8" x14ac:dyDescent="0.25">
      <c r="B18" s="47"/>
      <c r="C18" s="47"/>
      <c r="D18" s="48"/>
      <c r="E18" s="48"/>
      <c r="F18" s="48"/>
      <c r="G18" s="48" t="s">
        <v>205</v>
      </c>
      <c r="H18" s="48" t="s">
        <v>222</v>
      </c>
    </row>
    <row r="24" spans="2:8" x14ac:dyDescent="0.25">
      <c r="C24" t="s">
        <v>167</v>
      </c>
    </row>
    <row r="25" spans="2:8" x14ac:dyDescent="0.25">
      <c r="C25" t="s">
        <v>224</v>
      </c>
    </row>
    <row r="26" spans="2:8" x14ac:dyDescent="0.25">
      <c r="C26" t="s">
        <v>225</v>
      </c>
    </row>
    <row r="27" spans="2:8" x14ac:dyDescent="0.25">
      <c r="C27" t="s">
        <v>226</v>
      </c>
    </row>
    <row r="28" spans="2:8" x14ac:dyDescent="0.25">
      <c r="C28" t="s">
        <v>227</v>
      </c>
    </row>
    <row r="29" spans="2:8" x14ac:dyDescent="0.25">
      <c r="C29" t="s">
        <v>228</v>
      </c>
    </row>
    <row r="30" spans="2:8" x14ac:dyDescent="0.25">
      <c r="C30" t="s">
        <v>167</v>
      </c>
    </row>
    <row r="33" spans="3:11" x14ac:dyDescent="0.25">
      <c r="J33">
        <v>1</v>
      </c>
      <c r="K33">
        <v>2</v>
      </c>
    </row>
    <row r="34" spans="3:11" x14ac:dyDescent="0.25">
      <c r="C34" s="49" t="s">
        <v>234</v>
      </c>
      <c r="D34" s="48" t="s">
        <v>232</v>
      </c>
      <c r="E34" s="48" t="s">
        <v>237</v>
      </c>
      <c r="F34" s="48" t="s">
        <v>235</v>
      </c>
      <c r="G34" s="48" t="s">
        <v>236</v>
      </c>
      <c r="H34" s="48" t="s">
        <v>238</v>
      </c>
      <c r="J34" t="s">
        <v>191</v>
      </c>
      <c r="K34" t="s">
        <v>207</v>
      </c>
    </row>
    <row r="35" spans="3:11" x14ac:dyDescent="0.25">
      <c r="C35" s="47" t="s">
        <v>233</v>
      </c>
      <c r="D35" s="48" t="s">
        <v>168</v>
      </c>
      <c r="E35" s="48" t="s">
        <v>242</v>
      </c>
      <c r="F35" s="48" t="s">
        <v>244</v>
      </c>
      <c r="G35" s="48" t="s">
        <v>246</v>
      </c>
      <c r="H35" s="48"/>
    </row>
    <row r="36" spans="3:11" x14ac:dyDescent="0.25">
      <c r="C36" s="47"/>
      <c r="D36" s="48" t="s">
        <v>239</v>
      </c>
      <c r="E36" s="48" t="s">
        <v>243</v>
      </c>
      <c r="F36" s="48" t="s">
        <v>245</v>
      </c>
      <c r="G36" s="48" t="s">
        <v>247</v>
      </c>
      <c r="H36" s="48"/>
    </row>
    <row r="37" spans="3:11" x14ac:dyDescent="0.25">
      <c r="C37" s="47"/>
      <c r="D37" s="48" t="s">
        <v>240</v>
      </c>
      <c r="E37" s="48"/>
      <c r="F37" s="48"/>
      <c r="G37" s="48" t="s">
        <v>248</v>
      </c>
      <c r="H37" s="48"/>
    </row>
    <row r="38" spans="3:11" x14ac:dyDescent="0.25">
      <c r="C38" s="47"/>
      <c r="D38" s="48" t="s">
        <v>241</v>
      </c>
      <c r="E38" s="48"/>
      <c r="F38" s="48"/>
      <c r="G38" s="48" t="s">
        <v>248</v>
      </c>
      <c r="H38" s="48"/>
    </row>
    <row r="39" spans="3:11" x14ac:dyDescent="0.25">
      <c r="C39" s="47"/>
      <c r="D39" s="48"/>
      <c r="E39" s="48"/>
      <c r="F39" s="48"/>
      <c r="G39" s="48" t="s">
        <v>249</v>
      </c>
      <c r="H39" s="48"/>
    </row>
    <row r="40" spans="3:11" x14ac:dyDescent="0.25">
      <c r="C40" s="47"/>
      <c r="D40" s="48"/>
      <c r="E40" s="48"/>
      <c r="F40" s="48"/>
      <c r="G40" s="48" t="s">
        <v>250</v>
      </c>
      <c r="H40" s="48"/>
    </row>
    <row r="41" spans="3:11" x14ac:dyDescent="0.25">
      <c r="C41" s="47"/>
      <c r="D41" s="48"/>
      <c r="E41" s="48"/>
      <c r="F41" s="48"/>
      <c r="G41" s="48"/>
      <c r="H41" s="48"/>
    </row>
    <row r="43" spans="3:11" x14ac:dyDescent="0.25">
      <c r="C43" t="s">
        <v>251</v>
      </c>
    </row>
    <row r="44" spans="3:11" x14ac:dyDescent="0.25">
      <c r="C44" t="s">
        <v>170</v>
      </c>
      <c r="D44" t="s">
        <v>252</v>
      </c>
    </row>
    <row r="45" spans="3:11" x14ac:dyDescent="0.25">
      <c r="D45" t="s">
        <v>253</v>
      </c>
    </row>
    <row r="46" spans="3:11" x14ac:dyDescent="0.25">
      <c r="D46" t="s">
        <v>254</v>
      </c>
    </row>
    <row r="47" spans="3:11" x14ac:dyDescent="0.25">
      <c r="D47" t="s">
        <v>255</v>
      </c>
    </row>
    <row r="48" spans="3:11" x14ac:dyDescent="0.25">
      <c r="D48" t="s">
        <v>256</v>
      </c>
    </row>
    <row r="49" spans="3:4" x14ac:dyDescent="0.25">
      <c r="C49" t="s">
        <v>176</v>
      </c>
      <c r="D49" t="s">
        <v>257</v>
      </c>
    </row>
    <row r="50" spans="3:4" x14ac:dyDescent="0.25">
      <c r="D50" t="s">
        <v>258</v>
      </c>
    </row>
    <row r="51" spans="3:4" x14ac:dyDescent="0.25">
      <c r="D51" t="s">
        <v>259</v>
      </c>
    </row>
    <row r="52" spans="3:4" x14ac:dyDescent="0.25">
      <c r="D52" t="s">
        <v>262</v>
      </c>
    </row>
    <row r="53" spans="3:4" x14ac:dyDescent="0.25">
      <c r="D53" t="s">
        <v>260</v>
      </c>
    </row>
    <row r="54" spans="3:4" x14ac:dyDescent="0.25">
      <c r="D54" t="s">
        <v>261</v>
      </c>
    </row>
    <row r="55" spans="3:4" x14ac:dyDescent="0.25">
      <c r="D55" t="s">
        <v>263</v>
      </c>
    </row>
    <row r="56" spans="3:4" x14ac:dyDescent="0.25">
      <c r="D56" t="s">
        <v>264</v>
      </c>
    </row>
    <row r="57" spans="3:4" x14ac:dyDescent="0.25">
      <c r="D57" t="s">
        <v>265</v>
      </c>
    </row>
    <row r="58" spans="3:4" x14ac:dyDescent="0.25">
      <c r="D58" t="s">
        <v>267</v>
      </c>
    </row>
    <row r="59" spans="3:4" x14ac:dyDescent="0.25">
      <c r="D59" t="s">
        <v>276</v>
      </c>
    </row>
    <row r="60" spans="3:4" x14ac:dyDescent="0.25">
      <c r="C60" t="s">
        <v>191</v>
      </c>
      <c r="D60" t="s">
        <v>268</v>
      </c>
    </row>
    <row r="61" spans="3:4" x14ac:dyDescent="0.25">
      <c r="D61" t="s">
        <v>266</v>
      </c>
    </row>
    <row r="62" spans="3:4" x14ac:dyDescent="0.25">
      <c r="D62" t="s">
        <v>256</v>
      </c>
    </row>
    <row r="63" spans="3:4" x14ac:dyDescent="0.25">
      <c r="D63" t="s">
        <v>269</v>
      </c>
    </row>
    <row r="64" spans="3:4" x14ac:dyDescent="0.25">
      <c r="D64" t="s">
        <v>270</v>
      </c>
    </row>
    <row r="65" spans="3:4" x14ac:dyDescent="0.25">
      <c r="D65" t="s">
        <v>271</v>
      </c>
    </row>
    <row r="66" spans="3:4" x14ac:dyDescent="0.25">
      <c r="D66" t="s">
        <v>272</v>
      </c>
    </row>
    <row r="67" spans="3:4" x14ac:dyDescent="0.25">
      <c r="C67" t="s">
        <v>186</v>
      </c>
      <c r="D67" t="s">
        <v>273</v>
      </c>
    </row>
    <row r="68" spans="3:4" x14ac:dyDescent="0.25">
      <c r="D68" t="s">
        <v>274</v>
      </c>
    </row>
    <row r="69" spans="3:4" x14ac:dyDescent="0.2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5" x14ac:dyDescent="0.25"/>
  <cols>
    <col min="2" max="2" width="3" bestFit="1" customWidth="1"/>
    <col min="3" max="3" width="155.28515625" customWidth="1"/>
  </cols>
  <sheetData>
    <row r="2" spans="2:3" ht="15" customHeight="1" x14ac:dyDescent="0.25">
      <c r="B2" s="50">
        <v>1</v>
      </c>
      <c r="C2" s="52" t="s">
        <v>282</v>
      </c>
    </row>
    <row r="3" spans="2:3" x14ac:dyDescent="0.25">
      <c r="B3" s="50">
        <v>2</v>
      </c>
      <c r="C3" s="51" t="s">
        <v>283</v>
      </c>
    </row>
    <row r="4" spans="2:3" x14ac:dyDescent="0.25">
      <c r="B4" s="50">
        <v>3</v>
      </c>
      <c r="C4" s="50" t="s">
        <v>284</v>
      </c>
    </row>
    <row r="5" spans="2:3" x14ac:dyDescent="0.25">
      <c r="B5" s="50">
        <v>4</v>
      </c>
      <c r="C5" s="51" t="s">
        <v>285</v>
      </c>
    </row>
    <row r="6" spans="2:3" x14ac:dyDescent="0.25">
      <c r="B6" s="50">
        <v>5</v>
      </c>
      <c r="C6" s="50" t="s">
        <v>286</v>
      </c>
    </row>
    <row r="7" spans="2:3" ht="30" x14ac:dyDescent="0.25">
      <c r="B7" s="50">
        <v>6</v>
      </c>
      <c r="C7" s="51" t="s">
        <v>287</v>
      </c>
    </row>
    <row r="8" spans="2:3" ht="75" x14ac:dyDescent="0.25">
      <c r="B8" s="50">
        <v>7</v>
      </c>
      <c r="C8" s="51" t="s">
        <v>288</v>
      </c>
    </row>
    <row r="9" spans="2:3" x14ac:dyDescent="0.25">
      <c r="B9" s="50">
        <v>8</v>
      </c>
      <c r="C9" s="50" t="s">
        <v>289</v>
      </c>
    </row>
    <row r="10" spans="2:3" x14ac:dyDescent="0.25">
      <c r="B10" s="50">
        <v>9</v>
      </c>
      <c r="C10" s="50" t="s">
        <v>290</v>
      </c>
    </row>
    <row r="11" spans="2:3" x14ac:dyDescent="0.25">
      <c r="B11" s="50">
        <v>10</v>
      </c>
      <c r="C11" s="50" t="s">
        <v>291</v>
      </c>
    </row>
    <row r="12" spans="2:3" x14ac:dyDescent="0.25">
      <c r="B12" s="50">
        <v>11</v>
      </c>
      <c r="C12" s="50" t="s">
        <v>292</v>
      </c>
    </row>
    <row r="13" spans="2:3" x14ac:dyDescent="0.25">
      <c r="B13" s="50">
        <v>12</v>
      </c>
      <c r="C13" s="50" t="s">
        <v>293</v>
      </c>
    </row>
    <row r="14" spans="2:3" x14ac:dyDescent="0.25">
      <c r="B14" s="50">
        <v>13</v>
      </c>
      <c r="C14" s="50" t="s">
        <v>294</v>
      </c>
    </row>
    <row r="15" spans="2:3" x14ac:dyDescent="0.25">
      <c r="B15" s="50">
        <v>14</v>
      </c>
      <c r="C15" s="50" t="s">
        <v>284</v>
      </c>
    </row>
    <row r="16" spans="2:3" x14ac:dyDescent="0.25">
      <c r="B16" s="50">
        <v>15</v>
      </c>
      <c r="C16" s="50" t="s">
        <v>296</v>
      </c>
    </row>
    <row r="17" spans="2:3" ht="31.5" customHeight="1" x14ac:dyDescent="0.25">
      <c r="B17" s="53">
        <v>16</v>
      </c>
      <c r="C17" s="55" t="s">
        <v>297</v>
      </c>
    </row>
    <row r="18" spans="2:3" x14ac:dyDescent="0.25">
      <c r="B18" s="54">
        <v>17</v>
      </c>
      <c r="C18" s="55" t="s">
        <v>298</v>
      </c>
    </row>
    <row r="19" spans="2:3" x14ac:dyDescent="0.25">
      <c r="B19" s="53">
        <v>18</v>
      </c>
      <c r="C19" s="50" t="s">
        <v>299</v>
      </c>
    </row>
    <row r="20" spans="2:3" x14ac:dyDescent="0.25">
      <c r="B20" s="54">
        <v>19</v>
      </c>
      <c r="C20" s="50" t="s">
        <v>300</v>
      </c>
    </row>
    <row r="21" spans="2:3" x14ac:dyDescent="0.25">
      <c r="B21" s="50">
        <v>20</v>
      </c>
      <c r="C21" s="50" t="s">
        <v>301</v>
      </c>
    </row>
    <row r="22" spans="2:3" x14ac:dyDescent="0.25">
      <c r="B22" s="54">
        <v>21</v>
      </c>
      <c r="C22" s="50" t="s">
        <v>299</v>
      </c>
    </row>
    <row r="23" spans="2:3" s="63" customFormat="1" ht="29.25" customHeight="1" x14ac:dyDescent="0.25">
      <c r="B23" s="62">
        <v>22</v>
      </c>
      <c r="C23" s="52" t="s">
        <v>328</v>
      </c>
    </row>
    <row r="24" spans="2:3" s="63" customFormat="1" ht="30.75" customHeight="1" x14ac:dyDescent="0.25">
      <c r="B24" s="64">
        <v>23</v>
      </c>
      <c r="C24" s="52" t="s">
        <v>329</v>
      </c>
    </row>
    <row r="25" spans="2:3" x14ac:dyDescent="0.25">
      <c r="B25" s="50">
        <v>24</v>
      </c>
      <c r="C25" s="50" t="s">
        <v>332</v>
      </c>
    </row>
    <row r="26" spans="2:3" x14ac:dyDescent="0.25">
      <c r="B26" s="54">
        <v>25</v>
      </c>
      <c r="C26" s="50" t="s">
        <v>330</v>
      </c>
    </row>
    <row r="27" spans="2:3" x14ac:dyDescent="0.25">
      <c r="B27" s="64">
        <v>26</v>
      </c>
      <c r="C27" s="50" t="s">
        <v>331</v>
      </c>
    </row>
    <row r="28" spans="2:3" x14ac:dyDescent="0.25">
      <c r="B28" s="54">
        <v>27</v>
      </c>
      <c r="C28" s="50"/>
    </row>
    <row r="29" spans="2:3" x14ac:dyDescent="0.25">
      <c r="B29" s="54">
        <v>28</v>
      </c>
      <c r="C29" s="50"/>
    </row>
    <row r="30" spans="2:3" x14ac:dyDescent="0.25">
      <c r="B30" s="64">
        <v>29</v>
      </c>
      <c r="C30" s="50"/>
    </row>
    <row r="31" spans="2:3" x14ac:dyDescent="0.25">
      <c r="B31" s="54">
        <v>30</v>
      </c>
      <c r="C31" s="50"/>
    </row>
    <row r="32" spans="2:3" x14ac:dyDescent="0.25">
      <c r="B32" s="54">
        <v>31</v>
      </c>
      <c r="C32" s="50"/>
    </row>
    <row r="33" spans="2:3" x14ac:dyDescent="0.25">
      <c r="B33" s="64">
        <v>32</v>
      </c>
      <c r="C33" s="50"/>
    </row>
    <row r="34" spans="2:3" x14ac:dyDescent="0.25">
      <c r="B34" s="54">
        <v>33</v>
      </c>
      <c r="C34" s="50"/>
    </row>
    <row r="35" spans="2:3" x14ac:dyDescent="0.25">
      <c r="B35" s="54">
        <v>34</v>
      </c>
      <c r="C35" s="50"/>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28515625" defaultRowHeight="15" x14ac:dyDescent="0.25"/>
  <cols>
    <col min="1" max="1" width="9.28515625" style="47"/>
    <col min="2" max="2" width="12.28515625" style="47" customWidth="1"/>
    <col min="3" max="16384" width="9.28515625" style="47"/>
  </cols>
  <sheetData>
    <row r="2" spans="1:12" x14ac:dyDescent="0.25">
      <c r="B2" s="56" t="s">
        <v>302</v>
      </c>
      <c r="C2" s="237"/>
      <c r="D2" s="237"/>
    </row>
    <row r="3" spans="1:12" x14ac:dyDescent="0.25">
      <c r="D3" s="57"/>
      <c r="E3" s="57"/>
      <c r="F3" s="57"/>
      <c r="G3" s="57"/>
      <c r="H3" s="57"/>
      <c r="I3" s="57"/>
    </row>
    <row r="4" spans="1:12" x14ac:dyDescent="0.25">
      <c r="A4" s="56" t="s">
        <v>65</v>
      </c>
      <c r="B4" s="58" t="s">
        <v>303</v>
      </c>
      <c r="C4" s="238" t="s">
        <v>304</v>
      </c>
      <c r="D4" s="238"/>
      <c r="E4" s="238"/>
      <c r="F4" s="58"/>
      <c r="G4" s="239" t="s">
        <v>305</v>
      </c>
      <c r="H4" s="239"/>
      <c r="I4" s="239"/>
      <c r="J4" s="240" t="s">
        <v>306</v>
      </c>
      <c r="K4" s="240"/>
      <c r="L4" s="240"/>
    </row>
    <row r="5" spans="1:12" x14ac:dyDescent="0.25">
      <c r="A5" s="56"/>
      <c r="B5" s="58"/>
      <c r="C5" s="58" t="s">
        <v>307</v>
      </c>
      <c r="D5" s="58" t="s">
        <v>308</v>
      </c>
      <c r="E5" s="58" t="s">
        <v>309</v>
      </c>
      <c r="F5" s="58"/>
      <c r="G5" s="58" t="s">
        <v>307</v>
      </c>
      <c r="H5" s="58" t="s">
        <v>308</v>
      </c>
      <c r="I5" s="58" t="s">
        <v>309</v>
      </c>
      <c r="J5" s="58" t="s">
        <v>307</v>
      </c>
      <c r="K5" s="58" t="s">
        <v>308</v>
      </c>
      <c r="L5" s="58" t="s">
        <v>309</v>
      </c>
    </row>
    <row r="6" spans="1:12" x14ac:dyDescent="0.25">
      <c r="B6" s="48" t="s">
        <v>310</v>
      </c>
      <c r="C6" s="48"/>
      <c r="D6" s="48"/>
      <c r="E6" s="48">
        <f>C6*D6</f>
        <v>0</v>
      </c>
      <c r="F6" s="48" t="s">
        <v>327</v>
      </c>
      <c r="G6" s="48"/>
      <c r="H6" s="48"/>
      <c r="I6" s="48">
        <f>G6*H6</f>
        <v>0</v>
      </c>
      <c r="J6" s="48"/>
      <c r="K6" s="48"/>
      <c r="L6" s="48">
        <f>J6*K6</f>
        <v>0</v>
      </c>
    </row>
    <row r="7" spans="1:12" x14ac:dyDescent="0.25">
      <c r="B7" s="48"/>
      <c r="C7" s="48"/>
      <c r="D7" s="48"/>
      <c r="E7" s="48">
        <f t="shared" ref="E7:E41" si="0">C7*D7</f>
        <v>0</v>
      </c>
      <c r="F7" s="48" t="s">
        <v>327</v>
      </c>
      <c r="G7" s="48"/>
      <c r="H7" s="48"/>
      <c r="I7" s="48">
        <f t="shared" ref="I7:I35" si="1">G7*H7</f>
        <v>0</v>
      </c>
      <c r="J7" s="48"/>
      <c r="K7" s="48"/>
      <c r="L7" s="48">
        <f t="shared" ref="L7:L35" si="2">J7*K7</f>
        <v>0</v>
      </c>
    </row>
    <row r="8" spans="1:12" x14ac:dyDescent="0.25">
      <c r="B8" s="48"/>
      <c r="C8" s="48"/>
      <c r="D8" s="48"/>
      <c r="E8" s="48">
        <f t="shared" si="0"/>
        <v>0</v>
      </c>
      <c r="F8" s="48"/>
      <c r="G8" s="48"/>
      <c r="H8" s="48"/>
      <c r="I8" s="48">
        <f t="shared" si="1"/>
        <v>0</v>
      </c>
      <c r="J8" s="48"/>
      <c r="K8" s="48"/>
      <c r="L8" s="48">
        <f t="shared" si="2"/>
        <v>0</v>
      </c>
    </row>
    <row r="9" spans="1:12" x14ac:dyDescent="0.25">
      <c r="B9" s="48"/>
      <c r="C9" s="48"/>
      <c r="D9" s="48"/>
      <c r="E9" s="48">
        <f t="shared" si="0"/>
        <v>0</v>
      </c>
      <c r="F9" s="48" t="s">
        <v>311</v>
      </c>
      <c r="G9" s="48"/>
      <c r="H9" s="48"/>
      <c r="I9" s="48">
        <f t="shared" si="1"/>
        <v>0</v>
      </c>
      <c r="J9" s="48"/>
      <c r="K9" s="48"/>
      <c r="L9" s="48">
        <f t="shared" si="2"/>
        <v>0</v>
      </c>
    </row>
    <row r="10" spans="1:12" x14ac:dyDescent="0.25">
      <c r="B10" s="48" t="s">
        <v>312</v>
      </c>
      <c r="C10" s="48"/>
      <c r="D10" s="48"/>
      <c r="E10" s="48">
        <f t="shared" si="0"/>
        <v>0</v>
      </c>
      <c r="F10" s="48" t="s">
        <v>311</v>
      </c>
      <c r="G10" s="48"/>
      <c r="H10" s="48"/>
      <c r="I10" s="48">
        <f t="shared" si="1"/>
        <v>0</v>
      </c>
      <c r="J10" s="48"/>
      <c r="K10" s="48"/>
      <c r="L10" s="48">
        <f t="shared" si="2"/>
        <v>0</v>
      </c>
    </row>
    <row r="11" spans="1:12" x14ac:dyDescent="0.25">
      <c r="B11" s="48"/>
      <c r="C11" s="48"/>
      <c r="D11" s="48"/>
      <c r="E11" s="48">
        <f t="shared" si="0"/>
        <v>0</v>
      </c>
      <c r="F11" s="48" t="s">
        <v>313</v>
      </c>
      <c r="G11" s="48"/>
      <c r="H11" s="48"/>
      <c r="I11" s="48">
        <f t="shared" si="1"/>
        <v>0</v>
      </c>
      <c r="J11" s="48"/>
      <c r="K11" s="48"/>
      <c r="L11" s="48">
        <f t="shared" si="2"/>
        <v>0</v>
      </c>
    </row>
    <row r="12" spans="1:12" x14ac:dyDescent="0.25">
      <c r="B12" s="48"/>
      <c r="C12" s="48"/>
      <c r="D12" s="48"/>
      <c r="E12" s="48">
        <f t="shared" si="0"/>
        <v>0</v>
      </c>
      <c r="F12" s="48"/>
      <c r="G12" s="48"/>
      <c r="H12" s="48"/>
      <c r="I12" s="48">
        <f t="shared" si="1"/>
        <v>0</v>
      </c>
      <c r="J12" s="48"/>
      <c r="K12" s="48"/>
      <c r="L12" s="48">
        <f t="shared" si="2"/>
        <v>0</v>
      </c>
    </row>
    <row r="13" spans="1:12" x14ac:dyDescent="0.25">
      <c r="B13" s="48"/>
      <c r="C13" s="48"/>
      <c r="D13" s="48"/>
      <c r="E13" s="48">
        <f t="shared" si="0"/>
        <v>0</v>
      </c>
      <c r="F13" s="48"/>
      <c r="G13" s="48"/>
      <c r="H13" s="48"/>
      <c r="I13" s="48">
        <f t="shared" si="1"/>
        <v>0</v>
      </c>
      <c r="J13" s="48"/>
      <c r="K13" s="48"/>
      <c r="L13" s="48">
        <f t="shared" si="2"/>
        <v>0</v>
      </c>
    </row>
    <row r="14" spans="1:12" x14ac:dyDescent="0.25">
      <c r="B14" s="48" t="s">
        <v>314</v>
      </c>
      <c r="C14" s="48"/>
      <c r="D14" s="48"/>
      <c r="E14" s="48">
        <f t="shared" si="0"/>
        <v>0</v>
      </c>
      <c r="F14" s="48" t="s">
        <v>311</v>
      </c>
      <c r="G14" s="48"/>
      <c r="H14" s="48"/>
      <c r="I14" s="48">
        <f t="shared" si="1"/>
        <v>0</v>
      </c>
      <c r="J14" s="48"/>
      <c r="K14" s="48"/>
      <c r="L14" s="48">
        <f t="shared" si="2"/>
        <v>0</v>
      </c>
    </row>
    <row r="15" spans="1:12" x14ac:dyDescent="0.25">
      <c r="B15" s="48"/>
      <c r="C15" s="48"/>
      <c r="D15" s="48"/>
      <c r="E15" s="48">
        <f t="shared" si="0"/>
        <v>0</v>
      </c>
      <c r="F15" s="48" t="s">
        <v>313</v>
      </c>
      <c r="G15" s="48"/>
      <c r="H15" s="48"/>
      <c r="I15" s="48">
        <f t="shared" si="1"/>
        <v>0</v>
      </c>
      <c r="J15" s="48"/>
      <c r="K15" s="48"/>
      <c r="L15" s="48">
        <f t="shared" si="2"/>
        <v>0</v>
      </c>
    </row>
    <row r="16" spans="1:12" x14ac:dyDescent="0.25">
      <c r="B16" s="48"/>
      <c r="C16" s="48"/>
      <c r="D16" s="48"/>
      <c r="E16" s="48">
        <f t="shared" si="0"/>
        <v>0</v>
      </c>
      <c r="F16" s="48"/>
      <c r="G16" s="48"/>
      <c r="H16" s="48"/>
      <c r="I16" s="48">
        <f t="shared" si="1"/>
        <v>0</v>
      </c>
      <c r="J16" s="48"/>
      <c r="K16" s="48"/>
      <c r="L16" s="48">
        <f t="shared" si="2"/>
        <v>0</v>
      </c>
    </row>
    <row r="17" spans="2:12" x14ac:dyDescent="0.25">
      <c r="B17" s="48"/>
      <c r="C17" s="48"/>
      <c r="D17" s="48"/>
      <c r="E17" s="48">
        <f t="shared" si="0"/>
        <v>0</v>
      </c>
      <c r="F17" s="48"/>
      <c r="G17" s="48"/>
      <c r="H17" s="48"/>
      <c r="I17" s="48">
        <f t="shared" si="1"/>
        <v>0</v>
      </c>
      <c r="J17" s="48"/>
      <c r="K17" s="48"/>
      <c r="L17" s="48">
        <f t="shared" si="2"/>
        <v>0</v>
      </c>
    </row>
    <row r="18" spans="2:12" x14ac:dyDescent="0.25">
      <c r="B18" s="48" t="s">
        <v>315</v>
      </c>
      <c r="C18" s="48"/>
      <c r="D18" s="48"/>
      <c r="E18" s="48">
        <f t="shared" si="0"/>
        <v>0</v>
      </c>
      <c r="F18" s="48" t="s">
        <v>311</v>
      </c>
      <c r="G18" s="48"/>
      <c r="H18" s="48"/>
      <c r="I18" s="48">
        <f t="shared" si="1"/>
        <v>0</v>
      </c>
      <c r="J18" s="48"/>
      <c r="K18" s="48"/>
      <c r="L18" s="48">
        <f t="shared" si="2"/>
        <v>0</v>
      </c>
    </row>
    <row r="19" spans="2:12" x14ac:dyDescent="0.25">
      <c r="B19" s="48"/>
      <c r="C19" s="48"/>
      <c r="D19" s="48"/>
      <c r="E19" s="48">
        <f t="shared" si="0"/>
        <v>0</v>
      </c>
      <c r="F19" s="48" t="s">
        <v>313</v>
      </c>
      <c r="G19" s="48"/>
      <c r="H19" s="48"/>
      <c r="I19" s="48">
        <f t="shared" si="1"/>
        <v>0</v>
      </c>
      <c r="J19" s="48"/>
      <c r="K19" s="48"/>
      <c r="L19" s="48">
        <f t="shared" si="2"/>
        <v>0</v>
      </c>
    </row>
    <row r="20" spans="2:12" x14ac:dyDescent="0.25">
      <c r="B20" s="48"/>
      <c r="C20" s="48"/>
      <c r="D20" s="48"/>
      <c r="E20" s="48">
        <f t="shared" si="0"/>
        <v>0</v>
      </c>
      <c r="F20" s="48"/>
      <c r="G20" s="48"/>
      <c r="H20" s="48"/>
      <c r="I20" s="48">
        <f t="shared" si="1"/>
        <v>0</v>
      </c>
      <c r="J20" s="48"/>
      <c r="K20" s="48"/>
      <c r="L20" s="48">
        <f t="shared" si="2"/>
        <v>0</v>
      </c>
    </row>
    <row r="21" spans="2:12" x14ac:dyDescent="0.25">
      <c r="B21" s="48" t="s">
        <v>316</v>
      </c>
      <c r="C21" s="48"/>
      <c r="D21" s="48"/>
      <c r="E21" s="48">
        <f t="shared" si="0"/>
        <v>0</v>
      </c>
      <c r="F21" s="48" t="s">
        <v>311</v>
      </c>
      <c r="G21" s="48"/>
      <c r="H21" s="48"/>
      <c r="I21" s="48">
        <f t="shared" si="1"/>
        <v>0</v>
      </c>
      <c r="J21" s="48"/>
      <c r="K21" s="48"/>
      <c r="L21" s="48">
        <f t="shared" si="2"/>
        <v>0</v>
      </c>
    </row>
    <row r="22" spans="2:12" x14ac:dyDescent="0.25">
      <c r="B22" s="48"/>
      <c r="C22" s="48"/>
      <c r="D22" s="48"/>
      <c r="E22" s="48">
        <f t="shared" si="0"/>
        <v>0</v>
      </c>
      <c r="F22" s="48" t="s">
        <v>313</v>
      </c>
      <c r="G22" s="48"/>
      <c r="H22" s="48"/>
      <c r="I22" s="48">
        <f t="shared" si="1"/>
        <v>0</v>
      </c>
      <c r="J22" s="48"/>
      <c r="K22" s="48"/>
      <c r="L22" s="48">
        <f t="shared" si="2"/>
        <v>0</v>
      </c>
    </row>
    <row r="23" spans="2:12" x14ac:dyDescent="0.25">
      <c r="B23" s="48"/>
      <c r="C23" s="48"/>
      <c r="D23" s="48"/>
      <c r="E23" s="48">
        <f t="shared" si="0"/>
        <v>0</v>
      </c>
      <c r="F23" s="48"/>
      <c r="G23" s="48"/>
      <c r="H23" s="48"/>
      <c r="I23" s="48">
        <f t="shared" si="1"/>
        <v>0</v>
      </c>
      <c r="J23" s="48"/>
      <c r="K23" s="48"/>
      <c r="L23" s="48">
        <f t="shared" si="2"/>
        <v>0</v>
      </c>
    </row>
    <row r="24" spans="2:12" x14ac:dyDescent="0.25">
      <c r="B24" s="48" t="s">
        <v>317</v>
      </c>
      <c r="C24" s="48"/>
      <c r="D24" s="48"/>
      <c r="E24" s="48">
        <f t="shared" si="0"/>
        <v>0</v>
      </c>
      <c r="F24" s="48" t="s">
        <v>318</v>
      </c>
      <c r="G24" s="48"/>
      <c r="H24" s="48"/>
      <c r="I24" s="48">
        <f t="shared" si="1"/>
        <v>0</v>
      </c>
      <c r="J24" s="48"/>
      <c r="K24" s="48"/>
      <c r="L24" s="48">
        <f t="shared" si="2"/>
        <v>0</v>
      </c>
    </row>
    <row r="25" spans="2:12" x14ac:dyDescent="0.25">
      <c r="B25" s="48"/>
      <c r="C25" s="48"/>
      <c r="D25" s="48"/>
      <c r="E25" s="48">
        <f t="shared" ref="E25:E27" si="3">C25*D25</f>
        <v>0</v>
      </c>
      <c r="F25" s="48" t="s">
        <v>318</v>
      </c>
      <c r="G25" s="48"/>
      <c r="H25" s="48"/>
      <c r="I25" s="48">
        <f t="shared" ref="I25:I27" si="4">G25*H25</f>
        <v>0</v>
      </c>
      <c r="J25" s="48"/>
      <c r="K25" s="48"/>
      <c r="L25" s="48">
        <f t="shared" ref="L25:L27" si="5">J25*K25</f>
        <v>0</v>
      </c>
    </row>
    <row r="26" spans="2:12" x14ac:dyDescent="0.25">
      <c r="B26" s="48"/>
      <c r="C26" s="48"/>
      <c r="D26" s="48"/>
      <c r="E26" s="48">
        <f t="shared" si="3"/>
        <v>0</v>
      </c>
      <c r="F26" s="48" t="s">
        <v>318</v>
      </c>
      <c r="G26" s="48"/>
      <c r="H26" s="48"/>
      <c r="I26" s="48">
        <f t="shared" si="4"/>
        <v>0</v>
      </c>
      <c r="J26" s="48"/>
      <c r="K26" s="48"/>
      <c r="L26" s="48">
        <f t="shared" si="5"/>
        <v>0</v>
      </c>
    </row>
    <row r="27" spans="2:12" x14ac:dyDescent="0.25">
      <c r="B27" s="48"/>
      <c r="C27" s="48"/>
      <c r="D27" s="48"/>
      <c r="E27" s="48">
        <f t="shared" si="3"/>
        <v>0</v>
      </c>
      <c r="F27" s="48" t="s">
        <v>318</v>
      </c>
      <c r="G27" s="48"/>
      <c r="H27" s="48"/>
      <c r="I27" s="48">
        <f t="shared" si="4"/>
        <v>0</v>
      </c>
      <c r="J27" s="48"/>
      <c r="K27" s="48"/>
      <c r="L27" s="48">
        <f t="shared" si="5"/>
        <v>0</v>
      </c>
    </row>
    <row r="28" spans="2:12" x14ac:dyDescent="0.25">
      <c r="B28" s="48" t="s">
        <v>319</v>
      </c>
      <c r="C28" s="48"/>
      <c r="D28" s="48"/>
      <c r="E28" s="48">
        <f t="shared" si="0"/>
        <v>0</v>
      </c>
      <c r="F28" s="48" t="s">
        <v>318</v>
      </c>
      <c r="G28" s="48"/>
      <c r="H28" s="48"/>
      <c r="I28" s="48">
        <f t="shared" si="1"/>
        <v>0</v>
      </c>
      <c r="J28" s="48"/>
      <c r="K28" s="48"/>
      <c r="L28" s="48">
        <f t="shared" si="2"/>
        <v>0</v>
      </c>
    </row>
    <row r="29" spans="2:12" x14ac:dyDescent="0.25">
      <c r="B29" s="48" t="s">
        <v>320</v>
      </c>
      <c r="C29" s="48"/>
      <c r="D29" s="48"/>
      <c r="E29" s="48">
        <f t="shared" si="0"/>
        <v>0</v>
      </c>
      <c r="F29" s="48" t="s">
        <v>318</v>
      </c>
      <c r="G29" s="48"/>
      <c r="H29" s="48"/>
      <c r="I29" s="48">
        <f t="shared" si="1"/>
        <v>0</v>
      </c>
      <c r="J29" s="48"/>
      <c r="K29" s="48"/>
      <c r="L29" s="48">
        <f t="shared" si="2"/>
        <v>0</v>
      </c>
    </row>
    <row r="30" spans="2:12" x14ac:dyDescent="0.25">
      <c r="B30" s="48" t="s">
        <v>324</v>
      </c>
      <c r="C30" s="48"/>
      <c r="D30" s="48"/>
      <c r="E30" s="48">
        <f t="shared" si="0"/>
        <v>0</v>
      </c>
      <c r="F30" s="48"/>
      <c r="G30" s="48"/>
      <c r="H30" s="48"/>
      <c r="I30" s="48">
        <f t="shared" si="1"/>
        <v>0</v>
      </c>
      <c r="J30" s="48"/>
      <c r="K30" s="48"/>
      <c r="L30" s="48">
        <f t="shared" si="2"/>
        <v>0</v>
      </c>
    </row>
    <row r="31" spans="2:12" x14ac:dyDescent="0.25">
      <c r="B31" s="48"/>
      <c r="C31" s="48"/>
      <c r="D31" s="48"/>
      <c r="E31" s="48">
        <f t="shared" ref="E31:E32" si="6">C31*D31</f>
        <v>0</v>
      </c>
      <c r="F31" s="48"/>
      <c r="G31" s="48"/>
      <c r="H31" s="48"/>
      <c r="I31" s="48">
        <f t="shared" ref="I31:I32" si="7">G31*H31</f>
        <v>0</v>
      </c>
      <c r="J31" s="48"/>
      <c r="K31" s="48"/>
      <c r="L31" s="48">
        <f t="shared" ref="L31:L32" si="8">J31*K31</f>
        <v>0</v>
      </c>
    </row>
    <row r="32" spans="2:12" x14ac:dyDescent="0.25">
      <c r="B32" s="48"/>
      <c r="C32" s="48"/>
      <c r="D32" s="48"/>
      <c r="E32" s="48">
        <f t="shared" si="6"/>
        <v>0</v>
      </c>
      <c r="F32" s="48"/>
      <c r="G32" s="48"/>
      <c r="H32" s="48"/>
      <c r="I32" s="48">
        <f t="shared" si="7"/>
        <v>0</v>
      </c>
      <c r="J32" s="48"/>
      <c r="K32" s="48"/>
      <c r="L32" s="48">
        <f t="shared" si="8"/>
        <v>0</v>
      </c>
    </row>
    <row r="33" spans="2:12" x14ac:dyDescent="0.25">
      <c r="B33" s="48" t="s">
        <v>321</v>
      </c>
      <c r="C33" s="48"/>
      <c r="D33" s="48"/>
      <c r="E33" s="48">
        <f t="shared" si="0"/>
        <v>0</v>
      </c>
      <c r="F33" s="48"/>
      <c r="G33" s="48"/>
      <c r="H33" s="48"/>
      <c r="I33" s="48">
        <f t="shared" si="1"/>
        <v>0</v>
      </c>
      <c r="J33" s="48"/>
      <c r="K33" s="48"/>
      <c r="L33" s="48">
        <f t="shared" si="2"/>
        <v>0</v>
      </c>
    </row>
    <row r="34" spans="2:12" x14ac:dyDescent="0.25">
      <c r="B34" s="48" t="s">
        <v>325</v>
      </c>
      <c r="C34" s="48"/>
      <c r="D34" s="48"/>
      <c r="E34" s="48">
        <f t="shared" si="0"/>
        <v>0</v>
      </c>
      <c r="F34" s="48"/>
      <c r="G34" s="48"/>
      <c r="H34" s="48"/>
      <c r="I34" s="48">
        <f t="shared" si="1"/>
        <v>0</v>
      </c>
      <c r="J34" s="48"/>
      <c r="K34" s="48"/>
      <c r="L34" s="48">
        <f t="shared" si="2"/>
        <v>0</v>
      </c>
    </row>
    <row r="35" spans="2:12" x14ac:dyDescent="0.25">
      <c r="B35" s="48" t="s">
        <v>322</v>
      </c>
      <c r="C35" s="48"/>
      <c r="D35" s="48"/>
      <c r="E35" s="48">
        <f t="shared" si="0"/>
        <v>0</v>
      </c>
      <c r="F35" s="48"/>
      <c r="G35" s="48"/>
      <c r="H35" s="48"/>
      <c r="I35" s="48">
        <f t="shared" si="1"/>
        <v>0</v>
      </c>
      <c r="J35" s="48"/>
      <c r="K35" s="48"/>
      <c r="L35" s="48">
        <f t="shared" si="2"/>
        <v>0</v>
      </c>
    </row>
    <row r="36" spans="2:12" x14ac:dyDescent="0.25">
      <c r="B36" s="48" t="s">
        <v>323</v>
      </c>
      <c r="C36" s="48"/>
      <c r="D36" s="48"/>
      <c r="E36" s="48">
        <f t="shared" si="0"/>
        <v>0</v>
      </c>
      <c r="F36" s="48"/>
      <c r="G36" s="48"/>
      <c r="H36" s="48"/>
      <c r="I36" s="48">
        <f>G36*H36</f>
        <v>0</v>
      </c>
      <c r="J36" s="48"/>
      <c r="K36" s="48"/>
      <c r="L36" s="48">
        <f>J36*K36</f>
        <v>0</v>
      </c>
    </row>
    <row r="37" spans="2:12" x14ac:dyDescent="0.25">
      <c r="B37" s="48"/>
      <c r="C37" s="48"/>
      <c r="D37" s="48"/>
      <c r="E37" s="48">
        <f t="shared" ref="E37:E38" si="9">C37*D37</f>
        <v>0</v>
      </c>
      <c r="F37" s="48"/>
      <c r="G37" s="48"/>
      <c r="H37" s="48"/>
      <c r="I37" s="48">
        <f t="shared" ref="I37:I38" si="10">G37*H37</f>
        <v>0</v>
      </c>
      <c r="J37" s="48"/>
      <c r="K37" s="48"/>
      <c r="L37" s="48">
        <f t="shared" ref="L37:L38" si="11">J37*K37</f>
        <v>0</v>
      </c>
    </row>
    <row r="38" spans="2:12" x14ac:dyDescent="0.25">
      <c r="B38" s="48" t="s">
        <v>326</v>
      </c>
      <c r="C38" s="48"/>
      <c r="D38" s="48"/>
      <c r="E38" s="48">
        <f t="shared" si="9"/>
        <v>0</v>
      </c>
      <c r="F38" s="48"/>
      <c r="G38" s="48"/>
      <c r="H38" s="48"/>
      <c r="I38" s="48">
        <f t="shared" si="10"/>
        <v>0</v>
      </c>
      <c r="J38" s="48"/>
      <c r="K38" s="48"/>
      <c r="L38" s="48">
        <f t="shared" si="11"/>
        <v>0</v>
      </c>
    </row>
    <row r="39" spans="2:12" x14ac:dyDescent="0.25">
      <c r="B39" s="48"/>
      <c r="C39" s="48"/>
      <c r="D39" s="48"/>
      <c r="E39" s="48">
        <f t="shared" si="0"/>
        <v>0</v>
      </c>
      <c r="F39" s="48"/>
      <c r="G39" s="48"/>
      <c r="H39" s="48"/>
      <c r="I39" s="48">
        <f>G39*H39</f>
        <v>0</v>
      </c>
      <c r="J39" s="48"/>
      <c r="K39" s="48"/>
      <c r="L39" s="48">
        <f>J39*K39</f>
        <v>0</v>
      </c>
    </row>
    <row r="40" spans="2:12" x14ac:dyDescent="0.25">
      <c r="B40" s="48"/>
      <c r="C40" s="48"/>
      <c r="D40" s="48"/>
      <c r="E40" s="48">
        <f t="shared" si="0"/>
        <v>0</v>
      </c>
      <c r="F40" s="48"/>
      <c r="G40" s="48"/>
      <c r="H40" s="48"/>
      <c r="I40" s="48">
        <f>G40*H40</f>
        <v>0</v>
      </c>
      <c r="J40" s="48"/>
      <c r="K40" s="48"/>
      <c r="L40" s="48">
        <f>J40*K40</f>
        <v>0</v>
      </c>
    </row>
    <row r="41" spans="2:12" x14ac:dyDescent="0.25">
      <c r="B41" s="48"/>
      <c r="C41" s="48"/>
      <c r="D41" s="48"/>
      <c r="E41" s="48">
        <f t="shared" si="0"/>
        <v>0</v>
      </c>
      <c r="F41" s="48"/>
      <c r="G41" s="48"/>
      <c r="H41" s="48"/>
      <c r="I41" s="48">
        <f>G41*H41</f>
        <v>0</v>
      </c>
      <c r="J41" s="48"/>
      <c r="K41" s="48"/>
      <c r="L41" s="48">
        <f>J41*K41</f>
        <v>0</v>
      </c>
    </row>
    <row r="42" spans="2:12" x14ac:dyDescent="0.25">
      <c r="B42" s="48" t="s">
        <v>147</v>
      </c>
      <c r="C42" s="48"/>
      <c r="D42" s="48">
        <f>E42*10.764</f>
        <v>0</v>
      </c>
      <c r="E42" s="61">
        <f>SUM(E6:E41)</f>
        <v>0</v>
      </c>
      <c r="F42" s="48"/>
      <c r="G42" s="48"/>
      <c r="H42" s="48">
        <f>I42*10.764</f>
        <v>0</v>
      </c>
      <c r="I42" s="60">
        <f>SUM(I6:I41)</f>
        <v>0</v>
      </c>
      <c r="J42" s="48"/>
      <c r="K42" s="48">
        <f>L42*10.764</f>
        <v>0</v>
      </c>
      <c r="L42" s="59">
        <f>SUM(L6:L41)</f>
        <v>0</v>
      </c>
    </row>
    <row r="44" spans="2:12" x14ac:dyDescent="0.2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note</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2025-09-19T06:16:32Z</cp:lastPrinted>
  <dcterms:created xsi:type="dcterms:W3CDTF">2019-07-16T09:29:46Z</dcterms:created>
  <dcterms:modified xsi:type="dcterms:W3CDTF">2025-09-19T06:21:19Z</dcterms:modified>
</cp:coreProperties>
</file>