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prani\Downloads\12.09 Dump\"/>
    </mc:Choice>
  </mc:AlternateContent>
  <xr:revisionPtr revIDLastSave="0" documentId="13_ncr:1_{0064DFD0-DCF5-4C91-A541-F1F2D26E570B}" xr6:coauthVersionLast="47" xr6:coauthVersionMax="47" xr10:uidLastSave="{00000000-0000-0000-0000-000000000000}"/>
  <bookViews>
    <workbookView xWindow="-108" yWindow="-108" windowWidth="23256" windowHeight="12456" tabRatio="809" xr2:uid="{00000000-000D-0000-FFFF-FFFF00000000}"/>
  </bookViews>
  <sheets>
    <sheet name="Sheet1" sheetId="1" r:id="rId1"/>
    <sheet name="Sheet3" sheetId="20" r:id="rId2"/>
    <sheet name="A%" sheetId="12" r:id="rId3"/>
    <sheet name="B%" sheetId="13" r:id="rId4"/>
    <sheet name="C%" sheetId="14" r:id="rId5"/>
    <sheet name="D%" sheetId="15" r:id="rId6"/>
    <sheet name="F%" sheetId="16" r:id="rId7"/>
    <sheet name="K%" sheetId="17" r:id="rId8"/>
    <sheet name="J-1%" sheetId="18" r:id="rId9"/>
    <sheet name="J-2%" sheetId="21" r:id="rId10"/>
    <sheet name="Wing A" sheetId="11" r:id="rId11"/>
    <sheet name="VALUATION" sheetId="22" r:id="rId12"/>
  </sheets>
  <definedNames>
    <definedName name="_xlnm.Print_Area" localSheetId="0">Sheet1!$A$1:$J$701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1" i="1" l="1"/>
  <c r="C203" i="1" s="1"/>
  <c r="D151" i="1"/>
  <c r="M150" i="1"/>
  <c r="D150" i="1"/>
  <c r="M149" i="1"/>
  <c r="D149" i="1"/>
  <c r="M148" i="1"/>
  <c r="D148" i="1"/>
  <c r="M147" i="1"/>
  <c r="D147" i="1"/>
  <c r="D146" i="1"/>
  <c r="M145" i="1"/>
  <c r="C142" i="1" s="1"/>
  <c r="D145" i="1"/>
  <c r="M144" i="1"/>
  <c r="D144" i="1"/>
  <c r="D143" i="1"/>
  <c r="R139" i="1"/>
  <c r="R138" i="1"/>
  <c r="F3" i="1"/>
  <c r="M573" i="1"/>
  <c r="L572" i="1"/>
  <c r="L571" i="1"/>
  <c r="C187" i="1"/>
  <c r="C173" i="1"/>
  <c r="C174" i="1" s="1"/>
  <c r="C131" i="1"/>
  <c r="C132" i="1" s="1"/>
  <c r="C133" i="1" s="1"/>
  <c r="C89" i="1"/>
  <c r="C202" i="1" l="1"/>
  <c r="H142" i="1"/>
  <c r="D142" i="1"/>
  <c r="K138" i="1" s="1"/>
  <c r="C140" i="1" s="1"/>
  <c r="F142" i="1" s="1"/>
  <c r="L573" i="1"/>
  <c r="N573" i="1" s="1"/>
  <c r="C175" i="1"/>
  <c r="D165" i="1"/>
  <c r="M164" i="1"/>
  <c r="D164" i="1"/>
  <c r="M163" i="1"/>
  <c r="D163" i="1"/>
  <c r="M162" i="1"/>
  <c r="D162" i="1"/>
  <c r="M161" i="1"/>
  <c r="D161" i="1"/>
  <c r="D160" i="1"/>
  <c r="M159" i="1"/>
  <c r="C156" i="1" s="1"/>
  <c r="D159" i="1"/>
  <c r="M158" i="1"/>
  <c r="D158" i="1"/>
  <c r="R153" i="1"/>
  <c r="R152" i="1"/>
  <c r="D157" i="1" l="1"/>
  <c r="D156" i="1"/>
  <c r="H156" i="1"/>
  <c r="K152" i="1" l="1"/>
  <c r="C154" i="1" s="1"/>
  <c r="F156" i="1" s="1"/>
  <c r="R211" i="1"/>
  <c r="R210" i="1"/>
  <c r="D207" i="1"/>
  <c r="M206" i="1"/>
  <c r="C199" i="1" s="1"/>
  <c r="D206" i="1"/>
  <c r="M205" i="1"/>
  <c r="D205" i="1"/>
  <c r="M204" i="1"/>
  <c r="D204" i="1"/>
  <c r="M203" i="1"/>
  <c r="D203" i="1"/>
  <c r="D202" i="1"/>
  <c r="M201" i="1"/>
  <c r="C198" i="1" s="1"/>
  <c r="D198" i="1" s="1"/>
  <c r="D201" i="1"/>
  <c r="M200" i="1"/>
  <c r="D200" i="1"/>
  <c r="K209" i="1" l="1"/>
  <c r="D199" i="1"/>
  <c r="K194" i="1" s="1"/>
  <c r="C196" i="1" s="1"/>
  <c r="F198" i="1" s="1"/>
  <c r="H198" i="1"/>
  <c r="D179" i="1"/>
  <c r="M178" i="1"/>
  <c r="C171" i="1" s="1"/>
  <c r="D171" i="1" s="1"/>
  <c r="D178" i="1"/>
  <c r="M177" i="1"/>
  <c r="D177" i="1"/>
  <c r="M176" i="1"/>
  <c r="D176" i="1"/>
  <c r="M175" i="1"/>
  <c r="D175" i="1"/>
  <c r="D174" i="1"/>
  <c r="M173" i="1"/>
  <c r="C170" i="1" s="1"/>
  <c r="D173" i="1"/>
  <c r="M172" i="1"/>
  <c r="D172" i="1"/>
  <c r="H170" i="1" l="1"/>
  <c r="D170" i="1"/>
  <c r="K166" i="1" s="1"/>
  <c r="L121" i="1"/>
  <c r="L120" i="1"/>
  <c r="L119" i="1"/>
  <c r="I111" i="1"/>
  <c r="C168" i="1" l="1"/>
  <c r="F170" i="1" s="1"/>
  <c r="L116" i="1"/>
  <c r="L117" i="1" s="1"/>
  <c r="L122" i="1" s="1"/>
  <c r="D122" i="1"/>
  <c r="D116" i="1"/>
  <c r="D121" i="1"/>
  <c r="L115" i="1"/>
  <c r="C114" i="1" s="1"/>
  <c r="D114" i="1" s="1"/>
  <c r="D120" i="1"/>
  <c r="L114" i="1"/>
  <c r="D118" i="1"/>
  <c r="D123" i="1"/>
  <c r="D117" i="1"/>
  <c r="D119" i="1"/>
  <c r="L113" i="1"/>
  <c r="M122" i="1"/>
  <c r="M121" i="1"/>
  <c r="M120" i="1"/>
  <c r="M119" i="1"/>
  <c r="M117" i="1"/>
  <c r="M116" i="1"/>
  <c r="D109" i="1"/>
  <c r="M108" i="1"/>
  <c r="C101" i="1" s="1"/>
  <c r="D101" i="1" s="1"/>
  <c r="D108" i="1"/>
  <c r="M107" i="1"/>
  <c r="D107" i="1"/>
  <c r="M106" i="1"/>
  <c r="D106" i="1"/>
  <c r="M105" i="1"/>
  <c r="D105" i="1"/>
  <c r="D104" i="1"/>
  <c r="M103" i="1"/>
  <c r="C100" i="1" s="1"/>
  <c r="D103" i="1"/>
  <c r="M102" i="1"/>
  <c r="D102" i="1"/>
  <c r="D81" i="1"/>
  <c r="M80" i="1"/>
  <c r="C73" i="1" s="1"/>
  <c r="D73" i="1" s="1"/>
  <c r="D80" i="1"/>
  <c r="M79" i="1"/>
  <c r="D79" i="1"/>
  <c r="M78" i="1"/>
  <c r="D78" i="1"/>
  <c r="M77" i="1"/>
  <c r="D77" i="1"/>
  <c r="D76" i="1"/>
  <c r="M75" i="1"/>
  <c r="C72" i="1" s="1"/>
  <c r="D75" i="1"/>
  <c r="M74" i="1"/>
  <c r="D74" i="1"/>
  <c r="K208" i="1" l="1"/>
  <c r="H72" i="1"/>
  <c r="H100" i="1"/>
  <c r="L118" i="1"/>
  <c r="D100" i="1"/>
  <c r="K96" i="1" s="1"/>
  <c r="C98" i="1" s="1"/>
  <c r="F100" i="1" s="1"/>
  <c r="D72" i="1"/>
  <c r="K68" i="1" s="1"/>
  <c r="C70" i="1" s="1"/>
  <c r="F72" i="1" s="1"/>
  <c r="D223" i="1"/>
  <c r="M222" i="1"/>
  <c r="D222" i="1"/>
  <c r="M221" i="1"/>
  <c r="D221" i="1"/>
  <c r="M220" i="1"/>
  <c r="D220" i="1"/>
  <c r="M219" i="1"/>
  <c r="D219" i="1"/>
  <c r="D218" i="1"/>
  <c r="M217" i="1"/>
  <c r="D217" i="1"/>
  <c r="M216" i="1"/>
  <c r="D216" i="1"/>
  <c r="D215" i="1"/>
  <c r="H214" i="1"/>
  <c r="D214" i="1"/>
  <c r="K210" i="1"/>
  <c r="C212" i="1" s="1"/>
  <c r="F214" i="1" s="1"/>
  <c r="C6" i="21"/>
  <c r="D61" i="1"/>
  <c r="D60" i="1"/>
  <c r="D193" i="1"/>
  <c r="M192" i="1"/>
  <c r="C185" i="1" s="1"/>
  <c r="D192" i="1"/>
  <c r="M191" i="1"/>
  <c r="D191" i="1"/>
  <c r="M190" i="1"/>
  <c r="D190" i="1"/>
  <c r="M189" i="1"/>
  <c r="D189" i="1"/>
  <c r="D188" i="1"/>
  <c r="M187" i="1"/>
  <c r="C184" i="1" s="1"/>
  <c r="D184" i="1" s="1"/>
  <c r="D187" i="1"/>
  <c r="M186" i="1"/>
  <c r="D186" i="1"/>
  <c r="D137" i="1"/>
  <c r="M136" i="1"/>
  <c r="C129" i="1" s="1"/>
  <c r="D129" i="1" s="1"/>
  <c r="D136" i="1"/>
  <c r="M135" i="1"/>
  <c r="D135" i="1"/>
  <c r="M134" i="1"/>
  <c r="D134" i="1"/>
  <c r="M133" i="1"/>
  <c r="D133" i="1"/>
  <c r="D132" i="1"/>
  <c r="M131" i="1"/>
  <c r="C128" i="1" s="1"/>
  <c r="D131" i="1"/>
  <c r="M130" i="1"/>
  <c r="D130" i="1"/>
  <c r="D95" i="1"/>
  <c r="M94" i="1"/>
  <c r="C87" i="1" s="1"/>
  <c r="D87" i="1" s="1"/>
  <c r="D94" i="1"/>
  <c r="M93" i="1"/>
  <c r="D93" i="1"/>
  <c r="M92" i="1"/>
  <c r="D92" i="1"/>
  <c r="M91" i="1"/>
  <c r="D91" i="1"/>
  <c r="D90" i="1"/>
  <c r="M89" i="1"/>
  <c r="C86" i="1" s="1"/>
  <c r="D89" i="1"/>
  <c r="M88" i="1"/>
  <c r="D88" i="1"/>
  <c r="D67" i="1"/>
  <c r="M66" i="1"/>
  <c r="C59" i="1" s="1"/>
  <c r="D59" i="1" s="1"/>
  <c r="D66" i="1"/>
  <c r="M65" i="1"/>
  <c r="D65" i="1"/>
  <c r="M64" i="1"/>
  <c r="D64" i="1"/>
  <c r="M63" i="1"/>
  <c r="D63" i="1"/>
  <c r="D62" i="1"/>
  <c r="M61" i="1"/>
  <c r="C58" i="1" s="1"/>
  <c r="M60" i="1"/>
  <c r="C6" i="17"/>
  <c r="C8" i="17"/>
  <c r="C10" i="17" s="1"/>
  <c r="F12" i="22"/>
  <c r="G12" i="22" s="1"/>
  <c r="E11" i="22"/>
  <c r="F11" i="22" s="1"/>
  <c r="G11" i="22" s="1"/>
  <c r="C6" i="14"/>
  <c r="C8" i="14"/>
  <c r="C10" i="14" s="1"/>
  <c r="C6" i="13"/>
  <c r="C6" i="12"/>
  <c r="C8" i="15"/>
  <c r="C10" i="15" s="1"/>
  <c r="C6" i="15"/>
  <c r="F7" i="22"/>
  <c r="G7" i="22" s="1"/>
  <c r="F8" i="22"/>
  <c r="G8" i="22" s="1"/>
  <c r="F9" i="22"/>
  <c r="G9" i="22" s="1"/>
  <c r="F10" i="22"/>
  <c r="G10" i="22" s="1"/>
  <c r="F6" i="22"/>
  <c r="G6" i="22" s="1"/>
  <c r="G5" i="22"/>
  <c r="B21" i="20"/>
  <c r="B16" i="21"/>
  <c r="E10" i="21" s="1"/>
  <c r="B14" i="21"/>
  <c r="E9" i="21" s="1"/>
  <c r="B12" i="21"/>
  <c r="M6" i="21" s="1"/>
  <c r="G17" i="21" s="1"/>
  <c r="B10" i="21"/>
  <c r="E7" i="21" s="1"/>
  <c r="B8" i="21"/>
  <c r="K6" i="21" s="1"/>
  <c r="G15" i="21" s="1"/>
  <c r="I6" i="21"/>
  <c r="G13" i="21" s="1"/>
  <c r="E4" i="21"/>
  <c r="D2" i="21"/>
  <c r="B6" i="21" s="1"/>
  <c r="B16" i="18"/>
  <c r="E10" i="18" s="1"/>
  <c r="B14" i="18"/>
  <c r="N7" i="18" s="1"/>
  <c r="H18" i="18" s="1"/>
  <c r="B12" i="18"/>
  <c r="E8" i="18" s="1"/>
  <c r="B10" i="18"/>
  <c r="L7" i="18" s="1"/>
  <c r="H16" i="18" s="1"/>
  <c r="B8" i="18"/>
  <c r="K7" i="18" s="1"/>
  <c r="H15" i="18" s="1"/>
  <c r="I6" i="18"/>
  <c r="I7" i="18" s="1"/>
  <c r="H13" i="18" s="1"/>
  <c r="E4" i="18"/>
  <c r="D2" i="18"/>
  <c r="B6" i="18" s="1"/>
  <c r="B16" i="17"/>
  <c r="O6" i="17" s="1"/>
  <c r="G19" i="17" s="1"/>
  <c r="B14" i="17"/>
  <c r="E9" i="17" s="1"/>
  <c r="B12" i="17"/>
  <c r="E8" i="17" s="1"/>
  <c r="B10" i="17"/>
  <c r="B8" i="17"/>
  <c r="K7" i="17" s="1"/>
  <c r="H15" i="17" s="1"/>
  <c r="I6" i="17"/>
  <c r="I7" i="17" s="1"/>
  <c r="H13" i="17" s="1"/>
  <c r="E4" i="17"/>
  <c r="D2" i="17"/>
  <c r="B6" i="17" s="1"/>
  <c r="B16" i="16"/>
  <c r="O7" i="16" s="1"/>
  <c r="H19" i="16" s="1"/>
  <c r="B14" i="16"/>
  <c r="E9" i="16" s="1"/>
  <c r="B12" i="16"/>
  <c r="E8" i="16" s="1"/>
  <c r="E10" i="16"/>
  <c r="B10" i="16"/>
  <c r="E7" i="16" s="1"/>
  <c r="B8" i="16"/>
  <c r="E6" i="16" s="1"/>
  <c r="O6" i="16"/>
  <c r="G19" i="16" s="1"/>
  <c r="I6" i="16"/>
  <c r="G13" i="16" s="1"/>
  <c r="E4" i="16"/>
  <c r="D2" i="16"/>
  <c r="B6" i="16" s="1"/>
  <c r="B16" i="15"/>
  <c r="O7" i="15" s="1"/>
  <c r="H19" i="15" s="1"/>
  <c r="B14" i="15"/>
  <c r="N6" i="15" s="1"/>
  <c r="G18" i="15" s="1"/>
  <c r="B12" i="15"/>
  <c r="E8" i="15" s="1"/>
  <c r="B10" i="15"/>
  <c r="B8" i="15"/>
  <c r="I6" i="15"/>
  <c r="G13" i="15" s="1"/>
  <c r="E4" i="15"/>
  <c r="D2" i="15"/>
  <c r="B6" i="15" s="1"/>
  <c r="B16" i="14"/>
  <c r="E10" i="14" s="1"/>
  <c r="B14" i="14"/>
  <c r="N6" i="14" s="1"/>
  <c r="G18" i="14" s="1"/>
  <c r="B12" i="14"/>
  <c r="E8" i="14" s="1"/>
  <c r="B10" i="14"/>
  <c r="B8" i="14"/>
  <c r="K7" i="14" s="1"/>
  <c r="H15" i="14" s="1"/>
  <c r="N7" i="14"/>
  <c r="H18" i="14" s="1"/>
  <c r="I6" i="14"/>
  <c r="G13" i="14" s="1"/>
  <c r="E4" i="14"/>
  <c r="D2" i="14"/>
  <c r="B6" i="14" s="1"/>
  <c r="B16" i="13"/>
  <c r="O7" i="13" s="1"/>
  <c r="H19" i="13" s="1"/>
  <c r="B14" i="13"/>
  <c r="E9" i="13" s="1"/>
  <c r="B12" i="13"/>
  <c r="M7" i="13"/>
  <c r="H17" i="13" s="1"/>
  <c r="E10" i="13"/>
  <c r="B10" i="13"/>
  <c r="E7" i="13" s="1"/>
  <c r="B8" i="13"/>
  <c r="K7" i="13" s="1"/>
  <c r="H15" i="13" s="1"/>
  <c r="I6" i="13"/>
  <c r="G13" i="13" s="1"/>
  <c r="E4" i="13"/>
  <c r="D2" i="13"/>
  <c r="B6" i="13" s="1"/>
  <c r="D2" i="12"/>
  <c r="B6" i="12" s="1"/>
  <c r="D566" i="1"/>
  <c r="B16" i="12"/>
  <c r="O7" i="12" s="1"/>
  <c r="H19" i="12" s="1"/>
  <c r="B14" i="12"/>
  <c r="B12" i="12"/>
  <c r="M7" i="12"/>
  <c r="H17" i="12" s="1"/>
  <c r="B10" i="12"/>
  <c r="L7" i="12" s="1"/>
  <c r="H16" i="12" s="1"/>
  <c r="B8" i="12"/>
  <c r="K6" i="12" s="1"/>
  <c r="G15" i="12" s="1"/>
  <c r="I6" i="12"/>
  <c r="G13" i="12" s="1"/>
  <c r="E4" i="12"/>
  <c r="D50" i="1"/>
  <c r="D550" i="1"/>
  <c r="F550" i="1" s="1"/>
  <c r="H550" i="1" s="1"/>
  <c r="D549" i="1"/>
  <c r="F549" i="1" s="1"/>
  <c r="H549" i="1" s="1"/>
  <c r="D548" i="1"/>
  <c r="F548" i="1" s="1"/>
  <c r="H548" i="1" s="1"/>
  <c r="D546" i="1"/>
  <c r="F546" i="1" s="1"/>
  <c r="H546" i="1" s="1"/>
  <c r="D545" i="1"/>
  <c r="F545" i="1" s="1"/>
  <c r="H545" i="1" s="1"/>
  <c r="D544" i="1"/>
  <c r="F544" i="1" s="1"/>
  <c r="H544" i="1" s="1"/>
  <c r="D543" i="1"/>
  <c r="F543" i="1" s="1"/>
  <c r="H543" i="1" s="1"/>
  <c r="D540" i="1"/>
  <c r="F540" i="1" s="1"/>
  <c r="H540" i="1" s="1"/>
  <c r="D539" i="1"/>
  <c r="F539" i="1" s="1"/>
  <c r="H539" i="1" s="1"/>
  <c r="D538" i="1"/>
  <c r="F538" i="1" s="1"/>
  <c r="H538" i="1" s="1"/>
  <c r="D535" i="1"/>
  <c r="F535" i="1" s="1"/>
  <c r="H535" i="1" s="1"/>
  <c r="D533" i="1"/>
  <c r="F533" i="1" s="1"/>
  <c r="H533" i="1" s="1"/>
  <c r="D532" i="1"/>
  <c r="F532" i="1" s="1"/>
  <c r="H532" i="1" s="1"/>
  <c r="D530" i="1"/>
  <c r="F530" i="1" s="1"/>
  <c r="H530" i="1" s="1"/>
  <c r="D528" i="1"/>
  <c r="F528" i="1" s="1"/>
  <c r="H528" i="1" s="1"/>
  <c r="D527" i="1"/>
  <c r="F527" i="1" s="1"/>
  <c r="H527" i="1" s="1"/>
  <c r="D525" i="1"/>
  <c r="F525" i="1" s="1"/>
  <c r="H525" i="1" s="1"/>
  <c r="D524" i="1"/>
  <c r="F524" i="1" s="1"/>
  <c r="H524" i="1" s="1"/>
  <c r="D523" i="1"/>
  <c r="F523" i="1" s="1"/>
  <c r="H523" i="1" s="1"/>
  <c r="D522" i="1"/>
  <c r="F522" i="1" s="1"/>
  <c r="H522" i="1" s="1"/>
  <c r="D520" i="1"/>
  <c r="F520" i="1" s="1"/>
  <c r="H520" i="1" s="1"/>
  <c r="D519" i="1"/>
  <c r="F519" i="1" s="1"/>
  <c r="H519" i="1" s="1"/>
  <c r="D516" i="1"/>
  <c r="F516" i="1" s="1"/>
  <c r="H516" i="1" s="1"/>
  <c r="D513" i="1"/>
  <c r="F513" i="1" s="1"/>
  <c r="H513" i="1" s="1"/>
  <c r="D512" i="1"/>
  <c r="F512" i="1" s="1"/>
  <c r="H512" i="1" s="1"/>
  <c r="D511" i="1"/>
  <c r="F511" i="1" s="1"/>
  <c r="H511" i="1" s="1"/>
  <c r="D509" i="1"/>
  <c r="F509" i="1" s="1"/>
  <c r="H509" i="1" s="1"/>
  <c r="D508" i="1"/>
  <c r="F508" i="1" s="1"/>
  <c r="H508" i="1" s="1"/>
  <c r="D506" i="1"/>
  <c r="F506" i="1" s="1"/>
  <c r="H506" i="1" s="1"/>
  <c r="D505" i="1"/>
  <c r="F505" i="1" s="1"/>
  <c r="H505" i="1" s="1"/>
  <c r="D504" i="1"/>
  <c r="F504" i="1" s="1"/>
  <c r="H504" i="1" s="1"/>
  <c r="D501" i="1"/>
  <c r="F501" i="1" s="1"/>
  <c r="H501" i="1" s="1"/>
  <c r="D499" i="1"/>
  <c r="F499" i="1" s="1"/>
  <c r="H499" i="1" s="1"/>
  <c r="L499" i="1" s="1"/>
  <c r="D498" i="1"/>
  <c r="F498" i="1" s="1"/>
  <c r="H498" i="1" s="1"/>
  <c r="D497" i="1"/>
  <c r="F497" i="1" s="1"/>
  <c r="H497" i="1" s="1"/>
  <c r="D496" i="1"/>
  <c r="F496" i="1" s="1"/>
  <c r="H496" i="1" s="1"/>
  <c r="D495" i="1"/>
  <c r="F495" i="1" s="1"/>
  <c r="H495" i="1" s="1"/>
  <c r="D494" i="1"/>
  <c r="F494" i="1" s="1"/>
  <c r="H494" i="1" s="1"/>
  <c r="D491" i="1"/>
  <c r="F491" i="1" s="1"/>
  <c r="H491" i="1" s="1"/>
  <c r="D492" i="1"/>
  <c r="F492" i="1" s="1"/>
  <c r="H492" i="1" s="1"/>
  <c r="D490" i="1"/>
  <c r="F490" i="1" s="1"/>
  <c r="H490" i="1" s="1"/>
  <c r="D489" i="1"/>
  <c r="F489" i="1" s="1"/>
  <c r="H489" i="1" s="1"/>
  <c r="D487" i="1"/>
  <c r="F487" i="1" s="1"/>
  <c r="H487" i="1" s="1"/>
  <c r="D486" i="1"/>
  <c r="F486" i="1" s="1"/>
  <c r="H486" i="1" s="1"/>
  <c r="D485" i="1"/>
  <c r="F485" i="1" s="1"/>
  <c r="H485" i="1" s="1"/>
  <c r="D484" i="1"/>
  <c r="F484" i="1" s="1"/>
  <c r="H484" i="1" s="1"/>
  <c r="D479" i="1"/>
  <c r="F479" i="1" s="1"/>
  <c r="H479" i="1" s="1"/>
  <c r="D478" i="1"/>
  <c r="F478" i="1" s="1"/>
  <c r="H478" i="1" s="1"/>
  <c r="D477" i="1"/>
  <c r="F477" i="1" s="1"/>
  <c r="H477" i="1" s="1"/>
  <c r="D474" i="1"/>
  <c r="F474" i="1" s="1"/>
  <c r="H474" i="1" s="1"/>
  <c r="D473" i="1"/>
  <c r="F473" i="1" s="1"/>
  <c r="H473" i="1" s="1"/>
  <c r="D472" i="1"/>
  <c r="F472" i="1" s="1"/>
  <c r="H472" i="1" s="1"/>
  <c r="D470" i="1"/>
  <c r="F470" i="1" s="1"/>
  <c r="H470" i="1" s="1"/>
  <c r="D469" i="1"/>
  <c r="F469" i="1" s="1"/>
  <c r="H469" i="1" s="1"/>
  <c r="D468" i="1"/>
  <c r="F468" i="1" s="1"/>
  <c r="H468" i="1" s="1"/>
  <c r="D465" i="1"/>
  <c r="F465" i="1" s="1"/>
  <c r="H465" i="1" s="1"/>
  <c r="D464" i="1"/>
  <c r="F464" i="1" s="1"/>
  <c r="H464" i="1" s="1"/>
  <c r="D463" i="1"/>
  <c r="F463" i="1" s="1"/>
  <c r="H463" i="1" s="1"/>
  <c r="D461" i="1"/>
  <c r="F461" i="1" s="1"/>
  <c r="H461" i="1" s="1"/>
  <c r="D460" i="1"/>
  <c r="F460" i="1" s="1"/>
  <c r="H460" i="1" s="1"/>
  <c r="D459" i="1"/>
  <c r="F459" i="1" s="1"/>
  <c r="H459" i="1" s="1"/>
  <c r="D458" i="1"/>
  <c r="F458" i="1" s="1"/>
  <c r="H458" i="1" s="1"/>
  <c r="D457" i="1"/>
  <c r="F457" i="1" s="1"/>
  <c r="H457" i="1" s="1"/>
  <c r="D456" i="1"/>
  <c r="F456" i="1" s="1"/>
  <c r="H456" i="1" s="1"/>
  <c r="D455" i="1"/>
  <c r="F455" i="1" s="1"/>
  <c r="H455" i="1" s="1"/>
  <c r="D454" i="1"/>
  <c r="F454" i="1" s="1"/>
  <c r="H454" i="1" s="1"/>
  <c r="D451" i="1"/>
  <c r="F451" i="1" s="1"/>
  <c r="H451" i="1" s="1"/>
  <c r="D450" i="1"/>
  <c r="F450" i="1" s="1"/>
  <c r="H450" i="1" s="1"/>
  <c r="D452" i="1"/>
  <c r="F452" i="1" s="1"/>
  <c r="H452" i="1" s="1"/>
  <c r="D449" i="1"/>
  <c r="F449" i="1" s="1"/>
  <c r="H449" i="1" s="1"/>
  <c r="D447" i="1"/>
  <c r="F447" i="1" s="1"/>
  <c r="H447" i="1" s="1"/>
  <c r="D446" i="1"/>
  <c r="F446" i="1" s="1"/>
  <c r="H446" i="1" s="1"/>
  <c r="D444" i="1"/>
  <c r="F444" i="1" s="1"/>
  <c r="H444" i="1" s="1"/>
  <c r="D440" i="1"/>
  <c r="F440" i="1" s="1"/>
  <c r="H440" i="1" s="1"/>
  <c r="D439" i="1"/>
  <c r="F439" i="1" s="1"/>
  <c r="H439" i="1" s="1"/>
  <c r="D438" i="1"/>
  <c r="F438" i="1" s="1"/>
  <c r="H438" i="1" s="1"/>
  <c r="D435" i="1"/>
  <c r="F435" i="1" s="1"/>
  <c r="H435" i="1" s="1"/>
  <c r="D434" i="1"/>
  <c r="F434" i="1" s="1"/>
  <c r="H434" i="1" s="1"/>
  <c r="D433" i="1"/>
  <c r="F433" i="1" s="1"/>
  <c r="H433" i="1" s="1"/>
  <c r="D429" i="1"/>
  <c r="F429" i="1" s="1"/>
  <c r="H429" i="1" s="1"/>
  <c r="D428" i="1"/>
  <c r="F428" i="1" s="1"/>
  <c r="H428" i="1" s="1"/>
  <c r="D431" i="1"/>
  <c r="F431" i="1" s="1"/>
  <c r="H431" i="1" s="1"/>
  <c r="D430" i="1"/>
  <c r="F430" i="1" s="1"/>
  <c r="H430" i="1" s="1"/>
  <c r="D423" i="1"/>
  <c r="F423" i="1" s="1"/>
  <c r="H423" i="1" s="1"/>
  <c r="D426" i="1"/>
  <c r="F426" i="1" s="1"/>
  <c r="H426" i="1" s="1"/>
  <c r="D425" i="1"/>
  <c r="F425" i="1" s="1"/>
  <c r="H425" i="1" s="1"/>
  <c r="D420" i="1"/>
  <c r="F420" i="1" s="1"/>
  <c r="H420" i="1" s="1"/>
  <c r="D418" i="1"/>
  <c r="F418" i="1" s="1"/>
  <c r="H418" i="1" s="1"/>
  <c r="D417" i="1"/>
  <c r="F417" i="1" s="1"/>
  <c r="H417" i="1" s="1"/>
  <c r="D414" i="1"/>
  <c r="F414" i="1" s="1"/>
  <c r="H414" i="1" s="1"/>
  <c r="D415" i="1"/>
  <c r="F415" i="1" s="1"/>
  <c r="H415" i="1" s="1"/>
  <c r="D413" i="1"/>
  <c r="F413" i="1" s="1"/>
  <c r="H413" i="1" s="1"/>
  <c r="D412" i="1"/>
  <c r="F412" i="1" s="1"/>
  <c r="H412" i="1" s="1"/>
  <c r="D410" i="1"/>
  <c r="F410" i="1" s="1"/>
  <c r="H410" i="1" s="1"/>
  <c r="D408" i="1"/>
  <c r="F408" i="1" s="1"/>
  <c r="H408" i="1" s="1"/>
  <c r="D407" i="1"/>
  <c r="F407" i="1" s="1"/>
  <c r="H407" i="1" s="1"/>
  <c r="D404" i="1"/>
  <c r="F404" i="1" s="1"/>
  <c r="H404" i="1" s="1"/>
  <c r="D403" i="1"/>
  <c r="F403" i="1" s="1"/>
  <c r="H403" i="1" s="1"/>
  <c r="D402" i="1"/>
  <c r="F402" i="1" s="1"/>
  <c r="H402" i="1" s="1"/>
  <c r="D400" i="1"/>
  <c r="F400" i="1" s="1"/>
  <c r="H400" i="1" s="1"/>
  <c r="D399" i="1"/>
  <c r="F399" i="1" s="1"/>
  <c r="H399" i="1" s="1"/>
  <c r="D397" i="1"/>
  <c r="F397" i="1" s="1"/>
  <c r="H397" i="1" s="1"/>
  <c r="D396" i="1"/>
  <c r="F396" i="1" s="1"/>
  <c r="H396" i="1" s="1"/>
  <c r="D393" i="1"/>
  <c r="F393" i="1" s="1"/>
  <c r="H393" i="1" s="1"/>
  <c r="D392" i="1"/>
  <c r="F392" i="1" s="1"/>
  <c r="H392" i="1" s="1"/>
  <c r="D388" i="1"/>
  <c r="F388" i="1" s="1"/>
  <c r="H388" i="1" s="1"/>
  <c r="D390" i="1"/>
  <c r="F390" i="1" s="1"/>
  <c r="H390" i="1" s="1"/>
  <c r="D389" i="1"/>
  <c r="F389" i="1" s="1"/>
  <c r="H389" i="1" s="1"/>
  <c r="D387" i="1"/>
  <c r="F387" i="1" s="1"/>
  <c r="H387" i="1" s="1"/>
  <c r="D386" i="1"/>
  <c r="F386" i="1" s="1"/>
  <c r="H386" i="1" s="1"/>
  <c r="D385" i="1"/>
  <c r="F385" i="1" s="1"/>
  <c r="H385" i="1" s="1"/>
  <c r="D383" i="1"/>
  <c r="F383" i="1" s="1"/>
  <c r="H383" i="1" s="1"/>
  <c r="D382" i="1"/>
  <c r="F382" i="1" s="1"/>
  <c r="H382" i="1" s="1"/>
  <c r="D380" i="1"/>
  <c r="F380" i="1" s="1"/>
  <c r="H380" i="1" s="1"/>
  <c r="D379" i="1"/>
  <c r="F379" i="1" s="1"/>
  <c r="H379" i="1" s="1"/>
  <c r="D378" i="1"/>
  <c r="F378" i="1" s="1"/>
  <c r="H378" i="1" s="1"/>
  <c r="D375" i="1"/>
  <c r="F375" i="1" s="1"/>
  <c r="H375" i="1" s="1"/>
  <c r="D374" i="1"/>
  <c r="F374" i="1" s="1"/>
  <c r="H374" i="1" s="1"/>
  <c r="D373" i="1"/>
  <c r="F373" i="1" s="1"/>
  <c r="H373" i="1" s="1"/>
  <c r="D371" i="1"/>
  <c r="F371" i="1" s="1"/>
  <c r="H371" i="1" s="1"/>
  <c r="D370" i="1"/>
  <c r="F370" i="1" s="1"/>
  <c r="H370" i="1" s="1"/>
  <c r="D368" i="1"/>
  <c r="F368" i="1" s="1"/>
  <c r="H368" i="1" s="1"/>
  <c r="D367" i="1"/>
  <c r="F367" i="1" s="1"/>
  <c r="H367" i="1" s="1"/>
  <c r="D366" i="1"/>
  <c r="F366" i="1" s="1"/>
  <c r="H366" i="1" s="1"/>
  <c r="D363" i="1"/>
  <c r="F363" i="1" s="1"/>
  <c r="H363" i="1" s="1"/>
  <c r="D357" i="1"/>
  <c r="F357" i="1" s="1"/>
  <c r="H357" i="1" s="1"/>
  <c r="D361" i="1"/>
  <c r="F361" i="1" s="1"/>
  <c r="H361" i="1" s="1"/>
  <c r="D360" i="1"/>
  <c r="F360" i="1" s="1"/>
  <c r="H360" i="1" s="1"/>
  <c r="D359" i="1"/>
  <c r="F359" i="1" s="1"/>
  <c r="H359" i="1" s="1"/>
  <c r="D358" i="1"/>
  <c r="F358" i="1" s="1"/>
  <c r="H358" i="1" s="1"/>
  <c r="D356" i="1"/>
  <c r="F356" i="1" s="1"/>
  <c r="H356" i="1" s="1"/>
  <c r="D353" i="1"/>
  <c r="F353" i="1" s="1"/>
  <c r="H353" i="1" s="1"/>
  <c r="D354" i="1"/>
  <c r="F354" i="1" s="1"/>
  <c r="H354" i="1" s="1"/>
  <c r="D352" i="1"/>
  <c r="F352" i="1" s="1"/>
  <c r="H352" i="1" s="1"/>
  <c r="D351" i="1"/>
  <c r="F351" i="1" s="1"/>
  <c r="H351" i="1" s="1"/>
  <c r="D349" i="1"/>
  <c r="F349" i="1" s="1"/>
  <c r="H349" i="1" s="1"/>
  <c r="D346" i="1"/>
  <c r="F346" i="1" s="1"/>
  <c r="H346" i="1" s="1"/>
  <c r="D344" i="1"/>
  <c r="F344" i="1" s="1"/>
  <c r="H344" i="1" s="1"/>
  <c r="D343" i="1"/>
  <c r="F343" i="1" s="1"/>
  <c r="H343" i="1" s="1"/>
  <c r="D341" i="1"/>
  <c r="F341" i="1" s="1"/>
  <c r="H341" i="1" s="1"/>
  <c r="D339" i="1"/>
  <c r="F339" i="1" s="1"/>
  <c r="H339" i="1" s="1"/>
  <c r="D338" i="1"/>
  <c r="F338" i="1" s="1"/>
  <c r="H338" i="1" s="1"/>
  <c r="D336" i="1"/>
  <c r="F336" i="1" s="1"/>
  <c r="H336" i="1" s="1"/>
  <c r="D335" i="1"/>
  <c r="F335" i="1" s="1"/>
  <c r="H335" i="1" s="1"/>
  <c r="D334" i="1"/>
  <c r="F334" i="1" s="1"/>
  <c r="H334" i="1" s="1"/>
  <c r="D333" i="1"/>
  <c r="F333" i="1" s="1"/>
  <c r="H333" i="1" s="1"/>
  <c r="D330" i="1"/>
  <c r="F330" i="1" s="1"/>
  <c r="H330" i="1" s="1"/>
  <c r="D331" i="1"/>
  <c r="F331" i="1" s="1"/>
  <c r="H331" i="1" s="1"/>
  <c r="D329" i="1"/>
  <c r="F329" i="1" s="1"/>
  <c r="H329" i="1" s="1"/>
  <c r="D328" i="1"/>
  <c r="F328" i="1" s="1"/>
  <c r="H328" i="1" s="1"/>
  <c r="D325" i="1"/>
  <c r="F325" i="1" s="1"/>
  <c r="H325" i="1" s="1"/>
  <c r="D323" i="1"/>
  <c r="F323" i="1" s="1"/>
  <c r="H323" i="1" s="1"/>
  <c r="D322" i="1"/>
  <c r="F322" i="1" s="1"/>
  <c r="H322" i="1" s="1"/>
  <c r="D320" i="1"/>
  <c r="F320" i="1" s="1"/>
  <c r="H320" i="1" s="1"/>
  <c r="D319" i="1"/>
  <c r="F319" i="1" s="1"/>
  <c r="H319" i="1" s="1"/>
  <c r="D318" i="1"/>
  <c r="F318" i="1" s="1"/>
  <c r="H318" i="1" s="1"/>
  <c r="D317" i="1"/>
  <c r="F317" i="1" s="1"/>
  <c r="H317" i="1" s="1"/>
  <c r="D315" i="1"/>
  <c r="F315" i="1" s="1"/>
  <c r="H315" i="1" s="1"/>
  <c r="D314" i="1"/>
  <c r="F314" i="1" s="1"/>
  <c r="H314" i="1" s="1"/>
  <c r="D313" i="1"/>
  <c r="F313" i="1" s="1"/>
  <c r="H313" i="1" s="1"/>
  <c r="D312" i="1"/>
  <c r="F312" i="1" s="1"/>
  <c r="H312" i="1" s="1"/>
  <c r="F308" i="1"/>
  <c r="H308" i="1" s="1"/>
  <c r="F307" i="1"/>
  <c r="H307" i="1" s="1"/>
  <c r="D306" i="1"/>
  <c r="F306" i="1" s="1"/>
  <c r="H306" i="1" s="1"/>
  <c r="F303" i="1"/>
  <c r="H303" i="1" s="1"/>
  <c r="F302" i="1"/>
  <c r="H302" i="1" s="1"/>
  <c r="D301" i="1"/>
  <c r="F301" i="1" s="1"/>
  <c r="H301" i="1" s="1"/>
  <c r="F299" i="1"/>
  <c r="H299" i="1" s="1"/>
  <c r="F298" i="1"/>
  <c r="H298" i="1" s="1"/>
  <c r="F297" i="1"/>
  <c r="H297" i="1" s="1"/>
  <c r="D296" i="1"/>
  <c r="F296" i="1" s="1"/>
  <c r="H296" i="1" s="1"/>
  <c r="F292" i="1"/>
  <c r="H292" i="1" s="1"/>
  <c r="F293" i="1"/>
  <c r="H293" i="1" s="1"/>
  <c r="F294" i="1"/>
  <c r="H294" i="1" s="1"/>
  <c r="D291" i="1"/>
  <c r="F291" i="1" s="1"/>
  <c r="H291" i="1" s="1"/>
  <c r="F288" i="1"/>
  <c r="H288" i="1" s="1"/>
  <c r="F287" i="1"/>
  <c r="H287" i="1" s="1"/>
  <c r="F285" i="1"/>
  <c r="H285" i="1" s="1"/>
  <c r="F283" i="1"/>
  <c r="H283" i="1" s="1"/>
  <c r="F282" i="1"/>
  <c r="H282" i="1" s="1"/>
  <c r="F280" i="1"/>
  <c r="H280" i="1" s="1"/>
  <c r="F278" i="1"/>
  <c r="H278" i="1" s="1"/>
  <c r="F277" i="1"/>
  <c r="H277" i="1" s="1"/>
  <c r="F276" i="1"/>
  <c r="H276" i="1" s="1"/>
  <c r="F275" i="1"/>
  <c r="H275" i="1" s="1"/>
  <c r="F271" i="1"/>
  <c r="H271" i="1" s="1"/>
  <c r="F272" i="1"/>
  <c r="H272" i="1" s="1"/>
  <c r="F273" i="1"/>
  <c r="H273" i="1" s="1"/>
  <c r="F270" i="1"/>
  <c r="H270" i="1" s="1"/>
  <c r="F267" i="1"/>
  <c r="H267" i="1" s="1"/>
  <c r="F265" i="1"/>
  <c r="H265" i="1" s="1"/>
  <c r="F264" i="1"/>
  <c r="H264" i="1" s="1"/>
  <c r="F262" i="1"/>
  <c r="H262" i="1" s="1"/>
  <c r="F260" i="1"/>
  <c r="H260" i="1" s="1"/>
  <c r="F259" i="1"/>
  <c r="H259" i="1" s="1"/>
  <c r="F255" i="1"/>
  <c r="H255" i="1" s="1"/>
  <c r="F257" i="1"/>
  <c r="H257" i="1" s="1"/>
  <c r="F256" i="1"/>
  <c r="H256" i="1" s="1"/>
  <c r="N256" i="1" s="1"/>
  <c r="F254" i="1"/>
  <c r="H254" i="1" s="1"/>
  <c r="L255" i="1" s="1"/>
  <c r="F252" i="1"/>
  <c r="H252" i="1" s="1"/>
  <c r="F251" i="1"/>
  <c r="H251" i="1" s="1"/>
  <c r="F249" i="1"/>
  <c r="H249" i="1" s="1"/>
  <c r="D48" i="1"/>
  <c r="G240" i="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H41" i="1"/>
  <c r="C41" i="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I7" i="12"/>
  <c r="H13" i="12" s="1"/>
  <c r="M6" i="12"/>
  <c r="G17" i="12" s="1"/>
  <c r="I7" i="16"/>
  <c r="H13" i="16" s="1"/>
  <c r="K6" i="16"/>
  <c r="G15" i="16" s="1"/>
  <c r="M6" i="13"/>
  <c r="G17" i="13" s="1"/>
  <c r="E8" i="13"/>
  <c r="N6" i="13"/>
  <c r="G18" i="13" s="1"/>
  <c r="K6" i="13"/>
  <c r="G15" i="13" s="1"/>
  <c r="O6" i="13"/>
  <c r="G19" i="13" s="1"/>
  <c r="E7" i="12"/>
  <c r="N7" i="12"/>
  <c r="H18" i="12"/>
  <c r="E8" i="12"/>
  <c r="N6" i="12"/>
  <c r="G18" i="12" s="1"/>
  <c r="E9" i="12"/>
  <c r="E6" i="18"/>
  <c r="E10" i="15"/>
  <c r="G13" i="18"/>
  <c r="L7" i="13"/>
  <c r="H16" i="13" s="1"/>
  <c r="O6" i="15"/>
  <c r="G19" i="15" s="1"/>
  <c r="N6" i="18"/>
  <c r="G18" i="18" s="1"/>
  <c r="E9" i="18"/>
  <c r="L7" i="17" l="1"/>
  <c r="H16" i="17" s="1"/>
  <c r="L6" i="17"/>
  <c r="G16" i="17" s="1"/>
  <c r="N7" i="17"/>
  <c r="H18" i="17" s="1"/>
  <c r="N7" i="13"/>
  <c r="H18" i="13" s="1"/>
  <c r="N6" i="21"/>
  <c r="G18" i="21" s="1"/>
  <c r="O6" i="12"/>
  <c r="G19" i="12" s="1"/>
  <c r="O7" i="17"/>
  <c r="H19" i="17" s="1"/>
  <c r="M6" i="18"/>
  <c r="G17" i="18" s="1"/>
  <c r="N6" i="17"/>
  <c r="G18" i="17" s="1"/>
  <c r="E6" i="21"/>
  <c r="E10" i="17"/>
  <c r="M7" i="18"/>
  <c r="H17" i="18" s="1"/>
  <c r="K7" i="21"/>
  <c r="H15" i="21" s="1"/>
  <c r="M7" i="15"/>
  <c r="H17" i="15" s="1"/>
  <c r="I7" i="15"/>
  <c r="H13" i="15" s="1"/>
  <c r="N7" i="16"/>
  <c r="H18" i="16" s="1"/>
  <c r="L6" i="18"/>
  <c r="G16" i="18" s="1"/>
  <c r="E10" i="12"/>
  <c r="F34" i="11"/>
  <c r="E34" i="11" s="1"/>
  <c r="E9" i="14"/>
  <c r="L6" i="12"/>
  <c r="G16" i="12" s="1"/>
  <c r="K6" i="14"/>
  <c r="G15" i="14" s="1"/>
  <c r="J6" i="13"/>
  <c r="G14" i="13" s="1"/>
  <c r="L7" i="16"/>
  <c r="H16" i="16" s="1"/>
  <c r="E7" i="17"/>
  <c r="E6" i="17"/>
  <c r="M34" i="11"/>
  <c r="L34" i="11" s="1"/>
  <c r="M7" i="21"/>
  <c r="H17" i="21" s="1"/>
  <c r="J34" i="11"/>
  <c r="I34" i="11" s="1"/>
  <c r="O7" i="21"/>
  <c r="H19" i="21" s="1"/>
  <c r="J6" i="17"/>
  <c r="G14" i="17" s="1"/>
  <c r="E5" i="17"/>
  <c r="J7" i="17"/>
  <c r="H14" i="17" s="1"/>
  <c r="L6" i="14"/>
  <c r="G16" i="14" s="1"/>
  <c r="L7" i="14"/>
  <c r="H16" i="14" s="1"/>
  <c r="E7" i="14"/>
  <c r="G13" i="17"/>
  <c r="E6" i="13"/>
  <c r="L6" i="16"/>
  <c r="G16" i="16" s="1"/>
  <c r="E5" i="13"/>
  <c r="K7" i="12"/>
  <c r="H15" i="12" s="1"/>
  <c r="L6" i="13"/>
  <c r="G16" i="13" s="1"/>
  <c r="E6" i="14"/>
  <c r="O6" i="14"/>
  <c r="G19" i="14" s="1"/>
  <c r="O7" i="14"/>
  <c r="H19" i="14" s="1"/>
  <c r="M6" i="15"/>
  <c r="G17" i="15" s="1"/>
  <c r="K7" i="15"/>
  <c r="H15" i="15" s="1"/>
  <c r="M7" i="16"/>
  <c r="H17" i="16" s="1"/>
  <c r="O6" i="21"/>
  <c r="G19" i="21" s="1"/>
  <c r="L7" i="21"/>
  <c r="H16" i="21" s="1"/>
  <c r="G13" i="22"/>
  <c r="I7" i="13"/>
  <c r="H13" i="13" s="1"/>
  <c r="J7" i="13"/>
  <c r="H14" i="13" s="1"/>
  <c r="H20" i="13" s="1"/>
  <c r="N6" i="16"/>
  <c r="G18" i="16" s="1"/>
  <c r="I7" i="14"/>
  <c r="H13" i="14" s="1"/>
  <c r="E7" i="15"/>
  <c r="K7" i="16"/>
  <c r="H15" i="16" s="1"/>
  <c r="N7" i="21"/>
  <c r="H18" i="21" s="1"/>
  <c r="L6" i="21"/>
  <c r="G16" i="21" s="1"/>
  <c r="I7" i="21"/>
  <c r="H13" i="21" s="1"/>
  <c r="E7" i="18"/>
  <c r="E6" i="12"/>
  <c r="J7" i="15"/>
  <c r="H14" i="15" s="1"/>
  <c r="J6" i="15"/>
  <c r="G14" i="15" s="1"/>
  <c r="E5" i="15"/>
  <c r="E5" i="18"/>
  <c r="J6" i="18"/>
  <c r="G14" i="18" s="1"/>
  <c r="J7" i="18"/>
  <c r="H14" i="18" s="1"/>
  <c r="L7" i="15"/>
  <c r="H16" i="15" s="1"/>
  <c r="L6" i="15"/>
  <c r="G16" i="15" s="1"/>
  <c r="J6" i="12"/>
  <c r="G14" i="12" s="1"/>
  <c r="E5" i="12"/>
  <c r="J7" i="12"/>
  <c r="H14" i="12" s="1"/>
  <c r="J7" i="21"/>
  <c r="H14" i="21" s="1"/>
  <c r="J6" i="21"/>
  <c r="G14" i="21" s="1"/>
  <c r="E5" i="21"/>
  <c r="J6" i="14"/>
  <c r="G14" i="14" s="1"/>
  <c r="J7" i="14"/>
  <c r="H14" i="14" s="1"/>
  <c r="E5" i="14"/>
  <c r="J7" i="16"/>
  <c r="H14" i="16" s="1"/>
  <c r="E5" i="16"/>
  <c r="J6" i="16"/>
  <c r="G14" i="16" s="1"/>
  <c r="M6" i="16"/>
  <c r="G17" i="16" s="1"/>
  <c r="E8" i="21"/>
  <c r="M6" i="14"/>
  <c r="G17" i="14" s="1"/>
  <c r="M7" i="14"/>
  <c r="H17" i="14" s="1"/>
  <c r="E6" i="15"/>
  <c r="K6" i="15"/>
  <c r="G15" i="15" s="1"/>
  <c r="N7" i="15"/>
  <c r="H18" i="15" s="1"/>
  <c r="E9" i="15"/>
  <c r="M7" i="17"/>
  <c r="H17" i="17" s="1"/>
  <c r="K6" i="17"/>
  <c r="G15" i="17" s="1"/>
  <c r="K6" i="18"/>
  <c r="G15" i="18" s="1"/>
  <c r="O6" i="18"/>
  <c r="G19" i="18" s="1"/>
  <c r="M6" i="17"/>
  <c r="G17" i="17" s="1"/>
  <c r="O7" i="18"/>
  <c r="H19" i="18" s="1"/>
  <c r="H20" i="18" s="1"/>
  <c r="H128" i="1"/>
  <c r="D128" i="1"/>
  <c r="K124" i="1" s="1"/>
  <c r="C126" i="1" s="1"/>
  <c r="F128" i="1" s="1"/>
  <c r="H86" i="1"/>
  <c r="D86" i="1"/>
  <c r="K82" i="1" s="1"/>
  <c r="C84" i="1" s="1"/>
  <c r="F86" i="1" s="1"/>
  <c r="H184" i="1"/>
  <c r="H209" i="1" s="1"/>
  <c r="D185" i="1"/>
  <c r="K180" i="1" s="1"/>
  <c r="C182" i="1" s="1"/>
  <c r="F184" i="1" s="1"/>
  <c r="C209" i="1" s="1"/>
  <c r="D58" i="1"/>
  <c r="K54" i="1" s="1"/>
  <c r="C56" i="1" s="1"/>
  <c r="F58" i="1" s="1"/>
  <c r="H58" i="1"/>
  <c r="L256" i="1"/>
  <c r="O256" i="1"/>
  <c r="L257" i="1"/>
  <c r="L123" i="1"/>
  <c r="C115" i="1" s="1"/>
  <c r="F114" i="1" s="1"/>
  <c r="K110" i="1" s="1"/>
  <c r="C112" i="1" s="1"/>
  <c r="G20" i="12" l="1"/>
  <c r="G20" i="13"/>
  <c r="H20" i="12"/>
  <c r="H20" i="14"/>
  <c r="G20" i="14"/>
  <c r="G20" i="16"/>
  <c r="G20" i="17"/>
  <c r="H20" i="16"/>
  <c r="G20" i="21"/>
  <c r="G20" i="18"/>
  <c r="H20" i="17"/>
  <c r="H20" i="21"/>
  <c r="G20" i="15"/>
  <c r="H20" i="15"/>
  <c r="H114" i="1"/>
  <c r="D115" i="1"/>
</calcChain>
</file>

<file path=xl/sharedStrings.xml><?xml version="1.0" encoding="utf-8"?>
<sst xmlns="http://schemas.openxmlformats.org/spreadsheetml/2006/main" count="1594" uniqueCount="332">
  <si>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</si>
  <si>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</si>
  <si>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</si>
  <si>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</si>
  <si>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</si>
  <si>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</si>
  <si>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</si>
  <si>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</si>
  <si>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</si>
  <si>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</si>
  <si>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</si>
  <si>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</si>
  <si>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</si>
  <si>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</si>
  <si>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</si>
  <si>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</si>
  <si>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</si>
  <si>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</si>
  <si>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</si>
  <si>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</si>
  <si>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</si>
  <si>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</si>
  <si>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</si>
  <si>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</si>
  <si>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</si>
  <si>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</si>
  <si>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Building details floor wise</t>
  </si>
  <si>
    <t>Undertaking :</t>
  </si>
  <si>
    <t>Authorized Signatory
                                                                                                                                                                                                                                                                                     Name &amp; Seal of the agency</t>
  </si>
  <si>
    <t>2) I/We have no direct or Indirect Interest in the property being valued</t>
  </si>
  <si>
    <t>Quality of infrastructure in vicinity</t>
  </si>
  <si>
    <t>Sr.</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</si>
  <si>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</si>
  <si>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</si>
  <si>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</si>
  <si>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</si>
  <si>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</si>
  <si>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</si>
  <si>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</si>
  <si>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</si>
  <si>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</si>
  <si>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</si>
  <si>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</si>
  <si>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</si>
  <si>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</si>
  <si>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</si>
  <si>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</si>
  <si>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Plot No</t>
  </si>
  <si>
    <t>Latitude</t>
  </si>
  <si>
    <t>Longitude</t>
  </si>
  <si>
    <t>Flooring</t>
  </si>
  <si>
    <t>Finishing</t>
  </si>
  <si>
    <t xml:space="preserve">Valuation Report </t>
  </si>
  <si>
    <t xml:space="preserve">Details of Flats in Building   </t>
  </si>
  <si>
    <t>Yes</t>
  </si>
  <si>
    <t xml:space="preserve">Residential </t>
  </si>
  <si>
    <t>Type of Structure : RCC Framed Structure</t>
  </si>
  <si>
    <t>Expiry date: One year from date of issue</t>
  </si>
  <si>
    <t>O. Certificate No.: NA</t>
  </si>
  <si>
    <t>Date of approval: NA</t>
  </si>
  <si>
    <t>Violations Observed if any : NA</t>
  </si>
  <si>
    <t>NA</t>
  </si>
  <si>
    <t>South</t>
  </si>
  <si>
    <t xml:space="preserve">Distance from city centre: </t>
  </si>
  <si>
    <t>Plane</t>
  </si>
  <si>
    <t>Accessibility of the project from the city:(Proximities to civic amenities like school, hospital &amp; market,etc.)</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</si>
  <si>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</si>
  <si>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</si>
  <si>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</si>
  <si>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</si>
  <si>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</si>
  <si>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Fungible area</t>
  </si>
  <si>
    <t>all available at  1 to 2 km.</t>
  </si>
  <si>
    <t xml:space="preserve">Approved Layout Plan :         </t>
  </si>
  <si>
    <t>Dated</t>
  </si>
  <si>
    <t xml:space="preserve">Project location details       </t>
  </si>
  <si>
    <t>CTS No</t>
  </si>
  <si>
    <t>Locality</t>
  </si>
  <si>
    <t>District</t>
  </si>
  <si>
    <t>Pin Code</t>
  </si>
  <si>
    <t>Near by Landmark</t>
  </si>
  <si>
    <t>Good</t>
  </si>
  <si>
    <t>Total land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</si>
  <si>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</si>
  <si>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</si>
  <si>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</si>
  <si>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</si>
  <si>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</si>
  <si>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</si>
  <si>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</si>
  <si>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Floor rise rate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</si>
  <si>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</si>
  <si>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</si>
  <si>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</si>
  <si>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</si>
  <si>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</si>
  <si>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</si>
  <si>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</si>
  <si>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</si>
  <si>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</si>
  <si>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</si>
  <si>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</si>
  <si>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</si>
  <si>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</si>
  <si>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</si>
  <si>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</si>
  <si>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</si>
  <si>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</si>
  <si>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</si>
  <si>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</si>
  <si>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</si>
  <si>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</si>
  <si>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</si>
  <si>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</si>
  <si>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</si>
  <si>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</si>
  <si>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</si>
  <si>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</si>
  <si>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</si>
  <si>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</si>
  <si>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</si>
  <si>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Axis Kalina</t>
  </si>
  <si>
    <t xml:space="preserve">M/s.Omkar </t>
  </si>
  <si>
    <t xml:space="preserve">M/s.Omkar Ventures Pvt.Ltd </t>
  </si>
  <si>
    <t>Lawns &amp; Beyond</t>
  </si>
  <si>
    <t>Basement Floor For Parking (All Wings)</t>
  </si>
  <si>
    <t xml:space="preserve">1st Floor For Residential &amp; Amenities </t>
  </si>
  <si>
    <t>2BHK</t>
  </si>
  <si>
    <t>Welfare Hall/So. Office</t>
  </si>
  <si>
    <t>RERA Carpet/ Net Carpet area</t>
  </si>
  <si>
    <t>KE/MCGM/0026/200506161/AP/S1</t>
  </si>
  <si>
    <t>29/09/2017.</t>
  </si>
  <si>
    <t>2nd to 7th, 9th to 14th &amp; 16th to 19th Floor</t>
  </si>
  <si>
    <t>3BHK</t>
  </si>
  <si>
    <t>8th Floor</t>
  </si>
  <si>
    <t>Refuge Area</t>
  </si>
  <si>
    <t>15th Floor</t>
  </si>
  <si>
    <t>1st Floor</t>
  </si>
  <si>
    <t>1BHK</t>
  </si>
  <si>
    <t>8th &amp; 15th Floor</t>
  </si>
  <si>
    <t>Society Office</t>
  </si>
  <si>
    <t>Society Office/Meter Room</t>
  </si>
  <si>
    <t>2nd &amp; 3rd Floor</t>
  </si>
  <si>
    <t>4th to 7th, 9th to 14th &amp; 16th to 19th Floor</t>
  </si>
  <si>
    <t>Sale Building- 1(Wing J)</t>
  </si>
  <si>
    <t>2nd Floor</t>
  </si>
  <si>
    <t>3rd Floor</t>
  </si>
  <si>
    <t>Sale Building- 1(Wing K)</t>
  </si>
  <si>
    <t>Lobby</t>
  </si>
  <si>
    <t xml:space="preserve">2 BHK </t>
  </si>
  <si>
    <t xml:space="preserve">3 BHK </t>
  </si>
  <si>
    <t>3rd To 7th, 9th To 14th, 16th To 19th Floor</t>
  </si>
  <si>
    <t xml:space="preserve">1 BHK </t>
  </si>
  <si>
    <t>Sale Building- 1(Wing M)</t>
  </si>
  <si>
    <t>2nd &amp; 3rd  Floor</t>
  </si>
  <si>
    <t>Sale Building- 1(Wing L)</t>
  </si>
  <si>
    <t>2 BHK</t>
  </si>
  <si>
    <t>2nd To 7th, 9th To 14th, 16th To 19th Floor</t>
  </si>
  <si>
    <t>1 BHK</t>
  </si>
  <si>
    <t>Sale Building- 1(Wing E)</t>
  </si>
  <si>
    <t>Sale Building- 1(Wing C)</t>
  </si>
  <si>
    <t>Sale Building- 1(Wing D)</t>
  </si>
  <si>
    <t>Sale Building- 1(Wing F)</t>
  </si>
  <si>
    <t>Sale Building- 1(Wing G)</t>
  </si>
  <si>
    <t>Sale Building- 1(Wing H)</t>
  </si>
  <si>
    <t>Sale Building- 1(Wing I)</t>
  </si>
  <si>
    <t>110006.83 (Net plot Area = Slum Area + Non slum Area)</t>
  </si>
  <si>
    <t>3  + 3 ( Slum + Non Slum)</t>
  </si>
  <si>
    <t>Andheri</t>
  </si>
  <si>
    <t>Mumbai.</t>
  </si>
  <si>
    <t>Building</t>
  </si>
  <si>
    <t>Lal Building</t>
  </si>
  <si>
    <t>1. Copy of Plans. 2. Copy of Revised LOI. 3. Copy Of Intimation.</t>
  </si>
  <si>
    <t>1(13 Wings )</t>
  </si>
  <si>
    <t>Sale Building- 1(Wing A)</t>
  </si>
  <si>
    <t>Sale Building- 1(Wing B)</t>
  </si>
  <si>
    <t>1st/Podium Floor For Residential, Parking &amp; Commercial.</t>
  </si>
  <si>
    <t>Total Approved Builtup area of the project in Sq. Mt. (Sale BUA)</t>
  </si>
  <si>
    <t xml:space="preserve"> Lawn &amp; Beyond Omkar international District, Plot No. 431, CTS. Nos. 3 of Village Ismalia,  CTS. Nos. 324, 325, 326, 327(Part), 327/1 To 4, 328/1 To 4 of Village Mogra, CTS. Nos. 135(Part), 135/1 To 25, 135/27 To 29, 135/31 To 93, 135/99 To 141, 135/143 To 213, 135/219 To 242, 135/247 To 297, 135/316 To 318, 135/332 To 335, W. E. Highway, Majaswadi, Andheri East, Mumbai.
</t>
  </si>
  <si>
    <t>W. E. Highway.</t>
  </si>
  <si>
    <t>Majaswadi.</t>
  </si>
  <si>
    <t>CTS. Nos. 324, 325, 326, 327(Part), 327/1 To 4, 328/1 To 4 of Village Mogra, CTS. Nos. 135(Part), 135/1 To 25, 135/27 To 29, 135/31 To 93, 135/99 To 141, 135/143 To 213, 135/219 To 242, 135/247 To 297, 135/316 To 318, 135/332 To 335.</t>
  </si>
  <si>
    <t>Revised LOI</t>
  </si>
  <si>
    <t>Intimation</t>
  </si>
  <si>
    <t>SRA/ENG/1115/KE/ML/PL/LOI</t>
  </si>
  <si>
    <t>17/05/2017.</t>
  </si>
  <si>
    <t>SRA/ENG/KE/MCGM/0026/20050616/ML/PL/AP</t>
  </si>
  <si>
    <t>Approved usage of the Property: Residential + Commercial.                                                                                                                                                   (Restrictive convenants in regards to land use , if any)</t>
  </si>
  <si>
    <t>400 060.</t>
  </si>
  <si>
    <t>5,00,000/-</t>
  </si>
  <si>
    <t>Club Charges</t>
  </si>
  <si>
    <t>10,00,000/-</t>
  </si>
  <si>
    <t>200/- From 1st Floor</t>
  </si>
  <si>
    <t>1 Year Advance Maintenance</t>
  </si>
  <si>
    <t>Other Charges</t>
  </si>
  <si>
    <t>1,25,600/-</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</si>
  <si>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</si>
  <si>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</si>
  <si>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</si>
  <si>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</si>
  <si>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</si>
  <si>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</si>
  <si>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</si>
  <si>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</si>
  <si>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</si>
  <si>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</si>
  <si>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</si>
  <si>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</si>
  <si>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</si>
  <si>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</si>
  <si>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</si>
  <si>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</si>
  <si>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</si>
  <si>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</si>
  <si>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</si>
  <si>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</si>
  <si>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</si>
  <si>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Recommended rate of the flat Per Sq. Ft. ( on Saleable area)</t>
  </si>
  <si>
    <t>PHOTOGRAPHS OF PROPERTY:</t>
  </si>
  <si>
    <t>GOOGLE MAP:</t>
  </si>
  <si>
    <t>Quality of construction: Good</t>
  </si>
  <si>
    <t>Basement</t>
  </si>
  <si>
    <t>Podium</t>
  </si>
  <si>
    <t>Ground</t>
  </si>
  <si>
    <t>Upper Floor</t>
  </si>
  <si>
    <t>Total Slab</t>
  </si>
  <si>
    <t>Saleable area</t>
  </si>
  <si>
    <t>RERA Number</t>
  </si>
  <si>
    <t>Lawns And Beyond - Phase 1 (A &amp; B) = P51800014195
Lawns And Beyond - Phase 2 (C to H) = P51800014105
Lawns And Beyond - Phase 3 (I to K) = P51800014037</t>
  </si>
  <si>
    <t>Abour  3.6 Km from     Jogeshwari Railway Station</t>
  </si>
  <si>
    <t>Stage of construction Sale Building No.1-Wing B : RCC work of Basement Floor's Slab, Lower Ground Floor's Slab,  Ground Floor's Slab, 1st +4th Floor's Slab work completed. Brick work &amp; Plaster of 1st &amp; 4th Floor completed. (Mivan Technology)</t>
  </si>
  <si>
    <t>Stage of construction Sale Building No.1-Wing C : RCC work of Basement Floor's Slab, Lower Ground Floor's Slab,  Ground Floor's Slab, 1st + 2nd Floor's Slab work completed. Brick work &amp; Plaster of 1st &amp; 2nd Floor completed. (Mivan Technology)</t>
  </si>
  <si>
    <t>Stage of construction Sale Building No.1-Wing D : RCC work of Basement Floor's Slab, Lower Ground Floor's Slab,  Ground Floor's Slab, 1st + 2nd Floor's Slab work completed. Brick work &amp; Plaster of 1st &amp; 2nd Floor completed. (Mivan Technology)</t>
  </si>
  <si>
    <t>Stage of construction Sale Building No.1-Wing K : RCC work of Basement Floor's Slab, Lower Ground Floor's Slab,  Ground Floor's Slab, 1st + 2nd Floor's Slab work &amp; partially 3rd Floor's Slab completed. Brick work &amp; Plaster of 1st &amp; 2nd Floor completed. (Mivan Technology)</t>
  </si>
  <si>
    <t>Stage of construction Sale Building No.1-Wing J : RCC work OF Basement Floor's Slab, Lower Ground Floor's Slab work completed. (Mivan Technology)</t>
  </si>
  <si>
    <t>Floors</t>
  </si>
  <si>
    <t>All work Completed. Wait For OC.</t>
  </si>
  <si>
    <t xml:space="preserve">Stage of construction: </t>
  </si>
  <si>
    <t>All work Completed. Part OC Received.</t>
  </si>
  <si>
    <t>Complition %</t>
  </si>
  <si>
    <t>Progress %</t>
  </si>
  <si>
    <t>Disbursement %</t>
  </si>
  <si>
    <t>All work Completed. OC Received.</t>
  </si>
  <si>
    <t>Excavation in process</t>
  </si>
  <si>
    <t>Excavation Completed</t>
  </si>
  <si>
    <t>Footing in Process</t>
  </si>
  <si>
    <t>Footing Completed</t>
  </si>
  <si>
    <t>Plinth in process</t>
  </si>
  <si>
    <t>Plinth completed</t>
  </si>
  <si>
    <t>Stage of construction Sale Building No.1-Wing B : RCC work of B + Lower Gr. + Gr. + 4th Floor's Slab work completed. Brick work &amp; Plaster of 1st &amp; 4th Floor completed. (Mivan Technology)</t>
  </si>
  <si>
    <t>Stage of construction Sale Building No.1-Wing J (Part 2) : RCC work of B + Lower Gr. + Gr. + 2nd Floor's Slab work completed. Brick work &amp; Plaster of 1st &amp; 2nd Floor completed. (Mivan Technology)</t>
  </si>
  <si>
    <t>Stage of construction Sale Building No.1-Wing D : RCC work of B + Lower Gr. + Gr. + 3rd Floor's Slab work completed. Brick work &amp; Plaster of 1st &amp; 3rd Floor completed. (Mivan Technology)</t>
  </si>
  <si>
    <t>Stage of construction Sale Building No.1-Wing K : RCC work of B + Lower Gr. + Gr. + 4th Floor's Slab work completed. Brick work &amp; Plaster of 1st &amp; 3rd Floor completed. (Mivan Technology)</t>
  </si>
  <si>
    <t>Stage of construction Sale Building No.1-Wing J (Part 1) : RCC work OF Basement Floor's Slab work completed. (Mivan Technology)</t>
  </si>
  <si>
    <t>Stage of construction Sale Building No.1-Wing A : RCC work of B + Lower Gr. + Gr. + 3rd Floor's Slab work completed. Brick work &amp; Plaster of 1st &amp; 3rd Floor completed. (Mivan Technology)</t>
  </si>
  <si>
    <t>B</t>
  </si>
  <si>
    <t>C</t>
  </si>
  <si>
    <t>D</t>
  </si>
  <si>
    <t>F</t>
  </si>
  <si>
    <t>J-1</t>
  </si>
  <si>
    <t>J-2</t>
  </si>
  <si>
    <t>K</t>
  </si>
  <si>
    <t>Feb</t>
  </si>
  <si>
    <t>Oct</t>
  </si>
  <si>
    <t>Wing</t>
  </si>
  <si>
    <t>P%</t>
  </si>
  <si>
    <t>D%</t>
  </si>
  <si>
    <t>All wings = B + Lower Gr. + Gr. + 1st to 19th Floor.</t>
  </si>
  <si>
    <t>Stage of construction Sale Building No.1-Wing C : RCC work of B + Lower Gr. + Gr. + 3rd Floor's Slab work completed. Brick work &amp; Plaster of 1st &amp; 3rd Floor completed. (Mivan Technology)</t>
  </si>
  <si>
    <t>Stage of construction Sale Building No.1-Wing A : RCC work of Basement Floor's Slab, Lower Ground Floor's Slab,  Ground Floor's Slab, 1st + 3rd Floor's Slab work completed. Brick work &amp; Plaster of 1st &amp; 3rd Floor completed. (Mivan Technology)</t>
  </si>
  <si>
    <t>Stage of construction Sale Building No.1-Wing F : RCC work OF Basement Floor's Slab, Lower Ground Floor's Slab,  Ground Floor's Slab work completed. (Mivan Technology)</t>
  </si>
  <si>
    <t>28/09/2020.</t>
  </si>
  <si>
    <t>KE/MCGM/0026/200506161/ML/PL/AP/S1
Valid Upto : This CC extended upto 6th Floors
i.e 1st Floor/Podium + 2nd to 6th floor for wing A,B,C,D &amp; K by regularizing the work done beyond C.C as per approved amended plans dated 10/12/2018.</t>
  </si>
  <si>
    <t>KE/MCGM/0026/200506161/ML/PL/AP/S1
Valid Upto : This CC is re-endored upto Plinth level i.e. upto top of basement for wing A to K and portion of fitness center except wing L to P as  per amended plans approved dated 10/12/2018.</t>
  </si>
  <si>
    <t>09/01/2019.</t>
  </si>
  <si>
    <t>Market Research Data</t>
  </si>
  <si>
    <t>Source</t>
  </si>
  <si>
    <t>Distance from proposed property</t>
  </si>
  <si>
    <t>Net Carpet</t>
  </si>
  <si>
    <t>Saleable Area</t>
  </si>
  <si>
    <t>Rate on Saleable</t>
  </si>
  <si>
    <t>Market Value</t>
  </si>
  <si>
    <t>Magic Brick</t>
  </si>
  <si>
    <t>Average</t>
  </si>
  <si>
    <t xml:space="preserve">Valuation Adopted </t>
  </si>
  <si>
    <t>commonfloor</t>
  </si>
  <si>
    <t>Stilt/Ground/Lower Ground Floor For Parking &amp; Commercial (All Wings)</t>
  </si>
  <si>
    <t>99acres</t>
  </si>
  <si>
    <t>Magicbrick</t>
  </si>
  <si>
    <t>All work Completed. Provide OC.</t>
  </si>
  <si>
    <t>Slab/Floor</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</si>
  <si>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</si>
  <si>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</si>
  <si>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</si>
  <si>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</si>
  <si>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</si>
  <si>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</si>
  <si>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</si>
  <si>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</si>
  <si>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</si>
  <si>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</si>
  <si>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 xml:space="preserve">RCC </t>
  </si>
  <si>
    <t>Construction details: Building No.1-Wing F = B + Lower Gr. + Gr. + 1st to 19th Floor.</t>
  </si>
  <si>
    <t>Construction details: Building No.1-Wing B = B + Lower Gr. + Gr. + 1st to 19th Floor.</t>
  </si>
  <si>
    <t>Construction details: Building No.1-Wing D = B + Lower Gr. + Gr. + 1st to 19th Floor.</t>
  </si>
  <si>
    <t>Building No.1-Wing Wing E = B + Lower Gr. + Gr. + 1st to 19th Floor.</t>
  </si>
  <si>
    <t>Construction details:</t>
  </si>
  <si>
    <t>Piling Work in process</t>
  </si>
  <si>
    <t>RCC (Including podiums)</t>
  </si>
  <si>
    <t>Basement 1</t>
  </si>
  <si>
    <t>Basement 2</t>
  </si>
  <si>
    <t>Basement 3</t>
  </si>
  <si>
    <t>Basement 4</t>
  </si>
  <si>
    <t>Construction details: Building No.1-Wing J = B + Lower Gr. + Gr. + 1st to 19th Floor.</t>
  </si>
  <si>
    <t>90000/-</t>
  </si>
  <si>
    <t>Construction details: Building No.1-Wing A &amp; B = B + Lower Gr. + Gr. + 1st to 19th Floor.</t>
  </si>
  <si>
    <t>Construction details: Building No.1-Wing C &amp; D  = B + Lower Gr. + Gr. + 1st to 19th Floor.</t>
  </si>
  <si>
    <t>Construction details: Building No.1-Wing K (Part II)= B + Lower Gr. + Gr. + 1st to 19th Floor.</t>
  </si>
  <si>
    <t>Disbursement%</t>
  </si>
  <si>
    <t xml:space="preserve">Construction details: Average Building No.1 - Wing K  = (Part I) &amp; (Part II) </t>
  </si>
  <si>
    <t>Building No.1- Wing E = B + Lower Gr. + Gr. + 1st to 19th Floor.</t>
  </si>
  <si>
    <t>Construction details: Building No.1 - Wing G, L &amp; M = B + Lower Gr. + Gr. + 1st to 19th Floor.</t>
  </si>
  <si>
    <t>Construction details: Building No.1-Wing H = B + Lower Gr. + Gr. + 1st to 19th Floor.</t>
  </si>
  <si>
    <t>Construction details: Building No.1-Wing I = B + Lower Gr. + Gr. + 1st to 19th Floor.</t>
  </si>
  <si>
    <t>Location Link</t>
  </si>
  <si>
    <t>https://goo.gl/maps/yYe3RkCxoTEgz6sM6</t>
  </si>
  <si>
    <t>Construction details: Building No.1-Wing K = B + Lower Gr. + Gr. + 1st to 19th Floor.</t>
  </si>
  <si>
    <t xml:space="preserve">Office No. 1031, Wing J, Akshar Business Park, Plot No. 03 Sector 25, Near APMC Market, Vashi, Navi Mumbai, Maharashtra 400703 TEL: 022-46090378/79/8
E mail : vsjcapf@gmail.com. Web site : www.vsjadon.com
</t>
  </si>
  <si>
    <t>Notice From BMC :</t>
  </si>
  <si>
    <t>as per watchman work Stop 13/09/2024</t>
  </si>
  <si>
    <t>Phase I = 31/03/2026
Phase II &amp; III = 31/03/2027</t>
  </si>
  <si>
    <t xml:space="preserve">Remarks:  
1. Wing A to F, H to K - Construction work was stopped. Work is same as last visit(15/09/2023).
    Internal Visit was not allowed.
    Wing G, L &amp; M -  Work not yet started.
2. We considered Saleable area as per our calculation.
3. We considered Carpet area as per Approved Plan.
4. We considered rate as per Market Inquire.
5. L &amp; M wings are not registered on RERA.
6. Recommended rate should be considered as all inclusive rate if other charges are not mentioned. (Excluding GST &amp; other government Taxes).
7. Please provide latest amended Plans as mentioned in CC.
8. We have considered Other charges from cost sheet.
9. Car parking is subjected to authentic documentation.
10. Please provide revised approved CC.
11. The Ministry of Environment and Forest Department Notice has been placed in project premisses by BMC, which is attached below.
12. The project has received first CC on 09/01/2019, But construction work is not yet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</si>
</sst>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9"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2"/>
      <name val="Times New Roman"/>
      <family val="1"/>
    </font>
    <font>
      <b/>
      <sz val="12"/>
      <name val="Times New Roman"/>
      <family val="1"/>
    </font>
    <font>
      <sz val="10"/>
      <name val="Arial"/>
      <family val="2"/>
    </font>
    <font>
      <b/>
      <sz val="10"/>
      <color indexed="8"/>
      <name val="Times New Roman"/>
      <family val="1"/>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theme="1"/>
      <name val="Times New Roman"/>
      <family val="1"/>
    </font>
    <font>
      <sz val="12"/>
      <color theme="1"/>
      <name val="Times New Roman"/>
      <family val="1"/>
    </font>
    <font>
      <sz val="11"/>
      <color rgb="FF000000"/>
      <name val="Times New Roman"/>
      <family val="1"/>
    </font>
    <font>
      <sz val="12"/>
      <color rgb="FF000000"/>
      <name val="Calibri"/>
      <family val="2"/>
      <scheme val="minor"/>
    </font>
    <font>
      <sz val="11"/>
      <color rgb="FFFF0000"/>
      <name val="Calibri"/>
      <family val="2"/>
    </font>
    <font>
      <sz val="11"/>
      <name val="Calibri"/>
      <family val="2"/>
      <scheme val="minor"/>
    </font>
    <font>
      <b/>
      <sz val="11"/>
      <color rgb="FF000000"/>
      <name val="Times New Roman"/>
      <family val="1"/>
    </font>
    <font>
      <sz val="11"/>
      <color theme="1"/>
      <name val="Times New Roman"/>
      <family val="1"/>
    </font>
    <font>
      <u/>
      <sz val="11"/>
      <color theme="10"/>
      <name val="Calibri"/>
      <family val="2"/>
      <scheme val="minor"/>
    </font>
    <font>
      <sz val="11"/>
      <color rgb="FFFF0000"/>
      <name val="Arial"/>
      <family val="2"/>
    </font>
  </fonts>
  <fills count="4">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12">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5" fillId="0" borderId="0"/>
    <xf numFmtId="0" fontId="15" fillId="0" borderId="0"/>
    <xf numFmtId="0" fontId="13" fillId="0" borderId="0"/>
    <xf numFmtId="0" fontId="15" fillId="0" borderId="0"/>
    <xf numFmtId="0" fontId="16" fillId="0" borderId="0"/>
    <xf numFmtId="9" fontId="15" fillId="0" borderId="0" applyFont="0" applyFill="0" applyBorder="0" applyAlignment="0" applyProtection="0"/>
    <xf numFmtId="0" fontId="27" fillId="0" borderId="0" applyNumberFormat="0" applyFill="0" applyBorder="0" applyAlignment="0" applyProtection="0"/>
  </cellStyleXfs>
  <cellXfs count="197">
    <xf numFmtId="0" fontId="0" fillId="0" borderId="0" xfId="0"/>
    <xf numFmtId="1" fontId="6" fillId="0" borderId="2" xfId="0" applyNumberFormat="1" applyFont="1" applyBorder="1" applyAlignment="1">
      <alignment horizontal="center" vertical="top" wrapText="1"/>
    </xf>
    <xf numFmtId="0" fontId="0" fillId="0" borderId="2" xfId="0" applyBorder="1"/>
    <xf numFmtId="0" fontId="17" fillId="0" borderId="2" xfId="0" applyFont="1" applyBorder="1"/>
    <xf numFmtId="0" fontId="0" fillId="0" borderId="3" xfId="0" applyBorder="1"/>
    <xf numFmtId="0" fontId="0" fillId="2" borderId="2" xfId="0" applyFill="1" applyBorder="1"/>
    <xf numFmtId="0" fontId="17" fillId="0" borderId="2" xfId="0" applyFont="1" applyBorder="1" applyAlignment="1">
      <alignment horizontal="center"/>
    </xf>
    <xf numFmtId="1" fontId="11" fillId="0" borderId="2" xfId="0" applyNumberFormat="1" applyFont="1" applyBorder="1" applyAlignment="1">
      <alignment horizontal="center" vertical="center" wrapText="1"/>
    </xf>
    <xf numFmtId="0" fontId="17"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0" fillId="0" borderId="0" xfId="0" applyAlignment="1">
      <alignment horizontal="right"/>
    </xf>
    <xf numFmtId="1" fontId="0" fillId="0" borderId="0" xfId="0" applyNumberFormat="1"/>
    <xf numFmtId="0" fontId="20" fillId="0" borderId="5" xfId="6" applyFont="1" applyBorder="1" applyProtection="1">
      <protection hidden="1"/>
    </xf>
    <xf numFmtId="0" fontId="20" fillId="0" borderId="6" xfId="6" applyFont="1" applyBorder="1" applyProtection="1">
      <protection hidden="1"/>
    </xf>
    <xf numFmtId="0" fontId="20" fillId="0" borderId="7" xfId="6" applyFont="1" applyBorder="1" applyProtection="1">
      <protection hidden="1"/>
    </xf>
    <xf numFmtId="0" fontId="20" fillId="0" borderId="8" xfId="6" applyFont="1" applyBorder="1" applyProtection="1">
      <protection hidden="1"/>
    </xf>
    <xf numFmtId="0" fontId="20" fillId="0" borderId="0" xfId="6" applyFont="1" applyProtection="1">
      <protection hidden="1"/>
    </xf>
    <xf numFmtId="0" fontId="20" fillId="0" borderId="9" xfId="6" applyFont="1" applyBorder="1" applyProtection="1">
      <protection hidden="1"/>
    </xf>
    <xf numFmtId="0" fontId="20" fillId="0" borderId="0" xfId="6" applyFont="1"/>
    <xf numFmtId="0" fontId="20" fillId="0" borderId="9" xfId="6" applyFont="1" applyBorder="1"/>
    <xf numFmtId="0" fontId="20" fillId="0" borderId="8" xfId="6" applyFont="1" applyBorder="1"/>
    <xf numFmtId="0" fontId="21" fillId="0" borderId="8" xfId="0" applyFont="1" applyBorder="1" applyProtection="1">
      <protection hidden="1"/>
    </xf>
    <xf numFmtId="9" fontId="21" fillId="0" borderId="0" xfId="0" applyNumberFormat="1" applyFont="1" applyProtection="1">
      <protection hidden="1"/>
    </xf>
    <xf numFmtId="9" fontId="21" fillId="0" borderId="9" xfId="0" applyNumberFormat="1" applyFont="1" applyBorder="1" applyProtection="1">
      <protection hidden="1"/>
    </xf>
    <xf numFmtId="0" fontId="21" fillId="0" borderId="10" xfId="0" applyFont="1" applyBorder="1" applyProtection="1">
      <protection hidden="1"/>
    </xf>
    <xf numFmtId="9" fontId="21" fillId="0" borderId="11" xfId="0" applyNumberFormat="1" applyFont="1" applyBorder="1" applyProtection="1">
      <protection hidden="1"/>
    </xf>
    <xf numFmtId="9" fontId="21" fillId="0" borderId="12" xfId="0" applyNumberFormat="1" applyFont="1" applyBorder="1" applyProtection="1">
      <protection hidden="1"/>
    </xf>
    <xf numFmtId="1" fontId="0" fillId="0" borderId="2" xfId="0" applyNumberFormat="1" applyBorder="1"/>
    <xf numFmtId="0" fontId="0" fillId="0" borderId="0" xfId="0" applyAlignment="1">
      <alignment horizontal="center" vertical="top"/>
    </xf>
    <xf numFmtId="0" fontId="0" fillId="0" borderId="2" xfId="0" applyBorder="1" applyAlignment="1">
      <alignment horizontal="center"/>
    </xf>
    <xf numFmtId="0" fontId="22" fillId="0" borderId="2" xfId="0" applyFont="1" applyBorder="1" applyAlignment="1">
      <alignment horizontal="center"/>
    </xf>
    <xf numFmtId="0" fontId="17" fillId="0" borderId="2" xfId="0" applyFont="1" applyBorder="1" applyAlignment="1">
      <alignment horizontal="center" vertical="top"/>
    </xf>
    <xf numFmtId="0" fontId="0" fillId="0" borderId="0" xfId="0" applyAlignment="1">
      <alignment horizontal="center" vertical="top" wrapText="1"/>
    </xf>
    <xf numFmtId="1" fontId="0" fillId="0" borderId="2" xfId="0" applyNumberFormat="1" applyBorder="1" applyAlignment="1">
      <alignment horizontal="center" vertical="center"/>
    </xf>
    <xf numFmtId="0" fontId="16" fillId="0" borderId="0" xfId="9"/>
    <xf numFmtId="0" fontId="1" fillId="0" borderId="0" xfId="3"/>
    <xf numFmtId="0" fontId="15" fillId="0" borderId="0" xfId="8"/>
    <xf numFmtId="0" fontId="17" fillId="0" borderId="2" xfId="8" applyFont="1" applyBorder="1" applyAlignment="1">
      <alignment horizontal="center" vertical="top" wrapText="1"/>
    </xf>
    <xf numFmtId="0" fontId="23" fillId="0" borderId="0" xfId="3" applyFont="1"/>
    <xf numFmtId="0" fontId="15" fillId="0" borderId="2" xfId="8" applyBorder="1" applyAlignment="1">
      <alignment horizontal="center" vertical="center"/>
    </xf>
    <xf numFmtId="1" fontId="15" fillId="0" borderId="2" xfId="8" applyNumberFormat="1" applyBorder="1" applyAlignment="1">
      <alignment horizontal="center" vertical="center"/>
    </xf>
    <xf numFmtId="165" fontId="15" fillId="0" borderId="2" xfId="1" applyNumberFormat="1" applyFont="1" applyBorder="1" applyAlignment="1">
      <alignment horizontal="right" vertical="center"/>
    </xf>
    <xf numFmtId="0" fontId="17" fillId="0" borderId="2" xfId="8" applyFont="1" applyBorder="1" applyAlignment="1">
      <alignment horizontal="center" vertical="center"/>
    </xf>
    <xf numFmtId="1" fontId="18" fillId="0" borderId="2" xfId="8" applyNumberFormat="1" applyFont="1" applyBorder="1" applyAlignment="1">
      <alignment horizontal="center" vertical="center"/>
    </xf>
    <xf numFmtId="0" fontId="1" fillId="0" borderId="2" xfId="3" applyBorder="1" applyAlignment="1">
      <alignment horizontal="center" vertical="center"/>
    </xf>
    <xf numFmtId="0" fontId="15" fillId="0" borderId="2" xfId="8" applyBorder="1" applyAlignment="1">
      <alignment horizontal="left" vertical="center"/>
    </xf>
    <xf numFmtId="1" fontId="14" fillId="0" borderId="2" xfId="0" applyNumberFormat="1" applyFont="1" applyBorder="1" applyAlignment="1">
      <alignment horizontal="center" vertical="top" wrapText="1"/>
    </xf>
    <xf numFmtId="0" fontId="4" fillId="0" borderId="2" xfId="0" applyFont="1" applyBorder="1" applyAlignment="1">
      <alignment vertical="top" wrapText="1"/>
    </xf>
    <xf numFmtId="0" fontId="18" fillId="0" borderId="2" xfId="8" applyFont="1" applyBorder="1" applyAlignment="1">
      <alignment horizontal="center" vertical="center"/>
    </xf>
    <xf numFmtId="0" fontId="18" fillId="0" borderId="2" xfId="8" applyFont="1" applyBorder="1" applyAlignment="1">
      <alignment horizontal="left" vertical="center"/>
    </xf>
    <xf numFmtId="165" fontId="18" fillId="0" borderId="2" xfId="1" applyNumberFormat="1" applyFont="1" applyBorder="1" applyAlignment="1">
      <alignment horizontal="right" vertical="center"/>
    </xf>
    <xf numFmtId="0" fontId="21" fillId="0" borderId="0" xfId="0" applyFont="1" applyProtection="1">
      <protection hidden="1"/>
    </xf>
    <xf numFmtId="0" fontId="11" fillId="0" borderId="6" xfId="6" applyFont="1" applyBorder="1" applyProtection="1">
      <protection hidden="1"/>
    </xf>
    <xf numFmtId="0" fontId="11" fillId="0" borderId="0" xfId="6" applyFont="1" applyProtection="1">
      <protection hidden="1"/>
    </xf>
    <xf numFmtId="0" fontId="9" fillId="0" borderId="0" xfId="0" applyFont="1" applyProtection="1">
      <protection hidden="1"/>
    </xf>
    <xf numFmtId="0" fontId="11" fillId="0" borderId="2" xfId="6" applyFont="1" applyBorder="1" applyAlignment="1" applyProtection="1">
      <alignment horizontal="center" vertical="top" wrapText="1"/>
      <protection locked="0"/>
    </xf>
    <xf numFmtId="0" fontId="11" fillId="0" borderId="2" xfId="6" applyFont="1" applyBorder="1" applyAlignment="1" applyProtection="1">
      <alignment horizontal="center" vertical="top"/>
      <protection locked="0"/>
    </xf>
    <xf numFmtId="0" fontId="4" fillId="0" borderId="2" xfId="0" applyFont="1" applyBorder="1" applyAlignment="1">
      <alignment horizontal="left" vertical="top"/>
    </xf>
    <xf numFmtId="1" fontId="10" fillId="0" borderId="2" xfId="0" applyNumberFormat="1" applyFont="1" applyBorder="1" applyAlignment="1">
      <alignment horizontal="center" vertical="center" wrapText="1"/>
    </xf>
    <xf numFmtId="0" fontId="4" fillId="0" borderId="2" xfId="0" applyFont="1" applyBorder="1" applyAlignment="1">
      <alignment horizontal="center" vertical="top"/>
    </xf>
    <xf numFmtId="0" fontId="4" fillId="0" borderId="2" xfId="0" applyFont="1" applyBorder="1" applyAlignment="1">
      <alignment vertical="top"/>
    </xf>
    <xf numFmtId="0" fontId="5" fillId="0" borderId="2" xfId="0" applyFont="1" applyBorder="1" applyAlignment="1">
      <alignment vertical="top"/>
    </xf>
    <xf numFmtId="0" fontId="11" fillId="0" borderId="2" xfId="6" applyFont="1" applyBorder="1" applyAlignment="1" applyProtection="1">
      <alignment horizontal="center" wrapText="1"/>
      <protection locked="0"/>
    </xf>
    <xf numFmtId="1" fontId="11" fillId="0" borderId="2" xfId="6" applyNumberFormat="1" applyFont="1" applyBorder="1" applyAlignment="1" applyProtection="1">
      <alignment horizontal="center" wrapText="1"/>
      <protection locked="0"/>
    </xf>
    <xf numFmtId="0" fontId="21" fillId="0" borderId="9" xfId="0" applyFont="1" applyBorder="1" applyProtection="1">
      <protection hidden="1"/>
    </xf>
    <xf numFmtId="0" fontId="0" fillId="0" borderId="11" xfId="0" applyBorder="1"/>
    <xf numFmtId="0" fontId="0" fillId="0" borderId="12" xfId="0" applyBorder="1"/>
    <xf numFmtId="0" fontId="11" fillId="0" borderId="7" xfId="6" applyFont="1" applyBorder="1" applyProtection="1">
      <protection hidden="1"/>
    </xf>
    <xf numFmtId="0" fontId="24" fillId="0" borderId="0" xfId="0" applyFont="1"/>
    <xf numFmtId="0" fontId="11" fillId="0" borderId="9" xfId="6" applyFont="1" applyBorder="1" applyProtection="1">
      <protection hidden="1"/>
    </xf>
    <xf numFmtId="0" fontId="11" fillId="0" borderId="9" xfId="6" applyFont="1" applyBorder="1"/>
    <xf numFmtId="0" fontId="9" fillId="0" borderId="9" xfId="0" applyFont="1" applyBorder="1" applyProtection="1">
      <protection hidden="1"/>
    </xf>
    <xf numFmtId="9" fontId="9" fillId="0" borderId="9" xfId="0" applyNumberFormat="1" applyFont="1" applyBorder="1" applyProtection="1">
      <protection hidden="1"/>
    </xf>
    <xf numFmtId="1" fontId="0" fillId="0" borderId="0" xfId="0" applyNumberFormat="1" applyAlignment="1">
      <alignment horizontal="right"/>
    </xf>
    <xf numFmtId="9" fontId="9" fillId="0" borderId="12" xfId="0" applyNumberFormat="1" applyFont="1" applyBorder="1" applyProtection="1">
      <protection hidden="1"/>
    </xf>
    <xf numFmtId="0" fontId="24" fillId="0" borderId="12" xfId="0" applyFont="1" applyBorder="1"/>
    <xf numFmtId="0" fontId="11" fillId="0" borderId="0" xfId="6" applyFont="1"/>
    <xf numFmtId="9" fontId="9" fillId="0" borderId="0" xfId="0" applyNumberFormat="1" applyFont="1" applyProtection="1">
      <protection hidden="1"/>
    </xf>
    <xf numFmtId="0" fontId="24" fillId="0" borderId="11" xfId="0" applyFont="1" applyBorder="1"/>
    <xf numFmtId="0" fontId="2" fillId="0" borderId="0" xfId="2"/>
    <xf numFmtId="0" fontId="19" fillId="0" borderId="0" xfId="0" applyFont="1"/>
    <xf numFmtId="0" fontId="17" fillId="0" borderId="0" xfId="0" applyFont="1"/>
    <xf numFmtId="0" fontId="11" fillId="0" borderId="4" xfId="6" applyFont="1" applyBorder="1" applyAlignment="1" applyProtection="1">
      <alignment horizontal="center" wrapText="1"/>
      <protection locked="0"/>
    </xf>
    <xf numFmtId="0" fontId="28" fillId="0" borderId="0" xfId="0" applyFont="1"/>
    <xf numFmtId="0" fontId="18" fillId="0" borderId="0" xfId="0" applyFont="1"/>
    <xf numFmtId="0" fontId="11" fillId="0" borderId="2" xfId="6" applyFont="1" applyBorder="1" applyAlignment="1" applyProtection="1">
      <alignment horizontal="center" vertical="top" wrapText="1"/>
      <protection locked="0"/>
    </xf>
    <xf numFmtId="9" fontId="11" fillId="0" borderId="2" xfId="6" applyNumberFormat="1" applyFont="1" applyBorder="1" applyAlignment="1" applyProtection="1">
      <alignment horizontal="center" vertical="center" wrapText="1"/>
      <protection hidden="1"/>
    </xf>
    <xf numFmtId="0" fontId="11" fillId="0" borderId="2" xfId="6" applyFont="1" applyBorder="1" applyAlignment="1" applyProtection="1">
      <alignment horizontal="center" vertical="top"/>
      <protection locked="0"/>
    </xf>
    <xf numFmtId="0" fontId="12" fillId="0" borderId="2" xfId="6" applyFont="1" applyBorder="1" applyAlignment="1" applyProtection="1">
      <alignment horizontal="left" vertical="top" wrapText="1"/>
      <protection locked="0"/>
    </xf>
    <xf numFmtId="0" fontId="12" fillId="0" borderId="2" xfId="6" applyFont="1" applyBorder="1" applyAlignment="1" applyProtection="1">
      <alignment horizontal="left" vertical="top"/>
      <protection locked="0"/>
    </xf>
    <xf numFmtId="0" fontId="12" fillId="3" borderId="23" xfId="6" applyFont="1" applyFill="1" applyBorder="1" applyAlignment="1" applyProtection="1">
      <alignment horizontal="center" vertical="top" wrapText="1"/>
      <protection locked="0"/>
    </xf>
    <xf numFmtId="0" fontId="12" fillId="3" borderId="4" xfId="6" applyFont="1" applyFill="1" applyBorder="1" applyAlignment="1" applyProtection="1">
      <alignment horizontal="center" vertical="top" wrapText="1"/>
      <protection locked="0"/>
    </xf>
    <xf numFmtId="9" fontId="12" fillId="3" borderId="4" xfId="10" applyFont="1" applyFill="1" applyBorder="1" applyAlignment="1" applyProtection="1">
      <alignment horizontal="center" vertical="top" wrapText="1"/>
      <protection locked="0"/>
    </xf>
    <xf numFmtId="9" fontId="11" fillId="0" borderId="4" xfId="6" applyNumberFormat="1" applyFont="1" applyBorder="1" applyAlignment="1" applyProtection="1">
      <alignment horizontal="center" vertical="center" wrapText="1"/>
      <protection hidden="1"/>
    </xf>
    <xf numFmtId="0" fontId="11" fillId="0" borderId="4" xfId="6" applyFont="1" applyBorder="1" applyAlignment="1" applyProtection="1">
      <alignment horizontal="center" vertical="top" wrapText="1"/>
      <protection locked="0"/>
    </xf>
    <xf numFmtId="0" fontId="12" fillId="3" borderId="20" xfId="6" applyFont="1" applyFill="1" applyBorder="1" applyAlignment="1" applyProtection="1">
      <alignment horizontal="left" vertical="top" wrapText="1"/>
      <protection locked="0"/>
    </xf>
    <xf numFmtId="0" fontId="12" fillId="3" borderId="21" xfId="6" applyFont="1" applyFill="1" applyBorder="1" applyAlignment="1" applyProtection="1">
      <alignment horizontal="left" vertical="top" wrapText="1"/>
      <protection locked="0"/>
    </xf>
    <xf numFmtId="0" fontId="12" fillId="3" borderId="22" xfId="6" applyFont="1" applyFill="1" applyBorder="1" applyAlignment="1" applyProtection="1">
      <alignment horizontal="left" vertical="top" wrapText="1"/>
      <protection locked="0"/>
    </xf>
    <xf numFmtId="0" fontId="12" fillId="3" borderId="15" xfId="6" applyFont="1" applyFill="1" applyBorder="1" applyAlignment="1" applyProtection="1">
      <alignment horizontal="center" vertical="top" wrapText="1"/>
      <protection locked="0"/>
    </xf>
    <xf numFmtId="0" fontId="12" fillId="3" borderId="16" xfId="6" applyFont="1" applyFill="1" applyBorder="1" applyAlignment="1" applyProtection="1">
      <alignment horizontal="center" vertical="top" wrapText="1"/>
      <protection locked="0"/>
    </xf>
    <xf numFmtId="0" fontId="12" fillId="3" borderId="17" xfId="6" applyFont="1" applyFill="1" applyBorder="1" applyAlignment="1" applyProtection="1">
      <alignment horizontal="center" vertical="top" wrapText="1"/>
      <protection locked="0"/>
    </xf>
    <xf numFmtId="9" fontId="12" fillId="3" borderId="15" xfId="10" applyFont="1" applyFill="1" applyBorder="1" applyAlignment="1" applyProtection="1">
      <alignment horizontal="center" vertical="top" wrapText="1"/>
      <protection locked="0"/>
    </xf>
    <xf numFmtId="9" fontId="12" fillId="3" borderId="16" xfId="10" applyFont="1" applyFill="1" applyBorder="1" applyAlignment="1" applyProtection="1">
      <alignment horizontal="center" vertical="top" wrapText="1"/>
      <protection locked="0"/>
    </xf>
    <xf numFmtId="9" fontId="12" fillId="3" borderId="24" xfId="10" applyFont="1" applyFill="1" applyBorder="1" applyAlignment="1" applyProtection="1">
      <alignment horizontal="center" vertical="top" wrapText="1"/>
      <protection locked="0"/>
    </xf>
    <xf numFmtId="0" fontId="3" fillId="0" borderId="2" xfId="0" applyFont="1" applyBorder="1" applyAlignment="1">
      <alignment horizontal="left" vertical="top" wrapText="1"/>
    </xf>
    <xf numFmtId="14" fontId="26" fillId="0" borderId="2" xfId="0" applyNumberFormat="1" applyFont="1" applyBorder="1" applyAlignment="1">
      <alignment horizontal="left" vertical="top" wrapText="1"/>
    </xf>
    <xf numFmtId="0" fontId="26" fillId="0" borderId="2" xfId="0" applyFont="1" applyBorder="1" applyAlignment="1">
      <alignment horizontal="left" vertical="top"/>
    </xf>
    <xf numFmtId="0" fontId="4" fillId="0" borderId="2" xfId="0" applyFont="1" applyBorder="1" applyAlignment="1">
      <alignment horizontal="left" vertical="top"/>
    </xf>
    <xf numFmtId="0" fontId="4" fillId="0" borderId="2" xfId="0" applyFont="1" applyBorder="1" applyAlignment="1">
      <alignment horizontal="left" vertical="top" wrapText="1"/>
    </xf>
    <xf numFmtId="1" fontId="6" fillId="0" borderId="1" xfId="0" applyNumberFormat="1" applyFont="1" applyBorder="1" applyAlignment="1">
      <alignment horizontal="center" vertical="center" wrapText="1"/>
    </xf>
    <xf numFmtId="1" fontId="6" fillId="0" borderId="14"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0" fontId="4" fillId="0" borderId="2" xfId="0" applyFont="1" applyBorder="1" applyAlignment="1">
      <alignment vertical="top"/>
    </xf>
    <xf numFmtId="0" fontId="4" fillId="0" borderId="1" xfId="0" applyFont="1" applyBorder="1" applyAlignment="1">
      <alignment horizontal="left" vertical="top"/>
    </xf>
    <xf numFmtId="0" fontId="4" fillId="0" borderId="14" xfId="0" applyFont="1" applyBorder="1" applyAlignment="1">
      <alignment horizontal="left" vertical="top"/>
    </xf>
    <xf numFmtId="0" fontId="4" fillId="0" borderId="13" xfId="0" applyFont="1" applyBorder="1" applyAlignment="1">
      <alignment horizontal="left" vertical="top"/>
    </xf>
    <xf numFmtId="0" fontId="4" fillId="0" borderId="1"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1" fontId="10" fillId="0" borderId="1"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6" fillId="0" borderId="15" xfId="0" applyNumberFormat="1" applyFont="1" applyBorder="1" applyAlignment="1">
      <alignment horizontal="center" vertical="center" wrapText="1"/>
    </xf>
    <xf numFmtId="1" fontId="6" fillId="0" borderId="16"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6" fillId="0" borderId="19"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1" fontId="11" fillId="0" borderId="13"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 fontId="12" fillId="0" borderId="14" xfId="0" applyNumberFormat="1" applyFont="1" applyBorder="1" applyAlignment="1">
      <alignment horizontal="center" vertical="center" wrapText="1"/>
    </xf>
    <xf numFmtId="1" fontId="12" fillId="0" borderId="13" xfId="0" applyNumberFormat="1" applyFont="1" applyBorder="1" applyAlignment="1">
      <alignment horizontal="center" vertical="center" wrapText="1"/>
    </xf>
    <xf numFmtId="1" fontId="12" fillId="0" borderId="15" xfId="0" applyNumberFormat="1" applyFont="1" applyBorder="1" applyAlignment="1">
      <alignment horizontal="center" vertical="center" wrapText="1"/>
    </xf>
    <xf numFmtId="1" fontId="12" fillId="0" borderId="16" xfId="0" applyNumberFormat="1" applyFont="1" applyBorder="1" applyAlignment="1">
      <alignment horizontal="center" vertical="center" wrapText="1"/>
    </xf>
    <xf numFmtId="1" fontId="12" fillId="0" borderId="17" xfId="0" applyNumberFormat="1" applyFont="1" applyBorder="1" applyAlignment="1">
      <alignment horizontal="center" vertical="center" wrapText="1"/>
    </xf>
    <xf numFmtId="1" fontId="12" fillId="0" borderId="18" xfId="0" applyNumberFormat="1" applyFont="1" applyBorder="1" applyAlignment="1">
      <alignment horizontal="center" vertical="center" wrapText="1"/>
    </xf>
    <xf numFmtId="1" fontId="12" fillId="0" borderId="3" xfId="0" applyNumberFormat="1" applyFont="1" applyBorder="1" applyAlignment="1">
      <alignment horizontal="center" vertical="center" wrapText="1"/>
    </xf>
    <xf numFmtId="1" fontId="12" fillId="0" borderId="19"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13" xfId="0" applyNumberFormat="1" applyFont="1" applyBorder="1" applyAlignment="1">
      <alignment horizontal="center" vertical="top" wrapText="1"/>
    </xf>
    <xf numFmtId="0" fontId="8" fillId="0" borderId="2" xfId="0" applyFont="1" applyBorder="1" applyAlignment="1">
      <alignment vertical="top" wrapText="1"/>
    </xf>
    <xf numFmtId="0" fontId="9" fillId="0" borderId="2" xfId="0" applyFont="1" applyBorder="1" applyAlignment="1">
      <alignment horizontal="left" vertical="top" wrapText="1"/>
    </xf>
    <xf numFmtId="0" fontId="8" fillId="0" borderId="2" xfId="0" applyFont="1" applyBorder="1" applyAlignment="1">
      <alignment horizontal="left" vertical="top"/>
    </xf>
    <xf numFmtId="0" fontId="26" fillId="0" borderId="2" xfId="0" applyFont="1" applyBorder="1" applyAlignment="1">
      <alignment horizontal="left" vertical="top" wrapText="1"/>
    </xf>
    <xf numFmtId="0" fontId="0" fillId="0" borderId="2" xfId="0" applyBorder="1" applyAlignment="1">
      <alignment horizontal="left"/>
    </xf>
    <xf numFmtId="0" fontId="4" fillId="0" borderId="2" xfId="0" applyFont="1" applyBorder="1" applyAlignment="1">
      <alignment vertical="top" wrapText="1"/>
    </xf>
    <xf numFmtId="0" fontId="3" fillId="0" borderId="2" xfId="0" applyFont="1" applyBorder="1" applyAlignment="1">
      <alignment horizontal="center" vertical="top" wrapText="1"/>
    </xf>
    <xf numFmtId="0" fontId="5" fillId="0" borderId="2" xfId="0" applyFont="1" applyBorder="1" applyAlignment="1">
      <alignment horizontal="center" vertical="top"/>
    </xf>
    <xf numFmtId="0" fontId="9" fillId="0" borderId="2" xfId="0" applyFont="1" applyBorder="1" applyAlignment="1">
      <alignment horizontal="left" vertical="top"/>
    </xf>
    <xf numFmtId="0" fontId="3" fillId="0" borderId="2" xfId="0" applyFont="1" applyBorder="1" applyAlignment="1">
      <alignment horizontal="left" vertical="top"/>
    </xf>
    <xf numFmtId="0" fontId="3" fillId="0" borderId="1" xfId="0" applyFont="1" applyBorder="1" applyAlignment="1">
      <alignment horizontal="left" vertical="top"/>
    </xf>
    <xf numFmtId="0" fontId="7" fillId="0" borderId="14" xfId="0" applyFont="1" applyBorder="1" applyAlignment="1">
      <alignment horizontal="left" vertical="top"/>
    </xf>
    <xf numFmtId="0" fontId="7" fillId="0" borderId="13" xfId="0" applyFont="1" applyBorder="1" applyAlignment="1">
      <alignment horizontal="left" vertical="top"/>
    </xf>
    <xf numFmtId="0" fontId="3" fillId="0" borderId="1" xfId="0" applyFont="1" applyBorder="1" applyAlignment="1">
      <alignment horizontal="center" vertical="top"/>
    </xf>
    <xf numFmtId="0" fontId="3" fillId="0" borderId="14" xfId="0" applyFont="1" applyBorder="1" applyAlignment="1">
      <alignment horizontal="center" vertical="top"/>
    </xf>
    <xf numFmtId="0" fontId="3" fillId="0" borderId="13" xfId="0" applyFont="1" applyBorder="1" applyAlignment="1">
      <alignment horizontal="center" vertical="top"/>
    </xf>
    <xf numFmtId="0" fontId="9" fillId="0" borderId="1" xfId="0" applyFont="1" applyBorder="1" applyAlignment="1">
      <alignment horizontal="left" vertical="top" wrapText="1"/>
    </xf>
    <xf numFmtId="0" fontId="9" fillId="0" borderId="14" xfId="0" applyFont="1" applyBorder="1" applyAlignment="1">
      <alignment horizontal="left" vertical="top" wrapText="1"/>
    </xf>
    <xf numFmtId="0" fontId="9" fillId="0" borderId="13" xfId="0" applyFont="1" applyBorder="1" applyAlignment="1">
      <alignment horizontal="left" vertical="top" wrapText="1"/>
    </xf>
    <xf numFmtId="3" fontId="3" fillId="0" borderId="1" xfId="0" applyNumberFormat="1" applyFont="1" applyBorder="1" applyAlignment="1">
      <alignment horizontal="left" vertical="top"/>
    </xf>
    <xf numFmtId="3" fontId="3" fillId="0" borderId="14" xfId="0" applyNumberFormat="1" applyFont="1" applyBorder="1" applyAlignment="1">
      <alignment horizontal="left" vertical="top"/>
    </xf>
    <xf numFmtId="3" fontId="3" fillId="0" borderId="13" xfId="0" applyNumberFormat="1" applyFont="1" applyBorder="1" applyAlignment="1">
      <alignment horizontal="left" vertical="top"/>
    </xf>
    <xf numFmtId="0" fontId="5" fillId="0" borderId="1" xfId="0" applyFont="1" applyBorder="1" applyAlignment="1">
      <alignment horizontal="left" vertical="top"/>
    </xf>
    <xf numFmtId="0" fontId="5" fillId="0" borderId="14" xfId="0" applyFont="1" applyBorder="1" applyAlignment="1">
      <alignment horizontal="left" vertical="top"/>
    </xf>
    <xf numFmtId="0" fontId="5" fillId="0" borderId="13" xfId="0" applyFont="1" applyBorder="1" applyAlignment="1">
      <alignment horizontal="left" vertical="top"/>
    </xf>
    <xf numFmtId="0" fontId="4" fillId="0" borderId="1" xfId="0" applyFont="1" applyBorder="1" applyAlignment="1">
      <alignment vertical="top"/>
    </xf>
    <xf numFmtId="0" fontId="5" fillId="0" borderId="14" xfId="0" applyFont="1" applyBorder="1" applyAlignment="1">
      <alignment vertical="top"/>
    </xf>
    <xf numFmtId="0" fontId="5" fillId="0" borderId="13" xfId="0" applyFont="1" applyBorder="1" applyAlignment="1">
      <alignment vertical="top"/>
    </xf>
    <xf numFmtId="0" fontId="3" fillId="0" borderId="15" xfId="2" applyFont="1" applyBorder="1" applyAlignment="1">
      <alignment horizontal="left" vertical="top" wrapText="1"/>
    </xf>
    <xf numFmtId="0" fontId="3" fillId="0" borderId="16" xfId="2" applyFont="1" applyBorder="1" applyAlignment="1">
      <alignment horizontal="left" vertical="top" wrapText="1"/>
    </xf>
    <xf numFmtId="0" fontId="3" fillId="0" borderId="17" xfId="2" applyFont="1" applyBorder="1" applyAlignment="1">
      <alignment horizontal="left" vertical="top" wrapText="1"/>
    </xf>
    <xf numFmtId="0" fontId="3" fillId="0" borderId="18" xfId="2" applyFont="1" applyBorder="1" applyAlignment="1">
      <alignment horizontal="left" vertical="top" wrapText="1"/>
    </xf>
    <xf numFmtId="0" fontId="3" fillId="0" borderId="3" xfId="2" applyFont="1" applyBorder="1" applyAlignment="1">
      <alignment horizontal="left" vertical="top" wrapText="1"/>
    </xf>
    <xf numFmtId="0" fontId="3" fillId="0" borderId="19" xfId="2" applyFont="1" applyBorder="1" applyAlignment="1">
      <alignment horizontal="left" vertical="top" wrapText="1"/>
    </xf>
    <xf numFmtId="0" fontId="5" fillId="0" borderId="1" xfId="0" applyFont="1" applyBorder="1" applyAlignment="1">
      <alignment vertical="top"/>
    </xf>
    <xf numFmtId="0" fontId="5" fillId="0" borderId="2" xfId="0" applyFont="1" applyBorder="1" applyAlignment="1">
      <alignment vertical="top"/>
    </xf>
    <xf numFmtId="0" fontId="4" fillId="0" borderId="2" xfId="0" applyFont="1" applyBorder="1" applyAlignment="1">
      <alignment horizontal="center" vertical="top"/>
    </xf>
    <xf numFmtId="0" fontId="27" fillId="0" borderId="2" xfId="11" applyBorder="1" applyAlignment="1">
      <alignment horizontal="left" vertical="top"/>
    </xf>
    <xf numFmtId="0" fontId="5" fillId="0" borderId="2" xfId="0" applyFont="1" applyBorder="1" applyAlignment="1">
      <alignment horizontal="left" vertical="top"/>
    </xf>
    <xf numFmtId="0" fontId="3" fillId="0" borderId="2" xfId="0" applyFont="1" applyBorder="1" applyAlignment="1">
      <alignment horizontal="center" vertical="top"/>
    </xf>
    <xf numFmtId="14" fontId="4" fillId="0" borderId="2" xfId="0" applyNumberFormat="1" applyFont="1" applyBorder="1" applyAlignment="1">
      <alignment horizontal="left" vertical="top"/>
    </xf>
    <xf numFmtId="0" fontId="5" fillId="0" borderId="2" xfId="0" applyFont="1" applyBorder="1" applyAlignment="1">
      <alignment horizontal="left" vertical="top" wrapText="1"/>
    </xf>
    <xf numFmtId="0" fontId="4" fillId="0" borderId="2" xfId="0" applyFont="1" applyBorder="1" applyAlignment="1">
      <alignment horizontal="center" vertical="top" wrapText="1"/>
    </xf>
    <xf numFmtId="0" fontId="7" fillId="0" borderId="1" xfId="0" applyFont="1" applyBorder="1" applyAlignment="1">
      <alignment horizontal="left" vertical="top"/>
    </xf>
    <xf numFmtId="0" fontId="12" fillId="0" borderId="2" xfId="6" applyFont="1" applyBorder="1" applyAlignment="1" applyProtection="1">
      <alignment horizontal="center" vertical="top" wrapText="1"/>
      <protection locked="0"/>
    </xf>
    <xf numFmtId="0" fontId="0" fillId="0" borderId="2" xfId="0" applyBorder="1" applyAlignment="1">
      <alignment horizontal="left" vertical="top" wrapText="1"/>
    </xf>
    <xf numFmtId="17" fontId="0" fillId="0" borderId="2" xfId="0" applyNumberFormat="1" applyBorder="1" applyAlignment="1">
      <alignment horizontal="center" vertical="top"/>
    </xf>
    <xf numFmtId="0" fontId="0" fillId="0" borderId="2" xfId="0" applyBorder="1" applyAlignment="1">
      <alignment horizontal="center" vertical="top"/>
    </xf>
    <xf numFmtId="0" fontId="25" fillId="0" borderId="2" xfId="0" applyFont="1" applyBorder="1" applyAlignment="1" applyProtection="1">
      <alignment horizontal="center" vertical="top"/>
      <protection hidden="1"/>
    </xf>
    <xf numFmtId="0" fontId="17" fillId="0" borderId="2" xfId="0" applyFont="1" applyBorder="1" applyAlignment="1">
      <alignment horizontal="center" vertical="top"/>
    </xf>
    <xf numFmtId="0" fontId="0" fillId="2" borderId="2" xfId="0" applyFill="1" applyBorder="1" applyAlignment="1">
      <alignment horizontal="center" wrapText="1"/>
    </xf>
    <xf numFmtId="0" fontId="17" fillId="0" borderId="2" xfId="0" applyFont="1" applyBorder="1" applyAlignment="1">
      <alignment horizontal="center"/>
    </xf>
    <xf numFmtId="0" fontId="17" fillId="0" borderId="2" xfId="8" applyFont="1" applyBorder="1" applyAlignment="1">
      <alignment horizontal="left"/>
    </xf>
  </cellXfs>
  <cellStyles count="12">
    <cellStyle name="Comma 2" xfId="1" xr:uid="{00000000-0005-0000-0000-000000000000}"/>
    <cellStyle name="Excel Built-in Normal" xfId="2" xr:uid="{00000000-0005-0000-0000-000001000000}"/>
    <cellStyle name="Excel Built-in Normal 2" xfId="3" xr:uid="{00000000-0005-0000-0000-000002000000}"/>
    <cellStyle name="Excel Built-in Normal 3" xfId="4" xr:uid="{00000000-0005-0000-0000-000003000000}"/>
    <cellStyle name="Hyperlink" xfId="11" builtinId="8"/>
    <cellStyle name="Normal" xfId="0" builtinId="0"/>
    <cellStyle name="Normal 2" xfId="5" xr:uid="{00000000-0005-0000-0000-000006000000}"/>
    <cellStyle name="Normal 3" xfId="6" xr:uid="{00000000-0005-0000-0000-000007000000}"/>
    <cellStyle name="Normal 3 3" xfId="7" xr:uid="{00000000-0005-0000-0000-000008000000}"/>
    <cellStyle name="Normal 4" xfId="8" xr:uid="{00000000-0005-0000-0000-000009000000}"/>
    <cellStyle name="Normal 5" xfId="9" xr:uid="{00000000-0005-0000-0000-00000A000000}"/>
    <cellStyle name="Perc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jpeg"/><Relationship Id="rId4"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4"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361391</xdr:colOff>
      <xdr:row>660</xdr:row>
      <xdr:rowOff>0</xdr:rowOff>
    </xdr:from>
    <xdr:to>
      <xdr:col>8</xdr:col>
      <xdr:colOff>345142</xdr:colOff>
      <xdr:row>678</xdr:row>
      <xdr:rowOff>19049</xdr:rowOff>
    </xdr:to>
    <xdr:pic>
      <xdr:nvPicPr>
        <xdr:cNvPr id="20535" name="Picture 5">
          <a:extLst>
            <a:ext uri="{FF2B5EF4-FFF2-40B4-BE49-F238E27FC236}">
              <a16:creationId xmlns:a16="http://schemas.microsoft.com/office/drawing/2014/main" id="{00000000-0008-0000-0000-000037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61391" y="122200147"/>
          <a:ext cx="5967693" cy="34480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361391</xdr:colOff>
      <xdr:row>679</xdr:row>
      <xdr:rowOff>38100</xdr:rowOff>
    </xdr:from>
    <xdr:to>
      <xdr:col>8</xdr:col>
      <xdr:colOff>345142</xdr:colOff>
      <xdr:row>697</xdr:row>
      <xdr:rowOff>57151</xdr:rowOff>
    </xdr:to>
    <xdr:pic>
      <xdr:nvPicPr>
        <xdr:cNvPr id="20536" name="Picture 6">
          <a:extLst>
            <a:ext uri="{FF2B5EF4-FFF2-40B4-BE49-F238E27FC236}">
              <a16:creationId xmlns:a16="http://schemas.microsoft.com/office/drawing/2014/main" id="{00000000-0008-0000-0000-000038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61391" y="125857747"/>
          <a:ext cx="5967693" cy="34480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276225</xdr:colOff>
      <xdr:row>615</xdr:row>
      <xdr:rowOff>95250</xdr:rowOff>
    </xdr:from>
    <xdr:to>
      <xdr:col>4</xdr:col>
      <xdr:colOff>633000</xdr:colOff>
      <xdr:row>636</xdr:row>
      <xdr:rowOff>54750</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276225" y="122786775"/>
          <a:ext cx="3300000" cy="3960000"/>
        </a:xfrm>
        <a:prstGeom prst="rect">
          <a:avLst/>
        </a:prstGeom>
        <a:ln>
          <a:solidFill>
            <a:schemeClr val="tx1"/>
          </a:solidFill>
        </a:ln>
      </xdr:spPr>
    </xdr:pic>
    <xdr:clientData/>
  </xdr:twoCellAnchor>
  <xdr:twoCellAnchor editAs="oneCell">
    <xdr:from>
      <xdr:col>5</xdr:col>
      <xdr:colOff>22342</xdr:colOff>
      <xdr:row>615</xdr:row>
      <xdr:rowOff>91656</xdr:rowOff>
    </xdr:from>
    <xdr:to>
      <xdr:col>9</xdr:col>
      <xdr:colOff>508848</xdr:colOff>
      <xdr:row>636</xdr:row>
      <xdr:rowOff>51156</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3651367" y="122783181"/>
          <a:ext cx="3086831" cy="3960000"/>
        </a:xfrm>
        <a:prstGeom prst="rect">
          <a:avLst/>
        </a:prstGeom>
        <a:ln>
          <a:solidFill>
            <a:schemeClr val="tx1"/>
          </a:solidFill>
        </a:ln>
      </xdr:spPr>
    </xdr:pic>
    <xdr:clientData/>
  </xdr:twoCellAnchor>
  <xdr:twoCellAnchor>
    <xdr:from>
      <xdr:col>10</xdr:col>
      <xdr:colOff>265430</xdr:colOff>
      <xdr:row>565</xdr:row>
      <xdr:rowOff>104140</xdr:rowOff>
    </xdr:from>
    <xdr:to>
      <xdr:col>19</xdr:col>
      <xdr:colOff>166423</xdr:colOff>
      <xdr:row>607</xdr:row>
      <xdr:rowOff>335798</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367270" y="111721900"/>
          <a:ext cx="6141773" cy="7912618"/>
          <a:chOff x="463550" y="111029750"/>
          <a:chExt cx="6262423" cy="7968498"/>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785886" y="116838248"/>
            <a:ext cx="1617750"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63550" y="114041999"/>
            <a:ext cx="1995225" cy="2664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7"/>
          <a:stretch>
            <a:fillRect/>
          </a:stretch>
        </xdr:blipFill>
        <xdr:spPr>
          <a:xfrm>
            <a:off x="538706" y="111029750"/>
            <a:ext cx="3834667" cy="288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730748" y="114041999"/>
            <a:ext cx="1995225" cy="2664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597149" y="114041999"/>
            <a:ext cx="1995225" cy="2664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530334" y="111029750"/>
            <a:ext cx="2157000" cy="2880000"/>
          </a:xfrm>
          <a:prstGeom prst="rect">
            <a:avLst/>
          </a:prstGeom>
          <a:ln>
            <a:solidFill>
              <a:schemeClr val="tx1"/>
            </a:solidFill>
          </a:ln>
        </xdr:spPr>
      </xdr:pic>
    </xdr:grpSp>
    <xdr:clientData/>
  </xdr:twoCellAnchor>
  <xdr:twoCellAnchor>
    <xdr:from>
      <xdr:col>0</xdr:col>
      <xdr:colOff>274320</xdr:colOff>
      <xdr:row>566</xdr:row>
      <xdr:rowOff>53340</xdr:rowOff>
    </xdr:from>
    <xdr:to>
      <xdr:col>9</xdr:col>
      <xdr:colOff>381000</xdr:colOff>
      <xdr:row>609</xdr:row>
      <xdr:rowOff>45720</xdr:rowOff>
    </xdr:to>
    <xdr:grpSp>
      <xdr:nvGrpSpPr>
        <xdr:cNvPr id="3" name="Group 2">
          <a:extLst>
            <a:ext uri="{FF2B5EF4-FFF2-40B4-BE49-F238E27FC236}">
              <a16:creationId xmlns:a16="http://schemas.microsoft.com/office/drawing/2014/main" id="{3AAB466B-D7FF-5A5E-BF45-ACEEF1915C46}"/>
            </a:ext>
          </a:extLst>
        </xdr:cNvPr>
        <xdr:cNvGrpSpPr/>
      </xdr:nvGrpSpPr>
      <xdr:grpSpPr>
        <a:xfrm>
          <a:off x="274320" y="111853980"/>
          <a:ext cx="6507480" cy="8069580"/>
          <a:chOff x="-131821" y="128149"/>
          <a:chExt cx="7126608" cy="8417076"/>
        </a:xfrm>
      </xdr:grpSpPr>
      <xdr:pic>
        <xdr:nvPicPr>
          <xdr:cNvPr id="4" name="Picture 3">
            <a:extLst>
              <a:ext uri="{FF2B5EF4-FFF2-40B4-BE49-F238E27FC236}">
                <a16:creationId xmlns:a16="http://schemas.microsoft.com/office/drawing/2014/main" id="{08AFC58C-566E-FAD0-3E27-12CF2B73952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580879" y="638522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ED0F6A0A-BBF0-C1B9-A701-4031D6CC709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5134" y="128149"/>
            <a:ext cx="2239919" cy="2986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BE5306B-7BDC-41AE-8147-1E595CA7DEFE}"/>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14264" y="638522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22DE6AC4-9971-4954-4639-FFEA74399DD5}"/>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1821" y="3281700"/>
            <a:ext cx="2260081" cy="30134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BC0B5D77-01C8-0E69-EEF3-FB5185F1F94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85520" y="3265440"/>
            <a:ext cx="2260081" cy="30134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727D126C-BC41-B096-5124-76A73B87887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319708" y="128149"/>
            <a:ext cx="2239919" cy="2986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92718F42-4339-3861-6612-B82E9B9C955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718919" y="3265439"/>
            <a:ext cx="2260081" cy="30134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13D5C69A-1B6D-00C7-DB14-4366B7A6C896}"/>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754868" y="128149"/>
            <a:ext cx="2239919" cy="2986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74E9F20E-68A5-2669-2B52-64494B395BA7}"/>
              </a:ext>
            </a:extLst>
          </xdr:cNvPr>
          <xdr:cNvPicPr>
            <a:picLocks noChangeAspect="1"/>
          </xdr:cNvPicPr>
        </xdr:nvPicPr>
        <xdr:blipFill>
          <a:blip xmlns:r="http://schemas.openxmlformats.org/officeDocument/2006/relationships" r:embed="rId19"/>
          <a:stretch>
            <a:fillRect/>
          </a:stretch>
        </xdr:blipFill>
        <xdr:spPr>
          <a:xfrm>
            <a:off x="4367969" y="6385225"/>
            <a:ext cx="162000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12</xdr:row>
      <xdr:rowOff>0</xdr:rowOff>
    </xdr:from>
    <xdr:to>
      <xdr:col>12</xdr:col>
      <xdr:colOff>400050</xdr:colOff>
      <xdr:row>21</xdr:row>
      <xdr:rowOff>66675</xdr:rowOff>
    </xdr:to>
    <xdr:pic>
      <xdr:nvPicPr>
        <xdr:cNvPr id="5565" name="Picture 1">
          <a:extLst>
            <a:ext uri="{FF2B5EF4-FFF2-40B4-BE49-F238E27FC236}">
              <a16:creationId xmlns:a16="http://schemas.microsoft.com/office/drawing/2014/main" id="{00000000-0008-0000-0200-0000BD15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74370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9525</xdr:colOff>
      <xdr:row>12</xdr:row>
      <xdr:rowOff>0</xdr:rowOff>
    </xdr:from>
    <xdr:to>
      <xdr:col>15</xdr:col>
      <xdr:colOff>409575</xdr:colOff>
      <xdr:row>21</xdr:row>
      <xdr:rowOff>66675</xdr:rowOff>
    </xdr:to>
    <xdr:pic>
      <xdr:nvPicPr>
        <xdr:cNvPr id="5566" name="Picture 2">
          <a:extLst>
            <a:ext uri="{FF2B5EF4-FFF2-40B4-BE49-F238E27FC236}">
              <a16:creationId xmlns:a16="http://schemas.microsoft.com/office/drawing/2014/main" id="{00000000-0008-0000-0200-0000BE15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582025"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12</xdr:col>
      <xdr:colOff>400050</xdr:colOff>
      <xdr:row>33</xdr:row>
      <xdr:rowOff>66675</xdr:rowOff>
    </xdr:to>
    <xdr:pic>
      <xdr:nvPicPr>
        <xdr:cNvPr id="5567" name="Picture 3">
          <a:extLst>
            <a:ext uri="{FF2B5EF4-FFF2-40B4-BE49-F238E27FC236}">
              <a16:creationId xmlns:a16="http://schemas.microsoft.com/office/drawing/2014/main" id="{00000000-0008-0000-0200-0000BF15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674370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514350</xdr:colOff>
      <xdr:row>22</xdr:row>
      <xdr:rowOff>0</xdr:rowOff>
    </xdr:from>
    <xdr:to>
      <xdr:col>15</xdr:col>
      <xdr:colOff>304800</xdr:colOff>
      <xdr:row>33</xdr:row>
      <xdr:rowOff>66675</xdr:rowOff>
    </xdr:to>
    <xdr:pic>
      <xdr:nvPicPr>
        <xdr:cNvPr id="5568" name="Picture 4">
          <a:extLst>
            <a:ext uri="{FF2B5EF4-FFF2-40B4-BE49-F238E27FC236}">
              <a16:creationId xmlns:a16="http://schemas.microsoft.com/office/drawing/2014/main" id="{00000000-0008-0000-0200-0000C015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47725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38100</xdr:rowOff>
    </xdr:from>
    <xdr:to>
      <xdr:col>16</xdr:col>
      <xdr:colOff>0</xdr:colOff>
      <xdr:row>70</xdr:row>
      <xdr:rowOff>114300</xdr:rowOff>
    </xdr:to>
    <xdr:pic>
      <xdr:nvPicPr>
        <xdr:cNvPr id="2513" name="Picture 1">
          <a:extLst>
            <a:ext uri="{FF2B5EF4-FFF2-40B4-BE49-F238E27FC236}">
              <a16:creationId xmlns:a16="http://schemas.microsoft.com/office/drawing/2014/main" id="{00000000-0008-0000-0A00-0000D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975360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70</xdr:row>
      <xdr:rowOff>19050</xdr:rowOff>
    </xdr:from>
    <xdr:to>
      <xdr:col>16</xdr:col>
      <xdr:colOff>0</xdr:colOff>
      <xdr:row>108</xdr:row>
      <xdr:rowOff>95250</xdr:rowOff>
    </xdr:to>
    <xdr:pic>
      <xdr:nvPicPr>
        <xdr:cNvPr id="2514" name="Picture 2">
          <a:extLst>
            <a:ext uri="{FF2B5EF4-FFF2-40B4-BE49-F238E27FC236}">
              <a16:creationId xmlns:a16="http://schemas.microsoft.com/office/drawing/2014/main" id="{00000000-0008-0000-0A00-0000D20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354050"/>
          <a:ext cx="975360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15</xdr:row>
      <xdr:rowOff>0</xdr:rowOff>
    </xdr:from>
    <xdr:to>
      <xdr:col>4</xdr:col>
      <xdr:colOff>285750</xdr:colOff>
      <xdr:row>33</xdr:row>
      <xdr:rowOff>171450</xdr:rowOff>
    </xdr:to>
    <xdr:pic>
      <xdr:nvPicPr>
        <xdr:cNvPr id="13712" name="Picture 1">
          <a:extLst>
            <a:ext uri="{FF2B5EF4-FFF2-40B4-BE49-F238E27FC236}">
              <a16:creationId xmlns:a16="http://schemas.microsoft.com/office/drawing/2014/main" id="{00000000-0008-0000-0B00-00009035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95325" y="30480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161925</xdr:rowOff>
    </xdr:from>
    <xdr:to>
      <xdr:col>4</xdr:col>
      <xdr:colOff>200025</xdr:colOff>
      <xdr:row>53</xdr:row>
      <xdr:rowOff>142875</xdr:rowOff>
    </xdr:to>
    <xdr:pic>
      <xdr:nvPicPr>
        <xdr:cNvPr id="13713" name="Picture 2">
          <a:extLst>
            <a:ext uri="{FF2B5EF4-FFF2-40B4-BE49-F238E27FC236}">
              <a16:creationId xmlns:a16="http://schemas.microsoft.com/office/drawing/2014/main" id="{00000000-0008-0000-0B00-00009135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09600" y="68294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xdr:row>
      <xdr:rowOff>0</xdr:rowOff>
    </xdr:from>
    <xdr:to>
      <xdr:col>13</xdr:col>
      <xdr:colOff>552450</xdr:colOff>
      <xdr:row>33</xdr:row>
      <xdr:rowOff>171450</xdr:rowOff>
    </xdr:to>
    <xdr:pic>
      <xdr:nvPicPr>
        <xdr:cNvPr id="13714" name="Picture 3">
          <a:extLst>
            <a:ext uri="{FF2B5EF4-FFF2-40B4-BE49-F238E27FC236}">
              <a16:creationId xmlns:a16="http://schemas.microsoft.com/office/drawing/2014/main" id="{00000000-0008-0000-0B00-00009235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772400" y="30480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34</xdr:row>
      <xdr:rowOff>104775</xdr:rowOff>
    </xdr:from>
    <xdr:to>
      <xdr:col>13</xdr:col>
      <xdr:colOff>609600</xdr:colOff>
      <xdr:row>53</xdr:row>
      <xdr:rowOff>85725</xdr:rowOff>
    </xdr:to>
    <xdr:pic>
      <xdr:nvPicPr>
        <xdr:cNvPr id="13715" name="Picture 4">
          <a:extLst>
            <a:ext uri="{FF2B5EF4-FFF2-40B4-BE49-F238E27FC236}">
              <a16:creationId xmlns:a16="http://schemas.microsoft.com/office/drawing/2014/main" id="{00000000-0008-0000-0B00-00009335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829550" y="67722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yYe3RkCxoTEgz6sM6" TargetMode="Externa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9"/>
  <sheetViews>
    <sheetView tabSelected="1" view="pageBreakPreview" zoomScaleNormal="100" zoomScaleSheetLayoutView="100" zoomScalePageLayoutView="85" workbookViewId="0">
      <selection activeCell="K10" sqref="K10"/>
    </sheetView>
  </sheetViews>
  <sheetFormatPr defaultRowHeight="14.4" x14ac:dyDescent="0.3"/>
  <cols>
    <col min="1" max="1" width="10.77734375" customWidth="1"/>
    <col min="2" max="2" width="11.77734375" customWidth="1"/>
    <col min="3" max="3" width="11.44140625" customWidth="1"/>
    <col min="4" max="5" width="10.21875" customWidth="1"/>
    <col min="6" max="6" width="8.77734375" bestFit="1" customWidth="1"/>
    <col min="7" max="8" width="9.77734375" customWidth="1"/>
    <col min="9" max="9" width="10.5546875" customWidth="1"/>
    <col min="10" max="10" width="10.21875" customWidth="1"/>
    <col min="11" max="11" width="12.21875" customWidth="1"/>
    <col min="12" max="12" width="16.5546875" customWidth="1"/>
  </cols>
  <sheetData>
    <row r="1" spans="1:14" ht="43.95" customHeight="1" x14ac:dyDescent="0.3">
      <c r="A1" s="150" t="s">
        <v>327</v>
      </c>
      <c r="B1" s="150"/>
      <c r="C1" s="150"/>
      <c r="D1" s="150"/>
      <c r="E1" s="150"/>
      <c r="F1" s="150"/>
      <c r="G1" s="150"/>
      <c r="H1" s="150"/>
      <c r="I1" s="150"/>
      <c r="J1" s="150"/>
    </row>
    <row r="2" spans="1:14" x14ac:dyDescent="0.3">
      <c r="A2" s="183" t="s">
        <v>52</v>
      </c>
      <c r="B2" s="183"/>
      <c r="C2" s="183"/>
      <c r="D2" s="183"/>
      <c r="E2" s="183"/>
      <c r="F2" s="183"/>
      <c r="G2" s="183"/>
      <c r="H2" s="183"/>
      <c r="I2" s="183"/>
      <c r="J2" s="183"/>
    </row>
    <row r="3" spans="1:14" x14ac:dyDescent="0.3">
      <c r="A3" s="182" t="s">
        <v>0</v>
      </c>
      <c r="B3" s="182"/>
      <c r="C3" s="182"/>
      <c r="D3" s="182"/>
      <c r="E3" s="182"/>
      <c r="F3" s="184" t="str">
        <f ca="1">TEXT(TODAY(),"DD/MM/YYYY")</f>
        <v>12/09/2025</v>
      </c>
      <c r="G3" s="184"/>
      <c r="H3" s="184"/>
      <c r="I3" s="184"/>
      <c r="J3" s="184"/>
    </row>
    <row r="4" spans="1:14" x14ac:dyDescent="0.3">
      <c r="A4" s="182" t="s">
        <v>1</v>
      </c>
      <c r="B4" s="182"/>
      <c r="C4" s="182"/>
      <c r="D4" s="182"/>
      <c r="E4" s="182"/>
      <c r="F4" s="109" t="s">
        <v>121</v>
      </c>
      <c r="G4" s="109"/>
      <c r="H4" s="109"/>
      <c r="I4" s="109"/>
      <c r="J4" s="109"/>
    </row>
    <row r="5" spans="1:14" x14ac:dyDescent="0.3">
      <c r="A5" s="182" t="s">
        <v>2</v>
      </c>
      <c r="B5" s="182"/>
      <c r="C5" s="182"/>
      <c r="D5" s="182"/>
      <c r="E5" s="182"/>
      <c r="F5" s="184">
        <v>45910</v>
      </c>
      <c r="G5" s="184"/>
      <c r="H5" s="184"/>
      <c r="I5" s="184"/>
      <c r="J5" s="184"/>
    </row>
    <row r="6" spans="1:14" ht="16.5" customHeight="1" x14ac:dyDescent="0.3">
      <c r="A6" s="182" t="s">
        <v>3</v>
      </c>
      <c r="B6" s="182"/>
      <c r="C6" s="182"/>
      <c r="D6" s="182"/>
      <c r="E6" s="182"/>
      <c r="F6" s="110" t="s">
        <v>122</v>
      </c>
      <c r="G6" s="110"/>
      <c r="H6" s="110"/>
      <c r="I6" s="110"/>
      <c r="J6" s="110"/>
    </row>
    <row r="7" spans="1:14" ht="15" customHeight="1" x14ac:dyDescent="0.3">
      <c r="A7" s="182" t="s">
        <v>4</v>
      </c>
      <c r="B7" s="182"/>
      <c r="C7" s="182"/>
      <c r="D7" s="182"/>
      <c r="E7" s="182"/>
      <c r="F7" s="110" t="s">
        <v>123</v>
      </c>
      <c r="G7" s="110"/>
      <c r="H7" s="110"/>
      <c r="I7" s="110"/>
      <c r="J7" s="110"/>
    </row>
    <row r="8" spans="1:14" x14ac:dyDescent="0.3">
      <c r="A8" s="182" t="s">
        <v>5</v>
      </c>
      <c r="B8" s="182"/>
      <c r="C8" s="182"/>
      <c r="D8" s="182"/>
      <c r="E8" s="182"/>
      <c r="F8" s="153" t="s">
        <v>124</v>
      </c>
      <c r="G8" s="153"/>
      <c r="H8" s="153"/>
      <c r="I8" s="153"/>
      <c r="J8" s="153"/>
      <c r="K8" s="85" t="s">
        <v>329</v>
      </c>
      <c r="L8" s="86"/>
      <c r="M8" s="86"/>
      <c r="N8" s="86"/>
    </row>
    <row r="9" spans="1:14" ht="48" customHeight="1" x14ac:dyDescent="0.3">
      <c r="A9" s="109" t="s">
        <v>227</v>
      </c>
      <c r="B9" s="109"/>
      <c r="C9" s="145" t="s">
        <v>228</v>
      </c>
      <c r="D9" s="145"/>
      <c r="E9" s="145"/>
      <c r="F9" s="145"/>
      <c r="G9" s="145"/>
      <c r="H9" s="145"/>
      <c r="I9" s="145"/>
      <c r="J9" s="145"/>
    </row>
    <row r="10" spans="1:14" ht="33" customHeight="1" x14ac:dyDescent="0.3">
      <c r="A10" s="182" t="s">
        <v>6</v>
      </c>
      <c r="B10" s="182"/>
      <c r="C10" s="182"/>
      <c r="D10" s="182"/>
      <c r="E10" s="182"/>
      <c r="F10" s="145" t="s">
        <v>172</v>
      </c>
      <c r="G10" s="145"/>
      <c r="H10" s="145"/>
      <c r="I10" s="145"/>
      <c r="J10" s="145"/>
    </row>
    <row r="11" spans="1:14" x14ac:dyDescent="0.3">
      <c r="A11" s="109" t="s">
        <v>73</v>
      </c>
      <c r="B11" s="109"/>
      <c r="C11" s="109" t="s">
        <v>130</v>
      </c>
      <c r="D11" s="109"/>
      <c r="E11" s="109"/>
      <c r="F11" s="109"/>
      <c r="G11" s="109"/>
      <c r="H11" s="62" t="s">
        <v>74</v>
      </c>
      <c r="I11" s="109" t="s">
        <v>131</v>
      </c>
      <c r="J11" s="109"/>
    </row>
    <row r="12" spans="1:14" ht="77.25" customHeight="1" x14ac:dyDescent="0.3">
      <c r="A12" s="109" t="s">
        <v>75</v>
      </c>
      <c r="B12" s="109"/>
      <c r="C12" s="110" t="s">
        <v>178</v>
      </c>
      <c r="D12" s="110"/>
      <c r="E12" s="110"/>
      <c r="F12" s="110"/>
      <c r="G12" s="110"/>
      <c r="H12" s="110"/>
      <c r="I12" s="110"/>
      <c r="J12" s="110"/>
    </row>
    <row r="13" spans="1:14" ht="105.75" customHeight="1" x14ac:dyDescent="0.3">
      <c r="A13" s="62" t="s">
        <v>76</v>
      </c>
      <c r="B13" s="110" t="s">
        <v>181</v>
      </c>
      <c r="C13" s="110"/>
      <c r="D13" s="110"/>
      <c r="E13" s="62" t="s">
        <v>47</v>
      </c>
      <c r="F13" s="61">
        <v>431</v>
      </c>
      <c r="G13" s="49" t="s">
        <v>77</v>
      </c>
      <c r="H13" s="186" t="s">
        <v>180</v>
      </c>
      <c r="I13" s="186"/>
      <c r="J13" s="186"/>
    </row>
    <row r="14" spans="1:14" x14ac:dyDescent="0.3">
      <c r="A14" s="63" t="s">
        <v>7</v>
      </c>
      <c r="B14" s="109" t="s">
        <v>179</v>
      </c>
      <c r="C14" s="109"/>
      <c r="D14" s="109"/>
      <c r="E14" s="109"/>
      <c r="F14" s="59" t="s">
        <v>78</v>
      </c>
      <c r="G14" s="109" t="s">
        <v>169</v>
      </c>
      <c r="H14" s="109"/>
      <c r="I14" s="109"/>
      <c r="J14" s="109"/>
    </row>
    <row r="15" spans="1:14" x14ac:dyDescent="0.3">
      <c r="A15" s="63" t="s">
        <v>8</v>
      </c>
      <c r="B15" s="109" t="s">
        <v>168</v>
      </c>
      <c r="C15" s="109"/>
      <c r="D15" s="109"/>
      <c r="E15" s="109"/>
      <c r="F15" s="59" t="s">
        <v>79</v>
      </c>
      <c r="G15" s="109" t="s">
        <v>188</v>
      </c>
      <c r="H15" s="109"/>
      <c r="I15" s="109"/>
      <c r="J15" s="109"/>
    </row>
    <row r="16" spans="1:14" ht="32.25" customHeight="1" x14ac:dyDescent="0.3">
      <c r="A16" s="109" t="s">
        <v>80</v>
      </c>
      <c r="B16" s="109"/>
      <c r="C16" s="109" t="s">
        <v>171</v>
      </c>
      <c r="D16" s="109"/>
      <c r="E16" s="109"/>
      <c r="F16" s="110" t="s">
        <v>63</v>
      </c>
      <c r="G16" s="110"/>
      <c r="H16" s="110" t="s">
        <v>229</v>
      </c>
      <c r="I16" s="110"/>
      <c r="J16" s="110"/>
    </row>
    <row r="17" spans="1:10" ht="15" customHeight="1" x14ac:dyDescent="0.3">
      <c r="A17" s="110" t="s">
        <v>65</v>
      </c>
      <c r="B17" s="110"/>
      <c r="C17" s="110"/>
      <c r="D17" s="110"/>
      <c r="E17" s="110"/>
      <c r="F17" s="109" t="s">
        <v>72</v>
      </c>
      <c r="G17" s="109"/>
      <c r="H17" s="109"/>
      <c r="I17" s="109"/>
      <c r="J17" s="109"/>
    </row>
    <row r="18" spans="1:10" x14ac:dyDescent="0.3">
      <c r="A18" s="110"/>
      <c r="B18" s="110"/>
      <c r="C18" s="110"/>
      <c r="D18" s="110"/>
      <c r="E18" s="110"/>
      <c r="F18" s="109"/>
      <c r="G18" s="109"/>
      <c r="H18" s="109"/>
      <c r="I18" s="109"/>
      <c r="J18" s="109"/>
    </row>
    <row r="19" spans="1:10" ht="15" customHeight="1" x14ac:dyDescent="0.3">
      <c r="A19" s="185" t="s">
        <v>9</v>
      </c>
      <c r="B19" s="185"/>
      <c r="C19" s="185"/>
      <c r="D19" s="185"/>
      <c r="E19" s="185"/>
      <c r="F19" s="110" t="s">
        <v>54</v>
      </c>
      <c r="G19" s="110"/>
      <c r="H19" s="110"/>
      <c r="I19" s="110"/>
      <c r="J19" s="110"/>
    </row>
    <row r="20" spans="1:10" x14ac:dyDescent="0.3">
      <c r="A20" s="182" t="s">
        <v>10</v>
      </c>
      <c r="B20" s="182"/>
      <c r="C20" s="182"/>
      <c r="D20" s="182"/>
      <c r="E20" s="182"/>
      <c r="F20" s="114" t="s">
        <v>120</v>
      </c>
      <c r="G20" s="114"/>
      <c r="H20" s="114"/>
      <c r="I20" s="114"/>
      <c r="J20" s="114"/>
    </row>
    <row r="21" spans="1:10" x14ac:dyDescent="0.3">
      <c r="A21" s="182" t="s">
        <v>11</v>
      </c>
      <c r="B21" s="182"/>
      <c r="C21" s="182"/>
      <c r="D21" s="182"/>
      <c r="E21" s="182"/>
      <c r="F21" s="114" t="s">
        <v>64</v>
      </c>
      <c r="G21" s="114"/>
      <c r="H21" s="114"/>
      <c r="I21" s="114"/>
      <c r="J21" s="114"/>
    </row>
    <row r="22" spans="1:10" x14ac:dyDescent="0.3">
      <c r="A22" s="182" t="s">
        <v>12</v>
      </c>
      <c r="B22" s="182"/>
      <c r="C22" s="182"/>
      <c r="D22" s="182"/>
      <c r="E22" s="182"/>
      <c r="F22" s="114" t="s">
        <v>55</v>
      </c>
      <c r="G22" s="114"/>
      <c r="H22" s="114"/>
      <c r="I22" s="114"/>
      <c r="J22" s="114"/>
    </row>
    <row r="23" spans="1:10" x14ac:dyDescent="0.3">
      <c r="A23" s="182" t="s">
        <v>30</v>
      </c>
      <c r="B23" s="182"/>
      <c r="C23" s="182"/>
      <c r="D23" s="182"/>
      <c r="E23" s="182"/>
      <c r="F23" s="114" t="s">
        <v>81</v>
      </c>
      <c r="G23" s="179"/>
      <c r="H23" s="179"/>
      <c r="I23" s="179"/>
      <c r="J23" s="179"/>
    </row>
    <row r="24" spans="1:10" x14ac:dyDescent="0.3">
      <c r="A24" s="151" t="s">
        <v>13</v>
      </c>
      <c r="B24" s="151"/>
      <c r="C24" s="151" t="s">
        <v>14</v>
      </c>
      <c r="D24" s="151"/>
      <c r="E24" s="180" t="s">
        <v>15</v>
      </c>
      <c r="F24" s="151"/>
      <c r="G24" s="180" t="s">
        <v>62</v>
      </c>
      <c r="H24" s="180"/>
      <c r="I24" s="151" t="s">
        <v>16</v>
      </c>
      <c r="J24" s="151"/>
    </row>
    <row r="25" spans="1:10" x14ac:dyDescent="0.3">
      <c r="A25" s="180" t="s">
        <v>17</v>
      </c>
      <c r="B25" s="180"/>
      <c r="C25" s="180" t="s">
        <v>61</v>
      </c>
      <c r="D25" s="180"/>
      <c r="E25" s="180" t="s">
        <v>61</v>
      </c>
      <c r="F25" s="180"/>
      <c r="G25" s="180" t="s">
        <v>61</v>
      </c>
      <c r="H25" s="180"/>
      <c r="I25" s="180" t="s">
        <v>61</v>
      </c>
      <c r="J25" s="180"/>
    </row>
    <row r="26" spans="1:10" x14ac:dyDescent="0.3">
      <c r="A26" s="151" t="s">
        <v>18</v>
      </c>
      <c r="B26" s="151"/>
      <c r="C26" s="180" t="s">
        <v>170</v>
      </c>
      <c r="D26" s="180"/>
      <c r="E26" s="180" t="s">
        <v>7</v>
      </c>
      <c r="F26" s="180"/>
      <c r="G26" s="180" t="s">
        <v>7</v>
      </c>
      <c r="H26" s="180"/>
      <c r="I26" s="180" t="s">
        <v>170</v>
      </c>
      <c r="J26" s="180"/>
    </row>
    <row r="27" spans="1:10" x14ac:dyDescent="0.3">
      <c r="A27" s="109" t="s">
        <v>70</v>
      </c>
      <c r="B27" s="109"/>
      <c r="C27" s="109"/>
      <c r="D27" s="109"/>
      <c r="E27" s="109"/>
      <c r="F27" s="109"/>
      <c r="G27" s="109"/>
      <c r="H27" s="109"/>
      <c r="I27" s="109"/>
      <c r="J27" s="109"/>
    </row>
    <row r="28" spans="1:10" x14ac:dyDescent="0.3">
      <c r="A28" s="109" t="s">
        <v>56</v>
      </c>
      <c r="B28" s="109"/>
      <c r="C28" s="109"/>
      <c r="D28" s="109"/>
      <c r="E28" s="109"/>
      <c r="F28" s="109"/>
      <c r="G28" s="109"/>
      <c r="H28" s="109"/>
      <c r="I28" s="109"/>
      <c r="J28" s="109"/>
    </row>
    <row r="29" spans="1:10" x14ac:dyDescent="0.3">
      <c r="A29" s="109" t="s">
        <v>46</v>
      </c>
      <c r="B29" s="109"/>
      <c r="C29" s="180" t="s">
        <v>48</v>
      </c>
      <c r="D29" s="180"/>
      <c r="E29" s="151">
        <v>19.131920000000001</v>
      </c>
      <c r="F29" s="151"/>
      <c r="G29" s="180" t="s">
        <v>49</v>
      </c>
      <c r="H29" s="180"/>
      <c r="I29" s="151">
        <v>72.855680000000007</v>
      </c>
      <c r="J29" s="151"/>
    </row>
    <row r="30" spans="1:10" x14ac:dyDescent="0.3">
      <c r="A30" s="109" t="s">
        <v>324</v>
      </c>
      <c r="B30" s="109"/>
      <c r="C30" s="181" t="s">
        <v>325</v>
      </c>
      <c r="D30" s="109"/>
      <c r="E30" s="109"/>
      <c r="F30" s="109"/>
      <c r="G30" s="109"/>
      <c r="H30" s="109"/>
      <c r="I30" s="109"/>
      <c r="J30" s="109"/>
    </row>
    <row r="31" spans="1:10" x14ac:dyDescent="0.3">
      <c r="A31" s="153" t="s">
        <v>19</v>
      </c>
      <c r="B31" s="153"/>
      <c r="C31" s="153"/>
      <c r="D31" s="153"/>
      <c r="E31" s="153"/>
      <c r="F31" s="153"/>
      <c r="G31" s="153"/>
      <c r="H31" s="153"/>
      <c r="I31" s="153"/>
      <c r="J31" s="153"/>
    </row>
    <row r="32" spans="1:10" ht="27" customHeight="1" x14ac:dyDescent="0.3">
      <c r="A32" s="110" t="s">
        <v>187</v>
      </c>
      <c r="B32" s="110"/>
      <c r="C32" s="110"/>
      <c r="D32" s="110"/>
      <c r="E32" s="110"/>
      <c r="F32" s="110"/>
      <c r="G32" s="110"/>
      <c r="H32" s="110"/>
      <c r="I32" s="110"/>
      <c r="J32" s="110"/>
    </row>
    <row r="33" spans="1:10" ht="4.5" customHeight="1" x14ac:dyDescent="0.3">
      <c r="A33" s="110"/>
      <c r="B33" s="110"/>
      <c r="C33" s="110"/>
      <c r="D33" s="110"/>
      <c r="E33" s="110"/>
      <c r="F33" s="110"/>
      <c r="G33" s="110"/>
      <c r="H33" s="110"/>
      <c r="I33" s="110"/>
      <c r="J33" s="110"/>
    </row>
    <row r="34" spans="1:10" ht="30.75" customHeight="1" x14ac:dyDescent="0.3">
      <c r="A34" s="152" t="s">
        <v>82</v>
      </c>
      <c r="B34" s="152"/>
      <c r="C34" s="152"/>
      <c r="D34" s="152"/>
      <c r="E34" s="152"/>
      <c r="F34" s="145" t="s">
        <v>166</v>
      </c>
      <c r="G34" s="145"/>
      <c r="H34" s="145"/>
      <c r="I34" s="145"/>
      <c r="J34" s="145"/>
    </row>
    <row r="35" spans="1:10" x14ac:dyDescent="0.3">
      <c r="A35" s="152" t="s">
        <v>20</v>
      </c>
      <c r="B35" s="152"/>
      <c r="C35" s="152"/>
      <c r="D35" s="152"/>
      <c r="E35" s="152"/>
      <c r="F35" s="152" t="s">
        <v>167</v>
      </c>
      <c r="G35" s="152"/>
      <c r="H35" s="152"/>
      <c r="I35" s="152"/>
      <c r="J35" s="152"/>
    </row>
    <row r="36" spans="1:10" x14ac:dyDescent="0.3">
      <c r="A36" s="152" t="s">
        <v>21</v>
      </c>
      <c r="B36" s="152"/>
      <c r="C36" s="152"/>
      <c r="D36" s="152"/>
      <c r="E36" s="152"/>
      <c r="F36" s="152" t="s">
        <v>61</v>
      </c>
      <c r="G36" s="152"/>
      <c r="H36" s="152"/>
      <c r="I36" s="152"/>
      <c r="J36" s="152"/>
    </row>
    <row r="37" spans="1:10" x14ac:dyDescent="0.3">
      <c r="A37" s="152" t="s">
        <v>22</v>
      </c>
      <c r="B37" s="152"/>
      <c r="C37" s="152"/>
      <c r="D37" s="152"/>
      <c r="E37" s="152"/>
      <c r="F37" s="152">
        <v>6</v>
      </c>
      <c r="G37" s="152"/>
      <c r="H37" s="152"/>
      <c r="I37" s="152"/>
      <c r="J37" s="152"/>
    </row>
    <row r="38" spans="1:10" x14ac:dyDescent="0.3">
      <c r="A38" s="145" t="s">
        <v>177</v>
      </c>
      <c r="B38" s="145"/>
      <c r="C38" s="145"/>
      <c r="D38" s="145"/>
      <c r="E38" s="145"/>
      <c r="F38" s="152">
        <v>180288.52</v>
      </c>
      <c r="G38" s="152"/>
      <c r="H38" s="152"/>
      <c r="I38" s="152"/>
      <c r="J38" s="152"/>
    </row>
    <row r="39" spans="1:10" x14ac:dyDescent="0.3">
      <c r="A39" s="152" t="s">
        <v>23</v>
      </c>
      <c r="B39" s="152"/>
      <c r="C39" s="152"/>
      <c r="D39" s="152"/>
      <c r="E39" s="152"/>
      <c r="F39" s="152" t="s">
        <v>173</v>
      </c>
      <c r="G39" s="152"/>
      <c r="H39" s="152"/>
      <c r="I39" s="152"/>
      <c r="J39" s="152"/>
    </row>
    <row r="40" spans="1:10" x14ac:dyDescent="0.3">
      <c r="A40" s="146" t="s">
        <v>84</v>
      </c>
      <c r="B40" s="146"/>
      <c r="C40" s="146"/>
      <c r="D40" s="146"/>
      <c r="E40" s="146"/>
      <c r="F40" s="146"/>
      <c r="G40" s="146"/>
      <c r="H40" s="146"/>
      <c r="I40" s="146"/>
      <c r="J40" s="146"/>
    </row>
    <row r="41" spans="1:10" ht="16.5" customHeight="1" x14ac:dyDescent="0.3">
      <c r="A41" s="110" t="s">
        <v>83</v>
      </c>
      <c r="B41" s="110"/>
      <c r="C41" s="109" t="str">
        <f>C11</f>
        <v>KE/MCGM/0026/200506161/AP/S1</v>
      </c>
      <c r="D41" s="109"/>
      <c r="E41" s="109"/>
      <c r="F41" s="109"/>
      <c r="G41" s="62" t="s">
        <v>74</v>
      </c>
      <c r="H41" s="109" t="str">
        <f>I11</f>
        <v>29/09/2017.</v>
      </c>
      <c r="I41" s="109"/>
      <c r="J41" s="109"/>
    </row>
    <row r="42" spans="1:10" x14ac:dyDescent="0.3">
      <c r="A42" s="110" t="s">
        <v>85</v>
      </c>
      <c r="B42" s="110"/>
      <c r="C42" s="114" t="s">
        <v>130</v>
      </c>
      <c r="D42" s="114"/>
      <c r="E42" s="114"/>
      <c r="F42" s="114"/>
      <c r="G42" s="62" t="s">
        <v>74</v>
      </c>
      <c r="H42" s="109" t="s">
        <v>131</v>
      </c>
      <c r="I42" s="109"/>
      <c r="J42" s="109"/>
    </row>
    <row r="43" spans="1:10" x14ac:dyDescent="0.3">
      <c r="A43" s="110" t="s">
        <v>182</v>
      </c>
      <c r="B43" s="110"/>
      <c r="C43" s="114" t="s">
        <v>184</v>
      </c>
      <c r="D43" s="114"/>
      <c r="E43" s="114"/>
      <c r="F43" s="114"/>
      <c r="G43" s="62" t="s">
        <v>74</v>
      </c>
      <c r="H43" s="109" t="s">
        <v>185</v>
      </c>
      <c r="I43" s="109"/>
      <c r="J43" s="109"/>
    </row>
    <row r="44" spans="1:10" ht="31.5" customHeight="1" x14ac:dyDescent="0.3">
      <c r="A44" s="110" t="s">
        <v>183</v>
      </c>
      <c r="B44" s="110"/>
      <c r="C44" s="149" t="s">
        <v>186</v>
      </c>
      <c r="D44" s="149"/>
      <c r="E44" s="149"/>
      <c r="F44" s="149"/>
      <c r="G44" s="62" t="s">
        <v>74</v>
      </c>
      <c r="H44" s="109" t="s">
        <v>131</v>
      </c>
      <c r="I44" s="109"/>
      <c r="J44" s="109"/>
    </row>
    <row r="45" spans="1:10" ht="73.95" customHeight="1" x14ac:dyDescent="0.3">
      <c r="A45" s="110" t="s">
        <v>86</v>
      </c>
      <c r="B45" s="110"/>
      <c r="C45" s="110" t="s">
        <v>273</v>
      </c>
      <c r="D45" s="110"/>
      <c r="E45" s="110"/>
      <c r="F45" s="110"/>
      <c r="G45" s="62" t="s">
        <v>74</v>
      </c>
      <c r="H45" s="109" t="s">
        <v>274</v>
      </c>
      <c r="I45" s="109" t="s">
        <v>57</v>
      </c>
      <c r="J45" s="109"/>
    </row>
    <row r="46" spans="1:10" ht="87.45" customHeight="1" x14ac:dyDescent="0.3">
      <c r="A46" s="110" t="s">
        <v>86</v>
      </c>
      <c r="B46" s="110"/>
      <c r="C46" s="147" t="s">
        <v>272</v>
      </c>
      <c r="D46" s="147"/>
      <c r="E46" s="147"/>
      <c r="F46" s="147"/>
      <c r="G46" s="62" t="s">
        <v>74</v>
      </c>
      <c r="H46" s="109" t="s">
        <v>271</v>
      </c>
      <c r="I46" s="109" t="s">
        <v>57</v>
      </c>
      <c r="J46" s="109"/>
    </row>
    <row r="47" spans="1:10" x14ac:dyDescent="0.3">
      <c r="A47" s="110" t="s">
        <v>58</v>
      </c>
      <c r="B47" s="110"/>
      <c r="C47" s="149" t="s">
        <v>61</v>
      </c>
      <c r="D47" s="149"/>
      <c r="E47" s="149"/>
      <c r="F47" s="149" t="s">
        <v>59</v>
      </c>
      <c r="G47" s="62" t="s">
        <v>74</v>
      </c>
      <c r="H47" s="109" t="s">
        <v>61</v>
      </c>
      <c r="I47" s="109"/>
      <c r="J47" s="109"/>
    </row>
    <row r="48" spans="1:10" ht="30.75" customHeight="1" x14ac:dyDescent="0.3">
      <c r="A48" s="109" t="s">
        <v>93</v>
      </c>
      <c r="B48" s="109"/>
      <c r="C48" s="109"/>
      <c r="D48" s="109" t="str">
        <f>H46</f>
        <v>28/09/2020.</v>
      </c>
      <c r="E48" s="109"/>
      <c r="F48" s="109" t="s">
        <v>87</v>
      </c>
      <c r="G48" s="148"/>
      <c r="H48" s="107" t="s">
        <v>330</v>
      </c>
      <c r="I48" s="108"/>
      <c r="J48" s="108"/>
    </row>
    <row r="49" spans="1:14" x14ac:dyDescent="0.3">
      <c r="A49" s="153" t="s">
        <v>24</v>
      </c>
      <c r="B49" s="153"/>
      <c r="C49" s="153"/>
      <c r="D49" s="153"/>
      <c r="E49" s="153"/>
      <c r="F49" s="153"/>
      <c r="G49" s="153"/>
      <c r="H49" s="153"/>
      <c r="I49" s="153"/>
      <c r="J49" s="153"/>
    </row>
    <row r="50" spans="1:14" x14ac:dyDescent="0.3">
      <c r="A50" s="109" t="s">
        <v>119</v>
      </c>
      <c r="B50" s="109"/>
      <c r="C50" s="109"/>
      <c r="D50" s="109">
        <f>F38</f>
        <v>180288.52</v>
      </c>
      <c r="E50" s="109"/>
      <c r="F50" s="145" t="s">
        <v>88</v>
      </c>
      <c r="G50" s="145"/>
      <c r="H50" s="145"/>
      <c r="I50" s="145">
        <v>610</v>
      </c>
      <c r="J50" s="145"/>
    </row>
    <row r="51" spans="1:14" x14ac:dyDescent="0.3">
      <c r="A51" s="109" t="s">
        <v>89</v>
      </c>
      <c r="B51" s="109"/>
      <c r="C51" s="109"/>
      <c r="D51" s="106" t="s">
        <v>267</v>
      </c>
      <c r="E51" s="106"/>
      <c r="F51" s="106"/>
      <c r="G51" s="106"/>
      <c r="H51" s="106"/>
      <c r="I51" s="106"/>
      <c r="J51" s="106"/>
    </row>
    <row r="52" spans="1:14" x14ac:dyDescent="0.3">
      <c r="A52" s="109" t="s">
        <v>220</v>
      </c>
      <c r="B52" s="109"/>
      <c r="C52" s="109"/>
      <c r="D52" s="109"/>
      <c r="E52" s="110" t="s">
        <v>66</v>
      </c>
      <c r="F52" s="110"/>
      <c r="G52" s="110"/>
      <c r="H52" s="110"/>
      <c r="I52" s="110"/>
      <c r="J52" s="110"/>
    </row>
    <row r="53" spans="1:14" ht="15" thickBot="1" x14ac:dyDescent="0.35">
      <c r="A53" s="109" t="s">
        <v>67</v>
      </c>
      <c r="B53" s="109"/>
      <c r="C53" s="109"/>
      <c r="D53" s="109"/>
      <c r="E53" s="109"/>
      <c r="F53" s="109"/>
      <c r="G53" s="109"/>
      <c r="H53" s="109"/>
      <c r="I53" s="109"/>
      <c r="J53" s="109"/>
    </row>
    <row r="54" spans="1:14" ht="16.2" thickBot="1" x14ac:dyDescent="0.35">
      <c r="A54" s="90" t="s">
        <v>315</v>
      </c>
      <c r="B54" s="90"/>
      <c r="C54" s="90"/>
      <c r="D54" s="90"/>
      <c r="E54" s="90"/>
      <c r="F54" s="90"/>
      <c r="G54" s="90"/>
      <c r="H54" s="90"/>
      <c r="I54" s="90"/>
      <c r="J54" s="90"/>
      <c r="K54" s="15" t="str">
        <f>(IF(C58=0,"Work not yet Started.",IF(D58=50%,"Excavation work in process",IF(D58=100%,"Excavation work completed, ","0")))&amp;(IF(C59=0%,"",IF(D59=25%,"Footing work is process",IF(D59=50%,"Footing work Completed",IF(D59=75%,"Plinth work is process",IF(D59=100%,"Plinth work completed","0"))))))&amp;(IF(C60&gt;0,", RCC upto "&amp;C60&amp;" Slab completed",""))&amp;(IF(C61&gt;0,", Brickwork upto "&amp;C61&amp;" Floor completed"," "))&amp;(IF(C62&gt;0,", Internal Plaster upto "&amp;C62&amp;" Floor completed"," "))&amp;(IF(C63&gt;0,", External Plaster upto "&amp;C63&amp;" Floor completed"," "))&amp;(IF(C64&gt;0,", Flooring upto "&amp;C64&amp;" Floor completed"," "))&amp;(IF(C65&gt;0,", Painting upto "&amp;C65&amp;" Floor completed"," "))&amp;(IF(C66&gt;0,", Finishing upto "&amp;C66&amp;" Floor completed"," ")))</f>
        <v xml:space="preserve">Excavation work completed, Plinth work completed, RCC upto 21 Slab completed, Brickwork upto 19 Floor completed, Internal Plaster upto 12 Floor completed, External Plaster upto 12 Floor completed   </v>
      </c>
      <c r="L54" s="15"/>
      <c r="M54" s="16"/>
    </row>
    <row r="55" spans="1:14" ht="15" customHeight="1" x14ac:dyDescent="0.3">
      <c r="A55" s="89" t="s">
        <v>223</v>
      </c>
      <c r="B55" s="89"/>
      <c r="C55" s="58">
        <v>2</v>
      </c>
      <c r="D55" s="89" t="s">
        <v>222</v>
      </c>
      <c r="E55" s="89"/>
      <c r="F55" s="89">
        <v>0</v>
      </c>
      <c r="G55" s="89"/>
      <c r="H55" s="58" t="s">
        <v>235</v>
      </c>
      <c r="I55" s="89">
        <v>19</v>
      </c>
      <c r="J55" s="89"/>
      <c r="K55" s="18" t="s">
        <v>236</v>
      </c>
      <c r="L55" s="18"/>
      <c r="M55" s="19"/>
      <c r="N55" s="16"/>
    </row>
    <row r="56" spans="1:14" ht="50.25" customHeight="1" x14ac:dyDescent="0.3">
      <c r="A56" s="91" t="s">
        <v>237</v>
      </c>
      <c r="B56" s="91"/>
      <c r="C56" s="90" t="str">
        <f>K54</f>
        <v xml:space="preserve">Excavation work completed, Plinth work completed, RCC upto 21 Slab completed, Brickwork upto 19 Floor completed, Internal Plaster upto 12 Floor completed, External Plaster upto 12 Floor completed   </v>
      </c>
      <c r="D56" s="90"/>
      <c r="E56" s="90"/>
      <c r="F56" s="90"/>
      <c r="G56" s="90"/>
      <c r="H56" s="90"/>
      <c r="I56" s="90"/>
      <c r="J56" s="90"/>
      <c r="K56" s="18" t="s">
        <v>289</v>
      </c>
      <c r="L56" s="18"/>
      <c r="M56" s="19"/>
      <c r="N56" s="19"/>
    </row>
    <row r="57" spans="1:14" ht="15.6" x14ac:dyDescent="0.3">
      <c r="A57" s="87" t="s">
        <v>37</v>
      </c>
      <c r="B57" s="87"/>
      <c r="C57" s="57" t="s">
        <v>290</v>
      </c>
      <c r="D57" s="87" t="s">
        <v>239</v>
      </c>
      <c r="E57" s="87"/>
      <c r="F57" s="87" t="s">
        <v>240</v>
      </c>
      <c r="G57" s="87"/>
      <c r="H57" s="87" t="s">
        <v>241</v>
      </c>
      <c r="I57" s="87"/>
      <c r="J57" s="87"/>
      <c r="K57" s="18" t="s">
        <v>242</v>
      </c>
      <c r="L57" s="20"/>
      <c r="M57" s="21"/>
      <c r="N57" s="19"/>
    </row>
    <row r="58" spans="1:14" ht="15" customHeight="1" x14ac:dyDescent="0.3">
      <c r="A58" s="87" t="s">
        <v>291</v>
      </c>
      <c r="B58" s="87"/>
      <c r="C58" s="64">
        <f>M61</f>
        <v>19</v>
      </c>
      <c r="D58" s="88">
        <f>((100/I55)*C58)/100</f>
        <v>1</v>
      </c>
      <c r="E58" s="88"/>
      <c r="F58" s="88">
        <f>(IF(C56=K56,"100%",IF(C56=K57,"100%",(((C59/I55*10)+(40/(C55+F55+I55)*C60)+(7.5/(I55)*C61)+(7.5/(I55)*C62)+(10/I55*C63)+(10/I55*C64)+(5/I55*C65)+(5/I55*C66)+(5/I55*C67))/100))))</f>
        <v>0.68552631578947365</v>
      </c>
      <c r="G58" s="88"/>
      <c r="H58" s="88">
        <f>((((C58/I55)*20)+((C59/I55)*25)+(30/(I55+F55+C55)*C60)+(5/I55*C61)+(5/I55*C62)+(5/I55*C63)+(5/I55*C64)+(0/I55*C65)+(0/I55*C66)+(5/I55*C67))/100)</f>
        <v>0.86315789473684223</v>
      </c>
      <c r="I58" s="88"/>
      <c r="J58" s="88"/>
      <c r="K58" s="18"/>
      <c r="L58" s="20"/>
      <c r="M58" s="21"/>
      <c r="N58" s="21"/>
    </row>
    <row r="59" spans="1:14" ht="15" customHeight="1" x14ac:dyDescent="0.3">
      <c r="A59" s="87" t="s">
        <v>38</v>
      </c>
      <c r="B59" s="87"/>
      <c r="C59" s="64">
        <f>M66</f>
        <v>19</v>
      </c>
      <c r="D59" s="88">
        <f>((100/I55)*C59)/100</f>
        <v>1</v>
      </c>
      <c r="E59" s="88"/>
      <c r="F59" s="88"/>
      <c r="G59" s="88"/>
      <c r="H59" s="88"/>
      <c r="I59" s="88"/>
      <c r="J59" s="88"/>
      <c r="K59" s="20"/>
      <c r="L59" s="20"/>
      <c r="M59" s="21"/>
      <c r="N59" s="21"/>
    </row>
    <row r="60" spans="1:14" ht="15" customHeight="1" x14ac:dyDescent="0.3">
      <c r="A60" s="87" t="s">
        <v>301</v>
      </c>
      <c r="B60" s="87"/>
      <c r="C60" s="65">
        <v>21</v>
      </c>
      <c r="D60" s="88">
        <f>((100/(C55+F55+I55))*C60)/100</f>
        <v>1</v>
      </c>
      <c r="E60" s="88"/>
      <c r="F60" s="88"/>
      <c r="G60" s="88"/>
      <c r="H60" s="88"/>
      <c r="I60" s="88"/>
      <c r="J60" s="88"/>
      <c r="K60" s="53" t="s">
        <v>243</v>
      </c>
      <c r="L60" s="24"/>
      <c r="M60" s="66">
        <f>I55*50%</f>
        <v>9.5</v>
      </c>
      <c r="N60" s="25">
        <v>0.02</v>
      </c>
    </row>
    <row r="61" spans="1:14" ht="15" customHeight="1" x14ac:dyDescent="0.3">
      <c r="A61" s="87" t="s">
        <v>292</v>
      </c>
      <c r="B61" s="87" t="s">
        <v>293</v>
      </c>
      <c r="C61" s="64">
        <v>19</v>
      </c>
      <c r="D61" s="88">
        <f>((100/I55)*C61)/100</f>
        <v>1</v>
      </c>
      <c r="E61" s="88"/>
      <c r="F61" s="88"/>
      <c r="G61" s="88"/>
      <c r="H61" s="88"/>
      <c r="I61" s="88"/>
      <c r="J61" s="88"/>
      <c r="K61" s="53" t="s">
        <v>244</v>
      </c>
      <c r="L61" s="24"/>
      <c r="M61" s="66">
        <f>I55</f>
        <v>19</v>
      </c>
      <c r="N61" s="25">
        <v>0.04</v>
      </c>
    </row>
    <row r="62" spans="1:14" ht="15" customHeight="1" x14ac:dyDescent="0.3">
      <c r="A62" s="87" t="s">
        <v>294</v>
      </c>
      <c r="B62" s="87" t="s">
        <v>293</v>
      </c>
      <c r="C62" s="64">
        <v>12</v>
      </c>
      <c r="D62" s="88">
        <f>((100/I55)*C62)/100</f>
        <v>0.63157894736842113</v>
      </c>
      <c r="E62" s="88"/>
      <c r="F62" s="88"/>
      <c r="G62" s="88"/>
      <c r="H62" s="88"/>
      <c r="I62" s="88"/>
      <c r="J62" s="88"/>
      <c r="K62" s="53"/>
      <c r="L62" s="24"/>
      <c r="M62" s="66"/>
      <c r="N62" s="25">
        <v>0.08</v>
      </c>
    </row>
    <row r="63" spans="1:14" ht="15" customHeight="1" x14ac:dyDescent="0.3">
      <c r="A63" s="89" t="s">
        <v>295</v>
      </c>
      <c r="B63" s="89" t="s">
        <v>296</v>
      </c>
      <c r="C63" s="64">
        <v>12</v>
      </c>
      <c r="D63" s="88">
        <f>((100/(I55))*C63)/100</f>
        <v>0.63157894736842113</v>
      </c>
      <c r="E63" s="88"/>
      <c r="F63" s="88"/>
      <c r="G63" s="88"/>
      <c r="H63" s="88"/>
      <c r="I63" s="88"/>
      <c r="J63" s="88"/>
      <c r="K63" s="53" t="s">
        <v>245</v>
      </c>
      <c r="L63" s="24"/>
      <c r="M63" s="66">
        <f>I55*25%</f>
        <v>4.75</v>
      </c>
      <c r="N63" s="25">
        <v>0.15</v>
      </c>
    </row>
    <row r="64" spans="1:14" ht="15" customHeight="1" x14ac:dyDescent="0.3">
      <c r="A64" s="87" t="s">
        <v>297</v>
      </c>
      <c r="B64" s="87" t="s">
        <v>297</v>
      </c>
      <c r="C64" s="64">
        <v>0</v>
      </c>
      <c r="D64" s="88">
        <f>((100/I55)*C64)/100</f>
        <v>0</v>
      </c>
      <c r="E64" s="88"/>
      <c r="F64" s="88"/>
      <c r="G64" s="88"/>
      <c r="H64" s="88"/>
      <c r="I64" s="88"/>
      <c r="J64" s="88"/>
      <c r="K64" s="53" t="s">
        <v>246</v>
      </c>
      <c r="L64" s="24"/>
      <c r="M64" s="66">
        <f>I55*50%</f>
        <v>9.5</v>
      </c>
      <c r="N64" s="25">
        <v>0.2</v>
      </c>
    </row>
    <row r="65" spans="1:14" ht="15" customHeight="1" thickBot="1" x14ac:dyDescent="0.35">
      <c r="A65" s="87" t="s">
        <v>298</v>
      </c>
      <c r="B65" s="87"/>
      <c r="C65" s="64">
        <v>0</v>
      </c>
      <c r="D65" s="88">
        <f>((100/I55)*C65)/100</f>
        <v>0</v>
      </c>
      <c r="E65" s="88"/>
      <c r="F65" s="88"/>
      <c r="G65" s="88"/>
      <c r="H65" s="88"/>
      <c r="I65" s="88"/>
      <c r="J65" s="88"/>
      <c r="K65" s="53" t="s">
        <v>247</v>
      </c>
      <c r="L65" s="24"/>
      <c r="M65" s="66">
        <f>I55*75%</f>
        <v>14.25</v>
      </c>
      <c r="N65" s="28">
        <v>0.3</v>
      </c>
    </row>
    <row r="66" spans="1:14" ht="15" customHeight="1" x14ac:dyDescent="0.3">
      <c r="A66" s="87" t="s">
        <v>299</v>
      </c>
      <c r="B66" s="87" t="s">
        <v>299</v>
      </c>
      <c r="C66" s="64">
        <v>0</v>
      </c>
      <c r="D66" s="88">
        <f>((100/(I55))*C66)/100</f>
        <v>0</v>
      </c>
      <c r="E66" s="88"/>
      <c r="F66" s="88"/>
      <c r="G66" s="88"/>
      <c r="H66" s="88"/>
      <c r="I66" s="88"/>
      <c r="J66" s="88"/>
      <c r="K66" s="53" t="s">
        <v>248</v>
      </c>
      <c r="L66" s="24"/>
      <c r="M66" s="66">
        <f>I55</f>
        <v>19</v>
      </c>
    </row>
    <row r="67" spans="1:14" ht="16.2" thickBot="1" x14ac:dyDescent="0.35">
      <c r="A67" s="87" t="s">
        <v>300</v>
      </c>
      <c r="B67" s="87"/>
      <c r="C67" s="64">
        <v>0</v>
      </c>
      <c r="D67" s="88">
        <f>((100/(I55))*C67)/100</f>
        <v>0</v>
      </c>
      <c r="E67" s="88"/>
      <c r="F67" s="88"/>
      <c r="G67" s="88"/>
      <c r="H67" s="88"/>
      <c r="I67" s="88"/>
      <c r="J67" s="88"/>
      <c r="K67" s="67"/>
      <c r="L67" s="67"/>
      <c r="M67" s="68"/>
    </row>
    <row r="68" spans="1:14" ht="16.2" hidden="1" thickBot="1" x14ac:dyDescent="0.35">
      <c r="A68" s="90" t="s">
        <v>303</v>
      </c>
      <c r="B68" s="90"/>
      <c r="C68" s="90"/>
      <c r="D68" s="90"/>
      <c r="E68" s="90"/>
      <c r="F68" s="90"/>
      <c r="G68" s="90"/>
      <c r="H68" s="90"/>
      <c r="I68" s="90"/>
      <c r="J68" s="90"/>
      <c r="K68" s="15" t="str">
        <f>(IF(C72=0,"Work not yet Started.",IF(D72=50%,"Excavation work in process",IF(D72=100%,"Excavation work completed, ","0")))&amp;(IF(C73=0%,"",IF(D73=25%,"Footing work is process",IF(D73=50%,"Footing work Completed",IF(D73=75%,"Plinth work is process",IF(D73=100%,"Plinth work completed","0"))))))&amp;(IF(C74&gt;0,", RCC upto "&amp;C74&amp;" Slab completed",""))&amp;(IF(C75&gt;0,", Brickwork upto "&amp;C75&amp;" Floor completed"," "))&amp;(IF(C76&gt;0,", Internal Plaster upto "&amp;C76&amp;" Floor completed"," "))&amp;(IF(C77&gt;0,", External Plaster upto "&amp;C77&amp;" Floor completed"," "))&amp;(IF(C78&gt;0,", Flooring upto "&amp;C78&amp;" Floor completed"," "))&amp;(IF(C79&gt;0,", Painting upto "&amp;C79&amp;" Floor completed"," "))&amp;(IF(C80&gt;0,", Finishing upto "&amp;C80&amp;" Floor completed"," ")))</f>
        <v xml:space="preserve">Excavation work completed, Plinth work completed, RCC upto 12 Slab completed, Brickwork upto 2 Floor completed , External Plaster upto 2 Floor completed   </v>
      </c>
      <c r="L68" s="15"/>
      <c r="M68" s="16"/>
    </row>
    <row r="69" spans="1:14" ht="15" hidden="1" customHeight="1" x14ac:dyDescent="0.3">
      <c r="A69" s="89" t="s">
        <v>223</v>
      </c>
      <c r="B69" s="89"/>
      <c r="C69" s="58">
        <v>2</v>
      </c>
      <c r="D69" s="89" t="s">
        <v>222</v>
      </c>
      <c r="E69" s="89"/>
      <c r="F69" s="89">
        <v>0</v>
      </c>
      <c r="G69" s="89"/>
      <c r="H69" s="58" t="s">
        <v>235</v>
      </c>
      <c r="I69" s="89">
        <v>19</v>
      </c>
      <c r="J69" s="89"/>
      <c r="K69" s="18" t="s">
        <v>236</v>
      </c>
      <c r="L69" s="18"/>
      <c r="M69" s="19"/>
      <c r="N69" s="16"/>
    </row>
    <row r="70" spans="1:14" ht="48.75" hidden="1" customHeight="1" x14ac:dyDescent="0.3">
      <c r="A70" s="91" t="s">
        <v>237</v>
      </c>
      <c r="B70" s="91"/>
      <c r="C70" s="90" t="str">
        <f>K68</f>
        <v xml:space="preserve">Excavation work completed, Plinth work completed, RCC upto 12 Slab completed, Brickwork upto 2 Floor completed , External Plaster upto 2 Floor completed   </v>
      </c>
      <c r="D70" s="90"/>
      <c r="E70" s="90"/>
      <c r="F70" s="90"/>
      <c r="G70" s="90"/>
      <c r="H70" s="90"/>
      <c r="I70" s="90"/>
      <c r="J70" s="90"/>
      <c r="K70" s="18" t="s">
        <v>289</v>
      </c>
      <c r="L70" s="18"/>
      <c r="M70" s="19"/>
      <c r="N70" s="19"/>
    </row>
    <row r="71" spans="1:14" ht="15.6" hidden="1" x14ac:dyDescent="0.3">
      <c r="A71" s="87" t="s">
        <v>37</v>
      </c>
      <c r="B71" s="87"/>
      <c r="C71" s="57" t="s">
        <v>290</v>
      </c>
      <c r="D71" s="87" t="s">
        <v>239</v>
      </c>
      <c r="E71" s="87"/>
      <c r="F71" s="87" t="s">
        <v>240</v>
      </c>
      <c r="G71" s="87"/>
      <c r="H71" s="87" t="s">
        <v>241</v>
      </c>
      <c r="I71" s="87"/>
      <c r="J71" s="87"/>
      <c r="K71" s="18" t="s">
        <v>242</v>
      </c>
      <c r="L71" s="20"/>
      <c r="M71" s="21"/>
      <c r="N71" s="19"/>
    </row>
    <row r="72" spans="1:14" ht="15" hidden="1" customHeight="1" x14ac:dyDescent="0.3">
      <c r="A72" s="87" t="s">
        <v>291</v>
      </c>
      <c r="B72" s="87"/>
      <c r="C72" s="64">
        <f>M75</f>
        <v>19</v>
      </c>
      <c r="D72" s="88">
        <f>((100/I69)*C72)/100</f>
        <v>1</v>
      </c>
      <c r="E72" s="88"/>
      <c r="F72" s="88">
        <f>(IF(C70=K70,"100%",IF(C70=K71,"100%",(((C73/I69*10)+(40/(C69+F69+I69)*C74)+(7.5/(I69)*C75)+(7.5/(I69)*C76)+(10/I69*C77)+(10/I69*C78)+(5/I69*C79)+(5/I69*C80)+(5/I69*C81))/100))))</f>
        <v>0.34699248120300752</v>
      </c>
      <c r="G72" s="88"/>
      <c r="H72" s="88">
        <f>((((C72/I69)*20)+((C73/I69)*25)+(30/(I69+F69+C69)*C74)+(5/I69*C75)+(5/I69*C76)+(5/I69*C77)+(5/I69*C78)+(0/I69*C79)+(0/I69*C80)+(5/I69*C81))/100)</f>
        <v>0.63195488721804505</v>
      </c>
      <c r="I72" s="88"/>
      <c r="J72" s="88"/>
      <c r="K72" s="18"/>
      <c r="L72" s="20"/>
      <c r="M72" s="21"/>
      <c r="N72" s="21"/>
    </row>
    <row r="73" spans="1:14" ht="15" hidden="1" customHeight="1" x14ac:dyDescent="0.3">
      <c r="A73" s="87" t="s">
        <v>38</v>
      </c>
      <c r="B73" s="87"/>
      <c r="C73" s="64">
        <f>M80</f>
        <v>19</v>
      </c>
      <c r="D73" s="88">
        <f>((100/I69)*C73)/100</f>
        <v>1</v>
      </c>
      <c r="E73" s="88"/>
      <c r="F73" s="88"/>
      <c r="G73" s="88"/>
      <c r="H73" s="88"/>
      <c r="I73" s="88"/>
      <c r="J73" s="88"/>
      <c r="K73" s="20"/>
      <c r="L73" s="20"/>
      <c r="M73" s="21"/>
      <c r="N73" s="21"/>
    </row>
    <row r="74" spans="1:14" ht="15" hidden="1" customHeight="1" x14ac:dyDescent="0.3">
      <c r="A74" s="87" t="s">
        <v>301</v>
      </c>
      <c r="B74" s="87"/>
      <c r="C74" s="65">
        <v>12</v>
      </c>
      <c r="D74" s="88">
        <f>((100/(C69+F69+I69))*C74)/100</f>
        <v>0.5714285714285714</v>
      </c>
      <c r="E74" s="88"/>
      <c r="F74" s="88"/>
      <c r="G74" s="88"/>
      <c r="H74" s="88"/>
      <c r="I74" s="88"/>
      <c r="J74" s="88"/>
      <c r="K74" s="53" t="s">
        <v>243</v>
      </c>
      <c r="L74" s="24"/>
      <c r="M74" s="66">
        <f>I69*50%</f>
        <v>9.5</v>
      </c>
      <c r="N74" s="25">
        <v>0.02</v>
      </c>
    </row>
    <row r="75" spans="1:14" ht="15" hidden="1" customHeight="1" x14ac:dyDescent="0.3">
      <c r="A75" s="87" t="s">
        <v>292</v>
      </c>
      <c r="B75" s="87" t="s">
        <v>293</v>
      </c>
      <c r="C75" s="64">
        <v>2</v>
      </c>
      <c r="D75" s="88">
        <f>((100/I69)*C75)/100</f>
        <v>0.10526315789473685</v>
      </c>
      <c r="E75" s="88"/>
      <c r="F75" s="88"/>
      <c r="G75" s="88"/>
      <c r="H75" s="88"/>
      <c r="I75" s="88"/>
      <c r="J75" s="88"/>
      <c r="K75" s="53" t="s">
        <v>244</v>
      </c>
      <c r="L75" s="24"/>
      <c r="M75" s="66">
        <f>I69</f>
        <v>19</v>
      </c>
      <c r="N75" s="25">
        <v>0.04</v>
      </c>
    </row>
    <row r="76" spans="1:14" ht="15" hidden="1" customHeight="1" x14ac:dyDescent="0.3">
      <c r="A76" s="87" t="s">
        <v>294</v>
      </c>
      <c r="B76" s="87" t="s">
        <v>293</v>
      </c>
      <c r="C76" s="64">
        <v>0</v>
      </c>
      <c r="D76" s="88">
        <f>((100/I69)*C76)/100</f>
        <v>0</v>
      </c>
      <c r="E76" s="88"/>
      <c r="F76" s="88"/>
      <c r="G76" s="88"/>
      <c r="H76" s="88"/>
      <c r="I76" s="88"/>
      <c r="J76" s="88"/>
      <c r="K76" s="53"/>
      <c r="L76" s="24"/>
      <c r="M76" s="66"/>
      <c r="N76" s="25">
        <v>0.08</v>
      </c>
    </row>
    <row r="77" spans="1:14" ht="15" hidden="1" customHeight="1" x14ac:dyDescent="0.3">
      <c r="A77" s="89" t="s">
        <v>295</v>
      </c>
      <c r="B77" s="89" t="s">
        <v>296</v>
      </c>
      <c r="C77" s="64">
        <v>2</v>
      </c>
      <c r="D77" s="88">
        <f>((100/(I69))*C77)/100</f>
        <v>0.10526315789473685</v>
      </c>
      <c r="E77" s="88"/>
      <c r="F77" s="88"/>
      <c r="G77" s="88"/>
      <c r="H77" s="88"/>
      <c r="I77" s="88"/>
      <c r="J77" s="88"/>
      <c r="K77" s="53" t="s">
        <v>245</v>
      </c>
      <c r="L77" s="24"/>
      <c r="M77" s="66">
        <f>I69*25%</f>
        <v>4.75</v>
      </c>
      <c r="N77" s="25">
        <v>0.15</v>
      </c>
    </row>
    <row r="78" spans="1:14" ht="15" hidden="1" customHeight="1" x14ac:dyDescent="0.3">
      <c r="A78" s="87" t="s">
        <v>297</v>
      </c>
      <c r="B78" s="87" t="s">
        <v>297</v>
      </c>
      <c r="C78" s="64">
        <v>0</v>
      </c>
      <c r="D78" s="88">
        <f>((100/I69)*C78)/100</f>
        <v>0</v>
      </c>
      <c r="E78" s="88"/>
      <c r="F78" s="88"/>
      <c r="G78" s="88"/>
      <c r="H78" s="88"/>
      <c r="I78" s="88"/>
      <c r="J78" s="88"/>
      <c r="K78" s="53" t="s">
        <v>246</v>
      </c>
      <c r="L78" s="24"/>
      <c r="M78" s="66">
        <f>I69*50%</f>
        <v>9.5</v>
      </c>
      <c r="N78" s="25">
        <v>0.2</v>
      </c>
    </row>
    <row r="79" spans="1:14" ht="15" hidden="1" customHeight="1" thickBot="1" x14ac:dyDescent="0.35">
      <c r="A79" s="87" t="s">
        <v>298</v>
      </c>
      <c r="B79" s="87"/>
      <c r="C79" s="64">
        <v>0</v>
      </c>
      <c r="D79" s="88">
        <f>((100/I69)*C79)/100</f>
        <v>0</v>
      </c>
      <c r="E79" s="88"/>
      <c r="F79" s="88"/>
      <c r="G79" s="88"/>
      <c r="H79" s="88"/>
      <c r="I79" s="88"/>
      <c r="J79" s="88"/>
      <c r="K79" s="53" t="s">
        <v>247</v>
      </c>
      <c r="L79" s="24"/>
      <c r="M79" s="66">
        <f>I69*75%</f>
        <v>14.25</v>
      </c>
      <c r="N79" s="28">
        <v>0.3</v>
      </c>
    </row>
    <row r="80" spans="1:14" ht="15" hidden="1" customHeight="1" x14ac:dyDescent="0.3">
      <c r="A80" s="87" t="s">
        <v>299</v>
      </c>
      <c r="B80" s="87" t="s">
        <v>299</v>
      </c>
      <c r="C80" s="64">
        <v>0</v>
      </c>
      <c r="D80" s="88">
        <f>((100/(I69))*C80)/100</f>
        <v>0</v>
      </c>
      <c r="E80" s="88"/>
      <c r="F80" s="88"/>
      <c r="G80" s="88"/>
      <c r="H80" s="88"/>
      <c r="I80" s="88"/>
      <c r="J80" s="88"/>
      <c r="K80" s="53" t="s">
        <v>248</v>
      </c>
      <c r="L80" s="24"/>
      <c r="M80" s="66">
        <f>I69</f>
        <v>19</v>
      </c>
    </row>
    <row r="81" spans="1:14" ht="16.2" hidden="1" thickBot="1" x14ac:dyDescent="0.35">
      <c r="A81" s="87" t="s">
        <v>300</v>
      </c>
      <c r="B81" s="87"/>
      <c r="C81" s="64">
        <v>0</v>
      </c>
      <c r="D81" s="88">
        <f>((100/(I69))*C81)/100</f>
        <v>0</v>
      </c>
      <c r="E81" s="88"/>
      <c r="F81" s="88"/>
      <c r="G81" s="88"/>
      <c r="H81" s="88"/>
      <c r="I81" s="88"/>
      <c r="J81" s="88"/>
      <c r="K81" s="67"/>
      <c r="L81" s="67"/>
      <c r="M81" s="68"/>
    </row>
    <row r="82" spans="1:14" ht="16.2" thickBot="1" x14ac:dyDescent="0.35">
      <c r="A82" s="90" t="s">
        <v>316</v>
      </c>
      <c r="B82" s="90"/>
      <c r="C82" s="90"/>
      <c r="D82" s="90"/>
      <c r="E82" s="90"/>
      <c r="F82" s="90"/>
      <c r="G82" s="90"/>
      <c r="H82" s="90"/>
      <c r="I82" s="90"/>
      <c r="J82" s="90"/>
      <c r="K82" s="15" t="str">
        <f>(IF(C86=0,"Work not yet Started.",IF(D86=50%,"Excavation work in process",IF(D86=100%,"Excavation work completed, ","0")))&amp;(IF(C87=0%,"",IF(D87=25%,"Footing work is process",IF(D87=50%,"Footing work Completed",IF(D87=75%,"Plinth work is process",IF(D87=100%,"Plinth work completed","0"))))))&amp;(IF(C88&gt;0,", RCC upto "&amp;C88&amp;" Slab completed",""))&amp;(IF(C89&gt;0,", Brickwork upto "&amp;C89&amp;" Floor completed"," "))&amp;(IF(C90&gt;0,", Internal Plaster upto "&amp;C90&amp;" Floor completed"," "))&amp;(IF(C91&gt;0,", External Plaster upto "&amp;C91&amp;" Floor completed"," "))&amp;(IF(C92&gt;0,", Flooring upto "&amp;C92&amp;" Floor completed"," "))&amp;(IF(C93&gt;0,", Painting upto "&amp;C93&amp;" Floor completed"," "))&amp;(IF(C94&gt;0,", Finishing upto "&amp;C94&amp;" Floor completed"," ")))</f>
        <v xml:space="preserve">Excavation work completed, Plinth work completed, RCC upto 21 Slab completed, Brickwork upto 19 Floor completed, Internal Plaster upto 19 Floor completed, External Plaster upto 18 Floor completed   </v>
      </c>
      <c r="L82" s="15"/>
      <c r="M82" s="16"/>
    </row>
    <row r="83" spans="1:14" ht="15" customHeight="1" x14ac:dyDescent="0.3">
      <c r="A83" s="89" t="s">
        <v>223</v>
      </c>
      <c r="B83" s="89"/>
      <c r="C83" s="58">
        <v>2</v>
      </c>
      <c r="D83" s="89" t="s">
        <v>222</v>
      </c>
      <c r="E83" s="89"/>
      <c r="F83" s="89">
        <v>0</v>
      </c>
      <c r="G83" s="89"/>
      <c r="H83" s="58" t="s">
        <v>235</v>
      </c>
      <c r="I83" s="89">
        <v>19</v>
      </c>
      <c r="J83" s="89"/>
      <c r="K83" s="18" t="s">
        <v>236</v>
      </c>
      <c r="L83" s="18"/>
      <c r="M83" s="19"/>
      <c r="N83" s="16"/>
    </row>
    <row r="84" spans="1:14" ht="48.75" customHeight="1" x14ac:dyDescent="0.3">
      <c r="A84" s="91" t="s">
        <v>237</v>
      </c>
      <c r="B84" s="91"/>
      <c r="C84" s="90" t="str">
        <f>K82</f>
        <v xml:space="preserve">Excavation work completed, Plinth work completed, RCC upto 21 Slab completed, Brickwork upto 19 Floor completed, Internal Plaster upto 19 Floor completed, External Plaster upto 18 Floor completed   </v>
      </c>
      <c r="D84" s="90"/>
      <c r="E84" s="90"/>
      <c r="F84" s="90"/>
      <c r="G84" s="90"/>
      <c r="H84" s="90"/>
      <c r="I84" s="90"/>
      <c r="J84" s="90"/>
      <c r="K84" s="18" t="s">
        <v>289</v>
      </c>
      <c r="L84" s="18"/>
      <c r="M84" s="19"/>
      <c r="N84" s="19"/>
    </row>
    <row r="85" spans="1:14" ht="15.6" x14ac:dyDescent="0.3">
      <c r="A85" s="87" t="s">
        <v>37</v>
      </c>
      <c r="B85" s="87"/>
      <c r="C85" s="57" t="s">
        <v>290</v>
      </c>
      <c r="D85" s="87" t="s">
        <v>239</v>
      </c>
      <c r="E85" s="87"/>
      <c r="F85" s="87" t="s">
        <v>240</v>
      </c>
      <c r="G85" s="87"/>
      <c r="H85" s="87" t="s">
        <v>241</v>
      </c>
      <c r="I85" s="87"/>
      <c r="J85" s="87"/>
      <c r="K85" s="18" t="s">
        <v>242</v>
      </c>
      <c r="L85" s="20"/>
      <c r="M85" s="21"/>
      <c r="N85" s="19"/>
    </row>
    <row r="86" spans="1:14" ht="15" customHeight="1" x14ac:dyDescent="0.3">
      <c r="A86" s="87" t="s">
        <v>291</v>
      </c>
      <c r="B86" s="87"/>
      <c r="C86" s="64">
        <f>M89</f>
        <v>19</v>
      </c>
      <c r="D86" s="88">
        <f>((100/I83)*C86)/100</f>
        <v>1</v>
      </c>
      <c r="E86" s="88"/>
      <c r="F86" s="88">
        <f>(IF(C84=K84,"100%",IF(C84=K85,"100%",(((C87/I83*10)+(40/(C83+F83+I83)*C88)+(7.5/(I83)*C89)+(7.5/(I83)*C90)+(10/I83*C91)+(10/I83*C92)+(5/I83*C93)+(5/I83*C94)+(5/I83*C95))/100))))</f>
        <v>0.74473684210526314</v>
      </c>
      <c r="G86" s="88"/>
      <c r="H86" s="88">
        <f>((((C86/I83)*20)+((C87/I83)*25)+(30/(I83+F83+C83)*C88)+(5/I83*C89)+(5/I83*C90)+(5/I83*C91)+(5/I83*C92)+(0/I83*C93)+(0/I83*C94)+(5/I83*C95))/100)</f>
        <v>0.89736842105263148</v>
      </c>
      <c r="I86" s="88"/>
      <c r="J86" s="88"/>
      <c r="K86" s="18"/>
      <c r="L86" s="20"/>
      <c r="M86" s="21"/>
      <c r="N86" s="21"/>
    </row>
    <row r="87" spans="1:14" ht="15" customHeight="1" x14ac:dyDescent="0.3">
      <c r="A87" s="87" t="s">
        <v>38</v>
      </c>
      <c r="B87" s="87"/>
      <c r="C87" s="64">
        <f>M94</f>
        <v>19</v>
      </c>
      <c r="D87" s="88">
        <f>((100/I83)*C87)/100</f>
        <v>1</v>
      </c>
      <c r="E87" s="88"/>
      <c r="F87" s="88"/>
      <c r="G87" s="88"/>
      <c r="H87" s="88"/>
      <c r="I87" s="88"/>
      <c r="J87" s="88"/>
      <c r="K87" s="20"/>
      <c r="L87" s="20"/>
      <c r="M87" s="21"/>
      <c r="N87" s="21"/>
    </row>
    <row r="88" spans="1:14" ht="15" customHeight="1" x14ac:dyDescent="0.3">
      <c r="A88" s="87" t="s">
        <v>301</v>
      </c>
      <c r="B88" s="87"/>
      <c r="C88" s="65">
        <v>21</v>
      </c>
      <c r="D88" s="88">
        <f>((100/(C83+F83+I83))*C88)/100</f>
        <v>1</v>
      </c>
      <c r="E88" s="88"/>
      <c r="F88" s="88"/>
      <c r="G88" s="88"/>
      <c r="H88" s="88"/>
      <c r="I88" s="88"/>
      <c r="J88" s="88"/>
      <c r="K88" s="53" t="s">
        <v>243</v>
      </c>
      <c r="L88" s="24"/>
      <c r="M88" s="66">
        <f>I83*50%</f>
        <v>9.5</v>
      </c>
      <c r="N88" s="25">
        <v>0.02</v>
      </c>
    </row>
    <row r="89" spans="1:14" ht="15" customHeight="1" x14ac:dyDescent="0.3">
      <c r="A89" s="87" t="s">
        <v>292</v>
      </c>
      <c r="B89" s="87" t="s">
        <v>293</v>
      </c>
      <c r="C89" s="65">
        <f>C88-2</f>
        <v>19</v>
      </c>
      <c r="D89" s="88">
        <f>((100/I83)*C89)/100</f>
        <v>1</v>
      </c>
      <c r="E89" s="88"/>
      <c r="F89" s="88"/>
      <c r="G89" s="88"/>
      <c r="H89" s="88"/>
      <c r="I89" s="88"/>
      <c r="J89" s="88"/>
      <c r="K89" s="53" t="s">
        <v>244</v>
      </c>
      <c r="L89" s="24"/>
      <c r="M89" s="66">
        <f>I83</f>
        <v>19</v>
      </c>
      <c r="N89" s="25">
        <v>0.04</v>
      </c>
    </row>
    <row r="90" spans="1:14" ht="15" customHeight="1" x14ac:dyDescent="0.3">
      <c r="A90" s="87" t="s">
        <v>294</v>
      </c>
      <c r="B90" s="87" t="s">
        <v>293</v>
      </c>
      <c r="C90" s="65">
        <v>19</v>
      </c>
      <c r="D90" s="88">
        <f>((100/I83)*C90)/100</f>
        <v>1</v>
      </c>
      <c r="E90" s="88"/>
      <c r="F90" s="88"/>
      <c r="G90" s="88"/>
      <c r="H90" s="88"/>
      <c r="I90" s="88"/>
      <c r="J90" s="88"/>
      <c r="K90" s="53"/>
      <c r="L90" s="24"/>
      <c r="M90" s="66"/>
      <c r="N90" s="25">
        <v>0.08</v>
      </c>
    </row>
    <row r="91" spans="1:14" ht="15" customHeight="1" x14ac:dyDescent="0.3">
      <c r="A91" s="89" t="s">
        <v>295</v>
      </c>
      <c r="B91" s="89" t="s">
        <v>296</v>
      </c>
      <c r="C91" s="64">
        <v>18</v>
      </c>
      <c r="D91" s="88">
        <f>((100/(I83))*C91)/100</f>
        <v>0.94736842105263164</v>
      </c>
      <c r="E91" s="88"/>
      <c r="F91" s="88"/>
      <c r="G91" s="88"/>
      <c r="H91" s="88"/>
      <c r="I91" s="88"/>
      <c r="J91" s="88"/>
      <c r="K91" s="53" t="s">
        <v>245</v>
      </c>
      <c r="L91" s="24"/>
      <c r="M91" s="66">
        <f>I83*25%</f>
        <v>4.75</v>
      </c>
      <c r="N91" s="25">
        <v>0.15</v>
      </c>
    </row>
    <row r="92" spans="1:14" ht="15" customHeight="1" x14ac:dyDescent="0.3">
      <c r="A92" s="87" t="s">
        <v>297</v>
      </c>
      <c r="B92" s="87" t="s">
        <v>297</v>
      </c>
      <c r="C92" s="64">
        <v>0</v>
      </c>
      <c r="D92" s="88">
        <f>((100/I83)*C92)/100</f>
        <v>0</v>
      </c>
      <c r="E92" s="88"/>
      <c r="F92" s="88"/>
      <c r="G92" s="88"/>
      <c r="H92" s="88"/>
      <c r="I92" s="88"/>
      <c r="J92" s="88"/>
      <c r="K92" s="53" t="s">
        <v>246</v>
      </c>
      <c r="L92" s="24"/>
      <c r="M92" s="66">
        <f>I83*50%</f>
        <v>9.5</v>
      </c>
      <c r="N92" s="25">
        <v>0.2</v>
      </c>
    </row>
    <row r="93" spans="1:14" ht="15" customHeight="1" thickBot="1" x14ac:dyDescent="0.35">
      <c r="A93" s="87" t="s">
        <v>298</v>
      </c>
      <c r="B93" s="87"/>
      <c r="C93" s="64">
        <v>0</v>
      </c>
      <c r="D93" s="88">
        <f>((100/I83)*C93)/100</f>
        <v>0</v>
      </c>
      <c r="E93" s="88"/>
      <c r="F93" s="88"/>
      <c r="G93" s="88"/>
      <c r="H93" s="88"/>
      <c r="I93" s="88"/>
      <c r="J93" s="88"/>
      <c r="K93" s="53" t="s">
        <v>247</v>
      </c>
      <c r="L93" s="24"/>
      <c r="M93" s="66">
        <f>I83*75%</f>
        <v>14.25</v>
      </c>
      <c r="N93" s="28">
        <v>0.3</v>
      </c>
    </row>
    <row r="94" spans="1:14" ht="15" customHeight="1" x14ac:dyDescent="0.3">
      <c r="A94" s="87" t="s">
        <v>299</v>
      </c>
      <c r="B94" s="87" t="s">
        <v>299</v>
      </c>
      <c r="C94" s="64">
        <v>0</v>
      </c>
      <c r="D94" s="88">
        <f>((100/(I83))*C94)/100</f>
        <v>0</v>
      </c>
      <c r="E94" s="88"/>
      <c r="F94" s="88"/>
      <c r="G94" s="88"/>
      <c r="H94" s="88"/>
      <c r="I94" s="88"/>
      <c r="J94" s="88"/>
      <c r="K94" s="53" t="s">
        <v>248</v>
      </c>
      <c r="L94" s="24"/>
      <c r="M94" s="66">
        <f>I83</f>
        <v>19</v>
      </c>
    </row>
    <row r="95" spans="1:14" ht="16.2" thickBot="1" x14ac:dyDescent="0.35">
      <c r="A95" s="87" t="s">
        <v>300</v>
      </c>
      <c r="B95" s="87"/>
      <c r="C95" s="64">
        <v>0</v>
      </c>
      <c r="D95" s="88">
        <f>((100/(I83))*C95)/100</f>
        <v>0</v>
      </c>
      <c r="E95" s="88"/>
      <c r="F95" s="88"/>
      <c r="G95" s="88"/>
      <c r="H95" s="88"/>
      <c r="I95" s="88"/>
      <c r="J95" s="88"/>
      <c r="K95" s="67"/>
      <c r="L95" s="67"/>
      <c r="M95" s="68"/>
    </row>
    <row r="96" spans="1:14" ht="16.2" hidden="1" thickBot="1" x14ac:dyDescent="0.35">
      <c r="A96" s="90" t="s">
        <v>304</v>
      </c>
      <c r="B96" s="90"/>
      <c r="C96" s="90"/>
      <c r="D96" s="90"/>
      <c r="E96" s="90"/>
      <c r="F96" s="90"/>
      <c r="G96" s="90"/>
      <c r="H96" s="90"/>
      <c r="I96" s="90"/>
      <c r="J96" s="90"/>
      <c r="K96" s="15" t="str">
        <f>(IF(C100=0,"Work not yet Started.",IF(D100=50%,"Excavation work in process",IF(D100=100%,"Excavation work completed, ","0")))&amp;(IF(C101=0%,"",IF(D101=25%,"Footing work is process",IF(D101=50%,"Footing work Completed",IF(D101=75%,"Plinth work is process",IF(D101=100%,"Plinth work completed","0"))))))&amp;(IF(C102&gt;0,", RCC upto "&amp;C102&amp;" Slab completed",""))&amp;(IF(C103&gt;0,", Brickwork upto "&amp;C103&amp;" Floor completed"," "))&amp;(IF(C104&gt;0,", Internal Plaster upto "&amp;C104&amp;" Floor completed"," "))&amp;(IF(C105&gt;0,", External Plaster upto "&amp;C105&amp;" Floor completed"," "))&amp;(IF(C106&gt;0,", Flooring upto "&amp;C106&amp;" Floor completed"," "))&amp;(IF(C107&gt;0,", Painting upto "&amp;C107&amp;" Floor completed"," "))&amp;(IF(C108&gt;0,", Finishing upto "&amp;C108&amp;" Floor completed"," ")))</f>
        <v xml:space="preserve">Excavation work completed, Plinth work completed, RCC upto 12 Slab completed, Brickwork upto 9 Floor completed, Internal Plaster upto 2 Floor completed, External Plaster upto 9 Floor completed   </v>
      </c>
      <c r="L96" s="15"/>
      <c r="M96" s="16"/>
    </row>
    <row r="97" spans="1:14" ht="15" hidden="1" customHeight="1" x14ac:dyDescent="0.3">
      <c r="A97" s="89" t="s">
        <v>223</v>
      </c>
      <c r="B97" s="89"/>
      <c r="C97" s="58">
        <v>2</v>
      </c>
      <c r="D97" s="89" t="s">
        <v>222</v>
      </c>
      <c r="E97" s="89"/>
      <c r="F97" s="89">
        <v>0</v>
      </c>
      <c r="G97" s="89"/>
      <c r="H97" s="58" t="s">
        <v>235</v>
      </c>
      <c r="I97" s="89">
        <v>19</v>
      </c>
      <c r="J97" s="89"/>
      <c r="K97" s="18" t="s">
        <v>236</v>
      </c>
      <c r="L97" s="18"/>
      <c r="M97" s="19"/>
      <c r="N97" s="16"/>
    </row>
    <row r="98" spans="1:14" ht="46.5" hidden="1" customHeight="1" x14ac:dyDescent="0.3">
      <c r="A98" s="91" t="s">
        <v>237</v>
      </c>
      <c r="B98" s="91"/>
      <c r="C98" s="90" t="str">
        <f>K96</f>
        <v xml:space="preserve">Excavation work completed, Plinth work completed, RCC upto 12 Slab completed, Brickwork upto 9 Floor completed, Internal Plaster upto 2 Floor completed, External Plaster upto 9 Floor completed   </v>
      </c>
      <c r="D98" s="90"/>
      <c r="E98" s="90"/>
      <c r="F98" s="90"/>
      <c r="G98" s="90"/>
      <c r="H98" s="90"/>
      <c r="I98" s="90"/>
      <c r="J98" s="90"/>
      <c r="K98" s="18" t="s">
        <v>289</v>
      </c>
      <c r="L98" s="18"/>
      <c r="M98" s="19"/>
      <c r="N98" s="19"/>
    </row>
    <row r="99" spans="1:14" ht="15.6" hidden="1" x14ac:dyDescent="0.3">
      <c r="A99" s="87" t="s">
        <v>37</v>
      </c>
      <c r="B99" s="87"/>
      <c r="C99" s="57" t="s">
        <v>290</v>
      </c>
      <c r="D99" s="87" t="s">
        <v>239</v>
      </c>
      <c r="E99" s="87"/>
      <c r="F99" s="87" t="s">
        <v>240</v>
      </c>
      <c r="G99" s="87"/>
      <c r="H99" s="87" t="s">
        <v>241</v>
      </c>
      <c r="I99" s="87"/>
      <c r="J99" s="87"/>
      <c r="K99" s="18" t="s">
        <v>242</v>
      </c>
      <c r="L99" s="20"/>
      <c r="M99" s="21"/>
      <c r="N99" s="19"/>
    </row>
    <row r="100" spans="1:14" ht="15" hidden="1" customHeight="1" x14ac:dyDescent="0.3">
      <c r="A100" s="87" t="s">
        <v>291</v>
      </c>
      <c r="B100" s="87"/>
      <c r="C100" s="64">
        <f>M103</f>
        <v>19</v>
      </c>
      <c r="D100" s="88">
        <f>((100/I97)*C100)/100</f>
        <v>1</v>
      </c>
      <c r="E100" s="88"/>
      <c r="F100" s="88">
        <f>(IF(C98=K98,"100%",IF(C98=K99,"100%",(((C101/I97*10)+(40/(C97+F97+I97)*C102)+(7.5/(I97)*C103)+(7.5/(I97)*C104)+(10/I97*C105)+(10/I97*C106)+(5/I97*C107)+(5/I97*C108)+(5/I97*C109))/100))))</f>
        <v>0.4193609022556391</v>
      </c>
      <c r="G100" s="88"/>
      <c r="H100" s="88">
        <f>((((C100/I97)*20)+((C101/I97)*25)+(30/(I97+F97+C97)*C102)+(5/I97*C103)+(5/I97*C104)+(5/I97*C105)+(5/I97*C106)+(0/I97*C107)+(0/I97*C108)+(5/I97*C109))/100)</f>
        <v>0.67406015037593969</v>
      </c>
      <c r="I100" s="88"/>
      <c r="J100" s="88"/>
      <c r="K100" s="18"/>
      <c r="L100" s="20"/>
      <c r="M100" s="21"/>
      <c r="N100" s="21"/>
    </row>
    <row r="101" spans="1:14" ht="15" hidden="1" customHeight="1" x14ac:dyDescent="0.3">
      <c r="A101" s="87" t="s">
        <v>38</v>
      </c>
      <c r="B101" s="87"/>
      <c r="C101" s="64">
        <f>M108</f>
        <v>19</v>
      </c>
      <c r="D101" s="88">
        <f>((100/I97)*C101)/100</f>
        <v>1</v>
      </c>
      <c r="E101" s="88"/>
      <c r="F101" s="88"/>
      <c r="G101" s="88"/>
      <c r="H101" s="88"/>
      <c r="I101" s="88"/>
      <c r="J101" s="88"/>
      <c r="K101" s="20"/>
      <c r="L101" s="20"/>
      <c r="M101" s="21"/>
      <c r="N101" s="21"/>
    </row>
    <row r="102" spans="1:14" ht="15" hidden="1" customHeight="1" x14ac:dyDescent="0.3">
      <c r="A102" s="87" t="s">
        <v>301</v>
      </c>
      <c r="B102" s="87"/>
      <c r="C102" s="65">
        <v>12</v>
      </c>
      <c r="D102" s="88">
        <f>((100/(C97+F97+I97))*C102)/100</f>
        <v>0.5714285714285714</v>
      </c>
      <c r="E102" s="88"/>
      <c r="F102" s="88"/>
      <c r="G102" s="88"/>
      <c r="H102" s="88"/>
      <c r="I102" s="88"/>
      <c r="J102" s="88"/>
      <c r="K102" s="53" t="s">
        <v>243</v>
      </c>
      <c r="L102" s="24"/>
      <c r="M102" s="66">
        <f>I97*50%</f>
        <v>9.5</v>
      </c>
      <c r="N102" s="25">
        <v>0.02</v>
      </c>
    </row>
    <row r="103" spans="1:14" ht="15" hidden="1" customHeight="1" x14ac:dyDescent="0.3">
      <c r="A103" s="87" t="s">
        <v>292</v>
      </c>
      <c r="B103" s="87" t="s">
        <v>293</v>
      </c>
      <c r="C103" s="64">
        <v>9</v>
      </c>
      <c r="D103" s="88">
        <f>((100/I97)*C103)/100</f>
        <v>0.47368421052631582</v>
      </c>
      <c r="E103" s="88"/>
      <c r="F103" s="88"/>
      <c r="G103" s="88"/>
      <c r="H103" s="88"/>
      <c r="I103" s="88"/>
      <c r="J103" s="88"/>
      <c r="K103" s="53" t="s">
        <v>244</v>
      </c>
      <c r="L103" s="24"/>
      <c r="M103" s="66">
        <f>I97</f>
        <v>19</v>
      </c>
      <c r="N103" s="25">
        <v>0.04</v>
      </c>
    </row>
    <row r="104" spans="1:14" ht="15" hidden="1" customHeight="1" x14ac:dyDescent="0.3">
      <c r="A104" s="87" t="s">
        <v>294</v>
      </c>
      <c r="B104" s="87" t="s">
        <v>293</v>
      </c>
      <c r="C104" s="64">
        <v>2</v>
      </c>
      <c r="D104" s="88">
        <f>((100/I97)*C104)/100</f>
        <v>0.10526315789473685</v>
      </c>
      <c r="E104" s="88"/>
      <c r="F104" s="88"/>
      <c r="G104" s="88"/>
      <c r="H104" s="88"/>
      <c r="I104" s="88"/>
      <c r="J104" s="88"/>
      <c r="K104" s="53"/>
      <c r="L104" s="24"/>
      <c r="M104" s="66"/>
      <c r="N104" s="25">
        <v>0.08</v>
      </c>
    </row>
    <row r="105" spans="1:14" ht="15" hidden="1" customHeight="1" x14ac:dyDescent="0.3">
      <c r="A105" s="89" t="s">
        <v>295</v>
      </c>
      <c r="B105" s="89" t="s">
        <v>296</v>
      </c>
      <c r="C105" s="64">
        <v>9</v>
      </c>
      <c r="D105" s="88">
        <f>((100/(I97))*C105)/100</f>
        <v>0.47368421052631582</v>
      </c>
      <c r="E105" s="88"/>
      <c r="F105" s="88"/>
      <c r="G105" s="88"/>
      <c r="H105" s="88"/>
      <c r="I105" s="88"/>
      <c r="J105" s="88"/>
      <c r="K105" s="53" t="s">
        <v>245</v>
      </c>
      <c r="L105" s="24"/>
      <c r="M105" s="66">
        <f>I97*25%</f>
        <v>4.75</v>
      </c>
      <c r="N105" s="25">
        <v>0.15</v>
      </c>
    </row>
    <row r="106" spans="1:14" ht="15" hidden="1" customHeight="1" x14ac:dyDescent="0.3">
      <c r="A106" s="87" t="s">
        <v>297</v>
      </c>
      <c r="B106" s="87" t="s">
        <v>297</v>
      </c>
      <c r="C106" s="64">
        <v>0</v>
      </c>
      <c r="D106" s="88">
        <f>((100/I97)*C106)/100</f>
        <v>0</v>
      </c>
      <c r="E106" s="88"/>
      <c r="F106" s="88"/>
      <c r="G106" s="88"/>
      <c r="H106" s="88"/>
      <c r="I106" s="88"/>
      <c r="J106" s="88"/>
      <c r="K106" s="53" t="s">
        <v>246</v>
      </c>
      <c r="L106" s="24"/>
      <c r="M106" s="66">
        <f>I97*50%</f>
        <v>9.5</v>
      </c>
      <c r="N106" s="25">
        <v>0.2</v>
      </c>
    </row>
    <row r="107" spans="1:14" ht="15" hidden="1" customHeight="1" thickBot="1" x14ac:dyDescent="0.35">
      <c r="A107" s="87" t="s">
        <v>298</v>
      </c>
      <c r="B107" s="87"/>
      <c r="C107" s="64">
        <v>0</v>
      </c>
      <c r="D107" s="88">
        <f>((100/I97)*C107)/100</f>
        <v>0</v>
      </c>
      <c r="E107" s="88"/>
      <c r="F107" s="88"/>
      <c r="G107" s="88"/>
      <c r="H107" s="88"/>
      <c r="I107" s="88"/>
      <c r="J107" s="88"/>
      <c r="K107" s="53" t="s">
        <v>247</v>
      </c>
      <c r="L107" s="24"/>
      <c r="M107" s="66">
        <f>I97*75%</f>
        <v>14.25</v>
      </c>
      <c r="N107" s="28">
        <v>0.3</v>
      </c>
    </row>
    <row r="108" spans="1:14" ht="15" hidden="1" customHeight="1" x14ac:dyDescent="0.3">
      <c r="A108" s="87" t="s">
        <v>299</v>
      </c>
      <c r="B108" s="87" t="s">
        <v>299</v>
      </c>
      <c r="C108" s="64">
        <v>0</v>
      </c>
      <c r="D108" s="88">
        <f>((100/(I97))*C108)/100</f>
        <v>0</v>
      </c>
      <c r="E108" s="88"/>
      <c r="F108" s="88"/>
      <c r="G108" s="88"/>
      <c r="H108" s="88"/>
      <c r="I108" s="88"/>
      <c r="J108" s="88"/>
      <c r="K108" s="53" t="s">
        <v>248</v>
      </c>
      <c r="L108" s="24"/>
      <c r="M108" s="66">
        <f>I97</f>
        <v>19</v>
      </c>
    </row>
    <row r="109" spans="1:14" ht="16.2" hidden="1" thickBot="1" x14ac:dyDescent="0.35">
      <c r="A109" s="96" t="s">
        <v>300</v>
      </c>
      <c r="B109" s="96"/>
      <c r="C109" s="84">
        <v>0</v>
      </c>
      <c r="D109" s="95">
        <f>((100/(I97))*C109)/100</f>
        <v>0</v>
      </c>
      <c r="E109" s="95"/>
      <c r="F109" s="95"/>
      <c r="G109" s="95"/>
      <c r="H109" s="95"/>
      <c r="I109" s="95"/>
      <c r="J109" s="95"/>
      <c r="K109" s="67"/>
      <c r="L109" s="67"/>
      <c r="M109" s="68"/>
    </row>
    <row r="110" spans="1:14" s="70" customFormat="1" ht="16.5" customHeight="1" thickBot="1" x14ac:dyDescent="0.35">
      <c r="A110" s="188" t="s">
        <v>306</v>
      </c>
      <c r="B110" s="188"/>
      <c r="C110" s="90" t="s">
        <v>320</v>
      </c>
      <c r="D110" s="90"/>
      <c r="E110" s="90"/>
      <c r="F110" s="90"/>
      <c r="G110" s="90"/>
      <c r="H110" s="90"/>
      <c r="I110" s="90"/>
      <c r="J110" s="90"/>
      <c r="K110" s="18" t="str">
        <f ca="1">(IF(F114&gt;99%,"All work completed. Please provide OC.",IF(F114&gt;89.8%,"Plinth, RCC, Brick, Plaster, Flooring, Painting work Completed. Finishing work is in process.",IF(F114&lt;94%,(IF(C114=0,"Work not yet Started.",IF(D114=25%,"Piling work in process",IF(D114=50%,"Excavation work in process",IF(D114=100%,"Excavation work Completed. ","0")))&amp;(IF(C115=0%,"",IF(C115=L116,"Footing work is process",IF(C115=L117,"Footing work Completed",IF(C115=L118,"1st Basement Completed",IF(C115=L119,"1st &amp; 2nd Basement Completed",IF(C115=L120,"1st to 3rd Basement Completed",IF(C115=L121,"1st to 4th Basement Completed",IF(C115=L122,"Plinth work is process",IF(C115=L123,"Plinth work completed","0")))))))))))&amp;(IF(C116=(D111+G111+I111),", RCC Slab",IF(C116&gt;0,", RCC upto "&amp;C116&amp;" Slab",""))&amp;(IF(C117=I111,", Brickwork",IF(C117&gt;0,", Brickwork upto "&amp;C117&amp;" Floor",""))&amp;(IF(C118=I111,", Internal Plaster",IF(C118&gt;0,", Internal Plaster upto "&amp;C118&amp;" Floor",""))&amp;(IF(C119=I111,", External Plaster",IF(C119&gt;0,", External Plaster upto "&amp;C119&amp;" Floor",""))&amp;(IF(C120=I111,", Flooring",IF(C120&gt;0,", Flooring upto "&amp;C120&amp;" Floor",""))&amp;(IF(C121=I111,", Painting",IF(C121&gt;0,", Painting upto "&amp;C121&amp;" Floor",""))&amp;(IF(C122&gt;0,", Finishing upto "&amp;C122&amp;" Floor","")&amp;(IF(C116&gt;0.5," Completed",""))))))))))))))</f>
        <v>Excavation work Completed. Plinth work completed, RCC upto 8 Slab Completed</v>
      </c>
      <c r="L110" s="18"/>
      <c r="M110" s="69"/>
    </row>
    <row r="111" spans="1:14" s="70" customFormat="1" ht="15" customHeight="1" x14ac:dyDescent="0.3">
      <c r="A111" s="58" t="s">
        <v>221</v>
      </c>
      <c r="B111" s="58">
        <v>2</v>
      </c>
      <c r="C111" s="58" t="s">
        <v>223</v>
      </c>
      <c r="D111" s="58">
        <v>1</v>
      </c>
      <c r="E111" s="89" t="s">
        <v>222</v>
      </c>
      <c r="F111" s="89"/>
      <c r="G111" s="58">
        <v>0</v>
      </c>
      <c r="H111" s="58" t="s">
        <v>235</v>
      </c>
      <c r="I111" s="89">
        <f ca="1">--TRIM(RIGHT(SUBSTITUTE(LEFT(C110,_xlfn.AGGREGATE(16,6,FIND({0,1,2,3,4,5,6,7,8,9},C110,ROW(INDIRECT("1:"&amp;LEN(C110)))),1))," ",REPT(" ",LEN(C110))),LEN(C110)))</f>
        <v>19</v>
      </c>
      <c r="J111" s="89"/>
      <c r="K111" s="18"/>
      <c r="L111" s="18"/>
      <c r="M111" s="71"/>
      <c r="N111" s="69"/>
    </row>
    <row r="112" spans="1:14" s="70" customFormat="1" ht="32.25" customHeight="1" x14ac:dyDescent="0.3">
      <c r="A112" s="91" t="s">
        <v>237</v>
      </c>
      <c r="B112" s="91"/>
      <c r="C112" s="90" t="str">
        <f ca="1">K110</f>
        <v>Excavation work Completed. Plinth work completed, RCC upto 8 Slab Completed</v>
      </c>
      <c r="D112" s="90"/>
      <c r="E112" s="90"/>
      <c r="F112" s="90"/>
      <c r="G112" s="90"/>
      <c r="H112" s="90"/>
      <c r="I112" s="90"/>
      <c r="J112" s="90"/>
      <c r="K112" s="18" t="s">
        <v>242</v>
      </c>
      <c r="L112" s="18"/>
      <c r="M112" s="71"/>
      <c r="N112" s="71"/>
    </row>
    <row r="113" spans="1:17" s="70" customFormat="1" ht="15.75" customHeight="1" x14ac:dyDescent="0.3">
      <c r="A113" s="87" t="s">
        <v>37</v>
      </c>
      <c r="B113" s="87"/>
      <c r="C113" s="57" t="s">
        <v>290</v>
      </c>
      <c r="D113" s="87" t="s">
        <v>239</v>
      </c>
      <c r="E113" s="87"/>
      <c r="F113" s="87" t="s">
        <v>240</v>
      </c>
      <c r="G113" s="87"/>
      <c r="H113" s="87" t="s">
        <v>241</v>
      </c>
      <c r="I113" s="87"/>
      <c r="J113" s="87"/>
      <c r="K113" s="53" t="s">
        <v>307</v>
      </c>
      <c r="L113" s="20">
        <f ca="1">I111*25%</f>
        <v>4.75</v>
      </c>
      <c r="M113" s="72"/>
      <c r="N113" s="71"/>
      <c r="Q113" s="70" t="s">
        <v>305</v>
      </c>
    </row>
    <row r="114" spans="1:17" s="70" customFormat="1" ht="15" customHeight="1" x14ac:dyDescent="0.3">
      <c r="A114" s="87" t="s">
        <v>291</v>
      </c>
      <c r="B114" s="87"/>
      <c r="C114" s="64">
        <f ca="1">L115</f>
        <v>19</v>
      </c>
      <c r="D114" s="88">
        <f ca="1">((100/I111)*C114)/100</f>
        <v>1</v>
      </c>
      <c r="E114" s="88"/>
      <c r="F114" s="88">
        <f ca="1">(((C115/I111*10)+(40/(D111+G111+I111)*C116)+(7.5/(I111)*C117)+(7.5/(I111)*C118)+(10/I111*C119)+(10/I111*C120)+(5/I111*C121)+(5/I111*C122)+(5/I111*C123))/100)</f>
        <v>0.26</v>
      </c>
      <c r="G114" s="88"/>
      <c r="H114" s="88">
        <f ca="1">((((C114/I111)*20)+((C115/I111)*25)+(30/(I111+G111+D111)*C116)+(5/I111*C117)+(5/I111*C118)+(5/I111*C119)+(5/I111*C120)+(0/I111*C121)+(0/I111*C122)+(5/I111*C123))/100)</f>
        <v>0.56999999999999995</v>
      </c>
      <c r="I114" s="88"/>
      <c r="J114" s="88"/>
      <c r="K114" s="53" t="s">
        <v>243</v>
      </c>
      <c r="L114" s="53">
        <f ca="1">I111*50%</f>
        <v>9.5</v>
      </c>
      <c r="M114" s="72"/>
      <c r="N114" s="72"/>
    </row>
    <row r="115" spans="1:17" s="70" customFormat="1" ht="15" customHeight="1" x14ac:dyDescent="0.3">
      <c r="A115" s="87" t="s">
        <v>38</v>
      </c>
      <c r="B115" s="87"/>
      <c r="C115" s="65">
        <f ca="1">L123</f>
        <v>19</v>
      </c>
      <c r="D115" s="88">
        <f ca="1">((100/I111)*C115)/100</f>
        <v>1</v>
      </c>
      <c r="E115" s="88"/>
      <c r="F115" s="88"/>
      <c r="G115" s="88"/>
      <c r="H115" s="88"/>
      <c r="I115" s="88"/>
      <c r="J115" s="88"/>
      <c r="K115" s="53" t="s">
        <v>244</v>
      </c>
      <c r="L115" s="53">
        <f ca="1">I111</f>
        <v>19</v>
      </c>
      <c r="M115" s="72"/>
      <c r="N115" s="72"/>
    </row>
    <row r="116" spans="1:17" s="70" customFormat="1" ht="15" customHeight="1" x14ac:dyDescent="0.3">
      <c r="A116" s="89" t="s">
        <v>308</v>
      </c>
      <c r="B116" s="89"/>
      <c r="C116" s="65">
        <v>8</v>
      </c>
      <c r="D116" s="88">
        <f ca="1">((100/(D111+G111+I111))*C116)/100</f>
        <v>0.4</v>
      </c>
      <c r="E116" s="88"/>
      <c r="F116" s="88"/>
      <c r="G116" s="88"/>
      <c r="H116" s="88"/>
      <c r="I116" s="88"/>
      <c r="J116" s="88"/>
      <c r="K116" s="53" t="s">
        <v>245</v>
      </c>
      <c r="L116" s="13">
        <f ca="1">(IF(B111&gt;1,(I111/(B111+2)),I111/4))</f>
        <v>4.75</v>
      </c>
      <c r="M116" s="73">
        <f ca="1">I111*50%</f>
        <v>9.5</v>
      </c>
      <c r="N116" s="74">
        <v>0.02</v>
      </c>
    </row>
    <row r="117" spans="1:17" s="70" customFormat="1" ht="15" customHeight="1" x14ac:dyDescent="0.3">
      <c r="A117" s="87" t="s">
        <v>292</v>
      </c>
      <c r="B117" s="87" t="s">
        <v>293</v>
      </c>
      <c r="C117" s="64">
        <v>0</v>
      </c>
      <c r="D117" s="88">
        <f ca="1">((100/I111)*C117)/100</f>
        <v>0</v>
      </c>
      <c r="E117" s="88"/>
      <c r="F117" s="88"/>
      <c r="G117" s="88"/>
      <c r="H117" s="88"/>
      <c r="I117" s="88"/>
      <c r="J117" s="88"/>
      <c r="K117" s="53" t="s">
        <v>246</v>
      </c>
      <c r="L117" s="13">
        <f ca="1">(IF(B111&gt;1,(I111/(B111+2)+L116),I111/4+L116))</f>
        <v>9.5</v>
      </c>
      <c r="M117" s="73">
        <f ca="1">I111</f>
        <v>19</v>
      </c>
      <c r="N117" s="74">
        <v>0.04</v>
      </c>
    </row>
    <row r="118" spans="1:17" s="70" customFormat="1" ht="15" customHeight="1" x14ac:dyDescent="0.3">
      <c r="A118" s="87" t="s">
        <v>294</v>
      </c>
      <c r="B118" s="87" t="s">
        <v>293</v>
      </c>
      <c r="C118" s="64">
        <v>0</v>
      </c>
      <c r="D118" s="88">
        <f ca="1">((100/I111)*C118)/100</f>
        <v>0</v>
      </c>
      <c r="E118" s="88"/>
      <c r="F118" s="88"/>
      <c r="G118" s="88"/>
      <c r="H118" s="88"/>
      <c r="I118" s="88"/>
      <c r="J118" s="88"/>
      <c r="K118" s="53" t="s">
        <v>309</v>
      </c>
      <c r="L118" s="13">
        <f ca="1">(IF(B111&gt;1,(I111/(B111+2)+L117),0))</f>
        <v>14.25</v>
      </c>
      <c r="M118" s="73"/>
      <c r="N118" s="74">
        <v>0.08</v>
      </c>
    </row>
    <row r="119" spans="1:17" s="70" customFormat="1" ht="15" customHeight="1" x14ac:dyDescent="0.3">
      <c r="A119" s="87" t="s">
        <v>295</v>
      </c>
      <c r="B119" s="87" t="s">
        <v>296</v>
      </c>
      <c r="C119" s="64">
        <v>0</v>
      </c>
      <c r="D119" s="88">
        <f ca="1">((100/(I111))*C119)/100</f>
        <v>0</v>
      </c>
      <c r="E119" s="88"/>
      <c r="F119" s="88"/>
      <c r="G119" s="88"/>
      <c r="H119" s="88"/>
      <c r="I119" s="88"/>
      <c r="J119" s="88"/>
      <c r="K119" s="53" t="s">
        <v>310</v>
      </c>
      <c r="L119" s="13">
        <f>(IF(B111&gt;2,(I111/(B111+2)+L118),0))</f>
        <v>0</v>
      </c>
      <c r="M119" s="73">
        <f ca="1">I111*25%</f>
        <v>4.75</v>
      </c>
      <c r="N119" s="74">
        <v>0.15</v>
      </c>
    </row>
    <row r="120" spans="1:17" s="70" customFormat="1" ht="15" customHeight="1" x14ac:dyDescent="0.3">
      <c r="A120" s="87" t="s">
        <v>297</v>
      </c>
      <c r="B120" s="87" t="s">
        <v>297</v>
      </c>
      <c r="C120" s="64">
        <v>0</v>
      </c>
      <c r="D120" s="88">
        <f ca="1">((100/I111)*C120)/100</f>
        <v>0</v>
      </c>
      <c r="E120" s="88"/>
      <c r="F120" s="88"/>
      <c r="G120" s="88"/>
      <c r="H120" s="88"/>
      <c r="I120" s="88"/>
      <c r="J120" s="88"/>
      <c r="K120" s="53" t="s">
        <v>311</v>
      </c>
      <c r="L120" s="75">
        <f>(IF(B111&gt;3,(I111/(B111+2)+L119),0))</f>
        <v>0</v>
      </c>
      <c r="M120" s="73">
        <f ca="1">I111*50%</f>
        <v>9.5</v>
      </c>
      <c r="N120" s="74">
        <v>0.2</v>
      </c>
    </row>
    <row r="121" spans="1:17" s="70" customFormat="1" ht="15" customHeight="1" thickBot="1" x14ac:dyDescent="0.35">
      <c r="A121" s="87" t="s">
        <v>298</v>
      </c>
      <c r="B121" s="87"/>
      <c r="C121" s="64">
        <v>0</v>
      </c>
      <c r="D121" s="88">
        <f ca="1">((100/I111)*C121)/100</f>
        <v>0</v>
      </c>
      <c r="E121" s="88"/>
      <c r="F121" s="88"/>
      <c r="G121" s="88"/>
      <c r="H121" s="88"/>
      <c r="I121" s="88"/>
      <c r="J121" s="88"/>
      <c r="K121" s="53" t="s">
        <v>312</v>
      </c>
      <c r="L121" s="13">
        <f>(IF(B111&gt;4,(I111/(B111+2)+L120),0))</f>
        <v>0</v>
      </c>
      <c r="M121" s="73">
        <f ca="1">I111*75%</f>
        <v>14.25</v>
      </c>
      <c r="N121" s="76">
        <v>0.3</v>
      </c>
    </row>
    <row r="122" spans="1:17" s="70" customFormat="1" ht="15" customHeight="1" x14ac:dyDescent="0.3">
      <c r="A122" s="87" t="s">
        <v>299</v>
      </c>
      <c r="B122" s="87" t="s">
        <v>299</v>
      </c>
      <c r="C122" s="64">
        <v>0</v>
      </c>
      <c r="D122" s="88">
        <f ca="1">((100/(I111))*C122)/100</f>
        <v>0</v>
      </c>
      <c r="E122" s="88"/>
      <c r="F122" s="88"/>
      <c r="G122" s="88"/>
      <c r="H122" s="88"/>
      <c r="I122" s="88"/>
      <c r="J122" s="88"/>
      <c r="K122" s="53" t="s">
        <v>247</v>
      </c>
      <c r="L122" s="13">
        <f>(IF(B111=1,(I111/(B111+3)+L117),IF(B111=0,(I111/4+L117),IF(B111&gt;1,0))))</f>
        <v>0</v>
      </c>
      <c r="M122" s="73">
        <f ca="1">I111</f>
        <v>19</v>
      </c>
    </row>
    <row r="123" spans="1:17" s="70" customFormat="1" ht="16.2" thickBot="1" x14ac:dyDescent="0.35">
      <c r="A123" s="87" t="s">
        <v>300</v>
      </c>
      <c r="B123" s="87"/>
      <c r="C123" s="64">
        <v>0</v>
      </c>
      <c r="D123" s="88">
        <f ca="1">((100/(I111))*C123)/100</f>
        <v>0</v>
      </c>
      <c r="E123" s="88"/>
      <c r="F123" s="88"/>
      <c r="G123" s="88"/>
      <c r="H123" s="88"/>
      <c r="I123" s="88"/>
      <c r="J123" s="88"/>
      <c r="K123" s="53" t="s">
        <v>248</v>
      </c>
      <c r="L123" s="13">
        <f ca="1">(IF(B111&gt;1.5,(I111/(B111+2)+L117+MAX(0,L118-L117)+MAX(0,L119-L118)+MAX(0,L120-L119)+MAX(0,L121-L120)+MAX(0,L122-L121)),IF(B111=1,(I111/(B111+3)+L122),IF(B111=0,I111/4+L122))))</f>
        <v>19</v>
      </c>
      <c r="M123" s="77"/>
    </row>
    <row r="124" spans="1:17" ht="16.2" thickBot="1" x14ac:dyDescent="0.35">
      <c r="A124" s="90" t="s">
        <v>302</v>
      </c>
      <c r="B124" s="90"/>
      <c r="C124" s="90"/>
      <c r="D124" s="90"/>
      <c r="E124" s="90"/>
      <c r="F124" s="90"/>
      <c r="G124" s="90"/>
      <c r="H124" s="90"/>
      <c r="I124" s="90"/>
      <c r="J124" s="90"/>
      <c r="K124" s="15" t="str">
        <f>(IF(C128=0,"Work not yet Started.",IF(D128=50%,"Excavation work in process",IF(D128=100%,"Excavation work completed, ","0")))&amp;(IF(C129=0%,"",IF(D129=25%,"Footing work is process",IF(D129=50%,"Footing work Completed",IF(D129=75%,"Plinth work is process",IF(D129=100%,"Plinth work completed","0"))))))&amp;(IF(C130&gt;0,", RCC upto "&amp;C130&amp;" Slab completed",""))&amp;(IF(C131&gt;0,", Brickwork upto "&amp;C131&amp;" Floor completed"," "))&amp;(IF(C132&gt;0,", Internal Plaster upto "&amp;C132&amp;" Floor completed"," "))&amp;(IF(C133&gt;0,", External Plaster upto "&amp;C133&amp;" Floor completed"," "))&amp;(IF(C134&gt;0,", Flooring upto "&amp;C134&amp;" Floor completed"," "))&amp;(IF(C135&gt;0,", Painting upto "&amp;C135&amp;" Floor completed"," "))&amp;(IF(C136&gt;0,", Finishing upto "&amp;C136&amp;" Floor completed"," ")))</f>
        <v xml:space="preserve">Excavation work completed, Plinth work completed, RCC upto 13 Slab completed, Brickwork upto 11 Floor completed, Internal Plaster upto 7.7 Floor completed, External Plaster upto 7.7 Floor completed   </v>
      </c>
      <c r="L124" s="15"/>
      <c r="M124" s="16"/>
    </row>
    <row r="125" spans="1:17" ht="15" customHeight="1" x14ac:dyDescent="0.3">
      <c r="A125" s="89" t="s">
        <v>223</v>
      </c>
      <c r="B125" s="89"/>
      <c r="C125" s="58">
        <v>2</v>
      </c>
      <c r="D125" s="89" t="s">
        <v>222</v>
      </c>
      <c r="E125" s="89"/>
      <c r="F125" s="89">
        <v>0</v>
      </c>
      <c r="G125" s="89"/>
      <c r="H125" s="58" t="s">
        <v>235</v>
      </c>
      <c r="I125" s="89">
        <v>19</v>
      </c>
      <c r="J125" s="89"/>
      <c r="K125" s="18" t="s">
        <v>236</v>
      </c>
      <c r="L125" s="18"/>
      <c r="M125" s="19"/>
      <c r="N125" s="16"/>
    </row>
    <row r="126" spans="1:17" ht="49.5" customHeight="1" x14ac:dyDescent="0.3">
      <c r="A126" s="91" t="s">
        <v>237</v>
      </c>
      <c r="B126" s="91"/>
      <c r="C126" s="90" t="str">
        <f>K124</f>
        <v xml:space="preserve">Excavation work completed, Plinth work completed, RCC upto 13 Slab completed, Brickwork upto 11 Floor completed, Internal Plaster upto 7.7 Floor completed, External Plaster upto 7.7 Floor completed   </v>
      </c>
      <c r="D126" s="90"/>
      <c r="E126" s="90"/>
      <c r="F126" s="90"/>
      <c r="G126" s="90"/>
      <c r="H126" s="90"/>
      <c r="I126" s="90"/>
      <c r="J126" s="90"/>
      <c r="K126" s="18" t="s">
        <v>289</v>
      </c>
      <c r="L126" s="18"/>
      <c r="M126" s="19"/>
      <c r="N126" s="19"/>
    </row>
    <row r="127" spans="1:17" ht="15.6" x14ac:dyDescent="0.3">
      <c r="A127" s="87" t="s">
        <v>37</v>
      </c>
      <c r="B127" s="87"/>
      <c r="C127" s="57" t="s">
        <v>290</v>
      </c>
      <c r="D127" s="87" t="s">
        <v>239</v>
      </c>
      <c r="E127" s="87"/>
      <c r="F127" s="87" t="s">
        <v>240</v>
      </c>
      <c r="G127" s="87"/>
      <c r="H127" s="87" t="s">
        <v>241</v>
      </c>
      <c r="I127" s="87"/>
      <c r="J127" s="87"/>
      <c r="K127" s="18" t="s">
        <v>242</v>
      </c>
      <c r="L127" s="20"/>
      <c r="M127" s="21"/>
      <c r="N127" s="19"/>
    </row>
    <row r="128" spans="1:17" ht="15" customHeight="1" x14ac:dyDescent="0.3">
      <c r="A128" s="87" t="s">
        <v>291</v>
      </c>
      <c r="B128" s="87"/>
      <c r="C128" s="64">
        <f>M131</f>
        <v>19</v>
      </c>
      <c r="D128" s="88">
        <f>((100/I125)*C128)/100</f>
        <v>1</v>
      </c>
      <c r="E128" s="88"/>
      <c r="F128" s="88">
        <f>(IF(C126=K126,"100%",IF(C126=K127,"100%",(((C129/I125*10)+(40/(C125+F125+I125)*C130)+(7.5/(I125)*C131)+(7.5/(I125)*C132)+(10/I125*C133)+(10/I125*C134)+(5/I125*C135)+(5/I125*C136)+(5/I125*C137))/100))))</f>
        <v>0.46196115288220552</v>
      </c>
      <c r="G128" s="88"/>
      <c r="H128" s="88">
        <f>((((C128/I125)*20)+((C129/I125)*25)+(30/(I125+F125+C125)*C130)+(5/I125*C131)+(5/I125*C132)+(5/I125*C133)+(5/I125*C134)+(0/I125*C135)+(0/I125*C136)+(5/I125*C137))/100)</f>
        <v>0.70518796992481203</v>
      </c>
      <c r="I128" s="88"/>
      <c r="J128" s="88"/>
      <c r="K128" s="18"/>
      <c r="L128" s="20"/>
      <c r="M128" s="21"/>
      <c r="N128" s="21"/>
    </row>
    <row r="129" spans="1:18" ht="15" customHeight="1" x14ac:dyDescent="0.3">
      <c r="A129" s="87" t="s">
        <v>38</v>
      </c>
      <c r="B129" s="87"/>
      <c r="C129" s="64">
        <f>M136</f>
        <v>19</v>
      </c>
      <c r="D129" s="88">
        <f>((100/I125)*C129)/100</f>
        <v>1</v>
      </c>
      <c r="E129" s="88"/>
      <c r="F129" s="88"/>
      <c r="G129" s="88"/>
      <c r="H129" s="88"/>
      <c r="I129" s="88"/>
      <c r="J129" s="88"/>
      <c r="K129" s="20"/>
      <c r="L129" s="20"/>
      <c r="M129" s="21"/>
      <c r="N129" s="21"/>
    </row>
    <row r="130" spans="1:18" ht="15" customHeight="1" x14ac:dyDescent="0.3">
      <c r="A130" s="87" t="s">
        <v>301</v>
      </c>
      <c r="B130" s="87"/>
      <c r="C130" s="65">
        <v>13</v>
      </c>
      <c r="D130" s="88">
        <f>((100/(C125+F125+I125))*C130)/100</f>
        <v>0.61904761904761907</v>
      </c>
      <c r="E130" s="88"/>
      <c r="F130" s="88"/>
      <c r="G130" s="88"/>
      <c r="H130" s="88"/>
      <c r="I130" s="88"/>
      <c r="J130" s="88"/>
      <c r="K130" s="53" t="s">
        <v>243</v>
      </c>
      <c r="L130" s="24"/>
      <c r="M130" s="66">
        <f>I125*50%</f>
        <v>9.5</v>
      </c>
      <c r="N130" s="25">
        <v>0.02</v>
      </c>
    </row>
    <row r="131" spans="1:18" ht="15" customHeight="1" x14ac:dyDescent="0.3">
      <c r="A131" s="87" t="s">
        <v>292</v>
      </c>
      <c r="B131" s="87" t="s">
        <v>293</v>
      </c>
      <c r="C131" s="65">
        <f>C130-2</f>
        <v>11</v>
      </c>
      <c r="D131" s="88">
        <f>((100/I125)*C131)/100</f>
        <v>0.57894736842105265</v>
      </c>
      <c r="E131" s="88"/>
      <c r="F131" s="88"/>
      <c r="G131" s="88"/>
      <c r="H131" s="88"/>
      <c r="I131" s="88"/>
      <c r="J131" s="88"/>
      <c r="K131" s="53" t="s">
        <v>244</v>
      </c>
      <c r="L131" s="24"/>
      <c r="M131" s="66">
        <f>I125</f>
        <v>19</v>
      </c>
      <c r="N131" s="25">
        <v>0.04</v>
      </c>
    </row>
    <row r="132" spans="1:18" ht="15" customHeight="1" x14ac:dyDescent="0.3">
      <c r="A132" s="87" t="s">
        <v>294</v>
      </c>
      <c r="B132" s="87" t="s">
        <v>293</v>
      </c>
      <c r="C132" s="65">
        <f>C131*0.7</f>
        <v>7.6999999999999993</v>
      </c>
      <c r="D132" s="88">
        <f>((100/I125)*C132)/100</f>
        <v>0.40526315789473683</v>
      </c>
      <c r="E132" s="88"/>
      <c r="F132" s="88"/>
      <c r="G132" s="88"/>
      <c r="H132" s="88"/>
      <c r="I132" s="88"/>
      <c r="J132" s="88"/>
      <c r="K132" s="53"/>
      <c r="L132" s="24"/>
      <c r="M132" s="66"/>
      <c r="N132" s="25">
        <v>0.08</v>
      </c>
    </row>
    <row r="133" spans="1:18" ht="15" customHeight="1" x14ac:dyDescent="0.3">
      <c r="A133" s="89" t="s">
        <v>295</v>
      </c>
      <c r="B133" s="89" t="s">
        <v>296</v>
      </c>
      <c r="C133" s="65">
        <f>C132</f>
        <v>7.6999999999999993</v>
      </c>
      <c r="D133" s="88">
        <f>((100/(I125))*C133)/100</f>
        <v>0.40526315789473683</v>
      </c>
      <c r="E133" s="88"/>
      <c r="F133" s="88"/>
      <c r="G133" s="88"/>
      <c r="H133" s="88"/>
      <c r="I133" s="88"/>
      <c r="J133" s="88"/>
      <c r="K133" s="53" t="s">
        <v>245</v>
      </c>
      <c r="L133" s="24"/>
      <c r="M133" s="66">
        <f>I125*25%</f>
        <v>4.75</v>
      </c>
      <c r="N133" s="25">
        <v>0.15</v>
      </c>
    </row>
    <row r="134" spans="1:18" ht="15" customHeight="1" x14ac:dyDescent="0.3">
      <c r="A134" s="87" t="s">
        <v>297</v>
      </c>
      <c r="B134" s="87" t="s">
        <v>297</v>
      </c>
      <c r="C134" s="64">
        <v>0</v>
      </c>
      <c r="D134" s="88">
        <f>((100/I125)*C134)/100</f>
        <v>0</v>
      </c>
      <c r="E134" s="88"/>
      <c r="F134" s="88"/>
      <c r="G134" s="88"/>
      <c r="H134" s="88"/>
      <c r="I134" s="88"/>
      <c r="J134" s="88"/>
      <c r="K134" s="53" t="s">
        <v>246</v>
      </c>
      <c r="L134" s="24"/>
      <c r="M134" s="66">
        <f>I125*50%</f>
        <v>9.5</v>
      </c>
      <c r="N134" s="25">
        <v>0.2</v>
      </c>
    </row>
    <row r="135" spans="1:18" ht="15" customHeight="1" thickBot="1" x14ac:dyDescent="0.35">
      <c r="A135" s="87" t="s">
        <v>298</v>
      </c>
      <c r="B135" s="87"/>
      <c r="C135" s="64">
        <v>0</v>
      </c>
      <c r="D135" s="88">
        <f>((100/I125)*C135)/100</f>
        <v>0</v>
      </c>
      <c r="E135" s="88"/>
      <c r="F135" s="88"/>
      <c r="G135" s="88"/>
      <c r="H135" s="88"/>
      <c r="I135" s="88"/>
      <c r="J135" s="88"/>
      <c r="K135" s="53" t="s">
        <v>247</v>
      </c>
      <c r="L135" s="24"/>
      <c r="M135" s="66">
        <f>I125*75%</f>
        <v>14.25</v>
      </c>
      <c r="N135" s="28">
        <v>0.3</v>
      </c>
    </row>
    <row r="136" spans="1:18" ht="15" customHeight="1" x14ac:dyDescent="0.3">
      <c r="A136" s="87" t="s">
        <v>299</v>
      </c>
      <c r="B136" s="87" t="s">
        <v>299</v>
      </c>
      <c r="C136" s="64">
        <v>0</v>
      </c>
      <c r="D136" s="88">
        <f>((100/(I125))*C136)/100</f>
        <v>0</v>
      </c>
      <c r="E136" s="88"/>
      <c r="F136" s="88"/>
      <c r="G136" s="88"/>
      <c r="H136" s="88"/>
      <c r="I136" s="88"/>
      <c r="J136" s="88"/>
      <c r="K136" s="53" t="s">
        <v>248</v>
      </c>
      <c r="L136" s="24"/>
      <c r="M136" s="66">
        <f>I125</f>
        <v>19</v>
      </c>
    </row>
    <row r="137" spans="1:18" ht="16.2" thickBot="1" x14ac:dyDescent="0.35">
      <c r="A137" s="87" t="s">
        <v>300</v>
      </c>
      <c r="B137" s="87"/>
      <c r="C137" s="64">
        <v>0</v>
      </c>
      <c r="D137" s="88">
        <f>((100/(I125))*C137)/100</f>
        <v>0</v>
      </c>
      <c r="E137" s="88"/>
      <c r="F137" s="88"/>
      <c r="G137" s="88"/>
      <c r="H137" s="88"/>
      <c r="I137" s="88"/>
      <c r="J137" s="88"/>
      <c r="K137" s="67"/>
      <c r="L137" s="67"/>
      <c r="M137" s="68"/>
    </row>
    <row r="138" spans="1:18" s="70" customFormat="1" ht="16.2" thickBot="1" x14ac:dyDescent="0.35">
      <c r="A138" s="90" t="s">
        <v>322</v>
      </c>
      <c r="B138" s="90"/>
      <c r="C138" s="90"/>
      <c r="D138" s="90"/>
      <c r="E138" s="90"/>
      <c r="F138" s="90"/>
      <c r="G138" s="90"/>
      <c r="H138" s="90"/>
      <c r="I138" s="90"/>
      <c r="J138" s="90"/>
      <c r="K138" s="54" t="str">
        <f>(IF(C142=0,"Work not yet Started.",IF(D142=50%,"Excavation work in process",IF(D142=100%,"Excavation work completed, ","0")))&amp;(IF(C143=0%,"",IF(D143=25%,"Footing work is process",IF(D143=50%,"Footing work Completed",IF(D143=75%,"Plinth work is process",IF(D143=100%,"Plinth work completed","0"))))))&amp;(IF(C144&gt;0,", RCC upto "&amp;C144&amp;" Slab completed",""))&amp;(IF(C145&gt;0,", Brickwork upto "&amp;C145&amp;" Floor completed"," "))&amp;(IF(C146&gt;0,", Internal Plaster upto "&amp;C146&amp;" Floor completed"," "))&amp;(IF(C147&gt;0,", External Plaster upto "&amp;C147&amp;" Floor completed"," "))&amp;(IF(C148&gt;0,", Flooring upto "&amp;C148&amp;" Floor completed"," "))&amp;(IF(C149&gt;0,", Painting upto "&amp;C149&amp;" Floor completed"," "))&amp;(IF(C150&gt;0,", Finishing upto "&amp;C150&amp;" Floor completed"," ")))</f>
        <v xml:space="preserve">Excavation work completed, Plinth work completed, RCC upto 2 Slab completed      </v>
      </c>
      <c r="L138" s="54"/>
      <c r="M138" s="69"/>
      <c r="R138" s="70">
        <f>(14+18)/2</f>
        <v>16</v>
      </c>
    </row>
    <row r="139" spans="1:18" s="70" customFormat="1" ht="15" customHeight="1" x14ac:dyDescent="0.3">
      <c r="A139" s="89" t="s">
        <v>223</v>
      </c>
      <c r="B139" s="89"/>
      <c r="C139" s="58">
        <v>2</v>
      </c>
      <c r="D139" s="89" t="s">
        <v>222</v>
      </c>
      <c r="E139" s="89"/>
      <c r="F139" s="89">
        <v>0</v>
      </c>
      <c r="G139" s="89"/>
      <c r="H139" s="58" t="s">
        <v>235</v>
      </c>
      <c r="I139" s="89">
        <v>19</v>
      </c>
      <c r="J139" s="89"/>
      <c r="K139" s="55" t="s">
        <v>236</v>
      </c>
      <c r="L139" s="55"/>
      <c r="M139" s="71"/>
      <c r="N139" s="69"/>
      <c r="R139" s="70">
        <f>(48+51)/2</f>
        <v>49.5</v>
      </c>
    </row>
    <row r="140" spans="1:18" s="70" customFormat="1" ht="15.6" x14ac:dyDescent="0.3">
      <c r="A140" s="91" t="s">
        <v>237</v>
      </c>
      <c r="B140" s="91"/>
      <c r="C140" s="90" t="str">
        <f>K138</f>
        <v xml:space="preserve">Excavation work completed, Plinth work completed, RCC upto 2 Slab completed      </v>
      </c>
      <c r="D140" s="90"/>
      <c r="E140" s="90"/>
      <c r="F140" s="90"/>
      <c r="G140" s="90"/>
      <c r="H140" s="90"/>
      <c r="I140" s="90"/>
      <c r="J140" s="90"/>
      <c r="K140" s="55" t="s">
        <v>289</v>
      </c>
      <c r="L140" s="55"/>
      <c r="M140" s="71"/>
      <c r="N140" s="71"/>
    </row>
    <row r="141" spans="1:18" s="70" customFormat="1" ht="15.6" x14ac:dyDescent="0.3">
      <c r="A141" s="87" t="s">
        <v>37</v>
      </c>
      <c r="B141" s="87"/>
      <c r="C141" s="57" t="s">
        <v>290</v>
      </c>
      <c r="D141" s="87" t="s">
        <v>239</v>
      </c>
      <c r="E141" s="87"/>
      <c r="F141" s="87" t="s">
        <v>240</v>
      </c>
      <c r="G141" s="87"/>
      <c r="H141" s="87" t="s">
        <v>241</v>
      </c>
      <c r="I141" s="87"/>
      <c r="J141" s="87"/>
      <c r="K141" s="55" t="s">
        <v>242</v>
      </c>
      <c r="L141" s="78"/>
      <c r="M141" s="72"/>
      <c r="N141" s="71"/>
    </row>
    <row r="142" spans="1:18" s="70" customFormat="1" ht="15" customHeight="1" x14ac:dyDescent="0.3">
      <c r="A142" s="87" t="s">
        <v>291</v>
      </c>
      <c r="B142" s="87"/>
      <c r="C142" s="64">
        <f>M145</f>
        <v>19</v>
      </c>
      <c r="D142" s="88">
        <f>((100/I139)*C142)/100</f>
        <v>1</v>
      </c>
      <c r="E142" s="88"/>
      <c r="F142" s="88">
        <f>(IF(C140=K140,"100%",IF(C140=K141,"100%",(((C143/I139*10)+(40/(C139+F139+I139)*C144)+(7.5/(I139)*C145)+(7.5/(I139)*C146)+(10/I139*C147)+(10/I139*C148)+(5/I139*C149)+(5/I139*C150)+(5/I139*C151))/100))))</f>
        <v>0.1380952380952381</v>
      </c>
      <c r="G142" s="88"/>
      <c r="H142" s="88">
        <f>((((C142/I139)*20)+((C143/I139)*25)+(30/(I139+F139+C139)*C144)+(5/I139*C145)+(5/I139*C146)+(5/I139*C147)+(5/I139*C148)+(0/I139*C149)+(0/I139*C150)+(5/I139*C151))/100)</f>
        <v>0.47857142857142854</v>
      </c>
      <c r="I142" s="88"/>
      <c r="J142" s="88"/>
      <c r="K142" s="55"/>
      <c r="L142" s="78"/>
      <c r="M142" s="72"/>
      <c r="N142" s="72"/>
    </row>
    <row r="143" spans="1:18" s="70" customFormat="1" ht="15" customHeight="1" x14ac:dyDescent="0.3">
      <c r="A143" s="87" t="s">
        <v>38</v>
      </c>
      <c r="B143" s="87"/>
      <c r="C143" s="65">
        <v>19</v>
      </c>
      <c r="D143" s="88">
        <f>((100/I139)*C143)/100</f>
        <v>1</v>
      </c>
      <c r="E143" s="88"/>
      <c r="F143" s="88"/>
      <c r="G143" s="88"/>
      <c r="H143" s="88"/>
      <c r="I143" s="88"/>
      <c r="J143" s="88"/>
      <c r="K143" s="78"/>
      <c r="L143" s="78"/>
      <c r="M143" s="72"/>
      <c r="N143" s="72"/>
    </row>
    <row r="144" spans="1:18" s="70" customFormat="1" ht="15" customHeight="1" x14ac:dyDescent="0.3">
      <c r="A144" s="87" t="s">
        <v>301</v>
      </c>
      <c r="B144" s="87"/>
      <c r="C144" s="65">
        <v>2</v>
      </c>
      <c r="D144" s="88">
        <f>((100/(C139+F139+I139))*C144)/100</f>
        <v>9.5238095238095233E-2</v>
      </c>
      <c r="E144" s="88"/>
      <c r="F144" s="88"/>
      <c r="G144" s="88"/>
      <c r="H144" s="88"/>
      <c r="I144" s="88"/>
      <c r="J144" s="88"/>
      <c r="K144" s="56" t="s">
        <v>243</v>
      </c>
      <c r="L144" s="79"/>
      <c r="M144" s="73">
        <f>I139*50%</f>
        <v>9.5</v>
      </c>
      <c r="N144" s="74">
        <v>0.02</v>
      </c>
    </row>
    <row r="145" spans="1:18" s="70" customFormat="1" ht="15" customHeight="1" x14ac:dyDescent="0.3">
      <c r="A145" s="87" t="s">
        <v>292</v>
      </c>
      <c r="B145" s="87" t="s">
        <v>293</v>
      </c>
      <c r="C145" s="64">
        <v>0</v>
      </c>
      <c r="D145" s="88">
        <f>((100/I139)*C145)/100</f>
        <v>0</v>
      </c>
      <c r="E145" s="88"/>
      <c r="F145" s="88"/>
      <c r="G145" s="88"/>
      <c r="H145" s="88"/>
      <c r="I145" s="88"/>
      <c r="J145" s="88"/>
      <c r="K145" s="56" t="s">
        <v>244</v>
      </c>
      <c r="L145" s="79"/>
      <c r="M145" s="73">
        <f>I139</f>
        <v>19</v>
      </c>
      <c r="N145" s="74">
        <v>0.04</v>
      </c>
    </row>
    <row r="146" spans="1:18" s="70" customFormat="1" ht="15" customHeight="1" x14ac:dyDescent="0.3">
      <c r="A146" s="87" t="s">
        <v>294</v>
      </c>
      <c r="B146" s="87" t="s">
        <v>293</v>
      </c>
      <c r="C146" s="64">
        <v>0</v>
      </c>
      <c r="D146" s="88">
        <f>((100/I139)*C146)/100</f>
        <v>0</v>
      </c>
      <c r="E146" s="88"/>
      <c r="F146" s="88"/>
      <c r="G146" s="88"/>
      <c r="H146" s="88"/>
      <c r="I146" s="88"/>
      <c r="J146" s="88"/>
      <c r="K146" s="56"/>
      <c r="L146" s="79"/>
      <c r="M146" s="73"/>
      <c r="N146" s="74">
        <v>0.08</v>
      </c>
    </row>
    <row r="147" spans="1:18" s="70" customFormat="1" ht="15" customHeight="1" x14ac:dyDescent="0.3">
      <c r="A147" s="89" t="s">
        <v>295</v>
      </c>
      <c r="B147" s="89" t="s">
        <v>296</v>
      </c>
      <c r="C147" s="64">
        <v>0</v>
      </c>
      <c r="D147" s="88">
        <f>((100/(I139))*C147)/100</f>
        <v>0</v>
      </c>
      <c r="E147" s="88"/>
      <c r="F147" s="88"/>
      <c r="G147" s="88"/>
      <c r="H147" s="88"/>
      <c r="I147" s="88"/>
      <c r="J147" s="88"/>
      <c r="K147" s="56" t="s">
        <v>245</v>
      </c>
      <c r="L147" s="79"/>
      <c r="M147" s="73">
        <f>I139*25%</f>
        <v>4.75</v>
      </c>
      <c r="N147" s="74">
        <v>0.15</v>
      </c>
    </row>
    <row r="148" spans="1:18" s="70" customFormat="1" ht="15" customHeight="1" x14ac:dyDescent="0.3">
      <c r="A148" s="87" t="s">
        <v>297</v>
      </c>
      <c r="B148" s="87" t="s">
        <v>297</v>
      </c>
      <c r="C148" s="64">
        <v>0</v>
      </c>
      <c r="D148" s="88">
        <f>((100/I139)*C148)/100</f>
        <v>0</v>
      </c>
      <c r="E148" s="88"/>
      <c r="F148" s="88"/>
      <c r="G148" s="88"/>
      <c r="H148" s="88"/>
      <c r="I148" s="88"/>
      <c r="J148" s="88"/>
      <c r="K148" s="56" t="s">
        <v>246</v>
      </c>
      <c r="L148" s="79"/>
      <c r="M148" s="73">
        <f>I139*50%</f>
        <v>9.5</v>
      </c>
      <c r="N148" s="74">
        <v>0.2</v>
      </c>
    </row>
    <row r="149" spans="1:18" s="70" customFormat="1" ht="15" customHeight="1" thickBot="1" x14ac:dyDescent="0.35">
      <c r="A149" s="87" t="s">
        <v>298</v>
      </c>
      <c r="B149" s="87"/>
      <c r="C149" s="64">
        <v>0</v>
      </c>
      <c r="D149" s="88">
        <f>((100/I139)*C149)/100</f>
        <v>0</v>
      </c>
      <c r="E149" s="88"/>
      <c r="F149" s="88"/>
      <c r="G149" s="88"/>
      <c r="H149" s="88"/>
      <c r="I149" s="88"/>
      <c r="J149" s="88"/>
      <c r="K149" s="56" t="s">
        <v>247</v>
      </c>
      <c r="L149" s="79"/>
      <c r="M149" s="73">
        <f>I139*75%</f>
        <v>14.25</v>
      </c>
      <c r="N149" s="76">
        <v>0.3</v>
      </c>
    </row>
    <row r="150" spans="1:18" s="70" customFormat="1" ht="15" customHeight="1" x14ac:dyDescent="0.3">
      <c r="A150" s="87" t="s">
        <v>299</v>
      </c>
      <c r="B150" s="87" t="s">
        <v>299</v>
      </c>
      <c r="C150" s="64">
        <v>0</v>
      </c>
      <c r="D150" s="88">
        <f>((100/(I139))*C150)/100</f>
        <v>0</v>
      </c>
      <c r="E150" s="88"/>
      <c r="F150" s="88"/>
      <c r="G150" s="88"/>
      <c r="H150" s="88"/>
      <c r="I150" s="88"/>
      <c r="J150" s="88"/>
      <c r="K150" s="56" t="s">
        <v>248</v>
      </c>
      <c r="L150" s="79"/>
      <c r="M150" s="73">
        <f>I139</f>
        <v>19</v>
      </c>
    </row>
    <row r="151" spans="1:18" s="70" customFormat="1" ht="16.2" thickBot="1" x14ac:dyDescent="0.35">
      <c r="A151" s="87" t="s">
        <v>300</v>
      </c>
      <c r="B151" s="87"/>
      <c r="C151" s="64">
        <v>0</v>
      </c>
      <c r="D151" s="88">
        <f>((100/(I139))*C151)/100</f>
        <v>0</v>
      </c>
      <c r="E151" s="88"/>
      <c r="F151" s="88"/>
      <c r="G151" s="88"/>
      <c r="H151" s="88"/>
      <c r="I151" s="88"/>
      <c r="J151" s="88"/>
      <c r="K151" s="80"/>
      <c r="L151" s="80"/>
      <c r="M151" s="77"/>
    </row>
    <row r="152" spans="1:18" s="70" customFormat="1" ht="16.2" thickBot="1" x14ac:dyDescent="0.35">
      <c r="A152" s="90" t="s">
        <v>323</v>
      </c>
      <c r="B152" s="90"/>
      <c r="C152" s="90"/>
      <c r="D152" s="90"/>
      <c r="E152" s="90"/>
      <c r="F152" s="90"/>
      <c r="G152" s="90"/>
      <c r="H152" s="90"/>
      <c r="I152" s="90"/>
      <c r="J152" s="90"/>
      <c r="K152" s="54" t="str">
        <f>(IF(C156=0,"Work not yet Started.",IF(D156=50%,"Excavation work in process",IF(D156=100%,"Excavation work completed, ","0")))&amp;(IF(C157=0%,"",IF(D157=25%,"Footing work is process",IF(D157=50%,"Footing work Completed",IF(D157=75%,"Plinth work is process",IF(D157=100%,"Plinth work completed","0"))))))&amp;(IF(C158&gt;0,", RCC upto "&amp;C158&amp;" Slab completed",""))&amp;(IF(C159&gt;0,", Brickwork upto "&amp;C159&amp;" Floor completed"," "))&amp;(IF(C160&gt;0,", Internal Plaster upto "&amp;C160&amp;" Floor completed"," "))&amp;(IF(C161&gt;0,", External Plaster upto "&amp;C161&amp;" Floor completed"," "))&amp;(IF(C162&gt;0,", Flooring upto "&amp;C162&amp;" Floor completed"," "))&amp;(IF(C163&gt;0,", Painting upto "&amp;C163&amp;" Floor completed"," "))&amp;(IF(C164&gt;0,", Finishing upto "&amp;C164&amp;" Floor completed"," ")))</f>
        <v xml:space="preserve">Excavation work completed, Plinth work completed, RCC upto 2 Slab completed      </v>
      </c>
      <c r="L152" s="54"/>
      <c r="M152" s="69"/>
      <c r="R152" s="70">
        <f>(14+18)/2</f>
        <v>16</v>
      </c>
    </row>
    <row r="153" spans="1:18" s="70" customFormat="1" ht="15" customHeight="1" x14ac:dyDescent="0.3">
      <c r="A153" s="89" t="s">
        <v>223</v>
      </c>
      <c r="B153" s="89"/>
      <c r="C153" s="58">
        <v>2</v>
      </c>
      <c r="D153" s="89" t="s">
        <v>222</v>
      </c>
      <c r="E153" s="89"/>
      <c r="F153" s="89">
        <v>0</v>
      </c>
      <c r="G153" s="89"/>
      <c r="H153" s="58" t="s">
        <v>235</v>
      </c>
      <c r="I153" s="89">
        <v>19</v>
      </c>
      <c r="J153" s="89"/>
      <c r="K153" s="55" t="s">
        <v>236</v>
      </c>
      <c r="L153" s="55"/>
      <c r="M153" s="71"/>
      <c r="N153" s="69"/>
      <c r="R153" s="70">
        <f>(48+51)/2</f>
        <v>49.5</v>
      </c>
    </row>
    <row r="154" spans="1:18" s="70" customFormat="1" ht="33.75" customHeight="1" x14ac:dyDescent="0.3">
      <c r="A154" s="91" t="s">
        <v>237</v>
      </c>
      <c r="B154" s="91"/>
      <c r="C154" s="90" t="str">
        <f>K152</f>
        <v xml:space="preserve">Excavation work completed, Plinth work completed, RCC upto 2 Slab completed      </v>
      </c>
      <c r="D154" s="90"/>
      <c r="E154" s="90"/>
      <c r="F154" s="90"/>
      <c r="G154" s="90"/>
      <c r="H154" s="90"/>
      <c r="I154" s="90"/>
      <c r="J154" s="90"/>
      <c r="K154" s="55" t="s">
        <v>289</v>
      </c>
      <c r="L154" s="55"/>
      <c r="M154" s="71"/>
      <c r="N154" s="71"/>
    </row>
    <row r="155" spans="1:18" s="70" customFormat="1" ht="15.6" x14ac:dyDescent="0.3">
      <c r="A155" s="87" t="s">
        <v>37</v>
      </c>
      <c r="B155" s="87"/>
      <c r="C155" s="57" t="s">
        <v>290</v>
      </c>
      <c r="D155" s="87" t="s">
        <v>239</v>
      </c>
      <c r="E155" s="87"/>
      <c r="F155" s="87" t="s">
        <v>240</v>
      </c>
      <c r="G155" s="87"/>
      <c r="H155" s="87" t="s">
        <v>241</v>
      </c>
      <c r="I155" s="87"/>
      <c r="J155" s="87"/>
      <c r="K155" s="55" t="s">
        <v>242</v>
      </c>
      <c r="L155" s="78"/>
      <c r="M155" s="72"/>
      <c r="N155" s="71"/>
    </row>
    <row r="156" spans="1:18" s="70" customFormat="1" ht="15" customHeight="1" x14ac:dyDescent="0.3">
      <c r="A156" s="87" t="s">
        <v>291</v>
      </c>
      <c r="B156" s="87"/>
      <c r="C156" s="64">
        <f>M159</f>
        <v>19</v>
      </c>
      <c r="D156" s="88">
        <f>((100/I153)*C156)/100</f>
        <v>1</v>
      </c>
      <c r="E156" s="88"/>
      <c r="F156" s="88">
        <f>(IF(C154=K154,"100%",IF(C154=K155,"100%",(((C157/I153*10)+(40/(C153+F153+I153)*C158)+(7.5/(I153)*C159)+(7.5/(I153)*C160)+(10/I153*C161)+(10/I153*C162)+(5/I153*C163)+(5/I153*C164)+(5/I153*C165))/100))))</f>
        <v>0.1380952380952381</v>
      </c>
      <c r="G156" s="88"/>
      <c r="H156" s="88">
        <f>((((C156/I153)*20)+((C157/I153)*25)+(30/(I153+F153+C153)*C158)+(5/I153*C159)+(5/I153*C160)+(5/I153*C161)+(5/I153*C162)+(0/I153*C163)+(0/I153*C164)+(5/I153*C165))/100)</f>
        <v>0.47857142857142854</v>
      </c>
      <c r="I156" s="88"/>
      <c r="J156" s="88"/>
      <c r="K156" s="55"/>
      <c r="L156" s="78"/>
      <c r="M156" s="72"/>
      <c r="N156" s="72"/>
    </row>
    <row r="157" spans="1:18" s="70" customFormat="1" ht="15" customHeight="1" x14ac:dyDescent="0.3">
      <c r="A157" s="87" t="s">
        <v>38</v>
      </c>
      <c r="B157" s="87"/>
      <c r="C157" s="65">
        <v>19</v>
      </c>
      <c r="D157" s="88">
        <f>((100/I153)*C157)/100</f>
        <v>1</v>
      </c>
      <c r="E157" s="88"/>
      <c r="F157" s="88"/>
      <c r="G157" s="88"/>
      <c r="H157" s="88"/>
      <c r="I157" s="88"/>
      <c r="J157" s="88"/>
      <c r="K157" s="78"/>
      <c r="L157" s="78"/>
      <c r="M157" s="72"/>
      <c r="N157" s="72"/>
    </row>
    <row r="158" spans="1:18" s="70" customFormat="1" ht="15" customHeight="1" x14ac:dyDescent="0.3">
      <c r="A158" s="87" t="s">
        <v>301</v>
      </c>
      <c r="B158" s="87"/>
      <c r="C158" s="65">
        <v>2</v>
      </c>
      <c r="D158" s="88">
        <f>((100/(C153+F153+I153))*C158)/100</f>
        <v>9.5238095238095233E-2</v>
      </c>
      <c r="E158" s="88"/>
      <c r="F158" s="88"/>
      <c r="G158" s="88"/>
      <c r="H158" s="88"/>
      <c r="I158" s="88"/>
      <c r="J158" s="88"/>
      <c r="K158" s="56" t="s">
        <v>243</v>
      </c>
      <c r="L158" s="79"/>
      <c r="M158" s="73">
        <f>I153*50%</f>
        <v>9.5</v>
      </c>
      <c r="N158" s="74">
        <v>0.02</v>
      </c>
    </row>
    <row r="159" spans="1:18" s="70" customFormat="1" ht="15" customHeight="1" x14ac:dyDescent="0.3">
      <c r="A159" s="87" t="s">
        <v>292</v>
      </c>
      <c r="B159" s="87" t="s">
        <v>293</v>
      </c>
      <c r="C159" s="64">
        <v>0</v>
      </c>
      <c r="D159" s="88">
        <f>((100/I153)*C159)/100</f>
        <v>0</v>
      </c>
      <c r="E159" s="88"/>
      <c r="F159" s="88"/>
      <c r="G159" s="88"/>
      <c r="H159" s="88"/>
      <c r="I159" s="88"/>
      <c r="J159" s="88"/>
      <c r="K159" s="56" t="s">
        <v>244</v>
      </c>
      <c r="L159" s="79"/>
      <c r="M159" s="73">
        <f>I153</f>
        <v>19</v>
      </c>
      <c r="N159" s="74">
        <v>0.04</v>
      </c>
    </row>
    <row r="160" spans="1:18" s="70" customFormat="1" ht="15" customHeight="1" x14ac:dyDescent="0.3">
      <c r="A160" s="87" t="s">
        <v>294</v>
      </c>
      <c r="B160" s="87" t="s">
        <v>293</v>
      </c>
      <c r="C160" s="64">
        <v>0</v>
      </c>
      <c r="D160" s="88">
        <f>((100/I153)*C160)/100</f>
        <v>0</v>
      </c>
      <c r="E160" s="88"/>
      <c r="F160" s="88"/>
      <c r="G160" s="88"/>
      <c r="H160" s="88"/>
      <c r="I160" s="88"/>
      <c r="J160" s="88"/>
      <c r="K160" s="56"/>
      <c r="L160" s="79"/>
      <c r="M160" s="73"/>
      <c r="N160" s="74">
        <v>0.08</v>
      </c>
    </row>
    <row r="161" spans="1:14" s="70" customFormat="1" ht="15" customHeight="1" x14ac:dyDescent="0.3">
      <c r="A161" s="89" t="s">
        <v>295</v>
      </c>
      <c r="B161" s="89" t="s">
        <v>296</v>
      </c>
      <c r="C161" s="64">
        <v>0</v>
      </c>
      <c r="D161" s="88">
        <f>((100/(I153))*C161)/100</f>
        <v>0</v>
      </c>
      <c r="E161" s="88"/>
      <c r="F161" s="88"/>
      <c r="G161" s="88"/>
      <c r="H161" s="88"/>
      <c r="I161" s="88"/>
      <c r="J161" s="88"/>
      <c r="K161" s="56" t="s">
        <v>245</v>
      </c>
      <c r="L161" s="79"/>
      <c r="M161" s="73">
        <f>I153*25%</f>
        <v>4.75</v>
      </c>
      <c r="N161" s="74">
        <v>0.15</v>
      </c>
    </row>
    <row r="162" spans="1:14" s="70" customFormat="1" ht="15" customHeight="1" x14ac:dyDescent="0.3">
      <c r="A162" s="87" t="s">
        <v>297</v>
      </c>
      <c r="B162" s="87" t="s">
        <v>297</v>
      </c>
      <c r="C162" s="64">
        <v>0</v>
      </c>
      <c r="D162" s="88">
        <f>((100/I153)*C162)/100</f>
        <v>0</v>
      </c>
      <c r="E162" s="88"/>
      <c r="F162" s="88"/>
      <c r="G162" s="88"/>
      <c r="H162" s="88"/>
      <c r="I162" s="88"/>
      <c r="J162" s="88"/>
      <c r="K162" s="56" t="s">
        <v>246</v>
      </c>
      <c r="L162" s="79"/>
      <c r="M162" s="73">
        <f>I153*50%</f>
        <v>9.5</v>
      </c>
      <c r="N162" s="74">
        <v>0.2</v>
      </c>
    </row>
    <row r="163" spans="1:14" s="70" customFormat="1" ht="15" customHeight="1" thickBot="1" x14ac:dyDescent="0.35">
      <c r="A163" s="87" t="s">
        <v>298</v>
      </c>
      <c r="B163" s="87"/>
      <c r="C163" s="64">
        <v>0</v>
      </c>
      <c r="D163" s="88">
        <f>((100/I153)*C163)/100</f>
        <v>0</v>
      </c>
      <c r="E163" s="88"/>
      <c r="F163" s="88"/>
      <c r="G163" s="88"/>
      <c r="H163" s="88"/>
      <c r="I163" s="88"/>
      <c r="J163" s="88"/>
      <c r="K163" s="56" t="s">
        <v>247</v>
      </c>
      <c r="L163" s="79"/>
      <c r="M163" s="73">
        <f>I153*75%</f>
        <v>14.25</v>
      </c>
      <c r="N163" s="76">
        <v>0.3</v>
      </c>
    </row>
    <row r="164" spans="1:14" s="70" customFormat="1" ht="15" customHeight="1" x14ac:dyDescent="0.3">
      <c r="A164" s="87" t="s">
        <v>299</v>
      </c>
      <c r="B164" s="87" t="s">
        <v>299</v>
      </c>
      <c r="C164" s="64">
        <v>0</v>
      </c>
      <c r="D164" s="88">
        <f>((100/(I153))*C164)/100</f>
        <v>0</v>
      </c>
      <c r="E164" s="88"/>
      <c r="F164" s="88"/>
      <c r="G164" s="88"/>
      <c r="H164" s="88"/>
      <c r="I164" s="88"/>
      <c r="J164" s="88"/>
      <c r="K164" s="56" t="s">
        <v>248</v>
      </c>
      <c r="L164" s="79"/>
      <c r="M164" s="73">
        <f>I153</f>
        <v>19</v>
      </c>
    </row>
    <row r="165" spans="1:14" s="70" customFormat="1" ht="16.2" thickBot="1" x14ac:dyDescent="0.35">
      <c r="A165" s="87" t="s">
        <v>300</v>
      </c>
      <c r="B165" s="87"/>
      <c r="C165" s="64">
        <v>0</v>
      </c>
      <c r="D165" s="88">
        <f>((100/(I153))*C165)/100</f>
        <v>0</v>
      </c>
      <c r="E165" s="88"/>
      <c r="F165" s="88"/>
      <c r="G165" s="88"/>
      <c r="H165" s="88"/>
      <c r="I165" s="88"/>
      <c r="J165" s="88"/>
      <c r="K165" s="80"/>
      <c r="L165" s="80"/>
      <c r="M165" s="77"/>
    </row>
    <row r="166" spans="1:14" ht="16.2" thickBot="1" x14ac:dyDescent="0.35">
      <c r="A166" s="90" t="s">
        <v>313</v>
      </c>
      <c r="B166" s="90"/>
      <c r="C166" s="90"/>
      <c r="D166" s="90"/>
      <c r="E166" s="90"/>
      <c r="F166" s="90"/>
      <c r="G166" s="90"/>
      <c r="H166" s="90"/>
      <c r="I166" s="90"/>
      <c r="J166" s="90"/>
      <c r="K166" s="15" t="str">
        <f>(IF(C170=0,"Work not yet Started.",IF(D170=50%,"Excavation work in process",IF(D170=100%,"Excavation work completed, ","0")))&amp;(IF(C171=0%,"",IF(D171=25%,"Footing work is process",IF(D171=50%,"Footing work Completed",IF(D171=75%,"Plinth work is process",IF(D171=100%,"Plinth work completed","0"))))))&amp;(IF(C172&gt;0,", RCC upto "&amp;C172&amp;" Slab completed",""))&amp;(IF(C173&gt;0,", Brickwork upto "&amp;C173&amp;" Floor completed"," "))&amp;(IF(C174&gt;0,", Internal Plaster upto "&amp;C174&amp;" Floor completed"," "))&amp;(IF(C175&gt;0,", External Plaster upto "&amp;C175&amp;" Floor completed"," "))&amp;(IF(C176&gt;0,", Flooring upto "&amp;C176&amp;" Floor completed"," "))&amp;(IF(C177&gt;0,", Painting upto "&amp;C177&amp;" Floor completed"," "))&amp;(IF(C178&gt;0,", Finishing upto "&amp;C178&amp;" Floor completed"," ")))</f>
        <v xml:space="preserve">Excavation work completed, Plinth work completed, RCC upto 21 Slab completed, Brickwork upto 19 Floor completed, Internal Plaster upto 13.3 Floor completed, External Plaster upto 13.3 Floor completed   </v>
      </c>
      <c r="L166" s="15"/>
      <c r="M166" s="16"/>
    </row>
    <row r="167" spans="1:14" ht="15" customHeight="1" x14ac:dyDescent="0.3">
      <c r="A167" s="89" t="s">
        <v>223</v>
      </c>
      <c r="B167" s="89"/>
      <c r="C167" s="58">
        <v>2</v>
      </c>
      <c r="D167" s="89" t="s">
        <v>222</v>
      </c>
      <c r="E167" s="89"/>
      <c r="F167" s="89">
        <v>0</v>
      </c>
      <c r="G167" s="89"/>
      <c r="H167" s="58" t="s">
        <v>235</v>
      </c>
      <c r="I167" s="89">
        <v>19</v>
      </c>
      <c r="J167" s="89"/>
      <c r="K167" s="18" t="s">
        <v>236</v>
      </c>
      <c r="L167" s="18"/>
      <c r="M167" s="19"/>
      <c r="N167" s="16"/>
    </row>
    <row r="168" spans="1:14" ht="51" customHeight="1" x14ac:dyDescent="0.3">
      <c r="A168" s="91" t="s">
        <v>237</v>
      </c>
      <c r="B168" s="91"/>
      <c r="C168" s="90" t="str">
        <f>K166</f>
        <v xml:space="preserve">Excavation work completed, Plinth work completed, RCC upto 21 Slab completed, Brickwork upto 19 Floor completed, Internal Plaster upto 13.3 Floor completed, External Plaster upto 13.3 Floor completed   </v>
      </c>
      <c r="D168" s="90"/>
      <c r="E168" s="90"/>
      <c r="F168" s="90"/>
      <c r="G168" s="90"/>
      <c r="H168" s="90"/>
      <c r="I168" s="90"/>
      <c r="J168" s="90"/>
      <c r="K168" s="18" t="s">
        <v>289</v>
      </c>
      <c r="L168" s="18"/>
      <c r="M168" s="19"/>
      <c r="N168" s="19"/>
    </row>
    <row r="169" spans="1:14" ht="15.6" x14ac:dyDescent="0.3">
      <c r="A169" s="87" t="s">
        <v>37</v>
      </c>
      <c r="B169" s="87"/>
      <c r="C169" s="57" t="s">
        <v>290</v>
      </c>
      <c r="D169" s="87" t="s">
        <v>239</v>
      </c>
      <c r="E169" s="87"/>
      <c r="F169" s="87" t="s">
        <v>240</v>
      </c>
      <c r="G169" s="87"/>
      <c r="H169" s="87" t="s">
        <v>241</v>
      </c>
      <c r="I169" s="87"/>
      <c r="J169" s="87"/>
      <c r="K169" s="18" t="s">
        <v>242</v>
      </c>
      <c r="L169" s="20"/>
      <c r="M169" s="21"/>
      <c r="N169" s="19"/>
    </row>
    <row r="170" spans="1:14" ht="15" customHeight="1" x14ac:dyDescent="0.3">
      <c r="A170" s="87" t="s">
        <v>291</v>
      </c>
      <c r="B170" s="87"/>
      <c r="C170" s="64">
        <f>M173</f>
        <v>19</v>
      </c>
      <c r="D170" s="88">
        <f>((100/I167)*C170)/100</f>
        <v>1</v>
      </c>
      <c r="E170" s="88"/>
      <c r="F170" s="88">
        <f>(IF(C168=K168,"100%",IF(C168=K169,"100%",(((C171/I167*10)+(40/(C167+F167+I167)*C172)+(7.5/(I167)*C173)+(7.5/(I167)*C174)+(10/I167*C175)+(10/I167*C176)+(5/I167*C177)+(5/I167*C178)+(5/I167*C179))/100))))</f>
        <v>0.69750000000000001</v>
      </c>
      <c r="G170" s="88"/>
      <c r="H170" s="88">
        <f>((((C170/I167)*20)+((C171/I167)*25)+(30/(I167+F167+C167)*C172)+(5/I167*C173)+(5/I167*C174)+(5/I167*C175)+(5/I167*C176)+(0/I167*C177)+(0/I167*C178)+(5/I167*C179))/100)</f>
        <v>0.87</v>
      </c>
      <c r="I170" s="88"/>
      <c r="J170" s="88"/>
      <c r="K170" s="18"/>
      <c r="L170" s="20"/>
      <c r="M170" s="21"/>
      <c r="N170" s="21"/>
    </row>
    <row r="171" spans="1:14" ht="15" customHeight="1" x14ac:dyDescent="0.3">
      <c r="A171" s="87" t="s">
        <v>38</v>
      </c>
      <c r="B171" s="87"/>
      <c r="C171" s="64">
        <f>M178</f>
        <v>19</v>
      </c>
      <c r="D171" s="88">
        <f>((100/I167)*C171)/100</f>
        <v>1</v>
      </c>
      <c r="E171" s="88"/>
      <c r="F171" s="88"/>
      <c r="G171" s="88"/>
      <c r="H171" s="88"/>
      <c r="I171" s="88"/>
      <c r="J171" s="88"/>
      <c r="K171" s="20"/>
      <c r="L171" s="20"/>
      <c r="M171" s="21"/>
      <c r="N171" s="21"/>
    </row>
    <row r="172" spans="1:14" ht="15" customHeight="1" x14ac:dyDescent="0.3">
      <c r="A172" s="87" t="s">
        <v>301</v>
      </c>
      <c r="B172" s="87"/>
      <c r="C172" s="65">
        <v>21</v>
      </c>
      <c r="D172" s="88">
        <f>((100/(C167+F167+I167))*C172)/100</f>
        <v>1</v>
      </c>
      <c r="E172" s="88"/>
      <c r="F172" s="88"/>
      <c r="G172" s="88"/>
      <c r="H172" s="88"/>
      <c r="I172" s="88"/>
      <c r="J172" s="88"/>
      <c r="K172" s="53" t="s">
        <v>243</v>
      </c>
      <c r="L172" s="24"/>
      <c r="M172" s="66">
        <f>I167*50%</f>
        <v>9.5</v>
      </c>
      <c r="N172" s="25">
        <v>0.02</v>
      </c>
    </row>
    <row r="173" spans="1:14" ht="15" customHeight="1" x14ac:dyDescent="0.3">
      <c r="A173" s="87" t="s">
        <v>292</v>
      </c>
      <c r="B173" s="87" t="s">
        <v>293</v>
      </c>
      <c r="C173" s="65">
        <f>C172-2</f>
        <v>19</v>
      </c>
      <c r="D173" s="88">
        <f>((100/I167)*C173)/100</f>
        <v>1</v>
      </c>
      <c r="E173" s="88"/>
      <c r="F173" s="88"/>
      <c r="G173" s="88"/>
      <c r="H173" s="88"/>
      <c r="I173" s="88"/>
      <c r="J173" s="88"/>
      <c r="K173" s="53" t="s">
        <v>244</v>
      </c>
      <c r="L173" s="24"/>
      <c r="M173" s="66">
        <f>I167</f>
        <v>19</v>
      </c>
      <c r="N173" s="25">
        <v>0.04</v>
      </c>
    </row>
    <row r="174" spans="1:14" ht="15" customHeight="1" x14ac:dyDescent="0.3">
      <c r="A174" s="87" t="s">
        <v>294</v>
      </c>
      <c r="B174" s="87" t="s">
        <v>293</v>
      </c>
      <c r="C174" s="65">
        <f>C173*0.7</f>
        <v>13.299999999999999</v>
      </c>
      <c r="D174" s="88">
        <f>((100/I167)*C174)/100</f>
        <v>0.7</v>
      </c>
      <c r="E174" s="88"/>
      <c r="F174" s="88"/>
      <c r="G174" s="88"/>
      <c r="H174" s="88"/>
      <c r="I174" s="88"/>
      <c r="J174" s="88"/>
      <c r="K174" s="53"/>
      <c r="L174" s="24"/>
      <c r="M174" s="66"/>
      <c r="N174" s="25">
        <v>0.08</v>
      </c>
    </row>
    <row r="175" spans="1:14" ht="15" customHeight="1" x14ac:dyDescent="0.3">
      <c r="A175" s="89" t="s">
        <v>295</v>
      </c>
      <c r="B175" s="89" t="s">
        <v>296</v>
      </c>
      <c r="C175" s="65">
        <f>C173*0.7</f>
        <v>13.299999999999999</v>
      </c>
      <c r="D175" s="88">
        <f>((100/(I167))*C175)/100</f>
        <v>0.7</v>
      </c>
      <c r="E175" s="88"/>
      <c r="F175" s="88"/>
      <c r="G175" s="88"/>
      <c r="H175" s="88"/>
      <c r="I175" s="88"/>
      <c r="J175" s="88"/>
      <c r="K175" s="53" t="s">
        <v>245</v>
      </c>
      <c r="L175" s="24"/>
      <c r="M175" s="66">
        <f>I167*25%</f>
        <v>4.75</v>
      </c>
      <c r="N175" s="25">
        <v>0.15</v>
      </c>
    </row>
    <row r="176" spans="1:14" ht="15" customHeight="1" x14ac:dyDescent="0.3">
      <c r="A176" s="87" t="s">
        <v>297</v>
      </c>
      <c r="B176" s="87" t="s">
        <v>297</v>
      </c>
      <c r="C176" s="64">
        <v>0</v>
      </c>
      <c r="D176" s="88">
        <f>((100/I167)*C176)/100</f>
        <v>0</v>
      </c>
      <c r="E176" s="88"/>
      <c r="F176" s="88"/>
      <c r="G176" s="88"/>
      <c r="H176" s="88"/>
      <c r="I176" s="88"/>
      <c r="J176" s="88"/>
      <c r="K176" s="53" t="s">
        <v>246</v>
      </c>
      <c r="L176" s="24"/>
      <c r="M176" s="66">
        <f>I167*50%</f>
        <v>9.5</v>
      </c>
      <c r="N176" s="25">
        <v>0.2</v>
      </c>
    </row>
    <row r="177" spans="1:14" ht="15" customHeight="1" thickBot="1" x14ac:dyDescent="0.35">
      <c r="A177" s="87" t="s">
        <v>298</v>
      </c>
      <c r="B177" s="87"/>
      <c r="C177" s="64">
        <v>0</v>
      </c>
      <c r="D177" s="88">
        <f>((100/I167)*C177)/100</f>
        <v>0</v>
      </c>
      <c r="E177" s="88"/>
      <c r="F177" s="88"/>
      <c r="G177" s="88"/>
      <c r="H177" s="88"/>
      <c r="I177" s="88"/>
      <c r="J177" s="88"/>
      <c r="K177" s="53" t="s">
        <v>247</v>
      </c>
      <c r="L177" s="24"/>
      <c r="M177" s="66">
        <f>I167*75%</f>
        <v>14.25</v>
      </c>
      <c r="N177" s="28">
        <v>0.3</v>
      </c>
    </row>
    <row r="178" spans="1:14" ht="15" customHeight="1" x14ac:dyDescent="0.3">
      <c r="A178" s="87" t="s">
        <v>299</v>
      </c>
      <c r="B178" s="87" t="s">
        <v>299</v>
      </c>
      <c r="C178" s="64">
        <v>0</v>
      </c>
      <c r="D178" s="88">
        <f>((100/(I167))*C178)/100</f>
        <v>0</v>
      </c>
      <c r="E178" s="88"/>
      <c r="F178" s="88"/>
      <c r="G178" s="88"/>
      <c r="H178" s="88"/>
      <c r="I178" s="88"/>
      <c r="J178" s="88"/>
      <c r="K178" s="53" t="s">
        <v>248</v>
      </c>
      <c r="L178" s="24"/>
      <c r="M178" s="66">
        <f>I167</f>
        <v>19</v>
      </c>
    </row>
    <row r="179" spans="1:14" ht="16.2" thickBot="1" x14ac:dyDescent="0.35">
      <c r="A179" s="87" t="s">
        <v>300</v>
      </c>
      <c r="B179" s="87"/>
      <c r="C179" s="64">
        <v>0</v>
      </c>
      <c r="D179" s="88">
        <f>((100/(I167))*C179)/100</f>
        <v>0</v>
      </c>
      <c r="E179" s="88"/>
      <c r="F179" s="88"/>
      <c r="G179" s="88"/>
      <c r="H179" s="88"/>
      <c r="I179" s="88"/>
      <c r="J179" s="88"/>
      <c r="K179" s="67"/>
      <c r="L179" s="67"/>
      <c r="M179" s="68"/>
    </row>
    <row r="180" spans="1:14" ht="16.2" thickBot="1" x14ac:dyDescent="0.35">
      <c r="A180" s="90" t="s">
        <v>326</v>
      </c>
      <c r="B180" s="90"/>
      <c r="C180" s="90"/>
      <c r="D180" s="90"/>
      <c r="E180" s="90"/>
      <c r="F180" s="90"/>
      <c r="G180" s="90"/>
      <c r="H180" s="90"/>
      <c r="I180" s="90"/>
      <c r="J180" s="90"/>
      <c r="K180" s="15" t="str">
        <f>(IF(C184=0,"Work not yet Started.",IF(D184=50%,"Excavation work in process",IF(D184=100%,"Excavation work completed, ","0")))&amp;(IF(C185=0%,"",IF(D185=25%,"Footing work is process",IF(D185=50%,"Footing work Completed",IF(D185=75%,"Plinth work is process",IF(D185=100%,"Plinth work completed","0"))))))&amp;(IF(C186&gt;0,", RCC upto "&amp;C186&amp;" Slab completed",""))&amp;(IF(C187&gt;0,", Brickwork upto "&amp;C187&amp;" Floor completed"," "))&amp;(IF(C188&gt;0,", Internal Plaster upto "&amp;C188&amp;" Floor completed"," "))&amp;(IF(C189&gt;0,", External Plaster upto "&amp;C189&amp;" Floor completed"," "))&amp;(IF(C190&gt;0,", Flooring upto "&amp;C190&amp;" Floor completed"," "))&amp;(IF(C191&gt;0,", Painting upto "&amp;C191&amp;" Floor completed"," "))&amp;(IF(C192&gt;0,", Finishing upto "&amp;C192&amp;" Floor completed"," ")))</f>
        <v xml:space="preserve">Excavation work completed, Plinth work completed, RCC upto 21 Slab completed, Brickwork upto 19 Floor completed, Internal Plaster upto 15 Floor completed, External Plaster upto 14 Floor completed   </v>
      </c>
      <c r="L180" s="15"/>
      <c r="M180" s="16"/>
    </row>
    <row r="181" spans="1:14" ht="15" customHeight="1" x14ac:dyDescent="0.3">
      <c r="A181" s="89" t="s">
        <v>223</v>
      </c>
      <c r="B181" s="89"/>
      <c r="C181" s="58">
        <v>2</v>
      </c>
      <c r="D181" s="89" t="s">
        <v>222</v>
      </c>
      <c r="E181" s="89"/>
      <c r="F181" s="89">
        <v>0</v>
      </c>
      <c r="G181" s="89"/>
      <c r="H181" s="58" t="s">
        <v>235</v>
      </c>
      <c r="I181" s="89">
        <v>19</v>
      </c>
      <c r="J181" s="89"/>
      <c r="K181" s="18" t="s">
        <v>236</v>
      </c>
      <c r="L181" s="18"/>
      <c r="M181" s="19"/>
      <c r="N181" s="16"/>
    </row>
    <row r="182" spans="1:14" ht="49.5" customHeight="1" x14ac:dyDescent="0.3">
      <c r="A182" s="91" t="s">
        <v>237</v>
      </c>
      <c r="B182" s="91"/>
      <c r="C182" s="90" t="str">
        <f>K180</f>
        <v xml:space="preserve">Excavation work completed, Plinth work completed, RCC upto 21 Slab completed, Brickwork upto 19 Floor completed, Internal Plaster upto 15 Floor completed, External Plaster upto 14 Floor completed   </v>
      </c>
      <c r="D182" s="90"/>
      <c r="E182" s="90"/>
      <c r="F182" s="90"/>
      <c r="G182" s="90"/>
      <c r="H182" s="90"/>
      <c r="I182" s="90"/>
      <c r="J182" s="90"/>
      <c r="K182" s="18" t="s">
        <v>289</v>
      </c>
      <c r="L182" s="18"/>
      <c r="M182" s="19"/>
      <c r="N182" s="19"/>
    </row>
    <row r="183" spans="1:14" ht="15.6" x14ac:dyDescent="0.3">
      <c r="A183" s="87" t="s">
        <v>37</v>
      </c>
      <c r="B183" s="87"/>
      <c r="C183" s="57" t="s">
        <v>290</v>
      </c>
      <c r="D183" s="87" t="s">
        <v>239</v>
      </c>
      <c r="E183" s="87"/>
      <c r="F183" s="87" t="s">
        <v>240</v>
      </c>
      <c r="G183" s="87"/>
      <c r="H183" s="87" t="s">
        <v>241</v>
      </c>
      <c r="I183" s="87"/>
      <c r="J183" s="87"/>
      <c r="K183" s="18" t="s">
        <v>242</v>
      </c>
      <c r="L183" s="20"/>
      <c r="M183" s="21"/>
      <c r="N183" s="19"/>
    </row>
    <row r="184" spans="1:14" ht="15" customHeight="1" x14ac:dyDescent="0.3">
      <c r="A184" s="87" t="s">
        <v>291</v>
      </c>
      <c r="B184" s="87"/>
      <c r="C184" s="64">
        <f>M187</f>
        <v>19</v>
      </c>
      <c r="D184" s="88">
        <f>((100/I181)*C184)/100</f>
        <v>1</v>
      </c>
      <c r="E184" s="88"/>
      <c r="F184" s="88">
        <f>(IF(C182=K182,"100%",IF(C182=K183,"100%",(((C185/I181*10)+(40/(C181+F181+I181)*C186)+(7.5/(I181)*C187)+(7.5/(I181)*C188)+(10/I181*C189)+(10/I181*C190)+(5/I181*C191)+(5/I181*C192)+(5/I181*C193))/100))))</f>
        <v>0.70789473684210524</v>
      </c>
      <c r="G184" s="88"/>
      <c r="H184" s="88">
        <f>((((C184/I181)*20)+((C185/I181)*25)+(30/(I181+F181+C181)*C186)+(5/I181*C187)+(5/I181*C188)+(5/I181*C189)+(5/I181*C190)+(0/I181*C191)+(0/I181*C192)+(5/I181*C193))/100)</f>
        <v>0.87631578947368427</v>
      </c>
      <c r="I184" s="88"/>
      <c r="J184" s="88"/>
      <c r="K184" s="18"/>
      <c r="L184" s="20"/>
      <c r="M184" s="21"/>
      <c r="N184" s="21"/>
    </row>
    <row r="185" spans="1:14" ht="15" customHeight="1" x14ac:dyDescent="0.3">
      <c r="A185" s="87" t="s">
        <v>38</v>
      </c>
      <c r="B185" s="87"/>
      <c r="C185" s="64">
        <f>M192</f>
        <v>19</v>
      </c>
      <c r="D185" s="88">
        <f>((100/I181)*C185)/100</f>
        <v>1</v>
      </c>
      <c r="E185" s="88"/>
      <c r="F185" s="88"/>
      <c r="G185" s="88"/>
      <c r="H185" s="88"/>
      <c r="I185" s="88"/>
      <c r="J185" s="88"/>
      <c r="K185" s="20"/>
      <c r="L185" s="20"/>
      <c r="M185" s="21"/>
      <c r="N185" s="21"/>
    </row>
    <row r="186" spans="1:14" ht="15" customHeight="1" x14ac:dyDescent="0.3">
      <c r="A186" s="87" t="s">
        <v>301</v>
      </c>
      <c r="B186" s="87"/>
      <c r="C186" s="65">
        <v>21</v>
      </c>
      <c r="D186" s="88">
        <f>((100/(C181+F181+I181))*C186)/100</f>
        <v>1</v>
      </c>
      <c r="E186" s="88"/>
      <c r="F186" s="88"/>
      <c r="G186" s="88"/>
      <c r="H186" s="88"/>
      <c r="I186" s="88"/>
      <c r="J186" s="88"/>
      <c r="K186" s="53" t="s">
        <v>243</v>
      </c>
      <c r="L186" s="24"/>
      <c r="M186" s="66">
        <f>I181*50%</f>
        <v>9.5</v>
      </c>
      <c r="N186" s="25">
        <v>0.02</v>
      </c>
    </row>
    <row r="187" spans="1:14" ht="15" customHeight="1" x14ac:dyDescent="0.3">
      <c r="A187" s="87" t="s">
        <v>292</v>
      </c>
      <c r="B187" s="87" t="s">
        <v>293</v>
      </c>
      <c r="C187" s="65">
        <f>C186-2</f>
        <v>19</v>
      </c>
      <c r="D187" s="88">
        <f>((100/I181)*C187)/100</f>
        <v>1</v>
      </c>
      <c r="E187" s="88"/>
      <c r="F187" s="88"/>
      <c r="G187" s="88"/>
      <c r="H187" s="88"/>
      <c r="I187" s="88"/>
      <c r="J187" s="88"/>
      <c r="K187" s="53" t="s">
        <v>244</v>
      </c>
      <c r="L187" s="24"/>
      <c r="M187" s="66">
        <f>I181</f>
        <v>19</v>
      </c>
      <c r="N187" s="25">
        <v>0.04</v>
      </c>
    </row>
    <row r="188" spans="1:14" ht="15" customHeight="1" x14ac:dyDescent="0.3">
      <c r="A188" s="87" t="s">
        <v>294</v>
      </c>
      <c r="B188" s="87" t="s">
        <v>293</v>
      </c>
      <c r="C188" s="65">
        <v>15</v>
      </c>
      <c r="D188" s="88">
        <f>((100/I181)*C188)/100</f>
        <v>0.78947368421052633</v>
      </c>
      <c r="E188" s="88"/>
      <c r="F188" s="88"/>
      <c r="G188" s="88"/>
      <c r="H188" s="88"/>
      <c r="I188" s="88"/>
      <c r="J188" s="88"/>
      <c r="K188" s="53"/>
      <c r="L188" s="24"/>
      <c r="M188" s="66"/>
      <c r="N188" s="25">
        <v>0.08</v>
      </c>
    </row>
    <row r="189" spans="1:14" ht="15" customHeight="1" x14ac:dyDescent="0.3">
      <c r="A189" s="89" t="s">
        <v>295</v>
      </c>
      <c r="B189" s="89" t="s">
        <v>296</v>
      </c>
      <c r="C189" s="65">
        <v>14</v>
      </c>
      <c r="D189" s="88">
        <f>((100/(I181))*C189)/100</f>
        <v>0.73684210526315796</v>
      </c>
      <c r="E189" s="88"/>
      <c r="F189" s="88"/>
      <c r="G189" s="88"/>
      <c r="H189" s="88"/>
      <c r="I189" s="88"/>
      <c r="J189" s="88"/>
      <c r="K189" s="53" t="s">
        <v>245</v>
      </c>
      <c r="L189" s="24"/>
      <c r="M189" s="66">
        <f>I181*25%</f>
        <v>4.75</v>
      </c>
      <c r="N189" s="25">
        <v>0.15</v>
      </c>
    </row>
    <row r="190" spans="1:14" ht="15" customHeight="1" x14ac:dyDescent="0.3">
      <c r="A190" s="87" t="s">
        <v>297</v>
      </c>
      <c r="B190" s="87" t="s">
        <v>297</v>
      </c>
      <c r="C190" s="64">
        <v>0</v>
      </c>
      <c r="D190" s="88">
        <f>((100/I181)*C190)/100</f>
        <v>0</v>
      </c>
      <c r="E190" s="88"/>
      <c r="F190" s="88"/>
      <c r="G190" s="88"/>
      <c r="H190" s="88"/>
      <c r="I190" s="88"/>
      <c r="J190" s="88"/>
      <c r="K190" s="53" t="s">
        <v>246</v>
      </c>
      <c r="L190" s="24"/>
      <c r="M190" s="66">
        <f>I181*50%</f>
        <v>9.5</v>
      </c>
      <c r="N190" s="25">
        <v>0.2</v>
      </c>
    </row>
    <row r="191" spans="1:14" ht="15" customHeight="1" thickBot="1" x14ac:dyDescent="0.35">
      <c r="A191" s="87" t="s">
        <v>298</v>
      </c>
      <c r="B191" s="87"/>
      <c r="C191" s="64">
        <v>0</v>
      </c>
      <c r="D191" s="88">
        <f>((100/I181)*C191)/100</f>
        <v>0</v>
      </c>
      <c r="E191" s="88"/>
      <c r="F191" s="88"/>
      <c r="G191" s="88"/>
      <c r="H191" s="88"/>
      <c r="I191" s="88"/>
      <c r="J191" s="88"/>
      <c r="K191" s="53" t="s">
        <v>247</v>
      </c>
      <c r="L191" s="24"/>
      <c r="M191" s="66">
        <f>I181*75%</f>
        <v>14.25</v>
      </c>
      <c r="N191" s="28">
        <v>0.3</v>
      </c>
    </row>
    <row r="192" spans="1:14" ht="15" customHeight="1" x14ac:dyDescent="0.3">
      <c r="A192" s="87" t="s">
        <v>299</v>
      </c>
      <c r="B192" s="87" t="s">
        <v>299</v>
      </c>
      <c r="C192" s="64">
        <v>0</v>
      </c>
      <c r="D192" s="88">
        <f>((100/(I181))*C192)/100</f>
        <v>0</v>
      </c>
      <c r="E192" s="88"/>
      <c r="F192" s="88"/>
      <c r="G192" s="88"/>
      <c r="H192" s="88"/>
      <c r="I192" s="88"/>
      <c r="J192" s="88"/>
      <c r="K192" s="53" t="s">
        <v>248</v>
      </c>
      <c r="L192" s="24"/>
      <c r="M192" s="66">
        <f>I181</f>
        <v>19</v>
      </c>
    </row>
    <row r="193" spans="1:14" ht="16.2" thickBot="1" x14ac:dyDescent="0.35">
      <c r="A193" s="87" t="s">
        <v>300</v>
      </c>
      <c r="B193" s="87"/>
      <c r="C193" s="64">
        <v>0</v>
      </c>
      <c r="D193" s="88">
        <f>((100/(I181))*C193)/100</f>
        <v>0</v>
      </c>
      <c r="E193" s="88"/>
      <c r="F193" s="88"/>
      <c r="G193" s="88"/>
      <c r="H193" s="88"/>
      <c r="I193" s="88"/>
      <c r="J193" s="88"/>
      <c r="K193" s="67"/>
      <c r="L193" s="67"/>
      <c r="M193" s="68"/>
    </row>
    <row r="194" spans="1:14" ht="16.2" hidden="1" thickBot="1" x14ac:dyDescent="0.35">
      <c r="A194" s="90" t="s">
        <v>317</v>
      </c>
      <c r="B194" s="90"/>
      <c r="C194" s="90"/>
      <c r="D194" s="90"/>
      <c r="E194" s="90"/>
      <c r="F194" s="90"/>
      <c r="G194" s="90"/>
      <c r="H194" s="90"/>
      <c r="I194" s="90"/>
      <c r="J194" s="90"/>
      <c r="K194" s="15" t="str">
        <f>(IF(C198=0,"Work not yet Started.",IF(D198=50%,"Excavation work in process",IF(D198=100%,"Excavation work completed, ","0")))&amp;(IF(C199=0%,"",IF(D199=25%,"Footing work is process",IF(D199=50%,"Footing work Completed",IF(D199=75%,"Plinth work is process",IF(D199=100%,"Plinth work completed","0"))))))&amp;(IF(C200&gt;0,", RCC upto "&amp;C200&amp;" Slab completed",""))&amp;(IF(C201&gt;0,", Brickwork upto "&amp;C201&amp;" Floor completed"," "))&amp;(IF(C202&gt;0,", Internal Plaster upto "&amp;C202&amp;" Floor completed"," "))&amp;(IF(C203&gt;0,", External Plaster upto "&amp;C203&amp;" Floor completed"," "))&amp;(IF(C204&gt;0,", Flooring upto "&amp;C204&amp;" Floor completed"," "))&amp;(IF(C205&gt;0,", Painting upto "&amp;C205&amp;" Floor completed"," "))&amp;(IF(C206&gt;0,", Finishing upto "&amp;C206&amp;" Floor completed"," ")))</f>
        <v xml:space="preserve">Excavation work completed, Plinth work completed, RCC upto 18 Slab completed, Brickwork upto 16 Floor completed, Internal Plaster upto 12 Floor completed, External Plaster upto 12 Floor completed   </v>
      </c>
      <c r="L194" s="15"/>
      <c r="M194" s="16"/>
    </row>
    <row r="195" spans="1:14" ht="15" hidden="1" customHeight="1" x14ac:dyDescent="0.3">
      <c r="A195" s="89" t="s">
        <v>223</v>
      </c>
      <c r="B195" s="89"/>
      <c r="C195" s="58">
        <v>2</v>
      </c>
      <c r="D195" s="89" t="s">
        <v>222</v>
      </c>
      <c r="E195" s="89"/>
      <c r="F195" s="89">
        <v>0</v>
      </c>
      <c r="G195" s="89"/>
      <c r="H195" s="58" t="s">
        <v>235</v>
      </c>
      <c r="I195" s="89">
        <v>19</v>
      </c>
      <c r="J195" s="89"/>
      <c r="K195" s="18" t="s">
        <v>236</v>
      </c>
      <c r="L195" s="18"/>
      <c r="M195" s="19"/>
      <c r="N195" s="16"/>
    </row>
    <row r="196" spans="1:14" ht="49.5" hidden="1" customHeight="1" x14ac:dyDescent="0.3">
      <c r="A196" s="91" t="s">
        <v>237</v>
      </c>
      <c r="B196" s="91"/>
      <c r="C196" s="90" t="str">
        <f>K194</f>
        <v xml:space="preserve">Excavation work completed, Plinth work completed, RCC upto 18 Slab completed, Brickwork upto 16 Floor completed, Internal Plaster upto 12 Floor completed, External Plaster upto 12 Floor completed   </v>
      </c>
      <c r="D196" s="90"/>
      <c r="E196" s="90"/>
      <c r="F196" s="90"/>
      <c r="G196" s="90"/>
      <c r="H196" s="90"/>
      <c r="I196" s="90"/>
      <c r="J196" s="90"/>
      <c r="K196" s="18" t="s">
        <v>289</v>
      </c>
      <c r="L196" s="18"/>
      <c r="M196" s="19"/>
      <c r="N196" s="19"/>
    </row>
    <row r="197" spans="1:14" ht="15.6" hidden="1" x14ac:dyDescent="0.3">
      <c r="A197" s="87" t="s">
        <v>37</v>
      </c>
      <c r="B197" s="87"/>
      <c r="C197" s="57" t="s">
        <v>290</v>
      </c>
      <c r="D197" s="87" t="s">
        <v>239</v>
      </c>
      <c r="E197" s="87"/>
      <c r="F197" s="87" t="s">
        <v>240</v>
      </c>
      <c r="G197" s="87"/>
      <c r="H197" s="87" t="s">
        <v>241</v>
      </c>
      <c r="I197" s="87"/>
      <c r="J197" s="87"/>
      <c r="K197" s="18" t="s">
        <v>242</v>
      </c>
      <c r="L197" s="20"/>
      <c r="M197" s="21"/>
      <c r="N197" s="19"/>
    </row>
    <row r="198" spans="1:14" ht="15" hidden="1" customHeight="1" x14ac:dyDescent="0.3">
      <c r="A198" s="87" t="s">
        <v>291</v>
      </c>
      <c r="B198" s="87"/>
      <c r="C198" s="64">
        <f>M201</f>
        <v>19</v>
      </c>
      <c r="D198" s="88">
        <f>((100/I195)*C198)/100</f>
        <v>1</v>
      </c>
      <c r="E198" s="88"/>
      <c r="F198" s="88">
        <f>(IF(C196=K196,"100%",IF(C196=K197,"100%",(((C199/I195*10)+(40/(C195+F195+I195)*C200)+(7.5/(I195)*C201)+(7.5/(I195)*C202)+(10/I195*C203)+(10/I195*C204)+(5/I195*C205)+(5/I195*C206)+(5/I195*C207))/100))))</f>
        <v>0.61654135338345872</v>
      </c>
      <c r="G198" s="88"/>
      <c r="H198" s="88">
        <f>((((C198/I195)*20)+((C199/I195)*25)+(30/(I195+F195+C195)*C200)+(5/I195*C201)+(5/I195*C202)+(5/I195*C203)+(5/I195*C204)+(0/I195*C205)+(0/I195*C206)+(5/I195*C207))/100)</f>
        <v>0.81240601503759424</v>
      </c>
      <c r="I198" s="88"/>
      <c r="J198" s="88"/>
      <c r="K198" s="18"/>
      <c r="L198" s="20"/>
      <c r="M198" s="21"/>
      <c r="N198" s="21"/>
    </row>
    <row r="199" spans="1:14" ht="15" hidden="1" customHeight="1" x14ac:dyDescent="0.3">
      <c r="A199" s="87" t="s">
        <v>38</v>
      </c>
      <c r="B199" s="87"/>
      <c r="C199" s="64">
        <f>M206</f>
        <v>19</v>
      </c>
      <c r="D199" s="88">
        <f>((100/I195)*C199)/100</f>
        <v>1</v>
      </c>
      <c r="E199" s="88"/>
      <c r="F199" s="88"/>
      <c r="G199" s="88"/>
      <c r="H199" s="88"/>
      <c r="I199" s="88"/>
      <c r="J199" s="88"/>
      <c r="K199" s="20"/>
      <c r="L199" s="20"/>
      <c r="M199" s="21"/>
      <c r="N199" s="21"/>
    </row>
    <row r="200" spans="1:14" ht="15" hidden="1" customHeight="1" x14ac:dyDescent="0.3">
      <c r="A200" s="87" t="s">
        <v>301</v>
      </c>
      <c r="B200" s="87"/>
      <c r="C200" s="65">
        <v>18</v>
      </c>
      <c r="D200" s="88">
        <f>((100/(C195+F195+I195))*C200)/100</f>
        <v>0.8571428571428571</v>
      </c>
      <c r="E200" s="88"/>
      <c r="F200" s="88"/>
      <c r="G200" s="88"/>
      <c r="H200" s="88"/>
      <c r="I200" s="88"/>
      <c r="J200" s="88"/>
      <c r="K200" s="53" t="s">
        <v>243</v>
      </c>
      <c r="L200" s="24"/>
      <c r="M200" s="66">
        <f>I195*50%</f>
        <v>9.5</v>
      </c>
      <c r="N200" s="25">
        <v>0.02</v>
      </c>
    </row>
    <row r="201" spans="1:14" ht="15" hidden="1" customHeight="1" x14ac:dyDescent="0.3">
      <c r="A201" s="87" t="s">
        <v>292</v>
      </c>
      <c r="B201" s="87" t="s">
        <v>293</v>
      </c>
      <c r="C201" s="65">
        <f>C200-2</f>
        <v>16</v>
      </c>
      <c r="D201" s="88">
        <f>((100/I195)*C201)/100</f>
        <v>0.8421052631578948</v>
      </c>
      <c r="E201" s="88"/>
      <c r="F201" s="88"/>
      <c r="G201" s="88"/>
      <c r="H201" s="88"/>
      <c r="I201" s="88"/>
      <c r="J201" s="88"/>
      <c r="K201" s="53" t="s">
        <v>244</v>
      </c>
      <c r="L201" s="24"/>
      <c r="M201" s="66">
        <f>I195</f>
        <v>19</v>
      </c>
      <c r="N201" s="25">
        <v>0.04</v>
      </c>
    </row>
    <row r="202" spans="1:14" ht="15" hidden="1" customHeight="1" x14ac:dyDescent="0.3">
      <c r="A202" s="87" t="s">
        <v>294</v>
      </c>
      <c r="B202" s="87" t="s">
        <v>293</v>
      </c>
      <c r="C202" s="65">
        <f>C201*0.75</f>
        <v>12</v>
      </c>
      <c r="D202" s="88">
        <f>((100/I195)*C202)/100</f>
        <v>0.63157894736842113</v>
      </c>
      <c r="E202" s="88"/>
      <c r="F202" s="88"/>
      <c r="G202" s="88"/>
      <c r="H202" s="88"/>
      <c r="I202" s="88"/>
      <c r="J202" s="88"/>
      <c r="K202" s="53"/>
      <c r="L202" s="24"/>
      <c r="M202" s="66"/>
      <c r="N202" s="25">
        <v>0.08</v>
      </c>
    </row>
    <row r="203" spans="1:14" ht="15" hidden="1" customHeight="1" x14ac:dyDescent="0.3">
      <c r="A203" s="89" t="s">
        <v>295</v>
      </c>
      <c r="B203" s="89" t="s">
        <v>296</v>
      </c>
      <c r="C203" s="65">
        <f>C201*0.75</f>
        <v>12</v>
      </c>
      <c r="D203" s="88">
        <f>((100/(I195))*C203)/100</f>
        <v>0.63157894736842113</v>
      </c>
      <c r="E203" s="88"/>
      <c r="F203" s="88"/>
      <c r="G203" s="88"/>
      <c r="H203" s="88"/>
      <c r="I203" s="88"/>
      <c r="J203" s="88"/>
      <c r="K203" s="53" t="s">
        <v>245</v>
      </c>
      <c r="L203" s="24"/>
      <c r="M203" s="66">
        <f>I195*25%</f>
        <v>4.75</v>
      </c>
      <c r="N203" s="25">
        <v>0.15</v>
      </c>
    </row>
    <row r="204" spans="1:14" ht="15" hidden="1" customHeight="1" x14ac:dyDescent="0.3">
      <c r="A204" s="87" t="s">
        <v>297</v>
      </c>
      <c r="B204" s="87" t="s">
        <v>297</v>
      </c>
      <c r="C204" s="64">
        <v>0</v>
      </c>
      <c r="D204" s="88">
        <f>((100/I195)*C204)/100</f>
        <v>0</v>
      </c>
      <c r="E204" s="88"/>
      <c r="F204" s="88"/>
      <c r="G204" s="88"/>
      <c r="H204" s="88"/>
      <c r="I204" s="88"/>
      <c r="J204" s="88"/>
      <c r="K204" s="53" t="s">
        <v>246</v>
      </c>
      <c r="L204" s="24"/>
      <c r="M204" s="66">
        <f>I195*50%</f>
        <v>9.5</v>
      </c>
      <c r="N204" s="25">
        <v>0.2</v>
      </c>
    </row>
    <row r="205" spans="1:14" ht="15" hidden="1" customHeight="1" thickBot="1" x14ac:dyDescent="0.35">
      <c r="A205" s="87" t="s">
        <v>298</v>
      </c>
      <c r="B205" s="87"/>
      <c r="C205" s="64">
        <v>0</v>
      </c>
      <c r="D205" s="88">
        <f>((100/I195)*C205)/100</f>
        <v>0</v>
      </c>
      <c r="E205" s="88"/>
      <c r="F205" s="88"/>
      <c r="G205" s="88"/>
      <c r="H205" s="88"/>
      <c r="I205" s="88"/>
      <c r="J205" s="88"/>
      <c r="K205" s="53" t="s">
        <v>247</v>
      </c>
      <c r="L205" s="24"/>
      <c r="M205" s="66">
        <f>I195*75%</f>
        <v>14.25</v>
      </c>
      <c r="N205" s="28">
        <v>0.3</v>
      </c>
    </row>
    <row r="206" spans="1:14" ht="15" hidden="1" customHeight="1" x14ac:dyDescent="0.3">
      <c r="A206" s="87" t="s">
        <v>299</v>
      </c>
      <c r="B206" s="87" t="s">
        <v>299</v>
      </c>
      <c r="C206" s="64">
        <v>0</v>
      </c>
      <c r="D206" s="88">
        <f>((100/(I195))*C206)/100</f>
        <v>0</v>
      </c>
      <c r="E206" s="88"/>
      <c r="F206" s="88"/>
      <c r="G206" s="88"/>
      <c r="H206" s="88"/>
      <c r="I206" s="88"/>
      <c r="J206" s="88"/>
      <c r="K206" s="53" t="s">
        <v>248</v>
      </c>
      <c r="L206" s="24"/>
      <c r="M206" s="66">
        <f>I195</f>
        <v>19</v>
      </c>
    </row>
    <row r="207" spans="1:14" ht="16.2" hidden="1" thickBot="1" x14ac:dyDescent="0.35">
      <c r="A207" s="96" t="s">
        <v>300</v>
      </c>
      <c r="B207" s="96"/>
      <c r="C207" s="84">
        <v>0</v>
      </c>
      <c r="D207" s="95">
        <f>((100/(I195))*C207)/100</f>
        <v>0</v>
      </c>
      <c r="E207" s="95"/>
      <c r="F207" s="95"/>
      <c r="G207" s="95"/>
      <c r="H207" s="95"/>
      <c r="I207" s="95"/>
      <c r="J207" s="95"/>
      <c r="K207" s="67"/>
      <c r="L207" s="67"/>
      <c r="M207" s="68"/>
    </row>
    <row r="208" spans="1:14" s="70" customFormat="1" ht="16.2" hidden="1" thickBot="1" x14ac:dyDescent="0.35">
      <c r="A208" s="97" t="s">
        <v>319</v>
      </c>
      <c r="B208" s="98"/>
      <c r="C208" s="98"/>
      <c r="D208" s="98"/>
      <c r="E208" s="98"/>
      <c r="F208" s="98"/>
      <c r="G208" s="98"/>
      <c r="H208" s="98"/>
      <c r="I208" s="98"/>
      <c r="J208" s="99"/>
      <c r="K208" s="54" t="e">
        <f>(IF(#REF!=0,"Work not yet Started.",IF(#REF!=50%,"Excavation work in process",IF(#REF!=100%,"Excavation work completed, ","0")))&amp;(IF(#REF!=0%,"",IF(#REF!=25%,"Footing work is process",IF(#REF!=50%,"Footing work Completed",IF(#REF!=75%,"Plinth work is process",IF(#REF!=100%,"Plinth work completed","0"))))))&amp;(IF(#REF!&gt;0,", RCC upto "&amp;#REF!&amp;" Slab completed",""))&amp;(IF(#REF!&gt;0,", Brickwork upto "&amp;#REF!&amp;" Floor completed"," "))&amp;(IF(#REF!&gt;0,", Internal Plaster upto "&amp;#REF!&amp;" Floor completed"," "))&amp;(IF(#REF!&gt;0,", External Plaster upto "&amp;#REF!&amp;" Floor completed"," "))&amp;(IF(#REF!&gt;0,", Flooring upto "&amp;#REF!&amp;" Floor completed"," "))&amp;(IF(#REF!&gt;0,", Painting upto "&amp;#REF!&amp;" Floor completed"," "))&amp;(IF(#REF!&gt;0,", Finishing upto "&amp;#REF!&amp;" Floor completed"," ")))</f>
        <v>#REF!</v>
      </c>
      <c r="L208" s="54"/>
      <c r="M208" s="69"/>
    </row>
    <row r="209" spans="1:18" s="70" customFormat="1" ht="16.2" hidden="1" thickBot="1" x14ac:dyDescent="0.35">
      <c r="A209" s="92" t="s">
        <v>240</v>
      </c>
      <c r="B209" s="93"/>
      <c r="C209" s="94">
        <f>(F184+F198)/2</f>
        <v>0.66221804511278193</v>
      </c>
      <c r="D209" s="94"/>
      <c r="E209" s="100" t="s">
        <v>318</v>
      </c>
      <c r="F209" s="101"/>
      <c r="G209" s="102"/>
      <c r="H209" s="103">
        <f>(H184+H198)/2</f>
        <v>0.84436090225563931</v>
      </c>
      <c r="I209" s="104"/>
      <c r="J209" s="105"/>
      <c r="K209" s="54" t="e">
        <f>(IF(#REF!=0,"Work not yet Started.",IF(#REF!=50%,"Excavation work in process",IF(#REF!=100%,"Excavation work completed, ","0")))&amp;(IF(#REF!=0%,"",IF(#REF!=25%,"Footing work is process",IF(#REF!=50%,"Footing work Completed",IF(#REF!=75%,"Plinth work is process",IF(#REF!=100%,"Plinth work completed","0"))))))&amp;(IF(#REF!&gt;0,", RCC upto "&amp;#REF!&amp;" Slab completed",""))&amp;(IF(#REF!&gt;0,", Brickwork upto "&amp;#REF!&amp;" Floor completed"," "))&amp;(IF(#REF!&gt;0,", Internal Plaster upto "&amp;#REF!&amp;" Floor completed"," "))&amp;(IF(#REF!&gt;0,", External Plaster upto "&amp;#REF!&amp;" Floor completed"," "))&amp;(IF(#REF!&gt;0,", Flooring upto "&amp;#REF!&amp;" Floor completed"," "))&amp;(IF(#REF!&gt;0,", Painting upto "&amp;#REF!&amp;" Floor completed"," "))&amp;(IF(#REF!&gt;0,", Finishing upto "&amp;#REF!&amp;" Floor completed"," ")))</f>
        <v>#REF!</v>
      </c>
      <c r="L209" s="54"/>
      <c r="M209" s="69"/>
    </row>
    <row r="210" spans="1:18" s="70" customFormat="1" ht="21.75" customHeight="1" thickBot="1" x14ac:dyDescent="0.35">
      <c r="A210" s="90" t="s">
        <v>321</v>
      </c>
      <c r="B210" s="90"/>
      <c r="C210" s="90"/>
      <c r="D210" s="90"/>
      <c r="E210" s="90"/>
      <c r="F210" s="90"/>
      <c r="G210" s="90"/>
      <c r="H210" s="90"/>
      <c r="I210" s="90"/>
      <c r="J210" s="90"/>
      <c r="K210" s="54" t="str">
        <f>(IF(C214=0,"Work not yet Started.",IF(D214=50%,"Excavation work in process",IF(D214=100%,"Excavation work completed, ","0")))&amp;(IF(C215=0%,"",IF(D215=25%,"Footing work is process",IF(D215=50%,"Footing work Completed",IF(D215=75%,"Plinth work is process",IF(D215=100%,"Plinth work completed","0"))))))&amp;(IF(C216&gt;0,", RCC upto "&amp;C216&amp;" Slab completed",""))&amp;(IF(C217&gt;0,", Brickwork upto "&amp;C217&amp;" Floor completed"," "))&amp;(IF(C218&gt;0,", Internal Plaster upto "&amp;C218&amp;" Floor completed"," "))&amp;(IF(C219&gt;0,", External Plaster upto "&amp;C219&amp;" Floor completed"," "))&amp;(IF(C220&gt;0,", Flooring upto "&amp;C220&amp;" Floor completed"," "))&amp;(IF(C221&gt;0,", Painting upto "&amp;C221&amp;" Floor completed"," "))&amp;(IF(C222&gt;0,", Finishing upto "&amp;C222&amp;" Floor completed"," ")))</f>
        <v xml:space="preserve">Work not yet Started.      </v>
      </c>
      <c r="L210" s="54"/>
      <c r="M210" s="69"/>
      <c r="R210" s="70">
        <f>(14+18)/2</f>
        <v>16</v>
      </c>
    </row>
    <row r="211" spans="1:18" s="70" customFormat="1" ht="15" customHeight="1" x14ac:dyDescent="0.3">
      <c r="A211" s="89" t="s">
        <v>223</v>
      </c>
      <c r="B211" s="89"/>
      <c r="C211" s="58">
        <v>2</v>
      </c>
      <c r="D211" s="89" t="s">
        <v>222</v>
      </c>
      <c r="E211" s="89"/>
      <c r="F211" s="89">
        <v>0</v>
      </c>
      <c r="G211" s="89"/>
      <c r="H211" s="58" t="s">
        <v>235</v>
      </c>
      <c r="I211" s="89">
        <v>19</v>
      </c>
      <c r="J211" s="89"/>
      <c r="K211" s="55" t="s">
        <v>236</v>
      </c>
      <c r="L211" s="55"/>
      <c r="M211" s="71"/>
      <c r="N211" s="69"/>
      <c r="R211" s="70">
        <f>(48+51)/2</f>
        <v>49.5</v>
      </c>
    </row>
    <row r="212" spans="1:18" s="70" customFormat="1" ht="15" customHeight="1" x14ac:dyDescent="0.3">
      <c r="A212" s="91" t="s">
        <v>237</v>
      </c>
      <c r="B212" s="91"/>
      <c r="C212" s="90" t="str">
        <f>K210</f>
        <v xml:space="preserve">Work not yet Started.      </v>
      </c>
      <c r="D212" s="90"/>
      <c r="E212" s="90"/>
      <c r="F212" s="90"/>
      <c r="G212" s="90"/>
      <c r="H212" s="90"/>
      <c r="I212" s="90"/>
      <c r="J212" s="90"/>
      <c r="K212" s="55" t="s">
        <v>289</v>
      </c>
      <c r="L212" s="55"/>
      <c r="M212" s="71"/>
      <c r="N212" s="71"/>
    </row>
    <row r="213" spans="1:18" s="70" customFormat="1" ht="15.6" x14ac:dyDescent="0.3">
      <c r="A213" s="87" t="s">
        <v>37</v>
      </c>
      <c r="B213" s="87"/>
      <c r="C213" s="57" t="s">
        <v>290</v>
      </c>
      <c r="D213" s="87" t="s">
        <v>239</v>
      </c>
      <c r="E213" s="87"/>
      <c r="F213" s="87" t="s">
        <v>240</v>
      </c>
      <c r="G213" s="87"/>
      <c r="H213" s="87" t="s">
        <v>241</v>
      </c>
      <c r="I213" s="87"/>
      <c r="J213" s="87"/>
      <c r="K213" s="55" t="s">
        <v>242</v>
      </c>
      <c r="L213" s="78"/>
      <c r="M213" s="72"/>
      <c r="N213" s="71"/>
    </row>
    <row r="214" spans="1:18" s="70" customFormat="1" ht="15" customHeight="1" x14ac:dyDescent="0.3">
      <c r="A214" s="87" t="s">
        <v>291</v>
      </c>
      <c r="B214" s="87"/>
      <c r="C214" s="64">
        <v>0</v>
      </c>
      <c r="D214" s="88">
        <f>((100/I211)*C214)/100</f>
        <v>0</v>
      </c>
      <c r="E214" s="88"/>
      <c r="F214" s="88">
        <f>(IF(C212=K212,"100%",IF(C212=K213,"100%",(((C215/I211*10)+(40/(C211+F211+I211)*C216)+(7.5/(I211)*C217)+(7.5/(I211)*C218)+(10/I211*C219)+(10/I211*C220)+(5/I211*C221)+(5/I211*C222)+(5/I211*C223))/100))))</f>
        <v>0</v>
      </c>
      <c r="G214" s="88"/>
      <c r="H214" s="88">
        <f>((((C214/I211)*20)+((C215/I211)*25)+(30/(I211+F211+C211)*C216)+(5/I211*C217)+(5/I211*C218)+(5/I211*C219)+(5/I211*C220)+(0/I211*C221)+(0/I211*C222)+(5/I211*C223))/100)</f>
        <v>0</v>
      </c>
      <c r="I214" s="88"/>
      <c r="J214" s="88"/>
      <c r="K214" s="55"/>
      <c r="L214" s="78"/>
      <c r="M214" s="72"/>
      <c r="N214" s="72"/>
    </row>
    <row r="215" spans="1:18" s="70" customFormat="1" ht="15" customHeight="1" x14ac:dyDescent="0.3">
      <c r="A215" s="87" t="s">
        <v>38</v>
      </c>
      <c r="B215" s="87"/>
      <c r="C215" s="64">
        <v>0</v>
      </c>
      <c r="D215" s="88">
        <f>((100/I211)*C215)/100</f>
        <v>0</v>
      </c>
      <c r="E215" s="88"/>
      <c r="F215" s="88"/>
      <c r="G215" s="88"/>
      <c r="H215" s="88"/>
      <c r="I215" s="88"/>
      <c r="J215" s="88"/>
      <c r="K215" s="78"/>
      <c r="L215" s="78"/>
      <c r="M215" s="72"/>
      <c r="N215" s="72"/>
    </row>
    <row r="216" spans="1:18" s="70" customFormat="1" ht="15" customHeight="1" x14ac:dyDescent="0.3">
      <c r="A216" s="87" t="s">
        <v>301</v>
      </c>
      <c r="B216" s="87"/>
      <c r="C216" s="65">
        <v>0</v>
      </c>
      <c r="D216" s="88">
        <f>((100/(C211+F211+I211))*C216)/100</f>
        <v>0</v>
      </c>
      <c r="E216" s="88"/>
      <c r="F216" s="88"/>
      <c r="G216" s="88"/>
      <c r="H216" s="88"/>
      <c r="I216" s="88"/>
      <c r="J216" s="88"/>
      <c r="K216" s="56" t="s">
        <v>243</v>
      </c>
      <c r="L216" s="79"/>
      <c r="M216" s="73">
        <f>I211*50%</f>
        <v>9.5</v>
      </c>
      <c r="N216" s="74">
        <v>0.02</v>
      </c>
    </row>
    <row r="217" spans="1:18" s="70" customFormat="1" ht="15" customHeight="1" x14ac:dyDescent="0.3">
      <c r="A217" s="87" t="s">
        <v>292</v>
      </c>
      <c r="B217" s="87" t="s">
        <v>293</v>
      </c>
      <c r="C217" s="64">
        <v>0</v>
      </c>
      <c r="D217" s="88">
        <f>((100/I211)*C217)/100</f>
        <v>0</v>
      </c>
      <c r="E217" s="88"/>
      <c r="F217" s="88"/>
      <c r="G217" s="88"/>
      <c r="H217" s="88"/>
      <c r="I217" s="88"/>
      <c r="J217" s="88"/>
      <c r="K217" s="56" t="s">
        <v>244</v>
      </c>
      <c r="L217" s="79"/>
      <c r="M217" s="73">
        <f>I211</f>
        <v>19</v>
      </c>
      <c r="N217" s="74">
        <v>0.04</v>
      </c>
    </row>
    <row r="218" spans="1:18" s="70" customFormat="1" ht="15" customHeight="1" x14ac:dyDescent="0.3">
      <c r="A218" s="87" t="s">
        <v>294</v>
      </c>
      <c r="B218" s="87" t="s">
        <v>293</v>
      </c>
      <c r="C218" s="64">
        <v>0</v>
      </c>
      <c r="D218" s="88">
        <f>((100/I211)*C218)/100</f>
        <v>0</v>
      </c>
      <c r="E218" s="88"/>
      <c r="F218" s="88"/>
      <c r="G218" s="88"/>
      <c r="H218" s="88"/>
      <c r="I218" s="88"/>
      <c r="J218" s="88"/>
      <c r="K218" s="56"/>
      <c r="L218" s="79"/>
      <c r="M218" s="73"/>
      <c r="N218" s="74">
        <v>0.08</v>
      </c>
    </row>
    <row r="219" spans="1:18" s="70" customFormat="1" ht="15" customHeight="1" x14ac:dyDescent="0.3">
      <c r="A219" s="89" t="s">
        <v>295</v>
      </c>
      <c r="B219" s="89" t="s">
        <v>296</v>
      </c>
      <c r="C219" s="64">
        <v>0</v>
      </c>
      <c r="D219" s="88">
        <f>((100/(I211))*C219)/100</f>
        <v>0</v>
      </c>
      <c r="E219" s="88"/>
      <c r="F219" s="88"/>
      <c r="G219" s="88"/>
      <c r="H219" s="88"/>
      <c r="I219" s="88"/>
      <c r="J219" s="88"/>
      <c r="K219" s="56" t="s">
        <v>245</v>
      </c>
      <c r="L219" s="79"/>
      <c r="M219" s="73">
        <f>I211*25%</f>
        <v>4.75</v>
      </c>
      <c r="N219" s="74">
        <v>0.15</v>
      </c>
    </row>
    <row r="220" spans="1:18" s="70" customFormat="1" ht="15" customHeight="1" x14ac:dyDescent="0.3">
      <c r="A220" s="87" t="s">
        <v>297</v>
      </c>
      <c r="B220" s="87" t="s">
        <v>297</v>
      </c>
      <c r="C220" s="64">
        <v>0</v>
      </c>
      <c r="D220" s="88">
        <f>((100/I211)*C220)/100</f>
        <v>0</v>
      </c>
      <c r="E220" s="88"/>
      <c r="F220" s="88"/>
      <c r="G220" s="88"/>
      <c r="H220" s="88"/>
      <c r="I220" s="88"/>
      <c r="J220" s="88"/>
      <c r="K220" s="56" t="s">
        <v>246</v>
      </c>
      <c r="L220" s="79"/>
      <c r="M220" s="73">
        <f>I211*50%</f>
        <v>9.5</v>
      </c>
      <c r="N220" s="74">
        <v>0.2</v>
      </c>
    </row>
    <row r="221" spans="1:18" s="70" customFormat="1" ht="15" customHeight="1" thickBot="1" x14ac:dyDescent="0.35">
      <c r="A221" s="87" t="s">
        <v>298</v>
      </c>
      <c r="B221" s="87"/>
      <c r="C221" s="64">
        <v>0</v>
      </c>
      <c r="D221" s="88">
        <f>((100/I211)*C221)/100</f>
        <v>0</v>
      </c>
      <c r="E221" s="88"/>
      <c r="F221" s="88"/>
      <c r="G221" s="88"/>
      <c r="H221" s="88"/>
      <c r="I221" s="88"/>
      <c r="J221" s="88"/>
      <c r="K221" s="56" t="s">
        <v>247</v>
      </c>
      <c r="L221" s="79"/>
      <c r="M221" s="73">
        <f>I211*75%</f>
        <v>14.25</v>
      </c>
      <c r="N221" s="76">
        <v>0.3</v>
      </c>
    </row>
    <row r="222" spans="1:18" s="70" customFormat="1" ht="15" customHeight="1" x14ac:dyDescent="0.3">
      <c r="A222" s="87" t="s">
        <v>299</v>
      </c>
      <c r="B222" s="87" t="s">
        <v>299</v>
      </c>
      <c r="C222" s="64">
        <v>0</v>
      </c>
      <c r="D222" s="88">
        <f>((100/(I211))*C222)/100</f>
        <v>0</v>
      </c>
      <c r="E222" s="88"/>
      <c r="F222" s="88"/>
      <c r="G222" s="88"/>
      <c r="H222" s="88"/>
      <c r="I222" s="88"/>
      <c r="J222" s="88"/>
      <c r="K222" s="56" t="s">
        <v>248</v>
      </c>
      <c r="L222" s="79"/>
      <c r="M222" s="73">
        <f>I211</f>
        <v>19</v>
      </c>
    </row>
    <row r="223" spans="1:18" s="70" customFormat="1" ht="16.2" thickBot="1" x14ac:dyDescent="0.35">
      <c r="A223" s="87" t="s">
        <v>300</v>
      </c>
      <c r="B223" s="87"/>
      <c r="C223" s="64">
        <v>0</v>
      </c>
      <c r="D223" s="88">
        <f>((100/(I211))*C223)/100</f>
        <v>0</v>
      </c>
      <c r="E223" s="88"/>
      <c r="F223" s="88"/>
      <c r="G223" s="88"/>
      <c r="H223" s="88"/>
      <c r="I223" s="88"/>
      <c r="J223" s="88"/>
      <c r="K223" s="80"/>
      <c r="L223" s="80"/>
      <c r="M223" s="77"/>
    </row>
    <row r="224" spans="1:18" x14ac:dyDescent="0.3">
      <c r="A224" s="109" t="s">
        <v>68</v>
      </c>
      <c r="B224" s="109"/>
      <c r="C224" s="109"/>
      <c r="D224" s="109"/>
      <c r="E224" s="109"/>
      <c r="F224" s="109"/>
      <c r="G224" s="109"/>
      <c r="H224" s="109"/>
      <c r="I224" s="109"/>
      <c r="J224" s="109"/>
    </row>
    <row r="225" spans="1:16" x14ac:dyDescent="0.3">
      <c r="A225" s="109" t="s">
        <v>60</v>
      </c>
      <c r="B225" s="109"/>
      <c r="C225" s="109"/>
      <c r="D225" s="109"/>
      <c r="E225" s="109"/>
      <c r="F225" s="109"/>
      <c r="G225" s="109"/>
      <c r="H225" s="109"/>
      <c r="I225" s="109"/>
      <c r="J225" s="109"/>
    </row>
    <row r="226" spans="1:16" ht="15" customHeight="1" x14ac:dyDescent="0.3">
      <c r="A226" s="144" t="s">
        <v>92</v>
      </c>
      <c r="B226" s="144"/>
      <c r="C226" s="144"/>
      <c r="D226" s="144"/>
      <c r="E226" s="144"/>
      <c r="F226" s="144"/>
      <c r="G226" s="144"/>
      <c r="H226" s="144"/>
      <c r="I226" s="144"/>
      <c r="J226" s="144"/>
    </row>
    <row r="227" spans="1:16" x14ac:dyDescent="0.3">
      <c r="A227" s="144"/>
      <c r="B227" s="144"/>
      <c r="C227" s="144"/>
      <c r="D227" s="144"/>
      <c r="E227" s="144"/>
      <c r="F227" s="144"/>
      <c r="G227" s="144"/>
      <c r="H227" s="144"/>
      <c r="I227" s="144"/>
      <c r="J227" s="144"/>
    </row>
    <row r="228" spans="1:16" ht="2.25" customHeight="1" x14ac:dyDescent="0.3">
      <c r="A228" s="144"/>
      <c r="B228" s="144"/>
      <c r="C228" s="144"/>
      <c r="D228" s="144"/>
      <c r="E228" s="144"/>
      <c r="F228" s="144"/>
      <c r="G228" s="144"/>
      <c r="H228" s="144"/>
      <c r="I228" s="144"/>
      <c r="J228" s="144"/>
    </row>
    <row r="229" spans="1:16" ht="15" hidden="1" customHeight="1" x14ac:dyDescent="0.3">
      <c r="A229" s="144"/>
      <c r="B229" s="144"/>
      <c r="C229" s="144"/>
      <c r="D229" s="144"/>
      <c r="E229" s="144"/>
      <c r="F229" s="144"/>
      <c r="G229" s="144"/>
      <c r="H229" s="144"/>
      <c r="I229" s="144"/>
      <c r="J229" s="144"/>
    </row>
    <row r="230" spans="1:16" ht="15" hidden="1" customHeight="1" x14ac:dyDescent="0.3">
      <c r="A230" s="144"/>
      <c r="B230" s="144"/>
      <c r="C230" s="144"/>
      <c r="D230" s="144"/>
      <c r="E230" s="144"/>
      <c r="F230" s="144"/>
      <c r="G230" s="144"/>
      <c r="H230" s="144"/>
      <c r="I230" s="144"/>
      <c r="J230" s="144"/>
      <c r="L230" s="81"/>
      <c r="M230" s="81"/>
      <c r="N230" s="81"/>
      <c r="O230" s="81"/>
      <c r="P230" s="81"/>
    </row>
    <row r="231" spans="1:16" ht="15" hidden="1" customHeight="1" x14ac:dyDescent="0.3">
      <c r="A231" s="144"/>
      <c r="B231" s="144"/>
      <c r="C231" s="144"/>
      <c r="D231" s="144"/>
      <c r="E231" s="144"/>
      <c r="F231" s="144"/>
      <c r="G231" s="144"/>
      <c r="H231" s="144"/>
      <c r="I231" s="144"/>
      <c r="J231" s="144"/>
      <c r="L231" s="81"/>
      <c r="M231" s="81"/>
      <c r="N231" s="81"/>
      <c r="O231" s="81"/>
      <c r="P231" s="81"/>
    </row>
    <row r="232" spans="1:16" ht="15" hidden="1" customHeight="1" x14ac:dyDescent="0.3">
      <c r="A232" s="144"/>
      <c r="B232" s="144"/>
      <c r="C232" s="144"/>
      <c r="D232" s="144"/>
      <c r="E232" s="144"/>
      <c r="F232" s="144"/>
      <c r="G232" s="144"/>
      <c r="H232" s="144"/>
      <c r="I232" s="144"/>
      <c r="J232" s="144"/>
    </row>
    <row r="233" spans="1:16" x14ac:dyDescent="0.3">
      <c r="A233" s="187" t="s">
        <v>25</v>
      </c>
      <c r="B233" s="155"/>
      <c r="C233" s="155"/>
      <c r="D233" s="155"/>
      <c r="E233" s="155"/>
      <c r="F233" s="155"/>
      <c r="G233" s="155"/>
      <c r="H233" s="155"/>
      <c r="I233" s="155"/>
      <c r="J233" s="156"/>
    </row>
    <row r="234" spans="1:16" x14ac:dyDescent="0.3">
      <c r="A234" s="115" t="s">
        <v>217</v>
      </c>
      <c r="B234" s="167"/>
      <c r="C234" s="167"/>
      <c r="D234" s="167"/>
      <c r="E234" s="167"/>
      <c r="F234" s="168"/>
      <c r="G234" s="163">
        <v>19000</v>
      </c>
      <c r="H234" s="164"/>
      <c r="I234" s="164"/>
      <c r="J234" s="165"/>
    </row>
    <row r="235" spans="1:16" x14ac:dyDescent="0.3">
      <c r="A235" s="115" t="s">
        <v>90</v>
      </c>
      <c r="B235" s="167"/>
      <c r="C235" s="167"/>
      <c r="D235" s="167"/>
      <c r="E235" s="167"/>
      <c r="F235" s="168"/>
      <c r="G235" s="118" t="s">
        <v>192</v>
      </c>
      <c r="H235" s="119"/>
      <c r="I235" s="119"/>
      <c r="J235" s="120"/>
    </row>
    <row r="236" spans="1:16" x14ac:dyDescent="0.3">
      <c r="A236" s="115" t="s">
        <v>115</v>
      </c>
      <c r="B236" s="167"/>
      <c r="C236" s="167"/>
      <c r="D236" s="167"/>
      <c r="E236" s="167"/>
      <c r="F236" s="168"/>
      <c r="G236" s="118" t="s">
        <v>189</v>
      </c>
      <c r="H236" s="119"/>
      <c r="I236" s="119"/>
      <c r="J236" s="120"/>
    </row>
    <row r="237" spans="1:16" x14ac:dyDescent="0.3">
      <c r="A237" s="115" t="s">
        <v>190</v>
      </c>
      <c r="B237" s="116"/>
      <c r="C237" s="116"/>
      <c r="D237" s="116"/>
      <c r="E237" s="116"/>
      <c r="F237" s="117"/>
      <c r="G237" s="118" t="s">
        <v>191</v>
      </c>
      <c r="H237" s="119"/>
      <c r="I237" s="119"/>
      <c r="J237" s="120"/>
    </row>
    <row r="238" spans="1:16" x14ac:dyDescent="0.3">
      <c r="A238" s="115" t="s">
        <v>193</v>
      </c>
      <c r="B238" s="116"/>
      <c r="C238" s="116"/>
      <c r="D238" s="116"/>
      <c r="E238" s="116"/>
      <c r="F238" s="117"/>
      <c r="G238" s="118" t="s">
        <v>314</v>
      </c>
      <c r="H238" s="119"/>
      <c r="I238" s="119"/>
      <c r="J238" s="120"/>
    </row>
    <row r="239" spans="1:16" ht="15" customHeight="1" x14ac:dyDescent="0.3">
      <c r="A239" s="115" t="s">
        <v>194</v>
      </c>
      <c r="B239" s="116"/>
      <c r="C239" s="116"/>
      <c r="D239" s="116"/>
      <c r="E239" s="116"/>
      <c r="F239" s="117"/>
      <c r="G239" s="118" t="s">
        <v>195</v>
      </c>
      <c r="H239" s="119"/>
      <c r="I239" s="119"/>
      <c r="J239" s="120"/>
    </row>
    <row r="240" spans="1:16" s="81" customFormat="1" ht="14.55" customHeight="1" x14ac:dyDescent="0.3">
      <c r="A240" s="154" t="s">
        <v>91</v>
      </c>
      <c r="B240" s="155"/>
      <c r="C240" s="155"/>
      <c r="D240" s="155"/>
      <c r="E240" s="155"/>
      <c r="F240" s="156"/>
      <c r="G240" s="115">
        <f>G234*0.8</f>
        <v>15200</v>
      </c>
      <c r="H240" s="116"/>
      <c r="I240" s="116"/>
      <c r="J240" s="117"/>
      <c r="L240"/>
      <c r="M240"/>
      <c r="N240"/>
      <c r="O240"/>
      <c r="P240"/>
    </row>
    <row r="241" spans="1:16" s="81" customFormat="1" x14ac:dyDescent="0.3">
      <c r="A241" s="157" t="s">
        <v>26</v>
      </c>
      <c r="B241" s="158"/>
      <c r="C241" s="158"/>
      <c r="D241" s="158"/>
      <c r="E241" s="158"/>
      <c r="F241" s="158"/>
      <c r="G241" s="158"/>
      <c r="H241" s="158"/>
      <c r="I241" s="158"/>
      <c r="J241" s="159"/>
      <c r="L241"/>
      <c r="M241"/>
      <c r="N241"/>
      <c r="O241"/>
      <c r="P241"/>
    </row>
    <row r="242" spans="1:16" x14ac:dyDescent="0.3">
      <c r="A242" s="157" t="s">
        <v>53</v>
      </c>
      <c r="B242" s="158"/>
      <c r="C242" s="158"/>
      <c r="D242" s="158"/>
      <c r="E242" s="158"/>
      <c r="F242" s="158"/>
      <c r="G242" s="158"/>
      <c r="H242" s="158"/>
      <c r="I242" s="158"/>
      <c r="J242" s="159"/>
    </row>
    <row r="243" spans="1:16" ht="52.8" x14ac:dyDescent="0.3">
      <c r="A243" s="1" t="s">
        <v>31</v>
      </c>
      <c r="B243" s="1" t="s">
        <v>35</v>
      </c>
      <c r="C243" s="1" t="s">
        <v>32</v>
      </c>
      <c r="D243" s="48" t="s">
        <v>129</v>
      </c>
      <c r="E243" s="1" t="s">
        <v>71</v>
      </c>
      <c r="F243" s="1" t="s">
        <v>45</v>
      </c>
      <c r="G243" s="1" t="s">
        <v>33</v>
      </c>
      <c r="H243" s="1" t="s">
        <v>226</v>
      </c>
      <c r="I243" s="142" t="s">
        <v>34</v>
      </c>
      <c r="J243" s="143"/>
    </row>
    <row r="244" spans="1:16" ht="15.6" x14ac:dyDescent="0.3">
      <c r="A244" s="111" t="s">
        <v>125</v>
      </c>
      <c r="B244" s="112"/>
      <c r="C244" s="112"/>
      <c r="D244" s="112"/>
      <c r="E244" s="112"/>
      <c r="F244" s="112"/>
      <c r="G244" s="112"/>
      <c r="H244" s="112"/>
      <c r="I244" s="112"/>
      <c r="J244" s="113"/>
    </row>
    <row r="245" spans="1:16" ht="15.6" x14ac:dyDescent="0.3">
      <c r="A245" s="111" t="s">
        <v>286</v>
      </c>
      <c r="B245" s="112"/>
      <c r="C245" s="112"/>
      <c r="D245" s="112"/>
      <c r="E245" s="112"/>
      <c r="F245" s="112"/>
      <c r="G245" s="112"/>
      <c r="H245" s="112"/>
      <c r="I245" s="112"/>
      <c r="J245" s="113"/>
    </row>
    <row r="246" spans="1:16" ht="15.6" x14ac:dyDescent="0.3">
      <c r="A246" s="131" t="s">
        <v>176</v>
      </c>
      <c r="B246" s="132"/>
      <c r="C246" s="132"/>
      <c r="D246" s="132"/>
      <c r="E246" s="132"/>
      <c r="F246" s="132"/>
      <c r="G246" s="132"/>
      <c r="H246" s="132"/>
      <c r="I246" s="132"/>
      <c r="J246" s="133"/>
    </row>
    <row r="247" spans="1:16" ht="15.6" x14ac:dyDescent="0.3">
      <c r="A247" s="111" t="s">
        <v>174</v>
      </c>
      <c r="B247" s="112"/>
      <c r="C247" s="112"/>
      <c r="D247" s="112"/>
      <c r="E247" s="112"/>
      <c r="F247" s="112"/>
      <c r="G247" s="112"/>
      <c r="H247" s="112"/>
      <c r="I247" s="112"/>
      <c r="J247" s="113"/>
    </row>
    <row r="248" spans="1:16" ht="15.6" x14ac:dyDescent="0.3">
      <c r="A248" s="111" t="s">
        <v>126</v>
      </c>
      <c r="B248" s="112"/>
      <c r="C248" s="112"/>
      <c r="D248" s="112"/>
      <c r="E248" s="112"/>
      <c r="F248" s="112"/>
      <c r="G248" s="112"/>
      <c r="H248" s="112"/>
      <c r="I248" s="112"/>
      <c r="J248" s="113"/>
    </row>
    <row r="249" spans="1:16" ht="15.6" x14ac:dyDescent="0.3">
      <c r="A249" s="60">
        <v>1</v>
      </c>
      <c r="B249" s="60">
        <v>1</v>
      </c>
      <c r="C249" s="60" t="s">
        <v>127</v>
      </c>
      <c r="D249" s="60">
        <v>806</v>
      </c>
      <c r="E249" s="60">
        <v>0</v>
      </c>
      <c r="F249" s="60">
        <f>E249+D249</f>
        <v>806</v>
      </c>
      <c r="G249" s="60">
        <v>0</v>
      </c>
      <c r="H249" s="60">
        <f>F249*1.45+G249</f>
        <v>1168.7</v>
      </c>
      <c r="I249" s="141" t="s">
        <v>61</v>
      </c>
      <c r="J249" s="141"/>
    </row>
    <row r="250" spans="1:16" ht="15.6" x14ac:dyDescent="0.3">
      <c r="A250" s="60">
        <v>2</v>
      </c>
      <c r="B250" s="60">
        <v>2</v>
      </c>
      <c r="C250" s="111" t="s">
        <v>128</v>
      </c>
      <c r="D250" s="112"/>
      <c r="E250" s="112"/>
      <c r="F250" s="112"/>
      <c r="G250" s="112"/>
      <c r="H250" s="112"/>
      <c r="I250" s="112"/>
      <c r="J250" s="113"/>
    </row>
    <row r="251" spans="1:16" ht="15.6" x14ac:dyDescent="0.3">
      <c r="A251" s="60">
        <v>3</v>
      </c>
      <c r="B251" s="60">
        <v>3</v>
      </c>
      <c r="C251" s="60" t="s">
        <v>127</v>
      </c>
      <c r="D251" s="60">
        <v>806</v>
      </c>
      <c r="E251" s="60">
        <v>0</v>
      </c>
      <c r="F251" s="60">
        <f>E251+D251</f>
        <v>806</v>
      </c>
      <c r="G251" s="60">
        <v>0</v>
      </c>
      <c r="H251" s="60">
        <f>F251*1.45+G251</f>
        <v>1168.7</v>
      </c>
      <c r="I251" s="141" t="s">
        <v>61</v>
      </c>
      <c r="J251" s="141"/>
    </row>
    <row r="252" spans="1:16" ht="15.6" x14ac:dyDescent="0.3">
      <c r="A252" s="60">
        <v>4</v>
      </c>
      <c r="B252" s="60">
        <v>4</v>
      </c>
      <c r="C252" s="60" t="s">
        <v>127</v>
      </c>
      <c r="D252" s="60">
        <v>806</v>
      </c>
      <c r="E252" s="60">
        <v>0</v>
      </c>
      <c r="F252" s="60">
        <f>E252+D252</f>
        <v>806</v>
      </c>
      <c r="G252" s="60">
        <v>0</v>
      </c>
      <c r="H252" s="60">
        <f>F252*1.45+G252</f>
        <v>1168.7</v>
      </c>
      <c r="I252" s="141" t="s">
        <v>61</v>
      </c>
      <c r="J252" s="141"/>
    </row>
    <row r="253" spans="1:16" ht="15.6" x14ac:dyDescent="0.3">
      <c r="A253" s="111" t="s">
        <v>132</v>
      </c>
      <c r="B253" s="112"/>
      <c r="C253" s="112"/>
      <c r="D253" s="112"/>
      <c r="E253" s="112"/>
      <c r="F253" s="112"/>
      <c r="G253" s="112"/>
      <c r="H253" s="112"/>
      <c r="I253" s="112"/>
      <c r="J253" s="113"/>
    </row>
    <row r="254" spans="1:16" ht="15.6" x14ac:dyDescent="0.3">
      <c r="A254" s="60">
        <v>5</v>
      </c>
      <c r="B254" s="60">
        <v>1</v>
      </c>
      <c r="C254" s="60" t="s">
        <v>127</v>
      </c>
      <c r="D254" s="60">
        <v>806</v>
      </c>
      <c r="E254" s="60">
        <v>0</v>
      </c>
      <c r="F254" s="60">
        <f>E254+D254</f>
        <v>806</v>
      </c>
      <c r="G254" s="60">
        <v>0</v>
      </c>
      <c r="H254" s="60">
        <f>F254*1.45+G254</f>
        <v>1168.7</v>
      </c>
      <c r="I254" s="141" t="s">
        <v>61</v>
      </c>
      <c r="J254" s="141"/>
    </row>
    <row r="255" spans="1:16" ht="15.6" x14ac:dyDescent="0.3">
      <c r="A255" s="60">
        <v>6</v>
      </c>
      <c r="B255" s="60">
        <v>2</v>
      </c>
      <c r="C255" s="60" t="s">
        <v>133</v>
      </c>
      <c r="D255" s="60">
        <v>1102</v>
      </c>
      <c r="E255" s="60">
        <v>0</v>
      </c>
      <c r="F255" s="60">
        <f>E255+D255</f>
        <v>1102</v>
      </c>
      <c r="G255" s="60">
        <v>0</v>
      </c>
      <c r="H255" s="60">
        <f>F255*1.45+G255</f>
        <v>1597.8999999999999</v>
      </c>
      <c r="I255" s="141" t="s">
        <v>61</v>
      </c>
      <c r="J255" s="141"/>
      <c r="L255">
        <f>25000000/H254</f>
        <v>21391.289466929065</v>
      </c>
    </row>
    <row r="256" spans="1:16" ht="15.6" x14ac:dyDescent="0.3">
      <c r="A256" s="60">
        <v>7</v>
      </c>
      <c r="B256" s="60">
        <v>3</v>
      </c>
      <c r="C256" s="60" t="s">
        <v>127</v>
      </c>
      <c r="D256" s="60">
        <v>806</v>
      </c>
      <c r="E256" s="60">
        <v>0</v>
      </c>
      <c r="F256" s="60">
        <f>E256+D256</f>
        <v>806</v>
      </c>
      <c r="G256" s="60">
        <v>0</v>
      </c>
      <c r="H256" s="60">
        <f>F256*1.45+G256</f>
        <v>1168.7</v>
      </c>
      <c r="I256" s="141" t="s">
        <v>61</v>
      </c>
      <c r="J256" s="141"/>
      <c r="L256">
        <f>19000*H256</f>
        <v>22205300</v>
      </c>
      <c r="M256">
        <v>1000000</v>
      </c>
      <c r="N256">
        <f>70200/H256</f>
        <v>60.066740823136819</v>
      </c>
      <c r="O256">
        <f>200*H256</f>
        <v>233740</v>
      </c>
    </row>
    <row r="257" spans="1:12" ht="15.6" x14ac:dyDescent="0.3">
      <c r="A257" s="60">
        <v>8</v>
      </c>
      <c r="B257" s="60">
        <v>4</v>
      </c>
      <c r="C257" s="60" t="s">
        <v>127</v>
      </c>
      <c r="D257" s="60">
        <v>806</v>
      </c>
      <c r="E257" s="60">
        <v>0</v>
      </c>
      <c r="F257" s="60">
        <f>E257+D257</f>
        <v>806</v>
      </c>
      <c r="G257" s="60">
        <v>0</v>
      </c>
      <c r="H257" s="60">
        <f>F257*1.45+G257</f>
        <v>1168.7</v>
      </c>
      <c r="I257" s="141" t="s">
        <v>61</v>
      </c>
      <c r="J257" s="141"/>
      <c r="L257">
        <f>H256*200*14</f>
        <v>3272360</v>
      </c>
    </row>
    <row r="258" spans="1:12" ht="15.6" x14ac:dyDescent="0.3">
      <c r="A258" s="111" t="s">
        <v>134</v>
      </c>
      <c r="B258" s="112"/>
      <c r="C258" s="112"/>
      <c r="D258" s="112"/>
      <c r="E258" s="112"/>
      <c r="F258" s="112"/>
      <c r="G258" s="112"/>
      <c r="H258" s="112"/>
      <c r="I258" s="112"/>
      <c r="J258" s="113"/>
    </row>
    <row r="259" spans="1:12" ht="15.6" x14ac:dyDescent="0.3">
      <c r="A259" s="60">
        <v>9</v>
      </c>
      <c r="B259" s="60">
        <v>1</v>
      </c>
      <c r="C259" s="60" t="s">
        <v>127</v>
      </c>
      <c r="D259" s="60">
        <v>806</v>
      </c>
      <c r="E259" s="60">
        <v>0</v>
      </c>
      <c r="F259" s="60">
        <f>E259+D259</f>
        <v>806</v>
      </c>
      <c r="G259" s="60">
        <v>0</v>
      </c>
      <c r="H259" s="60">
        <f>F259*1.45+G259</f>
        <v>1168.7</v>
      </c>
      <c r="I259" s="141" t="s">
        <v>61</v>
      </c>
      <c r="J259" s="141"/>
    </row>
    <row r="260" spans="1:12" ht="15.6" x14ac:dyDescent="0.3">
      <c r="A260" s="60">
        <v>10</v>
      </c>
      <c r="B260" s="60">
        <v>2</v>
      </c>
      <c r="C260" s="60" t="s">
        <v>133</v>
      </c>
      <c r="D260" s="60">
        <v>1102</v>
      </c>
      <c r="E260" s="60">
        <v>0</v>
      </c>
      <c r="F260" s="60">
        <f>E260+D260</f>
        <v>1102</v>
      </c>
      <c r="G260" s="60">
        <v>0</v>
      </c>
      <c r="H260" s="60">
        <f>F260*1.45+G260</f>
        <v>1597.8999999999999</v>
      </c>
      <c r="I260" s="141" t="s">
        <v>61</v>
      </c>
      <c r="J260" s="141"/>
    </row>
    <row r="261" spans="1:12" ht="15.6" x14ac:dyDescent="0.3">
      <c r="A261" s="60">
        <v>11</v>
      </c>
      <c r="B261" s="60">
        <v>3</v>
      </c>
      <c r="C261" s="111" t="s">
        <v>135</v>
      </c>
      <c r="D261" s="112"/>
      <c r="E261" s="112"/>
      <c r="F261" s="112"/>
      <c r="G261" s="112"/>
      <c r="H261" s="112"/>
      <c r="I261" s="112"/>
      <c r="J261" s="113"/>
    </row>
    <row r="262" spans="1:12" ht="15.6" x14ac:dyDescent="0.3">
      <c r="A262" s="60">
        <v>12</v>
      </c>
      <c r="B262" s="60">
        <v>4</v>
      </c>
      <c r="C262" s="60" t="s">
        <v>127</v>
      </c>
      <c r="D262" s="60">
        <v>806</v>
      </c>
      <c r="E262" s="60">
        <v>0</v>
      </c>
      <c r="F262" s="60">
        <f>E262+D262</f>
        <v>806</v>
      </c>
      <c r="G262" s="60">
        <v>0</v>
      </c>
      <c r="H262" s="60">
        <f>F262*1.45+G262</f>
        <v>1168.7</v>
      </c>
      <c r="I262" s="141" t="s">
        <v>61</v>
      </c>
      <c r="J262" s="141"/>
    </row>
    <row r="263" spans="1:12" ht="15.6" x14ac:dyDescent="0.3">
      <c r="A263" s="111" t="s">
        <v>136</v>
      </c>
      <c r="B263" s="112"/>
      <c r="C263" s="112"/>
      <c r="D263" s="112"/>
      <c r="E263" s="112"/>
      <c r="F263" s="112"/>
      <c r="G263" s="112"/>
      <c r="H263" s="112"/>
      <c r="I263" s="112"/>
      <c r="J263" s="113"/>
    </row>
    <row r="264" spans="1:12" ht="15.6" x14ac:dyDescent="0.3">
      <c r="A264" s="60">
        <v>13</v>
      </c>
      <c r="B264" s="60">
        <v>1</v>
      </c>
      <c r="C264" s="60" t="s">
        <v>127</v>
      </c>
      <c r="D264" s="60">
        <v>806</v>
      </c>
      <c r="E264" s="60">
        <v>0</v>
      </c>
      <c r="F264" s="60">
        <f>E264+D264</f>
        <v>806</v>
      </c>
      <c r="G264" s="60">
        <v>0</v>
      </c>
      <c r="H264" s="60">
        <f>F264*1.45+G264</f>
        <v>1168.7</v>
      </c>
      <c r="I264" s="141" t="s">
        <v>61</v>
      </c>
      <c r="J264" s="141"/>
    </row>
    <row r="265" spans="1:12" ht="15.6" x14ac:dyDescent="0.3">
      <c r="A265" s="60">
        <v>14</v>
      </c>
      <c r="B265" s="60">
        <v>2</v>
      </c>
      <c r="C265" s="60" t="s">
        <v>133</v>
      </c>
      <c r="D265" s="60">
        <v>1102</v>
      </c>
      <c r="E265" s="60">
        <v>0</v>
      </c>
      <c r="F265" s="60">
        <f>E265+D265</f>
        <v>1102</v>
      </c>
      <c r="G265" s="60">
        <v>0</v>
      </c>
      <c r="H265" s="60">
        <f>F265*1.45+G265</f>
        <v>1597.8999999999999</v>
      </c>
      <c r="I265" s="141" t="s">
        <v>61</v>
      </c>
      <c r="J265" s="141"/>
    </row>
    <row r="266" spans="1:12" ht="15.6" x14ac:dyDescent="0.3">
      <c r="A266" s="60">
        <v>15</v>
      </c>
      <c r="B266" s="60">
        <v>3</v>
      </c>
      <c r="C266" s="111" t="s">
        <v>135</v>
      </c>
      <c r="D266" s="112"/>
      <c r="E266" s="112"/>
      <c r="F266" s="112"/>
      <c r="G266" s="112"/>
      <c r="H266" s="112"/>
      <c r="I266" s="112"/>
      <c r="J266" s="113"/>
    </row>
    <row r="267" spans="1:12" ht="15.6" x14ac:dyDescent="0.3">
      <c r="A267" s="60">
        <v>16</v>
      </c>
      <c r="B267" s="60">
        <v>4</v>
      </c>
      <c r="C267" s="60" t="s">
        <v>127</v>
      </c>
      <c r="D267" s="60">
        <v>806</v>
      </c>
      <c r="E267" s="60">
        <v>0</v>
      </c>
      <c r="F267" s="60">
        <f>E267+D267</f>
        <v>806</v>
      </c>
      <c r="G267" s="60">
        <v>0</v>
      </c>
      <c r="H267" s="60">
        <f>F267*1.45+G267</f>
        <v>1168.7</v>
      </c>
      <c r="I267" s="141" t="s">
        <v>61</v>
      </c>
      <c r="J267" s="141"/>
    </row>
    <row r="268" spans="1:12" ht="15.6" x14ac:dyDescent="0.3">
      <c r="A268" s="111" t="s">
        <v>175</v>
      </c>
      <c r="B268" s="112"/>
      <c r="C268" s="112"/>
      <c r="D268" s="112"/>
      <c r="E268" s="112"/>
      <c r="F268" s="112"/>
      <c r="G268" s="112"/>
      <c r="H268" s="112"/>
      <c r="I268" s="112"/>
      <c r="J268" s="113"/>
    </row>
    <row r="269" spans="1:12" ht="15.6" x14ac:dyDescent="0.3">
      <c r="A269" s="111" t="s">
        <v>137</v>
      </c>
      <c r="B269" s="112"/>
      <c r="C269" s="112"/>
      <c r="D269" s="112"/>
      <c r="E269" s="112"/>
      <c r="F269" s="112"/>
      <c r="G269" s="112"/>
      <c r="H269" s="112"/>
      <c r="I269" s="112"/>
      <c r="J269" s="113"/>
    </row>
    <row r="270" spans="1:12" ht="15.6" x14ac:dyDescent="0.3">
      <c r="A270" s="60">
        <v>17</v>
      </c>
      <c r="B270" s="60">
        <v>1</v>
      </c>
      <c r="C270" s="60" t="s">
        <v>127</v>
      </c>
      <c r="D270" s="60">
        <v>794</v>
      </c>
      <c r="E270" s="60">
        <v>0</v>
      </c>
      <c r="F270" s="60">
        <f>E270+D270</f>
        <v>794</v>
      </c>
      <c r="G270" s="60">
        <v>0</v>
      </c>
      <c r="H270" s="60">
        <f>F270*1.45+G270</f>
        <v>1151.3</v>
      </c>
      <c r="I270" s="141" t="s">
        <v>61</v>
      </c>
      <c r="J270" s="141"/>
    </row>
    <row r="271" spans="1:12" ht="15.6" x14ac:dyDescent="0.3">
      <c r="A271" s="60">
        <v>18</v>
      </c>
      <c r="B271" s="60">
        <v>2</v>
      </c>
      <c r="C271" s="60" t="s">
        <v>127</v>
      </c>
      <c r="D271" s="60">
        <v>794</v>
      </c>
      <c r="E271" s="60">
        <v>0</v>
      </c>
      <c r="F271" s="60">
        <f>E271+D271</f>
        <v>794</v>
      </c>
      <c r="G271" s="60">
        <v>0</v>
      </c>
      <c r="H271" s="60">
        <f>F271*1.45+G271</f>
        <v>1151.3</v>
      </c>
      <c r="I271" s="141" t="s">
        <v>61</v>
      </c>
      <c r="J271" s="141"/>
    </row>
    <row r="272" spans="1:12" ht="15.6" x14ac:dyDescent="0.3">
      <c r="A272" s="60">
        <v>19</v>
      </c>
      <c r="B272" s="60">
        <v>3</v>
      </c>
      <c r="C272" s="60" t="s">
        <v>127</v>
      </c>
      <c r="D272" s="60">
        <v>794</v>
      </c>
      <c r="E272" s="60">
        <v>0</v>
      </c>
      <c r="F272" s="60">
        <f>E272+D272</f>
        <v>794</v>
      </c>
      <c r="G272" s="60">
        <v>0</v>
      </c>
      <c r="H272" s="60">
        <f>F272*1.45+G272</f>
        <v>1151.3</v>
      </c>
      <c r="I272" s="141" t="s">
        <v>61</v>
      </c>
      <c r="J272" s="141"/>
    </row>
    <row r="273" spans="1:10" ht="15.6" x14ac:dyDescent="0.3">
      <c r="A273" s="60">
        <v>20</v>
      </c>
      <c r="B273" s="60">
        <v>4</v>
      </c>
      <c r="C273" s="60" t="s">
        <v>127</v>
      </c>
      <c r="D273" s="60">
        <v>794</v>
      </c>
      <c r="E273" s="60">
        <v>0</v>
      </c>
      <c r="F273" s="60">
        <f>E273+D273</f>
        <v>794</v>
      </c>
      <c r="G273" s="60">
        <v>0</v>
      </c>
      <c r="H273" s="60">
        <f>F273*1.45+G273</f>
        <v>1151.3</v>
      </c>
      <c r="I273" s="141" t="s">
        <v>61</v>
      </c>
      <c r="J273" s="141"/>
    </row>
    <row r="274" spans="1:10" ht="15.6" x14ac:dyDescent="0.3">
      <c r="A274" s="111" t="s">
        <v>132</v>
      </c>
      <c r="B274" s="112"/>
      <c r="C274" s="112"/>
      <c r="D274" s="112"/>
      <c r="E274" s="112"/>
      <c r="F274" s="112"/>
      <c r="G274" s="112"/>
      <c r="H274" s="112"/>
      <c r="I274" s="112"/>
      <c r="J274" s="113"/>
    </row>
    <row r="275" spans="1:10" ht="15.6" x14ac:dyDescent="0.3">
      <c r="A275" s="60">
        <v>21</v>
      </c>
      <c r="B275" s="60">
        <v>1</v>
      </c>
      <c r="C275" s="60" t="s">
        <v>127</v>
      </c>
      <c r="D275" s="60">
        <v>794</v>
      </c>
      <c r="E275" s="60">
        <v>0</v>
      </c>
      <c r="F275" s="60">
        <f>E275+D275</f>
        <v>794</v>
      </c>
      <c r="G275" s="60">
        <v>0</v>
      </c>
      <c r="H275" s="60">
        <f>F275*1.45+G275</f>
        <v>1151.3</v>
      </c>
      <c r="I275" s="121" t="s">
        <v>61</v>
      </c>
      <c r="J275" s="122"/>
    </row>
    <row r="276" spans="1:10" ht="15.6" x14ac:dyDescent="0.3">
      <c r="A276" s="60">
        <v>22</v>
      </c>
      <c r="B276" s="60">
        <v>2</v>
      </c>
      <c r="C276" s="60" t="s">
        <v>127</v>
      </c>
      <c r="D276" s="60">
        <v>794</v>
      </c>
      <c r="E276" s="60">
        <v>0</v>
      </c>
      <c r="F276" s="60">
        <f>E276+D276</f>
        <v>794</v>
      </c>
      <c r="G276" s="60">
        <v>0</v>
      </c>
      <c r="H276" s="60">
        <f>F276*1.45+G276</f>
        <v>1151.3</v>
      </c>
      <c r="I276" s="121" t="s">
        <v>61</v>
      </c>
      <c r="J276" s="122"/>
    </row>
    <row r="277" spans="1:10" ht="15.6" x14ac:dyDescent="0.3">
      <c r="A277" s="60">
        <v>23</v>
      </c>
      <c r="B277" s="60">
        <v>3</v>
      </c>
      <c r="C277" s="60" t="s">
        <v>127</v>
      </c>
      <c r="D277" s="60">
        <v>794</v>
      </c>
      <c r="E277" s="60">
        <v>0</v>
      </c>
      <c r="F277" s="60">
        <f>E277+D277</f>
        <v>794</v>
      </c>
      <c r="G277" s="60">
        <v>0</v>
      </c>
      <c r="H277" s="60">
        <f>F277*1.45+G277</f>
        <v>1151.3</v>
      </c>
      <c r="I277" s="121" t="s">
        <v>61</v>
      </c>
      <c r="J277" s="122"/>
    </row>
    <row r="278" spans="1:10" ht="15.6" x14ac:dyDescent="0.3">
      <c r="A278" s="60">
        <v>24</v>
      </c>
      <c r="B278" s="60">
        <v>4</v>
      </c>
      <c r="C278" s="60" t="s">
        <v>127</v>
      </c>
      <c r="D278" s="60">
        <v>794</v>
      </c>
      <c r="E278" s="60">
        <v>0</v>
      </c>
      <c r="F278" s="60">
        <f>E278+D278</f>
        <v>794</v>
      </c>
      <c r="G278" s="60">
        <v>0</v>
      </c>
      <c r="H278" s="60">
        <f>F278*1.45+G278</f>
        <v>1151.3</v>
      </c>
      <c r="I278" s="121" t="s">
        <v>61</v>
      </c>
      <c r="J278" s="122"/>
    </row>
    <row r="279" spans="1:10" ht="15.6" x14ac:dyDescent="0.3">
      <c r="A279" s="111" t="s">
        <v>134</v>
      </c>
      <c r="B279" s="112"/>
      <c r="C279" s="112"/>
      <c r="D279" s="112"/>
      <c r="E279" s="112"/>
      <c r="F279" s="112"/>
      <c r="G279" s="112"/>
      <c r="H279" s="112"/>
      <c r="I279" s="112"/>
      <c r="J279" s="113"/>
    </row>
    <row r="280" spans="1:10" ht="15.6" x14ac:dyDescent="0.3">
      <c r="A280" s="60">
        <v>25</v>
      </c>
      <c r="B280" s="60">
        <v>1</v>
      </c>
      <c r="C280" s="60" t="s">
        <v>127</v>
      </c>
      <c r="D280" s="60">
        <v>794</v>
      </c>
      <c r="E280" s="60">
        <v>0</v>
      </c>
      <c r="F280" s="60">
        <f>E280+D280</f>
        <v>794</v>
      </c>
      <c r="G280" s="60">
        <v>0</v>
      </c>
      <c r="H280" s="60">
        <f>F280*1.45+G280</f>
        <v>1151.3</v>
      </c>
      <c r="I280" s="121" t="s">
        <v>61</v>
      </c>
      <c r="J280" s="122"/>
    </row>
    <row r="281" spans="1:10" ht="15.6" x14ac:dyDescent="0.3">
      <c r="A281" s="60">
        <v>26</v>
      </c>
      <c r="B281" s="60">
        <v>2</v>
      </c>
      <c r="C281" s="111" t="s">
        <v>135</v>
      </c>
      <c r="D281" s="112"/>
      <c r="E281" s="112"/>
      <c r="F281" s="112"/>
      <c r="G281" s="112"/>
      <c r="H281" s="112"/>
      <c r="I281" s="112"/>
      <c r="J281" s="113"/>
    </row>
    <row r="282" spans="1:10" ht="15.6" x14ac:dyDescent="0.3">
      <c r="A282" s="60">
        <v>27</v>
      </c>
      <c r="B282" s="60">
        <v>3</v>
      </c>
      <c r="C282" s="60" t="s">
        <v>127</v>
      </c>
      <c r="D282" s="60">
        <v>794</v>
      </c>
      <c r="E282" s="60">
        <v>0</v>
      </c>
      <c r="F282" s="60">
        <f>E282+D282</f>
        <v>794</v>
      </c>
      <c r="G282" s="60">
        <v>0</v>
      </c>
      <c r="H282" s="60">
        <f>F282*1.45+G282</f>
        <v>1151.3</v>
      </c>
      <c r="I282" s="121" t="s">
        <v>61</v>
      </c>
      <c r="J282" s="122"/>
    </row>
    <row r="283" spans="1:10" ht="15.6" x14ac:dyDescent="0.3">
      <c r="A283" s="60">
        <v>28</v>
      </c>
      <c r="B283" s="60">
        <v>4</v>
      </c>
      <c r="C283" s="60" t="s">
        <v>127</v>
      </c>
      <c r="D283" s="60">
        <v>794</v>
      </c>
      <c r="E283" s="60">
        <v>0</v>
      </c>
      <c r="F283" s="60">
        <f>E283+D283</f>
        <v>794</v>
      </c>
      <c r="G283" s="60">
        <v>0</v>
      </c>
      <c r="H283" s="60">
        <f>F283*1.45+G283</f>
        <v>1151.3</v>
      </c>
      <c r="I283" s="121" t="s">
        <v>61</v>
      </c>
      <c r="J283" s="122"/>
    </row>
    <row r="284" spans="1:10" ht="15.6" x14ac:dyDescent="0.3">
      <c r="A284" s="111" t="s">
        <v>136</v>
      </c>
      <c r="B284" s="112"/>
      <c r="C284" s="112"/>
      <c r="D284" s="112"/>
      <c r="E284" s="112"/>
      <c r="F284" s="112"/>
      <c r="G284" s="112"/>
      <c r="H284" s="112"/>
      <c r="I284" s="112"/>
      <c r="J284" s="113"/>
    </row>
    <row r="285" spans="1:10" ht="15.6" x14ac:dyDescent="0.3">
      <c r="A285" s="60">
        <v>29</v>
      </c>
      <c r="B285" s="60">
        <v>1</v>
      </c>
      <c r="C285" s="60" t="s">
        <v>127</v>
      </c>
      <c r="D285" s="60">
        <v>794</v>
      </c>
      <c r="E285" s="60">
        <v>0</v>
      </c>
      <c r="F285" s="60">
        <f>E285+D285</f>
        <v>794</v>
      </c>
      <c r="G285" s="60">
        <v>0</v>
      </c>
      <c r="H285" s="60">
        <f>F285*1.45+G285</f>
        <v>1151.3</v>
      </c>
      <c r="I285" s="121" t="s">
        <v>61</v>
      </c>
      <c r="J285" s="122"/>
    </row>
    <row r="286" spans="1:10" ht="15.6" x14ac:dyDescent="0.3">
      <c r="A286" s="60">
        <v>30</v>
      </c>
      <c r="B286" s="60">
        <v>2</v>
      </c>
      <c r="C286" s="111" t="s">
        <v>135</v>
      </c>
      <c r="D286" s="112"/>
      <c r="E286" s="112"/>
      <c r="F286" s="112"/>
      <c r="G286" s="112"/>
      <c r="H286" s="112"/>
      <c r="I286" s="112"/>
      <c r="J286" s="113"/>
    </row>
    <row r="287" spans="1:10" ht="15.6" x14ac:dyDescent="0.3">
      <c r="A287" s="60">
        <v>31</v>
      </c>
      <c r="B287" s="60">
        <v>3</v>
      </c>
      <c r="C287" s="60" t="s">
        <v>127</v>
      </c>
      <c r="D287" s="60">
        <v>794</v>
      </c>
      <c r="E287" s="60">
        <v>0</v>
      </c>
      <c r="F287" s="60">
        <f>E287+D287</f>
        <v>794</v>
      </c>
      <c r="G287" s="60">
        <v>0</v>
      </c>
      <c r="H287" s="60">
        <f>F287*1.45+G287</f>
        <v>1151.3</v>
      </c>
      <c r="I287" s="121" t="s">
        <v>61</v>
      </c>
      <c r="J287" s="122"/>
    </row>
    <row r="288" spans="1:10" ht="15.6" x14ac:dyDescent="0.3">
      <c r="A288" s="60">
        <v>32</v>
      </c>
      <c r="B288" s="60">
        <v>4</v>
      </c>
      <c r="C288" s="60" t="s">
        <v>127</v>
      </c>
      <c r="D288" s="60">
        <v>794</v>
      </c>
      <c r="E288" s="60">
        <v>0</v>
      </c>
      <c r="F288" s="60">
        <f>E288+D288</f>
        <v>794</v>
      </c>
      <c r="G288" s="60">
        <v>0</v>
      </c>
      <c r="H288" s="60">
        <f>F288*1.45+G288</f>
        <v>1151.3</v>
      </c>
      <c r="I288" s="121" t="s">
        <v>61</v>
      </c>
      <c r="J288" s="122"/>
    </row>
    <row r="289" spans="1:10" ht="15.6" x14ac:dyDescent="0.3">
      <c r="A289" s="111" t="s">
        <v>160</v>
      </c>
      <c r="B289" s="112"/>
      <c r="C289" s="112"/>
      <c r="D289" s="112"/>
      <c r="E289" s="112"/>
      <c r="F289" s="112"/>
      <c r="G289" s="112"/>
      <c r="H289" s="112"/>
      <c r="I289" s="112"/>
      <c r="J289" s="113"/>
    </row>
    <row r="290" spans="1:10" ht="15.6" x14ac:dyDescent="0.3">
      <c r="A290" s="111" t="s">
        <v>137</v>
      </c>
      <c r="B290" s="112"/>
      <c r="C290" s="112"/>
      <c r="D290" s="112"/>
      <c r="E290" s="112"/>
      <c r="F290" s="112"/>
      <c r="G290" s="112"/>
      <c r="H290" s="112"/>
      <c r="I290" s="112"/>
      <c r="J290" s="113"/>
    </row>
    <row r="291" spans="1:10" ht="15.6" x14ac:dyDescent="0.3">
      <c r="A291" s="60">
        <v>33</v>
      </c>
      <c r="B291" s="60">
        <v>1</v>
      </c>
      <c r="C291" s="60" t="s">
        <v>127</v>
      </c>
      <c r="D291" s="60">
        <f>46.19*10.764</f>
        <v>497.18915999999996</v>
      </c>
      <c r="E291" s="60">
        <v>0</v>
      </c>
      <c r="F291" s="60">
        <f>E291+D291</f>
        <v>497.18915999999996</v>
      </c>
      <c r="G291" s="60">
        <v>0</v>
      </c>
      <c r="H291" s="60">
        <f>F291*1.45+G291</f>
        <v>720.92428199999995</v>
      </c>
      <c r="I291" s="121" t="s">
        <v>61</v>
      </c>
      <c r="J291" s="122"/>
    </row>
    <row r="292" spans="1:10" ht="15.6" x14ac:dyDescent="0.3">
      <c r="A292" s="60">
        <v>34</v>
      </c>
      <c r="B292" s="60">
        <v>2</v>
      </c>
      <c r="C292" s="60" t="s">
        <v>133</v>
      </c>
      <c r="D292" s="60">
        <v>639</v>
      </c>
      <c r="E292" s="60">
        <v>0</v>
      </c>
      <c r="F292" s="60">
        <f>E292+D292</f>
        <v>639</v>
      </c>
      <c r="G292" s="60">
        <v>0</v>
      </c>
      <c r="H292" s="60">
        <f>F292*1.45+G292</f>
        <v>926.55</v>
      </c>
      <c r="I292" s="121" t="s">
        <v>61</v>
      </c>
      <c r="J292" s="122"/>
    </row>
    <row r="293" spans="1:10" ht="15.6" x14ac:dyDescent="0.3">
      <c r="A293" s="60">
        <v>35</v>
      </c>
      <c r="B293" s="60">
        <v>3</v>
      </c>
      <c r="C293" s="60" t="s">
        <v>127</v>
      </c>
      <c r="D293" s="60">
        <v>494</v>
      </c>
      <c r="E293" s="60">
        <v>0</v>
      </c>
      <c r="F293" s="60">
        <f>E293+D293</f>
        <v>494</v>
      </c>
      <c r="G293" s="60">
        <v>0</v>
      </c>
      <c r="H293" s="60">
        <f>F293*1.45+G293</f>
        <v>716.3</v>
      </c>
      <c r="I293" s="121" t="s">
        <v>61</v>
      </c>
      <c r="J293" s="122"/>
    </row>
    <row r="294" spans="1:10" ht="15.6" x14ac:dyDescent="0.3">
      <c r="A294" s="60">
        <v>36</v>
      </c>
      <c r="B294" s="60">
        <v>4</v>
      </c>
      <c r="C294" s="60" t="s">
        <v>127</v>
      </c>
      <c r="D294" s="60">
        <v>494</v>
      </c>
      <c r="E294" s="60">
        <v>0</v>
      </c>
      <c r="F294" s="60">
        <f>E294+D294</f>
        <v>494</v>
      </c>
      <c r="G294" s="60">
        <v>0</v>
      </c>
      <c r="H294" s="60">
        <f>F294*1.45+G294</f>
        <v>716.3</v>
      </c>
      <c r="I294" s="121" t="s">
        <v>61</v>
      </c>
      <c r="J294" s="122"/>
    </row>
    <row r="295" spans="1:10" ht="15.6" x14ac:dyDescent="0.3">
      <c r="A295" s="111" t="s">
        <v>132</v>
      </c>
      <c r="B295" s="112"/>
      <c r="C295" s="112"/>
      <c r="D295" s="112"/>
      <c r="E295" s="112"/>
      <c r="F295" s="112"/>
      <c r="G295" s="112"/>
      <c r="H295" s="112"/>
      <c r="I295" s="112"/>
      <c r="J295" s="113"/>
    </row>
    <row r="296" spans="1:10" ht="15.6" x14ac:dyDescent="0.3">
      <c r="A296" s="60">
        <v>37</v>
      </c>
      <c r="B296" s="60">
        <v>1</v>
      </c>
      <c r="C296" s="60" t="s">
        <v>127</v>
      </c>
      <c r="D296" s="60">
        <f>46.19*10.764</f>
        <v>497.18915999999996</v>
      </c>
      <c r="E296" s="60">
        <v>0</v>
      </c>
      <c r="F296" s="60">
        <f>E296+D296</f>
        <v>497.18915999999996</v>
      </c>
      <c r="G296" s="60">
        <v>0</v>
      </c>
      <c r="H296" s="60">
        <f>F296*1.45+G296</f>
        <v>720.92428199999995</v>
      </c>
      <c r="I296" s="121" t="s">
        <v>61</v>
      </c>
      <c r="J296" s="122"/>
    </row>
    <row r="297" spans="1:10" ht="15.6" x14ac:dyDescent="0.3">
      <c r="A297" s="60">
        <v>38</v>
      </c>
      <c r="B297" s="60">
        <v>2</v>
      </c>
      <c r="C297" s="60" t="s">
        <v>133</v>
      </c>
      <c r="D297" s="60">
        <v>639</v>
      </c>
      <c r="E297" s="60">
        <v>0</v>
      </c>
      <c r="F297" s="60">
        <f>E297+D297</f>
        <v>639</v>
      </c>
      <c r="G297" s="60">
        <v>0</v>
      </c>
      <c r="H297" s="60">
        <f>F297*1.45+G297</f>
        <v>926.55</v>
      </c>
      <c r="I297" s="121" t="s">
        <v>61</v>
      </c>
      <c r="J297" s="122"/>
    </row>
    <row r="298" spans="1:10" ht="15.6" x14ac:dyDescent="0.3">
      <c r="A298" s="60">
        <v>39</v>
      </c>
      <c r="B298" s="60">
        <v>3</v>
      </c>
      <c r="C298" s="60" t="s">
        <v>127</v>
      </c>
      <c r="D298" s="60">
        <v>494</v>
      </c>
      <c r="E298" s="60">
        <v>0</v>
      </c>
      <c r="F298" s="60">
        <f>E298+D298</f>
        <v>494</v>
      </c>
      <c r="G298" s="60">
        <v>0</v>
      </c>
      <c r="H298" s="60">
        <f>F298*1.45+G298</f>
        <v>716.3</v>
      </c>
      <c r="I298" s="121" t="s">
        <v>61</v>
      </c>
      <c r="J298" s="122"/>
    </row>
    <row r="299" spans="1:10" ht="15.6" x14ac:dyDescent="0.3">
      <c r="A299" s="60">
        <v>40</v>
      </c>
      <c r="B299" s="60">
        <v>4</v>
      </c>
      <c r="C299" s="60" t="s">
        <v>127</v>
      </c>
      <c r="D299" s="60">
        <v>494</v>
      </c>
      <c r="E299" s="60">
        <v>0</v>
      </c>
      <c r="F299" s="60">
        <f>E299+D299</f>
        <v>494</v>
      </c>
      <c r="G299" s="60">
        <v>0</v>
      </c>
      <c r="H299" s="60">
        <f>F299*1.45+G299</f>
        <v>716.3</v>
      </c>
      <c r="I299" s="121" t="s">
        <v>61</v>
      </c>
      <c r="J299" s="122"/>
    </row>
    <row r="300" spans="1:10" ht="15.6" x14ac:dyDescent="0.3">
      <c r="A300" s="111" t="s">
        <v>134</v>
      </c>
      <c r="B300" s="112"/>
      <c r="C300" s="112"/>
      <c r="D300" s="112"/>
      <c r="E300" s="112"/>
      <c r="F300" s="112"/>
      <c r="G300" s="112"/>
      <c r="H300" s="112"/>
      <c r="I300" s="112"/>
      <c r="J300" s="113"/>
    </row>
    <row r="301" spans="1:10" ht="15.6" x14ac:dyDescent="0.3">
      <c r="A301" s="60">
        <v>41</v>
      </c>
      <c r="B301" s="60">
        <v>1</v>
      </c>
      <c r="C301" s="60" t="s">
        <v>127</v>
      </c>
      <c r="D301" s="60">
        <f>46.19*10.764</f>
        <v>497.18915999999996</v>
      </c>
      <c r="E301" s="60">
        <v>0</v>
      </c>
      <c r="F301" s="60">
        <f>E301+D301</f>
        <v>497.18915999999996</v>
      </c>
      <c r="G301" s="60">
        <v>0</v>
      </c>
      <c r="H301" s="60">
        <f>F301*1.45+G301</f>
        <v>720.92428199999995</v>
      </c>
      <c r="I301" s="121" t="s">
        <v>61</v>
      </c>
      <c r="J301" s="122"/>
    </row>
    <row r="302" spans="1:10" ht="15.6" x14ac:dyDescent="0.3">
      <c r="A302" s="60">
        <v>42</v>
      </c>
      <c r="B302" s="60">
        <v>2</v>
      </c>
      <c r="C302" s="60" t="s">
        <v>133</v>
      </c>
      <c r="D302" s="60">
        <v>639</v>
      </c>
      <c r="E302" s="60">
        <v>0</v>
      </c>
      <c r="F302" s="60">
        <f>E302+D302</f>
        <v>639</v>
      </c>
      <c r="G302" s="60">
        <v>0</v>
      </c>
      <c r="H302" s="60">
        <f>F302*1.45+G302</f>
        <v>926.55</v>
      </c>
      <c r="I302" s="121" t="s">
        <v>61</v>
      </c>
      <c r="J302" s="122"/>
    </row>
    <row r="303" spans="1:10" ht="15.6" x14ac:dyDescent="0.3">
      <c r="A303" s="60">
        <v>43</v>
      </c>
      <c r="B303" s="60">
        <v>3</v>
      </c>
      <c r="C303" s="60" t="s">
        <v>127</v>
      </c>
      <c r="D303" s="60">
        <v>494</v>
      </c>
      <c r="E303" s="60">
        <v>0</v>
      </c>
      <c r="F303" s="60">
        <f>E303+D303</f>
        <v>494</v>
      </c>
      <c r="G303" s="60">
        <v>0</v>
      </c>
      <c r="H303" s="60">
        <f>F303*1.45+G303</f>
        <v>716.3</v>
      </c>
      <c r="I303" s="121" t="s">
        <v>61</v>
      </c>
      <c r="J303" s="122"/>
    </row>
    <row r="304" spans="1:10" ht="15.6" x14ac:dyDescent="0.3">
      <c r="A304" s="60">
        <v>44</v>
      </c>
      <c r="B304" s="60">
        <v>4</v>
      </c>
      <c r="C304" s="111" t="s">
        <v>135</v>
      </c>
      <c r="D304" s="112"/>
      <c r="E304" s="112"/>
      <c r="F304" s="112"/>
      <c r="G304" s="112"/>
      <c r="H304" s="112"/>
      <c r="I304" s="112"/>
      <c r="J304" s="113"/>
    </row>
    <row r="305" spans="1:10" ht="15.6" x14ac:dyDescent="0.3">
      <c r="A305" s="111" t="s">
        <v>136</v>
      </c>
      <c r="B305" s="112"/>
      <c r="C305" s="112"/>
      <c r="D305" s="112"/>
      <c r="E305" s="112"/>
      <c r="F305" s="112"/>
      <c r="G305" s="112"/>
      <c r="H305" s="112"/>
      <c r="I305" s="112"/>
      <c r="J305" s="113"/>
    </row>
    <row r="306" spans="1:10" ht="15.6" x14ac:dyDescent="0.3">
      <c r="A306" s="60">
        <v>45</v>
      </c>
      <c r="B306" s="60">
        <v>1</v>
      </c>
      <c r="C306" s="60" t="s">
        <v>127</v>
      </c>
      <c r="D306" s="60">
        <f>46.19*10.764</f>
        <v>497.18915999999996</v>
      </c>
      <c r="E306" s="60">
        <v>0</v>
      </c>
      <c r="F306" s="60">
        <f>E306+D306</f>
        <v>497.18915999999996</v>
      </c>
      <c r="G306" s="60">
        <v>0</v>
      </c>
      <c r="H306" s="60">
        <f>F306*1.45+G306</f>
        <v>720.92428199999995</v>
      </c>
      <c r="I306" s="121" t="s">
        <v>61</v>
      </c>
      <c r="J306" s="122"/>
    </row>
    <row r="307" spans="1:10" ht="15.6" x14ac:dyDescent="0.3">
      <c r="A307" s="60">
        <v>46</v>
      </c>
      <c r="B307" s="60">
        <v>2</v>
      </c>
      <c r="C307" s="60" t="s">
        <v>133</v>
      </c>
      <c r="D307" s="60">
        <v>639</v>
      </c>
      <c r="E307" s="60">
        <v>0</v>
      </c>
      <c r="F307" s="60">
        <f>E307+D307</f>
        <v>639</v>
      </c>
      <c r="G307" s="60">
        <v>0</v>
      </c>
      <c r="H307" s="60">
        <f>F307*1.45+G307</f>
        <v>926.55</v>
      </c>
      <c r="I307" s="121" t="s">
        <v>61</v>
      </c>
      <c r="J307" s="122"/>
    </row>
    <row r="308" spans="1:10" ht="15.6" x14ac:dyDescent="0.3">
      <c r="A308" s="60">
        <v>47</v>
      </c>
      <c r="B308" s="60">
        <v>3</v>
      </c>
      <c r="C308" s="60" t="s">
        <v>127</v>
      </c>
      <c r="D308" s="60">
        <v>494</v>
      </c>
      <c r="E308" s="60">
        <v>0</v>
      </c>
      <c r="F308" s="60">
        <f>E308+D308</f>
        <v>494</v>
      </c>
      <c r="G308" s="60">
        <v>0</v>
      </c>
      <c r="H308" s="60">
        <f>F308*1.45+G308</f>
        <v>716.3</v>
      </c>
      <c r="I308" s="121" t="s">
        <v>61</v>
      </c>
      <c r="J308" s="122"/>
    </row>
    <row r="309" spans="1:10" ht="15.6" x14ac:dyDescent="0.3">
      <c r="A309" s="60">
        <v>48</v>
      </c>
      <c r="B309" s="60">
        <v>4</v>
      </c>
      <c r="C309" s="111" t="s">
        <v>135</v>
      </c>
      <c r="D309" s="112"/>
      <c r="E309" s="112"/>
      <c r="F309" s="112"/>
      <c r="G309" s="112"/>
      <c r="H309" s="112"/>
      <c r="I309" s="112"/>
      <c r="J309" s="113"/>
    </row>
    <row r="310" spans="1:10" ht="15.6" x14ac:dyDescent="0.3">
      <c r="A310" s="111" t="s">
        <v>161</v>
      </c>
      <c r="B310" s="112"/>
      <c r="C310" s="112"/>
      <c r="D310" s="112"/>
      <c r="E310" s="112"/>
      <c r="F310" s="112"/>
      <c r="G310" s="112"/>
      <c r="H310" s="112"/>
      <c r="I310" s="112"/>
      <c r="J310" s="113"/>
    </row>
    <row r="311" spans="1:10" ht="15.6" x14ac:dyDescent="0.3">
      <c r="A311" s="111" t="s">
        <v>137</v>
      </c>
      <c r="B311" s="112"/>
      <c r="C311" s="112"/>
      <c r="D311" s="112"/>
      <c r="E311" s="112"/>
      <c r="F311" s="112"/>
      <c r="G311" s="112"/>
      <c r="H311" s="112"/>
      <c r="I311" s="112"/>
      <c r="J311" s="113"/>
    </row>
    <row r="312" spans="1:10" ht="15.6" x14ac:dyDescent="0.3">
      <c r="A312" s="60">
        <v>49</v>
      </c>
      <c r="B312" s="60">
        <v>1</v>
      </c>
      <c r="C312" s="60" t="s">
        <v>138</v>
      </c>
      <c r="D312" s="60">
        <f>32.9*10.764</f>
        <v>354.13559999999995</v>
      </c>
      <c r="E312" s="60">
        <v>0</v>
      </c>
      <c r="F312" s="60">
        <f>E312+D312</f>
        <v>354.13559999999995</v>
      </c>
      <c r="G312" s="60">
        <v>0</v>
      </c>
      <c r="H312" s="60">
        <f>F312*1.45+G312</f>
        <v>513.49661999999989</v>
      </c>
      <c r="I312" s="121" t="s">
        <v>61</v>
      </c>
      <c r="J312" s="122"/>
    </row>
    <row r="313" spans="1:10" ht="15.6" x14ac:dyDescent="0.3">
      <c r="A313" s="60">
        <v>50</v>
      </c>
      <c r="B313" s="60">
        <v>2</v>
      </c>
      <c r="C313" s="60" t="s">
        <v>138</v>
      </c>
      <c r="D313" s="60">
        <f>32.9*10.764</f>
        <v>354.13559999999995</v>
      </c>
      <c r="E313" s="60">
        <v>0</v>
      </c>
      <c r="F313" s="60">
        <f>E313+D313</f>
        <v>354.13559999999995</v>
      </c>
      <c r="G313" s="60">
        <v>0</v>
      </c>
      <c r="H313" s="60">
        <f>F313*1.45+G313</f>
        <v>513.49661999999989</v>
      </c>
      <c r="I313" s="121" t="s">
        <v>61</v>
      </c>
      <c r="J313" s="122"/>
    </row>
    <row r="314" spans="1:10" ht="15.6" x14ac:dyDescent="0.3">
      <c r="A314" s="60">
        <v>51</v>
      </c>
      <c r="B314" s="60">
        <v>3</v>
      </c>
      <c r="C314" s="60" t="s">
        <v>127</v>
      </c>
      <c r="D314" s="60">
        <f>45.87*10.764</f>
        <v>493.74467999999996</v>
      </c>
      <c r="E314" s="60">
        <v>0</v>
      </c>
      <c r="F314" s="60">
        <f>E314+D314</f>
        <v>493.74467999999996</v>
      </c>
      <c r="G314" s="60">
        <v>0</v>
      </c>
      <c r="H314" s="60">
        <f>F314*1.45+G314</f>
        <v>715.92978599999992</v>
      </c>
      <c r="I314" s="121" t="s">
        <v>61</v>
      </c>
      <c r="J314" s="122"/>
    </row>
    <row r="315" spans="1:10" ht="15.6" x14ac:dyDescent="0.3">
      <c r="A315" s="60">
        <v>52</v>
      </c>
      <c r="B315" s="60">
        <v>4</v>
      </c>
      <c r="C315" s="60" t="s">
        <v>127</v>
      </c>
      <c r="D315" s="60">
        <f>45.87*10.764</f>
        <v>493.74467999999996</v>
      </c>
      <c r="E315" s="60">
        <v>0</v>
      </c>
      <c r="F315" s="60">
        <f>E315+D315</f>
        <v>493.74467999999996</v>
      </c>
      <c r="G315" s="60">
        <v>0</v>
      </c>
      <c r="H315" s="60">
        <f>F315*1.45+G315</f>
        <v>715.92978599999992</v>
      </c>
      <c r="I315" s="121" t="s">
        <v>61</v>
      </c>
      <c r="J315" s="122"/>
    </row>
    <row r="316" spans="1:10" ht="15.6" x14ac:dyDescent="0.3">
      <c r="A316" s="111" t="s">
        <v>132</v>
      </c>
      <c r="B316" s="112"/>
      <c r="C316" s="112"/>
      <c r="D316" s="112"/>
      <c r="E316" s="112"/>
      <c r="F316" s="112"/>
      <c r="G316" s="112"/>
      <c r="H316" s="112"/>
      <c r="I316" s="112"/>
      <c r="J316" s="113"/>
    </row>
    <row r="317" spans="1:10" ht="15.6" x14ac:dyDescent="0.3">
      <c r="A317" s="60">
        <v>53</v>
      </c>
      <c r="B317" s="60">
        <v>1</v>
      </c>
      <c r="C317" s="60" t="s">
        <v>138</v>
      </c>
      <c r="D317" s="60">
        <f>32.9*10.764</f>
        <v>354.13559999999995</v>
      </c>
      <c r="E317" s="60">
        <v>0</v>
      </c>
      <c r="F317" s="60">
        <f>E317+D317</f>
        <v>354.13559999999995</v>
      </c>
      <c r="G317" s="60">
        <v>0</v>
      </c>
      <c r="H317" s="60">
        <f>F317*1.45+G317</f>
        <v>513.49661999999989</v>
      </c>
      <c r="I317" s="121" t="s">
        <v>61</v>
      </c>
      <c r="J317" s="122"/>
    </row>
    <row r="318" spans="1:10" ht="15.6" x14ac:dyDescent="0.3">
      <c r="A318" s="60">
        <v>54</v>
      </c>
      <c r="B318" s="60">
        <v>2</v>
      </c>
      <c r="C318" s="60" t="s">
        <v>138</v>
      </c>
      <c r="D318" s="60">
        <f>32.9*10.764</f>
        <v>354.13559999999995</v>
      </c>
      <c r="E318" s="60">
        <v>0</v>
      </c>
      <c r="F318" s="60">
        <f>E318+D318</f>
        <v>354.13559999999995</v>
      </c>
      <c r="G318" s="60">
        <v>0</v>
      </c>
      <c r="H318" s="60">
        <f>F318*1.45+G318</f>
        <v>513.49661999999989</v>
      </c>
      <c r="I318" s="121" t="s">
        <v>61</v>
      </c>
      <c r="J318" s="122"/>
    </row>
    <row r="319" spans="1:10" ht="15.6" x14ac:dyDescent="0.3">
      <c r="A319" s="60">
        <v>55</v>
      </c>
      <c r="B319" s="60">
        <v>3</v>
      </c>
      <c r="C319" s="60" t="s">
        <v>127</v>
      </c>
      <c r="D319" s="60">
        <f>45.87*10.764</f>
        <v>493.74467999999996</v>
      </c>
      <c r="E319" s="60">
        <v>0</v>
      </c>
      <c r="F319" s="60">
        <f>E319+D319</f>
        <v>493.74467999999996</v>
      </c>
      <c r="G319" s="60">
        <v>0</v>
      </c>
      <c r="H319" s="60">
        <f>F319*1.45+G319</f>
        <v>715.92978599999992</v>
      </c>
      <c r="I319" s="121" t="s">
        <v>61</v>
      </c>
      <c r="J319" s="122"/>
    </row>
    <row r="320" spans="1:10" ht="15.6" x14ac:dyDescent="0.3">
      <c r="A320" s="60">
        <v>56</v>
      </c>
      <c r="B320" s="60">
        <v>4</v>
      </c>
      <c r="C320" s="60" t="s">
        <v>127</v>
      </c>
      <c r="D320" s="60">
        <f>45.87*10.764</f>
        <v>493.74467999999996</v>
      </c>
      <c r="E320" s="60">
        <v>0</v>
      </c>
      <c r="F320" s="60">
        <f>E320+D320</f>
        <v>493.74467999999996</v>
      </c>
      <c r="G320" s="60">
        <v>0</v>
      </c>
      <c r="H320" s="60">
        <f>F320*1.45+G320</f>
        <v>715.92978599999992</v>
      </c>
      <c r="I320" s="121" t="s">
        <v>61</v>
      </c>
      <c r="J320" s="122"/>
    </row>
    <row r="321" spans="1:10" ht="15.6" x14ac:dyDescent="0.3">
      <c r="A321" s="111" t="s">
        <v>139</v>
      </c>
      <c r="B321" s="112"/>
      <c r="C321" s="112"/>
      <c r="D321" s="112"/>
      <c r="E321" s="112"/>
      <c r="F321" s="112"/>
      <c r="G321" s="112"/>
      <c r="H321" s="112"/>
      <c r="I321" s="112"/>
      <c r="J321" s="113"/>
    </row>
    <row r="322" spans="1:10" ht="15.6" x14ac:dyDescent="0.3">
      <c r="A322" s="60">
        <v>57</v>
      </c>
      <c r="B322" s="60">
        <v>1</v>
      </c>
      <c r="C322" s="60" t="s">
        <v>138</v>
      </c>
      <c r="D322" s="60">
        <f>32.9*10.764</f>
        <v>354.13559999999995</v>
      </c>
      <c r="E322" s="60">
        <v>0</v>
      </c>
      <c r="F322" s="60">
        <f>E322+D322</f>
        <v>354.13559999999995</v>
      </c>
      <c r="G322" s="60">
        <v>0</v>
      </c>
      <c r="H322" s="60">
        <f>F322*1.45+G322</f>
        <v>513.49661999999989</v>
      </c>
      <c r="I322" s="121" t="s">
        <v>61</v>
      </c>
      <c r="J322" s="122"/>
    </row>
    <row r="323" spans="1:10" ht="15.6" x14ac:dyDescent="0.3">
      <c r="A323" s="60">
        <v>58</v>
      </c>
      <c r="B323" s="60">
        <v>2</v>
      </c>
      <c r="C323" s="60" t="s">
        <v>138</v>
      </c>
      <c r="D323" s="60">
        <f>32.9*10.764</f>
        <v>354.13559999999995</v>
      </c>
      <c r="E323" s="60">
        <v>0</v>
      </c>
      <c r="F323" s="60">
        <f>E323+D323</f>
        <v>354.13559999999995</v>
      </c>
      <c r="G323" s="60">
        <v>0</v>
      </c>
      <c r="H323" s="60">
        <f>F323*1.45+G323</f>
        <v>513.49661999999989</v>
      </c>
      <c r="I323" s="121" t="s">
        <v>61</v>
      </c>
      <c r="J323" s="122"/>
    </row>
    <row r="324" spans="1:10" ht="15.6" x14ac:dyDescent="0.3">
      <c r="A324" s="60">
        <v>59</v>
      </c>
      <c r="B324" s="60">
        <v>3</v>
      </c>
      <c r="C324" s="111" t="s">
        <v>135</v>
      </c>
      <c r="D324" s="112"/>
      <c r="E324" s="112"/>
      <c r="F324" s="112"/>
      <c r="G324" s="112"/>
      <c r="H324" s="112"/>
      <c r="I324" s="112"/>
      <c r="J324" s="113"/>
    </row>
    <row r="325" spans="1:10" ht="15.6" x14ac:dyDescent="0.3">
      <c r="A325" s="60">
        <v>60</v>
      </c>
      <c r="B325" s="60">
        <v>4</v>
      </c>
      <c r="C325" s="60" t="s">
        <v>127</v>
      </c>
      <c r="D325" s="60">
        <f>45.87*10.764</f>
        <v>493.74467999999996</v>
      </c>
      <c r="E325" s="60">
        <v>0</v>
      </c>
      <c r="F325" s="60">
        <f>E325+D325</f>
        <v>493.74467999999996</v>
      </c>
      <c r="G325" s="60">
        <v>0</v>
      </c>
      <c r="H325" s="60">
        <f>F325*1.45+G325</f>
        <v>715.92978599999992</v>
      </c>
      <c r="I325" s="121" t="s">
        <v>61</v>
      </c>
      <c r="J325" s="122"/>
    </row>
    <row r="326" spans="1:10" ht="15.6" x14ac:dyDescent="0.3">
      <c r="A326" s="111" t="s">
        <v>159</v>
      </c>
      <c r="B326" s="112"/>
      <c r="C326" s="112"/>
      <c r="D326" s="112"/>
      <c r="E326" s="112"/>
      <c r="F326" s="112"/>
      <c r="G326" s="112"/>
      <c r="H326" s="112"/>
      <c r="I326" s="112"/>
      <c r="J326" s="113"/>
    </row>
    <row r="327" spans="1:10" ht="15.6" x14ac:dyDescent="0.3">
      <c r="A327" s="111" t="s">
        <v>137</v>
      </c>
      <c r="B327" s="112"/>
      <c r="C327" s="112"/>
      <c r="D327" s="112"/>
      <c r="E327" s="112"/>
      <c r="F327" s="112"/>
      <c r="G327" s="112"/>
      <c r="H327" s="112"/>
      <c r="I327" s="112"/>
      <c r="J327" s="113"/>
    </row>
    <row r="328" spans="1:10" ht="15.6" x14ac:dyDescent="0.3">
      <c r="A328" s="60">
        <v>61</v>
      </c>
      <c r="B328" s="60">
        <v>1</v>
      </c>
      <c r="C328" s="60" t="s">
        <v>138</v>
      </c>
      <c r="D328" s="60">
        <f>32.23*10.764</f>
        <v>346.92371999999995</v>
      </c>
      <c r="E328" s="60">
        <v>0</v>
      </c>
      <c r="F328" s="60">
        <f>E328+D328</f>
        <v>346.92371999999995</v>
      </c>
      <c r="G328" s="60">
        <v>0</v>
      </c>
      <c r="H328" s="60">
        <f>F328*1.45+G328</f>
        <v>503.0393939999999</v>
      </c>
      <c r="I328" s="121" t="s">
        <v>61</v>
      </c>
      <c r="J328" s="122"/>
    </row>
    <row r="329" spans="1:10" ht="15.6" x14ac:dyDescent="0.3">
      <c r="A329" s="60">
        <v>62</v>
      </c>
      <c r="B329" s="60">
        <v>2</v>
      </c>
      <c r="C329" s="60" t="s">
        <v>133</v>
      </c>
      <c r="D329" s="60">
        <f>59.4*10.764</f>
        <v>639.38159999999993</v>
      </c>
      <c r="E329" s="60">
        <v>0</v>
      </c>
      <c r="F329" s="60">
        <f>E329+D329</f>
        <v>639.38159999999993</v>
      </c>
      <c r="G329" s="60">
        <v>0</v>
      </c>
      <c r="H329" s="60">
        <f>F329*1.45+G329</f>
        <v>927.10331999999983</v>
      </c>
      <c r="I329" s="121" t="s">
        <v>61</v>
      </c>
      <c r="J329" s="122"/>
    </row>
    <row r="330" spans="1:10" ht="15.6" x14ac:dyDescent="0.3">
      <c r="A330" s="60">
        <v>63</v>
      </c>
      <c r="B330" s="60">
        <v>3</v>
      </c>
      <c r="C330" s="60" t="s">
        <v>127</v>
      </c>
      <c r="D330" s="60">
        <f>45.87*10.764</f>
        <v>493.74467999999996</v>
      </c>
      <c r="E330" s="60">
        <v>0</v>
      </c>
      <c r="F330" s="60">
        <f>E330+D330</f>
        <v>493.74467999999996</v>
      </c>
      <c r="G330" s="60">
        <v>0</v>
      </c>
      <c r="H330" s="60">
        <f>F330*1.45+G330</f>
        <v>715.92978599999992</v>
      </c>
      <c r="I330" s="121" t="s">
        <v>61</v>
      </c>
      <c r="J330" s="122"/>
    </row>
    <row r="331" spans="1:10" ht="15.6" x14ac:dyDescent="0.3">
      <c r="A331" s="60">
        <v>64</v>
      </c>
      <c r="B331" s="60">
        <v>4</v>
      </c>
      <c r="C331" s="60" t="s">
        <v>138</v>
      </c>
      <c r="D331" s="60">
        <f>32.23*10.764</f>
        <v>346.92371999999995</v>
      </c>
      <c r="E331" s="60">
        <v>0</v>
      </c>
      <c r="F331" s="60">
        <f>E331+D331</f>
        <v>346.92371999999995</v>
      </c>
      <c r="G331" s="60">
        <v>0</v>
      </c>
      <c r="H331" s="60">
        <f>F331*1.45+G331</f>
        <v>503.0393939999999</v>
      </c>
      <c r="I331" s="121" t="s">
        <v>61</v>
      </c>
      <c r="J331" s="122"/>
    </row>
    <row r="332" spans="1:10" ht="15.6" x14ac:dyDescent="0.3">
      <c r="A332" s="111" t="s">
        <v>132</v>
      </c>
      <c r="B332" s="112"/>
      <c r="C332" s="112"/>
      <c r="D332" s="112"/>
      <c r="E332" s="112"/>
      <c r="F332" s="112"/>
      <c r="G332" s="112"/>
      <c r="H332" s="112"/>
      <c r="I332" s="112"/>
      <c r="J332" s="113"/>
    </row>
    <row r="333" spans="1:10" ht="15.6" x14ac:dyDescent="0.3">
      <c r="A333" s="60">
        <v>65</v>
      </c>
      <c r="B333" s="60">
        <v>1</v>
      </c>
      <c r="C333" s="60" t="s">
        <v>138</v>
      </c>
      <c r="D333" s="60">
        <f>32.23*10.764</f>
        <v>346.92371999999995</v>
      </c>
      <c r="E333" s="60">
        <v>0</v>
      </c>
      <c r="F333" s="60">
        <f>E333+D333</f>
        <v>346.92371999999995</v>
      </c>
      <c r="G333" s="60">
        <v>0</v>
      </c>
      <c r="H333" s="60">
        <f>F333*1.45+G333</f>
        <v>503.0393939999999</v>
      </c>
      <c r="I333" s="121" t="s">
        <v>61</v>
      </c>
      <c r="J333" s="122"/>
    </row>
    <row r="334" spans="1:10" ht="15.6" x14ac:dyDescent="0.3">
      <c r="A334" s="60">
        <v>66</v>
      </c>
      <c r="B334" s="60">
        <v>2</v>
      </c>
      <c r="C334" s="60" t="s">
        <v>133</v>
      </c>
      <c r="D334" s="60">
        <f>59.4*10.764</f>
        <v>639.38159999999993</v>
      </c>
      <c r="E334" s="60">
        <v>0</v>
      </c>
      <c r="F334" s="60">
        <f>E334+D334</f>
        <v>639.38159999999993</v>
      </c>
      <c r="G334" s="60">
        <v>0</v>
      </c>
      <c r="H334" s="60">
        <f>F334*1.45+G334</f>
        <v>927.10331999999983</v>
      </c>
      <c r="I334" s="121" t="s">
        <v>61</v>
      </c>
      <c r="J334" s="122"/>
    </row>
    <row r="335" spans="1:10" ht="15.6" x14ac:dyDescent="0.3">
      <c r="A335" s="60">
        <v>67</v>
      </c>
      <c r="B335" s="60">
        <v>3</v>
      </c>
      <c r="C335" s="60" t="s">
        <v>127</v>
      </c>
      <c r="D335" s="60">
        <f>45.87*10.764</f>
        <v>493.74467999999996</v>
      </c>
      <c r="E335" s="60">
        <v>0</v>
      </c>
      <c r="F335" s="60">
        <f>E335+D335</f>
        <v>493.74467999999996</v>
      </c>
      <c r="G335" s="60">
        <v>0</v>
      </c>
      <c r="H335" s="60">
        <f>F335*1.45+G335</f>
        <v>715.92978599999992</v>
      </c>
      <c r="I335" s="121" t="s">
        <v>61</v>
      </c>
      <c r="J335" s="122"/>
    </row>
    <row r="336" spans="1:10" ht="15.6" x14ac:dyDescent="0.3">
      <c r="A336" s="60">
        <v>68</v>
      </c>
      <c r="B336" s="60">
        <v>4</v>
      </c>
      <c r="C336" s="60" t="s">
        <v>138</v>
      </c>
      <c r="D336" s="60">
        <f>32.23*10.764</f>
        <v>346.92371999999995</v>
      </c>
      <c r="E336" s="60">
        <v>0</v>
      </c>
      <c r="F336" s="60">
        <f>E336+D336</f>
        <v>346.92371999999995</v>
      </c>
      <c r="G336" s="60">
        <v>0</v>
      </c>
      <c r="H336" s="60">
        <f>F336*1.45+G336</f>
        <v>503.0393939999999</v>
      </c>
      <c r="I336" s="121" t="s">
        <v>61</v>
      </c>
      <c r="J336" s="122"/>
    </row>
    <row r="337" spans="1:10" ht="15.6" x14ac:dyDescent="0.3">
      <c r="A337" s="111" t="s">
        <v>134</v>
      </c>
      <c r="B337" s="112"/>
      <c r="C337" s="112"/>
      <c r="D337" s="112"/>
      <c r="E337" s="112"/>
      <c r="F337" s="112"/>
      <c r="G337" s="112"/>
      <c r="H337" s="112"/>
      <c r="I337" s="112"/>
      <c r="J337" s="113"/>
    </row>
    <row r="338" spans="1:10" ht="15.6" x14ac:dyDescent="0.3">
      <c r="A338" s="60">
        <v>69</v>
      </c>
      <c r="B338" s="60">
        <v>1</v>
      </c>
      <c r="C338" s="60" t="s">
        <v>138</v>
      </c>
      <c r="D338" s="60">
        <f>32.23*10.764</f>
        <v>346.92371999999995</v>
      </c>
      <c r="E338" s="60">
        <v>0</v>
      </c>
      <c r="F338" s="60">
        <f>E338+D338</f>
        <v>346.92371999999995</v>
      </c>
      <c r="G338" s="60">
        <v>0</v>
      </c>
      <c r="H338" s="60">
        <f>F338*1.45+G338</f>
        <v>503.0393939999999</v>
      </c>
      <c r="I338" s="121" t="s">
        <v>61</v>
      </c>
      <c r="J338" s="122"/>
    </row>
    <row r="339" spans="1:10" ht="15.6" x14ac:dyDescent="0.3">
      <c r="A339" s="60">
        <v>70</v>
      </c>
      <c r="B339" s="60">
        <v>2</v>
      </c>
      <c r="C339" s="60" t="s">
        <v>133</v>
      </c>
      <c r="D339" s="60">
        <f>59.4*10.764</f>
        <v>639.38159999999993</v>
      </c>
      <c r="E339" s="60">
        <v>0</v>
      </c>
      <c r="F339" s="60">
        <f>E339+D339</f>
        <v>639.38159999999993</v>
      </c>
      <c r="G339" s="60">
        <v>0</v>
      </c>
      <c r="H339" s="60">
        <f>F339*1.45+G339</f>
        <v>927.10331999999983</v>
      </c>
      <c r="I339" s="121" t="s">
        <v>61</v>
      </c>
      <c r="J339" s="122"/>
    </row>
    <row r="340" spans="1:10" ht="15.6" x14ac:dyDescent="0.3">
      <c r="A340" s="60">
        <v>71</v>
      </c>
      <c r="B340" s="60">
        <v>3</v>
      </c>
      <c r="C340" s="111" t="s">
        <v>135</v>
      </c>
      <c r="D340" s="112"/>
      <c r="E340" s="112"/>
      <c r="F340" s="112"/>
      <c r="G340" s="112"/>
      <c r="H340" s="112"/>
      <c r="I340" s="112"/>
      <c r="J340" s="113"/>
    </row>
    <row r="341" spans="1:10" ht="15.6" x14ac:dyDescent="0.3">
      <c r="A341" s="60">
        <v>72</v>
      </c>
      <c r="B341" s="60">
        <v>4</v>
      </c>
      <c r="C341" s="60" t="s">
        <v>138</v>
      </c>
      <c r="D341" s="60">
        <f>32.23*10.764</f>
        <v>346.92371999999995</v>
      </c>
      <c r="E341" s="60">
        <v>0</v>
      </c>
      <c r="F341" s="60">
        <f>E341+D341</f>
        <v>346.92371999999995</v>
      </c>
      <c r="G341" s="60">
        <v>0</v>
      </c>
      <c r="H341" s="60">
        <f>F341*1.45+G341</f>
        <v>503.0393939999999</v>
      </c>
      <c r="I341" s="121" t="s">
        <v>61</v>
      </c>
      <c r="J341" s="122"/>
    </row>
    <row r="342" spans="1:10" ht="15.6" x14ac:dyDescent="0.3">
      <c r="A342" s="111" t="s">
        <v>136</v>
      </c>
      <c r="B342" s="112"/>
      <c r="C342" s="112"/>
      <c r="D342" s="112"/>
      <c r="E342" s="112"/>
      <c r="F342" s="112"/>
      <c r="G342" s="112"/>
      <c r="H342" s="112"/>
      <c r="I342" s="112"/>
      <c r="J342" s="113"/>
    </row>
    <row r="343" spans="1:10" ht="15.6" x14ac:dyDescent="0.3">
      <c r="A343" s="60">
        <v>73</v>
      </c>
      <c r="B343" s="60">
        <v>1</v>
      </c>
      <c r="C343" s="60" t="s">
        <v>138</v>
      </c>
      <c r="D343" s="60">
        <f>32.23*10.764</f>
        <v>346.92371999999995</v>
      </c>
      <c r="E343" s="60">
        <v>0</v>
      </c>
      <c r="F343" s="60">
        <f>E343+D343</f>
        <v>346.92371999999995</v>
      </c>
      <c r="G343" s="60">
        <v>0</v>
      </c>
      <c r="H343" s="60">
        <f>F343*1.45+G343</f>
        <v>503.0393939999999</v>
      </c>
      <c r="I343" s="121" t="s">
        <v>61</v>
      </c>
      <c r="J343" s="122"/>
    </row>
    <row r="344" spans="1:10" ht="15.6" x14ac:dyDescent="0.3">
      <c r="A344" s="60">
        <v>74</v>
      </c>
      <c r="B344" s="60">
        <v>2</v>
      </c>
      <c r="C344" s="60" t="s">
        <v>133</v>
      </c>
      <c r="D344" s="60">
        <f>59.4*10.764</f>
        <v>639.38159999999993</v>
      </c>
      <c r="E344" s="60">
        <v>0</v>
      </c>
      <c r="F344" s="60">
        <f>E344+D344</f>
        <v>639.38159999999993</v>
      </c>
      <c r="G344" s="60">
        <v>0</v>
      </c>
      <c r="H344" s="60">
        <f>F344*1.45+G344</f>
        <v>927.10331999999983</v>
      </c>
      <c r="I344" s="121" t="s">
        <v>61</v>
      </c>
      <c r="J344" s="122"/>
    </row>
    <row r="345" spans="1:10" ht="15.6" x14ac:dyDescent="0.3">
      <c r="A345" s="60">
        <v>75</v>
      </c>
      <c r="B345" s="60">
        <v>3</v>
      </c>
      <c r="C345" s="111" t="s">
        <v>135</v>
      </c>
      <c r="D345" s="112"/>
      <c r="E345" s="112"/>
      <c r="F345" s="112"/>
      <c r="G345" s="112"/>
      <c r="H345" s="112"/>
      <c r="I345" s="112"/>
      <c r="J345" s="113"/>
    </row>
    <row r="346" spans="1:10" ht="15.6" x14ac:dyDescent="0.3">
      <c r="A346" s="60">
        <v>76</v>
      </c>
      <c r="B346" s="60">
        <v>4</v>
      </c>
      <c r="C346" s="60" t="s">
        <v>138</v>
      </c>
      <c r="D346" s="60">
        <f>32.23*10.764</f>
        <v>346.92371999999995</v>
      </c>
      <c r="E346" s="60">
        <v>0</v>
      </c>
      <c r="F346" s="60">
        <f>E346+D346</f>
        <v>346.92371999999995</v>
      </c>
      <c r="G346" s="60">
        <v>0</v>
      </c>
      <c r="H346" s="60">
        <f>F346*1.45+G346</f>
        <v>503.0393939999999</v>
      </c>
      <c r="I346" s="121" t="s">
        <v>61</v>
      </c>
      <c r="J346" s="122"/>
    </row>
    <row r="347" spans="1:10" ht="15.6" x14ac:dyDescent="0.3">
      <c r="A347" s="111" t="s">
        <v>162</v>
      </c>
      <c r="B347" s="112"/>
      <c r="C347" s="112"/>
      <c r="D347" s="112"/>
      <c r="E347" s="112"/>
      <c r="F347" s="112"/>
      <c r="G347" s="112"/>
      <c r="H347" s="112"/>
      <c r="I347" s="112"/>
      <c r="J347" s="113"/>
    </row>
    <row r="348" spans="1:10" ht="15.6" x14ac:dyDescent="0.3">
      <c r="A348" s="111" t="s">
        <v>137</v>
      </c>
      <c r="B348" s="112"/>
      <c r="C348" s="112"/>
      <c r="D348" s="112"/>
      <c r="E348" s="112"/>
      <c r="F348" s="112"/>
      <c r="G348" s="112"/>
      <c r="H348" s="112"/>
      <c r="I348" s="112"/>
      <c r="J348" s="113"/>
    </row>
    <row r="349" spans="1:10" ht="15.6" x14ac:dyDescent="0.3">
      <c r="A349" s="60">
        <v>77</v>
      </c>
      <c r="B349" s="60">
        <v>1</v>
      </c>
      <c r="C349" s="60" t="s">
        <v>138</v>
      </c>
      <c r="D349" s="60">
        <f>32.23*10.764</f>
        <v>346.92371999999995</v>
      </c>
      <c r="E349" s="60">
        <v>0</v>
      </c>
      <c r="F349" s="60">
        <f>E349+D349</f>
        <v>346.92371999999995</v>
      </c>
      <c r="G349" s="60">
        <v>0</v>
      </c>
      <c r="H349" s="60">
        <f>F349*1.45+G349</f>
        <v>503.0393939999999</v>
      </c>
      <c r="I349" s="121" t="s">
        <v>61</v>
      </c>
      <c r="J349" s="122"/>
    </row>
    <row r="350" spans="1:10" ht="15.6" x14ac:dyDescent="0.3">
      <c r="A350" s="60">
        <v>78</v>
      </c>
      <c r="B350" s="60">
        <v>2</v>
      </c>
      <c r="C350" s="111" t="s">
        <v>140</v>
      </c>
      <c r="D350" s="112"/>
      <c r="E350" s="112"/>
      <c r="F350" s="112"/>
      <c r="G350" s="112"/>
      <c r="H350" s="112"/>
      <c r="I350" s="112"/>
      <c r="J350" s="113"/>
    </row>
    <row r="351" spans="1:10" ht="15.6" x14ac:dyDescent="0.3">
      <c r="A351" s="60">
        <v>79</v>
      </c>
      <c r="B351" s="60">
        <v>3</v>
      </c>
      <c r="C351" s="60" t="s">
        <v>127</v>
      </c>
      <c r="D351" s="60">
        <f>45.87*10.764</f>
        <v>493.74467999999996</v>
      </c>
      <c r="E351" s="60">
        <v>0</v>
      </c>
      <c r="F351" s="60">
        <f>E351+D351</f>
        <v>493.74467999999996</v>
      </c>
      <c r="G351" s="60">
        <v>0</v>
      </c>
      <c r="H351" s="60">
        <f>F351*1.45+G351</f>
        <v>715.92978599999992</v>
      </c>
      <c r="I351" s="121" t="s">
        <v>61</v>
      </c>
      <c r="J351" s="122"/>
    </row>
    <row r="352" spans="1:10" ht="15.6" x14ac:dyDescent="0.3">
      <c r="A352" s="60">
        <v>80</v>
      </c>
      <c r="B352" s="60">
        <v>4</v>
      </c>
      <c r="C352" s="60" t="s">
        <v>133</v>
      </c>
      <c r="D352" s="60">
        <f>59.04*10.764</f>
        <v>635.50655999999992</v>
      </c>
      <c r="E352" s="60">
        <v>0</v>
      </c>
      <c r="F352" s="60">
        <f>E352+D352</f>
        <v>635.50655999999992</v>
      </c>
      <c r="G352" s="60">
        <v>0</v>
      </c>
      <c r="H352" s="60">
        <f>F352*1.45+G352</f>
        <v>921.48451199999988</v>
      </c>
      <c r="I352" s="121" t="s">
        <v>61</v>
      </c>
      <c r="J352" s="122"/>
    </row>
    <row r="353" spans="1:10" ht="15.6" x14ac:dyDescent="0.3">
      <c r="A353" s="60">
        <v>81</v>
      </c>
      <c r="B353" s="60">
        <v>5</v>
      </c>
      <c r="C353" s="60" t="s">
        <v>133</v>
      </c>
      <c r="D353" s="60">
        <f>59.04*10.764</f>
        <v>635.50655999999992</v>
      </c>
      <c r="E353" s="60">
        <v>0</v>
      </c>
      <c r="F353" s="60">
        <f>E353+D353</f>
        <v>635.50655999999992</v>
      </c>
      <c r="G353" s="60">
        <v>0</v>
      </c>
      <c r="H353" s="60">
        <f>F353*1.45+G353</f>
        <v>921.48451199999988</v>
      </c>
      <c r="I353" s="121" t="s">
        <v>61</v>
      </c>
      <c r="J353" s="122"/>
    </row>
    <row r="354" spans="1:10" ht="15.6" x14ac:dyDescent="0.3">
      <c r="A354" s="60">
        <v>82</v>
      </c>
      <c r="B354" s="60">
        <v>6</v>
      </c>
      <c r="C354" s="60" t="s">
        <v>127</v>
      </c>
      <c r="D354" s="60">
        <f>45.87*10.764</f>
        <v>493.74467999999996</v>
      </c>
      <c r="E354" s="60">
        <v>0</v>
      </c>
      <c r="F354" s="60">
        <f>E354+D354</f>
        <v>493.74467999999996</v>
      </c>
      <c r="G354" s="60">
        <v>0</v>
      </c>
      <c r="H354" s="60">
        <f>F354*1.45+G354</f>
        <v>715.92978599999992</v>
      </c>
      <c r="I354" s="121" t="s">
        <v>61</v>
      </c>
      <c r="J354" s="122"/>
    </row>
    <row r="355" spans="1:10" ht="15.6" x14ac:dyDescent="0.3">
      <c r="A355" s="111" t="s">
        <v>132</v>
      </c>
      <c r="B355" s="112"/>
      <c r="C355" s="112"/>
      <c r="D355" s="112"/>
      <c r="E355" s="112"/>
      <c r="F355" s="112"/>
      <c r="G355" s="112"/>
      <c r="H355" s="112"/>
      <c r="I355" s="112"/>
      <c r="J355" s="113"/>
    </row>
    <row r="356" spans="1:10" ht="15.6" x14ac:dyDescent="0.3">
      <c r="A356" s="60">
        <v>83</v>
      </c>
      <c r="B356" s="60">
        <v>1</v>
      </c>
      <c r="C356" s="60" t="s">
        <v>138</v>
      </c>
      <c r="D356" s="60">
        <f>32.23*10.764</f>
        <v>346.92371999999995</v>
      </c>
      <c r="E356" s="60">
        <v>0</v>
      </c>
      <c r="F356" s="60">
        <f t="shared" ref="F356:F361" si="0">E356+D356</f>
        <v>346.92371999999995</v>
      </c>
      <c r="G356" s="60">
        <v>0</v>
      </c>
      <c r="H356" s="60">
        <f t="shared" ref="H356:H361" si="1">F356*1.45+G356</f>
        <v>503.0393939999999</v>
      </c>
      <c r="I356" s="121" t="s">
        <v>61</v>
      </c>
      <c r="J356" s="122"/>
    </row>
    <row r="357" spans="1:10" ht="15.6" x14ac:dyDescent="0.3">
      <c r="A357" s="60">
        <v>84</v>
      </c>
      <c r="B357" s="60">
        <v>2</v>
      </c>
      <c r="C357" s="60" t="s">
        <v>138</v>
      </c>
      <c r="D357" s="60">
        <f>32.23*10.764</f>
        <v>346.92371999999995</v>
      </c>
      <c r="E357" s="60">
        <v>0</v>
      </c>
      <c r="F357" s="60">
        <f t="shared" si="0"/>
        <v>346.92371999999995</v>
      </c>
      <c r="G357" s="60">
        <v>0</v>
      </c>
      <c r="H357" s="60">
        <f t="shared" si="1"/>
        <v>503.0393939999999</v>
      </c>
      <c r="I357" s="121" t="s">
        <v>61</v>
      </c>
      <c r="J357" s="122"/>
    </row>
    <row r="358" spans="1:10" ht="15.6" x14ac:dyDescent="0.3">
      <c r="A358" s="60">
        <v>85</v>
      </c>
      <c r="B358" s="60">
        <v>3</v>
      </c>
      <c r="C358" s="60" t="s">
        <v>127</v>
      </c>
      <c r="D358" s="60">
        <f>45.87*10.764</f>
        <v>493.74467999999996</v>
      </c>
      <c r="E358" s="60">
        <v>0</v>
      </c>
      <c r="F358" s="60">
        <f t="shared" si="0"/>
        <v>493.74467999999996</v>
      </c>
      <c r="G358" s="60">
        <v>0</v>
      </c>
      <c r="H358" s="60">
        <f t="shared" si="1"/>
        <v>715.92978599999992</v>
      </c>
      <c r="I358" s="121" t="s">
        <v>61</v>
      </c>
      <c r="J358" s="122"/>
    </row>
    <row r="359" spans="1:10" ht="15.6" x14ac:dyDescent="0.3">
      <c r="A359" s="60">
        <v>86</v>
      </c>
      <c r="B359" s="60">
        <v>4</v>
      </c>
      <c r="C359" s="60" t="s">
        <v>133</v>
      </c>
      <c r="D359" s="60">
        <f>59.04*10.764</f>
        <v>635.50655999999992</v>
      </c>
      <c r="E359" s="60">
        <v>0</v>
      </c>
      <c r="F359" s="60">
        <f t="shared" si="0"/>
        <v>635.50655999999992</v>
      </c>
      <c r="G359" s="60">
        <v>0</v>
      </c>
      <c r="H359" s="60">
        <f t="shared" si="1"/>
        <v>921.48451199999988</v>
      </c>
      <c r="I359" s="121" t="s">
        <v>61</v>
      </c>
      <c r="J359" s="122"/>
    </row>
    <row r="360" spans="1:10" ht="15.6" x14ac:dyDescent="0.3">
      <c r="A360" s="60">
        <v>87</v>
      </c>
      <c r="B360" s="60">
        <v>5</v>
      </c>
      <c r="C360" s="60" t="s">
        <v>133</v>
      </c>
      <c r="D360" s="60">
        <f>59.04*10.764</f>
        <v>635.50655999999992</v>
      </c>
      <c r="E360" s="60">
        <v>0</v>
      </c>
      <c r="F360" s="60">
        <f t="shared" si="0"/>
        <v>635.50655999999992</v>
      </c>
      <c r="G360" s="60">
        <v>0</v>
      </c>
      <c r="H360" s="60">
        <f t="shared" si="1"/>
        <v>921.48451199999988</v>
      </c>
      <c r="I360" s="121" t="s">
        <v>61</v>
      </c>
      <c r="J360" s="122"/>
    </row>
    <row r="361" spans="1:10" ht="15.6" x14ac:dyDescent="0.3">
      <c r="A361" s="60">
        <v>88</v>
      </c>
      <c r="B361" s="60">
        <v>6</v>
      </c>
      <c r="C361" s="60" t="s">
        <v>127</v>
      </c>
      <c r="D361" s="60">
        <f>45.87*10.764</f>
        <v>493.74467999999996</v>
      </c>
      <c r="E361" s="60">
        <v>0</v>
      </c>
      <c r="F361" s="60">
        <f t="shared" si="0"/>
        <v>493.74467999999996</v>
      </c>
      <c r="G361" s="60">
        <v>0</v>
      </c>
      <c r="H361" s="60">
        <f t="shared" si="1"/>
        <v>715.92978599999992</v>
      </c>
      <c r="I361" s="121" t="s">
        <v>61</v>
      </c>
      <c r="J361" s="122"/>
    </row>
    <row r="362" spans="1:10" ht="15.6" x14ac:dyDescent="0.3">
      <c r="A362" s="111" t="s">
        <v>134</v>
      </c>
      <c r="B362" s="112"/>
      <c r="C362" s="112"/>
      <c r="D362" s="112"/>
      <c r="E362" s="112"/>
      <c r="F362" s="112"/>
      <c r="G362" s="112"/>
      <c r="H362" s="112"/>
      <c r="I362" s="112"/>
      <c r="J362" s="113"/>
    </row>
    <row r="363" spans="1:10" ht="15.6" x14ac:dyDescent="0.3">
      <c r="A363" s="60">
        <v>89</v>
      </c>
      <c r="B363" s="60">
        <v>1</v>
      </c>
      <c r="C363" s="60" t="s">
        <v>138</v>
      </c>
      <c r="D363" s="60">
        <f>32.23*10.764</f>
        <v>346.92371999999995</v>
      </c>
      <c r="E363" s="60">
        <v>0</v>
      </c>
      <c r="F363" s="60">
        <f>E363+D363</f>
        <v>346.92371999999995</v>
      </c>
      <c r="G363" s="60">
        <v>0</v>
      </c>
      <c r="H363" s="60">
        <f>F363*1.45+G363</f>
        <v>503.0393939999999</v>
      </c>
      <c r="I363" s="121" t="s">
        <v>61</v>
      </c>
      <c r="J363" s="122"/>
    </row>
    <row r="364" spans="1:10" ht="15.6" x14ac:dyDescent="0.3">
      <c r="A364" s="60">
        <v>90</v>
      </c>
      <c r="B364" s="60">
        <v>2</v>
      </c>
      <c r="C364" s="123" t="s">
        <v>135</v>
      </c>
      <c r="D364" s="124"/>
      <c r="E364" s="124"/>
      <c r="F364" s="124"/>
      <c r="G364" s="124"/>
      <c r="H364" s="124"/>
      <c r="I364" s="124"/>
      <c r="J364" s="125"/>
    </row>
    <row r="365" spans="1:10" ht="15.6" x14ac:dyDescent="0.3">
      <c r="A365" s="60">
        <v>91</v>
      </c>
      <c r="B365" s="60">
        <v>3</v>
      </c>
      <c r="C365" s="126"/>
      <c r="D365" s="127"/>
      <c r="E365" s="127"/>
      <c r="F365" s="127"/>
      <c r="G365" s="127"/>
      <c r="H365" s="127"/>
      <c r="I365" s="127"/>
      <c r="J365" s="128"/>
    </row>
    <row r="366" spans="1:10" ht="15.6" x14ac:dyDescent="0.3">
      <c r="A366" s="60">
        <v>92</v>
      </c>
      <c r="B366" s="60">
        <v>4</v>
      </c>
      <c r="C366" s="60" t="s">
        <v>133</v>
      </c>
      <c r="D366" s="60">
        <f>59.04*10.764</f>
        <v>635.50655999999992</v>
      </c>
      <c r="E366" s="60">
        <v>0</v>
      </c>
      <c r="F366" s="60">
        <f>E366+D366</f>
        <v>635.50655999999992</v>
      </c>
      <c r="G366" s="60">
        <v>0</v>
      </c>
      <c r="H366" s="60">
        <f>F366*1.45+G366</f>
        <v>921.48451199999988</v>
      </c>
      <c r="I366" s="121" t="s">
        <v>61</v>
      </c>
      <c r="J366" s="122"/>
    </row>
    <row r="367" spans="1:10" ht="15.6" x14ac:dyDescent="0.3">
      <c r="A367" s="60">
        <v>93</v>
      </c>
      <c r="B367" s="60">
        <v>5</v>
      </c>
      <c r="C367" s="60" t="s">
        <v>133</v>
      </c>
      <c r="D367" s="60">
        <f>59.04*10.764</f>
        <v>635.50655999999992</v>
      </c>
      <c r="E367" s="60">
        <v>0</v>
      </c>
      <c r="F367" s="60">
        <f>E367+D367</f>
        <v>635.50655999999992</v>
      </c>
      <c r="G367" s="60">
        <v>0</v>
      </c>
      <c r="H367" s="60">
        <f>F367*1.45+G367</f>
        <v>921.48451199999988</v>
      </c>
      <c r="I367" s="121" t="s">
        <v>61</v>
      </c>
      <c r="J367" s="122"/>
    </row>
    <row r="368" spans="1:10" ht="15.6" x14ac:dyDescent="0.3">
      <c r="A368" s="60">
        <v>94</v>
      </c>
      <c r="B368" s="60">
        <v>6</v>
      </c>
      <c r="C368" s="60" t="s">
        <v>127</v>
      </c>
      <c r="D368" s="60">
        <f>45.87*10.764</f>
        <v>493.74467999999996</v>
      </c>
      <c r="E368" s="60">
        <v>0</v>
      </c>
      <c r="F368" s="60">
        <f>E368+D368</f>
        <v>493.74467999999996</v>
      </c>
      <c r="G368" s="60">
        <v>0</v>
      </c>
      <c r="H368" s="60">
        <f>F368*1.45+G368</f>
        <v>715.92978599999992</v>
      </c>
      <c r="I368" s="121" t="s">
        <v>61</v>
      </c>
      <c r="J368" s="122"/>
    </row>
    <row r="369" spans="1:10" ht="15.6" x14ac:dyDescent="0.3">
      <c r="A369" s="111" t="s">
        <v>136</v>
      </c>
      <c r="B369" s="112"/>
      <c r="C369" s="112"/>
      <c r="D369" s="112"/>
      <c r="E369" s="112"/>
      <c r="F369" s="112"/>
      <c r="G369" s="112"/>
      <c r="H369" s="112"/>
      <c r="I369" s="112"/>
      <c r="J369" s="113"/>
    </row>
    <row r="370" spans="1:10" ht="15.6" x14ac:dyDescent="0.3">
      <c r="A370" s="60">
        <v>95</v>
      </c>
      <c r="B370" s="60">
        <v>1</v>
      </c>
      <c r="C370" s="60" t="s">
        <v>138</v>
      </c>
      <c r="D370" s="60">
        <f>32.23*10.764</f>
        <v>346.92371999999995</v>
      </c>
      <c r="E370" s="60">
        <v>0</v>
      </c>
      <c r="F370" s="60">
        <f>E370+D370</f>
        <v>346.92371999999995</v>
      </c>
      <c r="G370" s="60">
        <v>0</v>
      </c>
      <c r="H370" s="60">
        <f>F370*1.45+G370</f>
        <v>503.0393939999999</v>
      </c>
      <c r="I370" s="121" t="s">
        <v>61</v>
      </c>
      <c r="J370" s="122"/>
    </row>
    <row r="371" spans="1:10" ht="15.6" x14ac:dyDescent="0.3">
      <c r="A371" s="60">
        <v>96</v>
      </c>
      <c r="B371" s="60">
        <v>2</v>
      </c>
      <c r="C371" s="60" t="s">
        <v>138</v>
      </c>
      <c r="D371" s="60">
        <f>32.23*10.764</f>
        <v>346.92371999999995</v>
      </c>
      <c r="E371" s="60">
        <v>0</v>
      </c>
      <c r="F371" s="60">
        <f>E371+D371</f>
        <v>346.92371999999995</v>
      </c>
      <c r="G371" s="60">
        <v>0</v>
      </c>
      <c r="H371" s="60">
        <f>F371*1.45+G371</f>
        <v>503.0393939999999</v>
      </c>
      <c r="I371" s="121" t="s">
        <v>61</v>
      </c>
      <c r="J371" s="122"/>
    </row>
    <row r="372" spans="1:10" ht="15.6" x14ac:dyDescent="0.3">
      <c r="A372" s="60">
        <v>97</v>
      </c>
      <c r="B372" s="60">
        <v>3</v>
      </c>
      <c r="C372" s="111" t="s">
        <v>135</v>
      </c>
      <c r="D372" s="112"/>
      <c r="E372" s="112"/>
      <c r="F372" s="112"/>
      <c r="G372" s="112"/>
      <c r="H372" s="112"/>
      <c r="I372" s="112"/>
      <c r="J372" s="113"/>
    </row>
    <row r="373" spans="1:10" ht="15.6" x14ac:dyDescent="0.3">
      <c r="A373" s="60">
        <v>98</v>
      </c>
      <c r="B373" s="60">
        <v>4</v>
      </c>
      <c r="C373" s="60" t="s">
        <v>133</v>
      </c>
      <c r="D373" s="60">
        <f>59.04*10.764</f>
        <v>635.50655999999992</v>
      </c>
      <c r="E373" s="60">
        <v>0</v>
      </c>
      <c r="F373" s="60">
        <f>E373+D373</f>
        <v>635.50655999999992</v>
      </c>
      <c r="G373" s="60">
        <v>0</v>
      </c>
      <c r="H373" s="60">
        <f>F373*1.45+G373</f>
        <v>921.48451199999988</v>
      </c>
      <c r="I373" s="121" t="s">
        <v>61</v>
      </c>
      <c r="J373" s="122"/>
    </row>
    <row r="374" spans="1:10" ht="15.6" x14ac:dyDescent="0.3">
      <c r="A374" s="60">
        <v>99</v>
      </c>
      <c r="B374" s="60">
        <v>5</v>
      </c>
      <c r="C374" s="60" t="s">
        <v>133</v>
      </c>
      <c r="D374" s="60">
        <f>59.04*10.764</f>
        <v>635.50655999999992</v>
      </c>
      <c r="E374" s="60">
        <v>0</v>
      </c>
      <c r="F374" s="60">
        <f>E374+D374</f>
        <v>635.50655999999992</v>
      </c>
      <c r="G374" s="60">
        <v>0</v>
      </c>
      <c r="H374" s="60">
        <f>F374*1.45+G374</f>
        <v>921.48451199999988</v>
      </c>
      <c r="I374" s="121" t="s">
        <v>61</v>
      </c>
      <c r="J374" s="122"/>
    </row>
    <row r="375" spans="1:10" ht="15.6" x14ac:dyDescent="0.3">
      <c r="A375" s="60">
        <v>100</v>
      </c>
      <c r="B375" s="60">
        <v>6</v>
      </c>
      <c r="C375" s="60" t="s">
        <v>127</v>
      </c>
      <c r="D375" s="60">
        <f>45.87*10.764</f>
        <v>493.74467999999996</v>
      </c>
      <c r="E375" s="60">
        <v>0</v>
      </c>
      <c r="F375" s="60">
        <f>E375+D375</f>
        <v>493.74467999999996</v>
      </c>
      <c r="G375" s="60">
        <v>0</v>
      </c>
      <c r="H375" s="60">
        <f>F375*1.45+G375</f>
        <v>715.92978599999992</v>
      </c>
      <c r="I375" s="121" t="s">
        <v>61</v>
      </c>
      <c r="J375" s="122"/>
    </row>
    <row r="376" spans="1:10" ht="15.6" x14ac:dyDescent="0.3">
      <c r="A376" s="111" t="s">
        <v>163</v>
      </c>
      <c r="B376" s="112"/>
      <c r="C376" s="112"/>
      <c r="D376" s="112"/>
      <c r="E376" s="112"/>
      <c r="F376" s="112"/>
      <c r="G376" s="112"/>
      <c r="H376" s="112"/>
      <c r="I376" s="112"/>
      <c r="J376" s="113"/>
    </row>
    <row r="377" spans="1:10" ht="15.6" x14ac:dyDescent="0.3">
      <c r="A377" s="111" t="s">
        <v>137</v>
      </c>
      <c r="B377" s="112"/>
      <c r="C377" s="112"/>
      <c r="D377" s="112"/>
      <c r="E377" s="112"/>
      <c r="F377" s="112"/>
      <c r="G377" s="112"/>
      <c r="H377" s="112"/>
      <c r="I377" s="112"/>
      <c r="J377" s="113"/>
    </row>
    <row r="378" spans="1:10" ht="15.6" x14ac:dyDescent="0.3">
      <c r="A378" s="60">
        <v>101</v>
      </c>
      <c r="B378" s="60">
        <v>1</v>
      </c>
      <c r="C378" s="60" t="s">
        <v>133</v>
      </c>
      <c r="D378" s="60">
        <f>59.4*10.764</f>
        <v>639.38159999999993</v>
      </c>
      <c r="E378" s="60">
        <v>0</v>
      </c>
      <c r="F378" s="60">
        <f>E378+D378</f>
        <v>639.38159999999993</v>
      </c>
      <c r="G378" s="60">
        <v>0</v>
      </c>
      <c r="H378" s="60">
        <f>F378*1.45+G378</f>
        <v>927.10331999999983</v>
      </c>
      <c r="I378" s="121" t="s">
        <v>61</v>
      </c>
      <c r="J378" s="122"/>
    </row>
    <row r="379" spans="1:10" ht="15.6" x14ac:dyDescent="0.3">
      <c r="A379" s="60">
        <v>102</v>
      </c>
      <c r="B379" s="60">
        <v>2</v>
      </c>
      <c r="C379" s="60" t="s">
        <v>127</v>
      </c>
      <c r="D379" s="60">
        <f>46.19*10.764</f>
        <v>497.18915999999996</v>
      </c>
      <c r="E379" s="60">
        <v>0</v>
      </c>
      <c r="F379" s="60">
        <f>E379+D379</f>
        <v>497.18915999999996</v>
      </c>
      <c r="G379" s="60">
        <v>0</v>
      </c>
      <c r="H379" s="60">
        <f>F379*1.45+G379</f>
        <v>720.92428199999995</v>
      </c>
      <c r="I379" s="121" t="s">
        <v>61</v>
      </c>
      <c r="J379" s="122"/>
    </row>
    <row r="380" spans="1:10" ht="15.6" x14ac:dyDescent="0.3">
      <c r="A380" s="60">
        <v>103</v>
      </c>
      <c r="B380" s="60">
        <v>3</v>
      </c>
      <c r="C380" s="60" t="s">
        <v>127</v>
      </c>
      <c r="D380" s="60">
        <f>45.87*10.764</f>
        <v>493.74467999999996</v>
      </c>
      <c r="E380" s="60">
        <v>0</v>
      </c>
      <c r="F380" s="60">
        <f>E380+D380</f>
        <v>493.74467999999996</v>
      </c>
      <c r="G380" s="60">
        <v>0</v>
      </c>
      <c r="H380" s="60">
        <f>F380*1.45+G380</f>
        <v>715.92978599999992</v>
      </c>
      <c r="I380" s="121" t="s">
        <v>61</v>
      </c>
      <c r="J380" s="122"/>
    </row>
    <row r="381" spans="1:10" ht="15.6" x14ac:dyDescent="0.3">
      <c r="A381" s="60">
        <v>104</v>
      </c>
      <c r="B381" s="60">
        <v>4</v>
      </c>
      <c r="C381" s="111" t="s">
        <v>140</v>
      </c>
      <c r="D381" s="112"/>
      <c r="E381" s="112"/>
      <c r="F381" s="112"/>
      <c r="G381" s="112"/>
      <c r="H381" s="112"/>
      <c r="I381" s="112"/>
      <c r="J381" s="113"/>
    </row>
    <row r="382" spans="1:10" ht="15.6" x14ac:dyDescent="0.3">
      <c r="A382" s="60">
        <v>105</v>
      </c>
      <c r="B382" s="60">
        <v>5</v>
      </c>
      <c r="C382" s="60" t="s">
        <v>138</v>
      </c>
      <c r="D382" s="60">
        <f>32.23*10.764</f>
        <v>346.92371999999995</v>
      </c>
      <c r="E382" s="60">
        <v>0</v>
      </c>
      <c r="F382" s="60">
        <f>E382+D382</f>
        <v>346.92371999999995</v>
      </c>
      <c r="G382" s="60">
        <v>0</v>
      </c>
      <c r="H382" s="60">
        <f>F382*1.45+G382</f>
        <v>503.0393939999999</v>
      </c>
      <c r="I382" s="121" t="s">
        <v>61</v>
      </c>
      <c r="J382" s="122"/>
    </row>
    <row r="383" spans="1:10" ht="15.6" x14ac:dyDescent="0.3">
      <c r="A383" s="60">
        <v>106</v>
      </c>
      <c r="B383" s="60">
        <v>6</v>
      </c>
      <c r="C383" s="60" t="s">
        <v>127</v>
      </c>
      <c r="D383" s="60">
        <f>45.87*10.764</f>
        <v>493.74467999999996</v>
      </c>
      <c r="E383" s="60">
        <v>0</v>
      </c>
      <c r="F383" s="60">
        <f>E383+D383</f>
        <v>493.74467999999996</v>
      </c>
      <c r="G383" s="60">
        <v>0</v>
      </c>
      <c r="H383" s="60">
        <f>F383*1.45+G383</f>
        <v>715.92978599999992</v>
      </c>
      <c r="I383" s="121" t="s">
        <v>61</v>
      </c>
      <c r="J383" s="122"/>
    </row>
    <row r="384" spans="1:10" ht="15.6" x14ac:dyDescent="0.3">
      <c r="A384" s="111" t="s">
        <v>132</v>
      </c>
      <c r="B384" s="112"/>
      <c r="C384" s="112"/>
      <c r="D384" s="112"/>
      <c r="E384" s="112"/>
      <c r="F384" s="112"/>
      <c r="G384" s="112"/>
      <c r="H384" s="112"/>
      <c r="I384" s="112"/>
      <c r="J384" s="113"/>
    </row>
    <row r="385" spans="1:10" ht="15.6" x14ac:dyDescent="0.3">
      <c r="A385" s="60">
        <v>107</v>
      </c>
      <c r="B385" s="60">
        <v>1</v>
      </c>
      <c r="C385" s="60" t="s">
        <v>133</v>
      </c>
      <c r="D385" s="60">
        <f>59.4*10.764</f>
        <v>639.38159999999993</v>
      </c>
      <c r="E385" s="60">
        <v>0</v>
      </c>
      <c r="F385" s="60">
        <f t="shared" ref="F385:F390" si="2">E385+D385</f>
        <v>639.38159999999993</v>
      </c>
      <c r="G385" s="60">
        <v>0</v>
      </c>
      <c r="H385" s="60">
        <f t="shared" ref="H385:H390" si="3">F385*1.45+G385</f>
        <v>927.10331999999983</v>
      </c>
      <c r="I385" s="121" t="s">
        <v>61</v>
      </c>
      <c r="J385" s="122"/>
    </row>
    <row r="386" spans="1:10" ht="15.6" x14ac:dyDescent="0.3">
      <c r="A386" s="60">
        <v>108</v>
      </c>
      <c r="B386" s="60">
        <v>2</v>
      </c>
      <c r="C386" s="60" t="s">
        <v>127</v>
      </c>
      <c r="D386" s="60">
        <f>46.19*10.764</f>
        <v>497.18915999999996</v>
      </c>
      <c r="E386" s="60">
        <v>0</v>
      </c>
      <c r="F386" s="60">
        <f t="shared" si="2"/>
        <v>497.18915999999996</v>
      </c>
      <c r="G386" s="60">
        <v>0</v>
      </c>
      <c r="H386" s="60">
        <f t="shared" si="3"/>
        <v>720.92428199999995</v>
      </c>
      <c r="I386" s="121" t="s">
        <v>61</v>
      </c>
      <c r="J386" s="122"/>
    </row>
    <row r="387" spans="1:10" ht="15.6" x14ac:dyDescent="0.3">
      <c r="A387" s="60">
        <v>109</v>
      </c>
      <c r="B387" s="60">
        <v>3</v>
      </c>
      <c r="C387" s="60" t="s">
        <v>127</v>
      </c>
      <c r="D387" s="60">
        <f>45.87*10.764</f>
        <v>493.74467999999996</v>
      </c>
      <c r="E387" s="60">
        <v>0</v>
      </c>
      <c r="F387" s="60">
        <f t="shared" si="2"/>
        <v>493.74467999999996</v>
      </c>
      <c r="G387" s="60">
        <v>0</v>
      </c>
      <c r="H387" s="60">
        <f t="shared" si="3"/>
        <v>715.92978599999992</v>
      </c>
      <c r="I387" s="121" t="s">
        <v>61</v>
      </c>
      <c r="J387" s="122"/>
    </row>
    <row r="388" spans="1:10" ht="15.6" x14ac:dyDescent="0.3">
      <c r="A388" s="60">
        <v>110</v>
      </c>
      <c r="B388" s="60">
        <v>4</v>
      </c>
      <c r="C388" s="60" t="s">
        <v>138</v>
      </c>
      <c r="D388" s="60">
        <f>32.23*10.764</f>
        <v>346.92371999999995</v>
      </c>
      <c r="E388" s="60">
        <v>0</v>
      </c>
      <c r="F388" s="60">
        <f t="shared" si="2"/>
        <v>346.92371999999995</v>
      </c>
      <c r="G388" s="60">
        <v>0</v>
      </c>
      <c r="H388" s="60">
        <f t="shared" si="3"/>
        <v>503.0393939999999</v>
      </c>
      <c r="I388" s="121" t="s">
        <v>61</v>
      </c>
      <c r="J388" s="122"/>
    </row>
    <row r="389" spans="1:10" ht="15.6" x14ac:dyDescent="0.3">
      <c r="A389" s="60">
        <v>111</v>
      </c>
      <c r="B389" s="60">
        <v>5</v>
      </c>
      <c r="C389" s="60" t="s">
        <v>138</v>
      </c>
      <c r="D389" s="60">
        <f>32.23*10.764</f>
        <v>346.92371999999995</v>
      </c>
      <c r="E389" s="60">
        <v>0</v>
      </c>
      <c r="F389" s="60">
        <f t="shared" si="2"/>
        <v>346.92371999999995</v>
      </c>
      <c r="G389" s="60">
        <v>0</v>
      </c>
      <c r="H389" s="60">
        <f t="shared" si="3"/>
        <v>503.0393939999999</v>
      </c>
      <c r="I389" s="121" t="s">
        <v>61</v>
      </c>
      <c r="J389" s="122"/>
    </row>
    <row r="390" spans="1:10" ht="15.6" x14ac:dyDescent="0.3">
      <c r="A390" s="60">
        <v>112</v>
      </c>
      <c r="B390" s="60">
        <v>6</v>
      </c>
      <c r="C390" s="60" t="s">
        <v>127</v>
      </c>
      <c r="D390" s="60">
        <f>45.87*10.764</f>
        <v>493.74467999999996</v>
      </c>
      <c r="E390" s="60">
        <v>0</v>
      </c>
      <c r="F390" s="60">
        <f t="shared" si="2"/>
        <v>493.74467999999996</v>
      </c>
      <c r="G390" s="60">
        <v>0</v>
      </c>
      <c r="H390" s="60">
        <f t="shared" si="3"/>
        <v>715.92978599999992</v>
      </c>
      <c r="I390" s="121" t="s">
        <v>61</v>
      </c>
      <c r="J390" s="122"/>
    </row>
    <row r="391" spans="1:10" ht="15.6" x14ac:dyDescent="0.3">
      <c r="A391" s="111" t="s">
        <v>134</v>
      </c>
      <c r="B391" s="112"/>
      <c r="C391" s="112"/>
      <c r="D391" s="112"/>
      <c r="E391" s="112"/>
      <c r="F391" s="112"/>
      <c r="G391" s="112"/>
      <c r="H391" s="112"/>
      <c r="I391" s="112"/>
      <c r="J391" s="113"/>
    </row>
    <row r="392" spans="1:10" ht="15.6" x14ac:dyDescent="0.3">
      <c r="A392" s="60">
        <v>113</v>
      </c>
      <c r="B392" s="60">
        <v>1</v>
      </c>
      <c r="C392" s="60" t="s">
        <v>133</v>
      </c>
      <c r="D392" s="60">
        <f>59.4*10.764</f>
        <v>639.38159999999993</v>
      </c>
      <c r="E392" s="60">
        <v>0</v>
      </c>
      <c r="F392" s="60">
        <f>E392+D392</f>
        <v>639.38159999999993</v>
      </c>
      <c r="G392" s="60">
        <v>0</v>
      </c>
      <c r="H392" s="60">
        <f>F392*1.45+G392</f>
        <v>927.10331999999983</v>
      </c>
      <c r="I392" s="121" t="s">
        <v>61</v>
      </c>
      <c r="J392" s="122"/>
    </row>
    <row r="393" spans="1:10" ht="15.6" x14ac:dyDescent="0.3">
      <c r="A393" s="60">
        <v>114</v>
      </c>
      <c r="B393" s="60">
        <v>2</v>
      </c>
      <c r="C393" s="60" t="s">
        <v>127</v>
      </c>
      <c r="D393" s="60">
        <f>46.19*10.764</f>
        <v>497.18915999999996</v>
      </c>
      <c r="E393" s="60">
        <v>0</v>
      </c>
      <c r="F393" s="60">
        <f>E393+D393</f>
        <v>497.18915999999996</v>
      </c>
      <c r="G393" s="60">
        <v>0</v>
      </c>
      <c r="H393" s="60">
        <f>F393*1.45+G393</f>
        <v>720.92428199999995</v>
      </c>
      <c r="I393" s="121" t="s">
        <v>61</v>
      </c>
      <c r="J393" s="122"/>
    </row>
    <row r="394" spans="1:10" ht="15.6" x14ac:dyDescent="0.3">
      <c r="A394" s="60">
        <v>115</v>
      </c>
      <c r="B394" s="60">
        <v>3</v>
      </c>
      <c r="C394" s="123" t="s">
        <v>135</v>
      </c>
      <c r="D394" s="124"/>
      <c r="E394" s="124"/>
      <c r="F394" s="124"/>
      <c r="G394" s="124"/>
      <c r="H394" s="124"/>
      <c r="I394" s="124"/>
      <c r="J394" s="125"/>
    </row>
    <row r="395" spans="1:10" ht="15.6" x14ac:dyDescent="0.3">
      <c r="A395" s="60">
        <v>116</v>
      </c>
      <c r="B395" s="60">
        <v>4</v>
      </c>
      <c r="C395" s="126"/>
      <c r="D395" s="127"/>
      <c r="E395" s="127"/>
      <c r="F395" s="127"/>
      <c r="G395" s="127"/>
      <c r="H395" s="127"/>
      <c r="I395" s="127"/>
      <c r="J395" s="128"/>
    </row>
    <row r="396" spans="1:10" ht="15.6" x14ac:dyDescent="0.3">
      <c r="A396" s="60">
        <v>117</v>
      </c>
      <c r="B396" s="60">
        <v>5</v>
      </c>
      <c r="C396" s="60" t="s">
        <v>138</v>
      </c>
      <c r="D396" s="60">
        <f>32.23*10.764</f>
        <v>346.92371999999995</v>
      </c>
      <c r="E396" s="60">
        <v>0</v>
      </c>
      <c r="F396" s="60">
        <f>E396+D396</f>
        <v>346.92371999999995</v>
      </c>
      <c r="G396" s="60">
        <v>0</v>
      </c>
      <c r="H396" s="60">
        <f>F396*1.45+G396</f>
        <v>503.0393939999999</v>
      </c>
      <c r="I396" s="121" t="s">
        <v>61</v>
      </c>
      <c r="J396" s="122"/>
    </row>
    <row r="397" spans="1:10" ht="15.6" x14ac:dyDescent="0.3">
      <c r="A397" s="60">
        <v>118</v>
      </c>
      <c r="B397" s="60">
        <v>6</v>
      </c>
      <c r="C397" s="60" t="s">
        <v>127</v>
      </c>
      <c r="D397" s="60">
        <f>45.87*10.764</f>
        <v>493.74467999999996</v>
      </c>
      <c r="E397" s="60">
        <v>0</v>
      </c>
      <c r="F397" s="60">
        <f>E397+D397</f>
        <v>493.74467999999996</v>
      </c>
      <c r="G397" s="60">
        <v>0</v>
      </c>
      <c r="H397" s="60">
        <f>F397*1.45+G397</f>
        <v>715.92978599999992</v>
      </c>
      <c r="I397" s="121" t="s">
        <v>61</v>
      </c>
      <c r="J397" s="122"/>
    </row>
    <row r="398" spans="1:10" ht="15.6" x14ac:dyDescent="0.3">
      <c r="A398" s="111" t="s">
        <v>136</v>
      </c>
      <c r="B398" s="112"/>
      <c r="C398" s="112"/>
      <c r="D398" s="112"/>
      <c r="E398" s="112"/>
      <c r="F398" s="112"/>
      <c r="G398" s="112"/>
      <c r="H398" s="112"/>
      <c r="I398" s="112"/>
      <c r="J398" s="113"/>
    </row>
    <row r="399" spans="1:10" ht="15.6" x14ac:dyDescent="0.3">
      <c r="A399" s="60">
        <v>119</v>
      </c>
      <c r="B399" s="60">
        <v>1</v>
      </c>
      <c r="C399" s="60" t="s">
        <v>133</v>
      </c>
      <c r="D399" s="60">
        <f>59.4*10.764</f>
        <v>639.38159999999993</v>
      </c>
      <c r="E399" s="60">
        <v>0</v>
      </c>
      <c r="F399" s="60">
        <f>E399+D399</f>
        <v>639.38159999999993</v>
      </c>
      <c r="G399" s="60">
        <v>0</v>
      </c>
      <c r="H399" s="60">
        <f>F399*1.45+G399</f>
        <v>927.10331999999983</v>
      </c>
      <c r="I399" s="121" t="s">
        <v>61</v>
      </c>
      <c r="J399" s="122"/>
    </row>
    <row r="400" spans="1:10" ht="15.6" x14ac:dyDescent="0.3">
      <c r="A400" s="60">
        <v>120</v>
      </c>
      <c r="B400" s="60">
        <v>2</v>
      </c>
      <c r="C400" s="60" t="s">
        <v>127</v>
      </c>
      <c r="D400" s="60">
        <f>46.19*10.764</f>
        <v>497.18915999999996</v>
      </c>
      <c r="E400" s="60">
        <v>0</v>
      </c>
      <c r="F400" s="60">
        <f>E400+D400</f>
        <v>497.18915999999996</v>
      </c>
      <c r="G400" s="60">
        <v>0</v>
      </c>
      <c r="H400" s="60">
        <f>F400*1.45+G400</f>
        <v>720.92428199999995</v>
      </c>
      <c r="I400" s="121" t="s">
        <v>61</v>
      </c>
      <c r="J400" s="122"/>
    </row>
    <row r="401" spans="1:10" ht="15.6" x14ac:dyDescent="0.3">
      <c r="A401" s="60">
        <v>121</v>
      </c>
      <c r="B401" s="60">
        <v>3</v>
      </c>
      <c r="C401" s="111" t="s">
        <v>135</v>
      </c>
      <c r="D401" s="112"/>
      <c r="E401" s="112"/>
      <c r="F401" s="112"/>
      <c r="G401" s="112"/>
      <c r="H401" s="112"/>
      <c r="I401" s="112"/>
      <c r="J401" s="113"/>
    </row>
    <row r="402" spans="1:10" ht="15.6" x14ac:dyDescent="0.3">
      <c r="A402" s="60">
        <v>122</v>
      </c>
      <c r="B402" s="60">
        <v>4</v>
      </c>
      <c r="C402" s="60" t="s">
        <v>138</v>
      </c>
      <c r="D402" s="60">
        <f>32.23*10.764</f>
        <v>346.92371999999995</v>
      </c>
      <c r="E402" s="60">
        <v>0</v>
      </c>
      <c r="F402" s="60">
        <f>E402+D402</f>
        <v>346.92371999999995</v>
      </c>
      <c r="G402" s="60">
        <v>0</v>
      </c>
      <c r="H402" s="60">
        <f>F402*1.45+G402</f>
        <v>503.0393939999999</v>
      </c>
      <c r="I402" s="121" t="s">
        <v>61</v>
      </c>
      <c r="J402" s="122"/>
    </row>
    <row r="403" spans="1:10" ht="15.6" x14ac:dyDescent="0.3">
      <c r="A403" s="60">
        <v>123</v>
      </c>
      <c r="B403" s="60">
        <v>5</v>
      </c>
      <c r="C403" s="60" t="s">
        <v>138</v>
      </c>
      <c r="D403" s="60">
        <f>32.23*10.764</f>
        <v>346.92371999999995</v>
      </c>
      <c r="E403" s="60">
        <v>0</v>
      </c>
      <c r="F403" s="60">
        <f>E403+D403</f>
        <v>346.92371999999995</v>
      </c>
      <c r="G403" s="60">
        <v>0</v>
      </c>
      <c r="H403" s="60">
        <f>F403*1.45+G403</f>
        <v>503.0393939999999</v>
      </c>
      <c r="I403" s="121" t="s">
        <v>61</v>
      </c>
      <c r="J403" s="122"/>
    </row>
    <row r="404" spans="1:10" ht="15.6" x14ac:dyDescent="0.3">
      <c r="A404" s="60">
        <v>124</v>
      </c>
      <c r="B404" s="60">
        <v>6</v>
      </c>
      <c r="C404" s="60" t="s">
        <v>127</v>
      </c>
      <c r="D404" s="60">
        <f>45.87*10.764</f>
        <v>493.74467999999996</v>
      </c>
      <c r="E404" s="60">
        <v>0</v>
      </c>
      <c r="F404" s="60">
        <f>E404+D404</f>
        <v>493.74467999999996</v>
      </c>
      <c r="G404" s="60">
        <v>0</v>
      </c>
      <c r="H404" s="60">
        <f>F404*1.45+G404</f>
        <v>715.92978599999992</v>
      </c>
      <c r="I404" s="121" t="s">
        <v>61</v>
      </c>
      <c r="J404" s="122"/>
    </row>
    <row r="405" spans="1:10" ht="15.6" x14ac:dyDescent="0.3">
      <c r="A405" s="111" t="s">
        <v>164</v>
      </c>
      <c r="B405" s="112"/>
      <c r="C405" s="112"/>
      <c r="D405" s="112"/>
      <c r="E405" s="112"/>
      <c r="F405" s="112"/>
      <c r="G405" s="112"/>
      <c r="H405" s="112"/>
      <c r="I405" s="112"/>
      <c r="J405" s="113"/>
    </row>
    <row r="406" spans="1:10" ht="15.6" x14ac:dyDescent="0.3">
      <c r="A406" s="111" t="s">
        <v>137</v>
      </c>
      <c r="B406" s="112"/>
      <c r="C406" s="112"/>
      <c r="D406" s="112"/>
      <c r="E406" s="112"/>
      <c r="F406" s="112"/>
      <c r="G406" s="112"/>
      <c r="H406" s="112"/>
      <c r="I406" s="112"/>
      <c r="J406" s="113"/>
    </row>
    <row r="407" spans="1:10" ht="15.6" x14ac:dyDescent="0.3">
      <c r="A407" s="60">
        <v>125</v>
      </c>
      <c r="B407" s="60">
        <v>1</v>
      </c>
      <c r="C407" s="60" t="s">
        <v>138</v>
      </c>
      <c r="D407" s="60">
        <f>32.9*10.764</f>
        <v>354.13559999999995</v>
      </c>
      <c r="E407" s="60">
        <v>0</v>
      </c>
      <c r="F407" s="60">
        <f>E407+D407</f>
        <v>354.13559999999995</v>
      </c>
      <c r="G407" s="60">
        <v>0</v>
      </c>
      <c r="H407" s="60">
        <f>F407*1.45+G407</f>
        <v>513.49661999999989</v>
      </c>
      <c r="I407" s="121" t="s">
        <v>61</v>
      </c>
      <c r="J407" s="122"/>
    </row>
    <row r="408" spans="1:10" ht="15.6" x14ac:dyDescent="0.3">
      <c r="A408" s="60">
        <v>126</v>
      </c>
      <c r="B408" s="60">
        <v>2</v>
      </c>
      <c r="C408" s="60" t="s">
        <v>138</v>
      </c>
      <c r="D408" s="60">
        <f>32.9*10.764</f>
        <v>354.13559999999995</v>
      </c>
      <c r="E408" s="60">
        <v>0</v>
      </c>
      <c r="F408" s="60">
        <f>E408+D408</f>
        <v>354.13559999999995</v>
      </c>
      <c r="G408" s="60">
        <v>0</v>
      </c>
      <c r="H408" s="60">
        <f>F408*1.45+G408</f>
        <v>513.49661999999989</v>
      </c>
      <c r="I408" s="121" t="s">
        <v>61</v>
      </c>
      <c r="J408" s="122"/>
    </row>
    <row r="409" spans="1:10" ht="15.6" x14ac:dyDescent="0.3">
      <c r="A409" s="60">
        <v>127</v>
      </c>
      <c r="B409" s="60">
        <v>3</v>
      </c>
      <c r="C409" s="111" t="s">
        <v>141</v>
      </c>
      <c r="D409" s="112"/>
      <c r="E409" s="112"/>
      <c r="F409" s="112"/>
      <c r="G409" s="112"/>
      <c r="H409" s="112"/>
      <c r="I409" s="112"/>
      <c r="J409" s="113"/>
    </row>
    <row r="410" spans="1:10" ht="15.6" x14ac:dyDescent="0.3">
      <c r="A410" s="60">
        <v>128</v>
      </c>
      <c r="B410" s="60">
        <v>4</v>
      </c>
      <c r="C410" s="60" t="s">
        <v>127</v>
      </c>
      <c r="D410" s="60">
        <f>45.87*10.764</f>
        <v>493.74467999999996</v>
      </c>
      <c r="E410" s="60">
        <v>0</v>
      </c>
      <c r="F410" s="60">
        <f>E410+D410</f>
        <v>493.74467999999996</v>
      </c>
      <c r="G410" s="60">
        <v>0</v>
      </c>
      <c r="H410" s="60">
        <f>F410*1.45+G410</f>
        <v>715.92978599999992</v>
      </c>
      <c r="I410" s="121" t="s">
        <v>61</v>
      </c>
      <c r="J410" s="122"/>
    </row>
    <row r="411" spans="1:10" ht="15.6" x14ac:dyDescent="0.3">
      <c r="A411" s="111" t="s">
        <v>132</v>
      </c>
      <c r="B411" s="112"/>
      <c r="C411" s="112"/>
      <c r="D411" s="112"/>
      <c r="E411" s="112"/>
      <c r="F411" s="112"/>
      <c r="G411" s="112"/>
      <c r="H411" s="112"/>
      <c r="I411" s="112"/>
      <c r="J411" s="113"/>
    </row>
    <row r="412" spans="1:10" ht="15.6" x14ac:dyDescent="0.3">
      <c r="A412" s="60">
        <v>129</v>
      </c>
      <c r="B412" s="60">
        <v>1</v>
      </c>
      <c r="C412" s="60" t="s">
        <v>138</v>
      </c>
      <c r="D412" s="60">
        <f>32.9*10.764</f>
        <v>354.13559999999995</v>
      </c>
      <c r="E412" s="60">
        <v>0</v>
      </c>
      <c r="F412" s="60">
        <f>E412+D412</f>
        <v>354.13559999999995</v>
      </c>
      <c r="G412" s="60">
        <v>0</v>
      </c>
      <c r="H412" s="60">
        <f>F412*1.45+G412</f>
        <v>513.49661999999989</v>
      </c>
      <c r="I412" s="121" t="s">
        <v>61</v>
      </c>
      <c r="J412" s="122"/>
    </row>
    <row r="413" spans="1:10" ht="15.6" x14ac:dyDescent="0.3">
      <c r="A413" s="60">
        <v>130</v>
      </c>
      <c r="B413" s="60">
        <v>2</v>
      </c>
      <c r="C413" s="60" t="s">
        <v>138</v>
      </c>
      <c r="D413" s="60">
        <f>32.9*10.764</f>
        <v>354.13559999999995</v>
      </c>
      <c r="E413" s="60">
        <v>0</v>
      </c>
      <c r="F413" s="60">
        <f>E413+D413</f>
        <v>354.13559999999995</v>
      </c>
      <c r="G413" s="60">
        <v>0</v>
      </c>
      <c r="H413" s="60">
        <f>F413*1.45+G413</f>
        <v>513.49661999999989</v>
      </c>
      <c r="I413" s="121" t="s">
        <v>61</v>
      </c>
      <c r="J413" s="122"/>
    </row>
    <row r="414" spans="1:10" ht="15.6" x14ac:dyDescent="0.3">
      <c r="A414" s="60">
        <v>131</v>
      </c>
      <c r="B414" s="60">
        <v>3</v>
      </c>
      <c r="C414" s="60" t="s">
        <v>127</v>
      </c>
      <c r="D414" s="60">
        <f>45.87*10.764</f>
        <v>493.74467999999996</v>
      </c>
      <c r="E414" s="60">
        <v>0</v>
      </c>
      <c r="F414" s="60">
        <f>E414+D414</f>
        <v>493.74467999999996</v>
      </c>
      <c r="G414" s="60">
        <v>0</v>
      </c>
      <c r="H414" s="60">
        <f>F414*1.45+G414</f>
        <v>715.92978599999992</v>
      </c>
      <c r="I414" s="121" t="s">
        <v>61</v>
      </c>
      <c r="J414" s="122"/>
    </row>
    <row r="415" spans="1:10" ht="15.6" x14ac:dyDescent="0.3">
      <c r="A415" s="60">
        <v>132</v>
      </c>
      <c r="B415" s="60">
        <v>4</v>
      </c>
      <c r="C415" s="60" t="s">
        <v>127</v>
      </c>
      <c r="D415" s="60">
        <f>45.87*10.764</f>
        <v>493.74467999999996</v>
      </c>
      <c r="E415" s="60">
        <v>0</v>
      </c>
      <c r="F415" s="60">
        <f>E415+D415</f>
        <v>493.74467999999996</v>
      </c>
      <c r="G415" s="60">
        <v>0</v>
      </c>
      <c r="H415" s="60">
        <f>F415*1.45+G415</f>
        <v>715.92978599999992</v>
      </c>
      <c r="I415" s="121" t="s">
        <v>61</v>
      </c>
      <c r="J415" s="122"/>
    </row>
    <row r="416" spans="1:10" ht="15.6" x14ac:dyDescent="0.3">
      <c r="A416" s="111" t="s">
        <v>139</v>
      </c>
      <c r="B416" s="112"/>
      <c r="C416" s="112"/>
      <c r="D416" s="112"/>
      <c r="E416" s="112"/>
      <c r="F416" s="112"/>
      <c r="G416" s="112"/>
      <c r="H416" s="112"/>
      <c r="I416" s="112"/>
      <c r="J416" s="113"/>
    </row>
    <row r="417" spans="1:10" ht="15.6" x14ac:dyDescent="0.3">
      <c r="A417" s="60">
        <v>133</v>
      </c>
      <c r="B417" s="60">
        <v>1</v>
      </c>
      <c r="C417" s="60" t="s">
        <v>138</v>
      </c>
      <c r="D417" s="60">
        <f>32.9*10.764</f>
        <v>354.13559999999995</v>
      </c>
      <c r="E417" s="60">
        <v>0</v>
      </c>
      <c r="F417" s="60">
        <f>E417+D417</f>
        <v>354.13559999999995</v>
      </c>
      <c r="G417" s="60">
        <v>0</v>
      </c>
      <c r="H417" s="60">
        <f>F417*1.45+G417</f>
        <v>513.49661999999989</v>
      </c>
      <c r="I417" s="121" t="s">
        <v>61</v>
      </c>
      <c r="J417" s="122"/>
    </row>
    <row r="418" spans="1:10" ht="15.6" x14ac:dyDescent="0.3">
      <c r="A418" s="60">
        <v>134</v>
      </c>
      <c r="B418" s="60">
        <v>2</v>
      </c>
      <c r="C418" s="60" t="s">
        <v>138</v>
      </c>
      <c r="D418" s="60">
        <f>32.9*10.764</f>
        <v>354.13559999999995</v>
      </c>
      <c r="E418" s="60">
        <v>0</v>
      </c>
      <c r="F418" s="60">
        <f>E418+D418</f>
        <v>354.13559999999995</v>
      </c>
      <c r="G418" s="60">
        <v>0</v>
      </c>
      <c r="H418" s="60">
        <f>F418*1.45+G418</f>
        <v>513.49661999999989</v>
      </c>
      <c r="I418" s="121" t="s">
        <v>61</v>
      </c>
      <c r="J418" s="122"/>
    </row>
    <row r="419" spans="1:10" ht="15.6" x14ac:dyDescent="0.3">
      <c r="A419" s="60">
        <v>135</v>
      </c>
      <c r="B419" s="60">
        <v>3</v>
      </c>
      <c r="C419" s="111" t="s">
        <v>135</v>
      </c>
      <c r="D419" s="112"/>
      <c r="E419" s="112"/>
      <c r="F419" s="112"/>
      <c r="G419" s="112"/>
      <c r="H419" s="112"/>
      <c r="I419" s="112"/>
      <c r="J419" s="113"/>
    </row>
    <row r="420" spans="1:10" ht="15.6" x14ac:dyDescent="0.3">
      <c r="A420" s="60">
        <v>136</v>
      </c>
      <c r="B420" s="60">
        <v>4</v>
      </c>
      <c r="C420" s="60" t="s">
        <v>127</v>
      </c>
      <c r="D420" s="60">
        <f>45.87*10.764</f>
        <v>493.74467999999996</v>
      </c>
      <c r="E420" s="60">
        <v>0</v>
      </c>
      <c r="F420" s="60">
        <f>E420+D420</f>
        <v>493.74467999999996</v>
      </c>
      <c r="G420" s="60">
        <v>0</v>
      </c>
      <c r="H420" s="60">
        <f>F420*1.45+G420</f>
        <v>715.92978599999992</v>
      </c>
      <c r="I420" s="121" t="s">
        <v>61</v>
      </c>
      <c r="J420" s="122"/>
    </row>
    <row r="421" spans="1:10" ht="15.6" x14ac:dyDescent="0.3">
      <c r="A421" s="111" t="s">
        <v>165</v>
      </c>
      <c r="B421" s="112"/>
      <c r="C421" s="112"/>
      <c r="D421" s="112"/>
      <c r="E421" s="112"/>
      <c r="F421" s="112"/>
      <c r="G421" s="112"/>
      <c r="H421" s="112"/>
      <c r="I421" s="112"/>
      <c r="J421" s="113"/>
    </row>
    <row r="422" spans="1:10" ht="15.6" x14ac:dyDescent="0.3">
      <c r="A422" s="111" t="s">
        <v>137</v>
      </c>
      <c r="B422" s="112"/>
      <c r="C422" s="112"/>
      <c r="D422" s="112"/>
      <c r="E422" s="112"/>
      <c r="F422" s="112"/>
      <c r="G422" s="112"/>
      <c r="H422" s="112"/>
      <c r="I422" s="112"/>
      <c r="J422" s="113"/>
    </row>
    <row r="423" spans="1:10" ht="15.6" x14ac:dyDescent="0.3">
      <c r="A423" s="7">
        <v>137</v>
      </c>
      <c r="B423" s="7">
        <v>1</v>
      </c>
      <c r="C423" s="7" t="s">
        <v>127</v>
      </c>
      <c r="D423" s="60">
        <f>45.87*10.764</f>
        <v>493.74467999999996</v>
      </c>
      <c r="E423" s="7">
        <v>0</v>
      </c>
      <c r="F423" s="7">
        <f>E423+D423</f>
        <v>493.74467999999996</v>
      </c>
      <c r="G423" s="7">
        <v>0</v>
      </c>
      <c r="H423" s="7">
        <f>F423*1.45+G423</f>
        <v>715.92978599999992</v>
      </c>
      <c r="I423" s="129" t="s">
        <v>61</v>
      </c>
      <c r="J423" s="130"/>
    </row>
    <row r="424" spans="1:10" ht="15.6" x14ac:dyDescent="0.3">
      <c r="A424" s="111" t="s">
        <v>142</v>
      </c>
      <c r="B424" s="112"/>
      <c r="C424" s="112"/>
      <c r="D424" s="112"/>
      <c r="E424" s="112"/>
      <c r="F424" s="112"/>
      <c r="G424" s="112"/>
      <c r="H424" s="112"/>
      <c r="I424" s="112"/>
      <c r="J424" s="113"/>
    </row>
    <row r="425" spans="1:10" ht="15.6" x14ac:dyDescent="0.3">
      <c r="A425" s="60">
        <v>138</v>
      </c>
      <c r="B425" s="60">
        <v>1</v>
      </c>
      <c r="C425" s="7" t="s">
        <v>127</v>
      </c>
      <c r="D425" s="60">
        <f>45.87*10.764</f>
        <v>493.74467999999996</v>
      </c>
      <c r="E425" s="60">
        <v>0</v>
      </c>
      <c r="F425" s="60">
        <f>E425+D425</f>
        <v>493.74467999999996</v>
      </c>
      <c r="G425" s="60">
        <v>0</v>
      </c>
      <c r="H425" s="60">
        <f>F425*1.45+G425</f>
        <v>715.92978599999992</v>
      </c>
      <c r="I425" s="129" t="s">
        <v>61</v>
      </c>
      <c r="J425" s="130"/>
    </row>
    <row r="426" spans="1:10" ht="15.6" x14ac:dyDescent="0.3">
      <c r="A426" s="60">
        <v>139</v>
      </c>
      <c r="B426" s="60">
        <v>4</v>
      </c>
      <c r="C426" s="7" t="s">
        <v>127</v>
      </c>
      <c r="D426" s="60">
        <f>45.87*10.764</f>
        <v>493.74467999999996</v>
      </c>
      <c r="E426" s="60">
        <v>0</v>
      </c>
      <c r="F426" s="60">
        <f>E426+D426</f>
        <v>493.74467999999996</v>
      </c>
      <c r="G426" s="60">
        <v>0</v>
      </c>
      <c r="H426" s="60">
        <f>F426*1.45+G426</f>
        <v>715.92978599999992</v>
      </c>
      <c r="I426" s="129" t="s">
        <v>61</v>
      </c>
      <c r="J426" s="130"/>
    </row>
    <row r="427" spans="1:10" ht="15.6" x14ac:dyDescent="0.3">
      <c r="A427" s="111" t="s">
        <v>143</v>
      </c>
      <c r="B427" s="112"/>
      <c r="C427" s="112"/>
      <c r="D427" s="112"/>
      <c r="E427" s="112"/>
      <c r="F427" s="112"/>
      <c r="G427" s="112"/>
      <c r="H427" s="112"/>
      <c r="I427" s="112"/>
      <c r="J427" s="113"/>
    </row>
    <row r="428" spans="1:10" ht="15.6" x14ac:dyDescent="0.3">
      <c r="A428" s="60">
        <v>140</v>
      </c>
      <c r="B428" s="60">
        <v>1</v>
      </c>
      <c r="C428" s="7" t="s">
        <v>127</v>
      </c>
      <c r="D428" s="60">
        <f>45.87*10.764</f>
        <v>493.74467999999996</v>
      </c>
      <c r="E428" s="60">
        <v>0</v>
      </c>
      <c r="F428" s="60">
        <f>E428+D428</f>
        <v>493.74467999999996</v>
      </c>
      <c r="G428" s="60">
        <v>0</v>
      </c>
      <c r="H428" s="60">
        <f>F428*1.45+G428</f>
        <v>715.92978599999992</v>
      </c>
      <c r="I428" s="129" t="s">
        <v>61</v>
      </c>
      <c r="J428" s="130"/>
    </row>
    <row r="429" spans="1:10" ht="15.6" x14ac:dyDescent="0.3">
      <c r="A429" s="60">
        <v>141</v>
      </c>
      <c r="B429" s="60">
        <v>2</v>
      </c>
      <c r="C429" s="7" t="s">
        <v>133</v>
      </c>
      <c r="D429" s="60">
        <f>59.9*10.764</f>
        <v>644.7636</v>
      </c>
      <c r="E429" s="60">
        <v>0</v>
      </c>
      <c r="F429" s="60">
        <f>E429+D429</f>
        <v>644.7636</v>
      </c>
      <c r="G429" s="60">
        <v>0</v>
      </c>
      <c r="H429" s="60">
        <f>F429*1.45+G429</f>
        <v>934.90721999999994</v>
      </c>
      <c r="I429" s="129" t="s">
        <v>61</v>
      </c>
      <c r="J429" s="130"/>
    </row>
    <row r="430" spans="1:10" ht="15.6" x14ac:dyDescent="0.3">
      <c r="A430" s="60">
        <v>142</v>
      </c>
      <c r="B430" s="60">
        <v>3</v>
      </c>
      <c r="C430" s="7" t="s">
        <v>127</v>
      </c>
      <c r="D430" s="60">
        <f>45.87*10.764</f>
        <v>493.74467999999996</v>
      </c>
      <c r="E430" s="60">
        <v>0</v>
      </c>
      <c r="F430" s="60">
        <f>E430+D430</f>
        <v>493.74467999999996</v>
      </c>
      <c r="G430" s="60">
        <v>0</v>
      </c>
      <c r="H430" s="60">
        <f>F430*1.45+G430</f>
        <v>715.92978599999992</v>
      </c>
      <c r="I430" s="129" t="s">
        <v>61</v>
      </c>
      <c r="J430" s="130"/>
    </row>
    <row r="431" spans="1:10" ht="15.6" x14ac:dyDescent="0.3">
      <c r="A431" s="60">
        <v>143</v>
      </c>
      <c r="B431" s="60">
        <v>4</v>
      </c>
      <c r="C431" s="7" t="s">
        <v>127</v>
      </c>
      <c r="D431" s="60">
        <f>45.87*10.764</f>
        <v>493.74467999999996</v>
      </c>
      <c r="E431" s="60">
        <v>0</v>
      </c>
      <c r="F431" s="60">
        <f>E431+D431</f>
        <v>493.74467999999996</v>
      </c>
      <c r="G431" s="60">
        <v>0</v>
      </c>
      <c r="H431" s="60">
        <f>F431*1.45+G431</f>
        <v>715.92978599999992</v>
      </c>
      <c r="I431" s="129" t="s">
        <v>61</v>
      </c>
      <c r="J431" s="130"/>
    </row>
    <row r="432" spans="1:10" ht="15.6" x14ac:dyDescent="0.3">
      <c r="A432" s="111" t="s">
        <v>134</v>
      </c>
      <c r="B432" s="112"/>
      <c r="C432" s="112"/>
      <c r="D432" s="112"/>
      <c r="E432" s="112"/>
      <c r="F432" s="112"/>
      <c r="G432" s="112"/>
      <c r="H432" s="112"/>
      <c r="I432" s="112"/>
      <c r="J432" s="113"/>
    </row>
    <row r="433" spans="1:10" ht="15.6" x14ac:dyDescent="0.3">
      <c r="A433" s="60">
        <v>144</v>
      </c>
      <c r="B433" s="60">
        <v>1</v>
      </c>
      <c r="C433" s="7" t="s">
        <v>127</v>
      </c>
      <c r="D433" s="60">
        <f>45.87*10.764</f>
        <v>493.74467999999996</v>
      </c>
      <c r="E433" s="60">
        <v>0</v>
      </c>
      <c r="F433" s="60">
        <f>E433+D433</f>
        <v>493.74467999999996</v>
      </c>
      <c r="G433" s="60">
        <v>0</v>
      </c>
      <c r="H433" s="60">
        <f>F433*1.45+G433</f>
        <v>715.92978599999992</v>
      </c>
      <c r="I433" s="129" t="s">
        <v>61</v>
      </c>
      <c r="J433" s="130"/>
    </row>
    <row r="434" spans="1:10" ht="15.6" x14ac:dyDescent="0.3">
      <c r="A434" s="60">
        <v>145</v>
      </c>
      <c r="B434" s="60">
        <v>2</v>
      </c>
      <c r="C434" s="7" t="s">
        <v>133</v>
      </c>
      <c r="D434" s="60">
        <f>59.9*10.764</f>
        <v>644.7636</v>
      </c>
      <c r="E434" s="60">
        <v>0</v>
      </c>
      <c r="F434" s="60">
        <f>E434+D434</f>
        <v>644.7636</v>
      </c>
      <c r="G434" s="60">
        <v>0</v>
      </c>
      <c r="H434" s="60">
        <f>F434*1.45+G434</f>
        <v>934.90721999999994</v>
      </c>
      <c r="I434" s="129" t="s">
        <v>61</v>
      </c>
      <c r="J434" s="130"/>
    </row>
    <row r="435" spans="1:10" ht="15.6" x14ac:dyDescent="0.3">
      <c r="A435" s="60">
        <v>146</v>
      </c>
      <c r="B435" s="60">
        <v>3</v>
      </c>
      <c r="C435" s="7" t="s">
        <v>127</v>
      </c>
      <c r="D435" s="60">
        <f>45.87*10.764</f>
        <v>493.74467999999996</v>
      </c>
      <c r="E435" s="60">
        <v>0</v>
      </c>
      <c r="F435" s="60">
        <f>E435+D435</f>
        <v>493.74467999999996</v>
      </c>
      <c r="G435" s="60">
        <v>0</v>
      </c>
      <c r="H435" s="60">
        <f>F435*1.45+G435</f>
        <v>715.92978599999992</v>
      </c>
      <c r="I435" s="129" t="s">
        <v>61</v>
      </c>
      <c r="J435" s="130"/>
    </row>
    <row r="436" spans="1:10" ht="15.6" x14ac:dyDescent="0.3">
      <c r="A436" s="60">
        <v>147</v>
      </c>
      <c r="B436" s="60">
        <v>4</v>
      </c>
      <c r="C436" s="131" t="s">
        <v>135</v>
      </c>
      <c r="D436" s="132"/>
      <c r="E436" s="132"/>
      <c r="F436" s="132"/>
      <c r="G436" s="132"/>
      <c r="H436" s="132"/>
      <c r="I436" s="132"/>
      <c r="J436" s="133"/>
    </row>
    <row r="437" spans="1:10" ht="15.6" x14ac:dyDescent="0.3">
      <c r="A437" s="111" t="s">
        <v>136</v>
      </c>
      <c r="B437" s="112"/>
      <c r="C437" s="112"/>
      <c r="D437" s="112"/>
      <c r="E437" s="112"/>
      <c r="F437" s="112"/>
      <c r="G437" s="112"/>
      <c r="H437" s="112"/>
      <c r="I437" s="112"/>
      <c r="J437" s="113"/>
    </row>
    <row r="438" spans="1:10" ht="15.6" x14ac:dyDescent="0.3">
      <c r="A438" s="60">
        <v>148</v>
      </c>
      <c r="B438" s="60">
        <v>1</v>
      </c>
      <c r="C438" s="7" t="s">
        <v>127</v>
      </c>
      <c r="D438" s="60">
        <f>45.87*10.764</f>
        <v>493.74467999999996</v>
      </c>
      <c r="E438" s="60">
        <v>0</v>
      </c>
      <c r="F438" s="60">
        <f>E438+D438</f>
        <v>493.74467999999996</v>
      </c>
      <c r="G438" s="60">
        <v>0</v>
      </c>
      <c r="H438" s="60">
        <f>F438*1.45+G438</f>
        <v>715.92978599999992</v>
      </c>
      <c r="I438" s="129" t="s">
        <v>61</v>
      </c>
      <c r="J438" s="130"/>
    </row>
    <row r="439" spans="1:10" ht="15.6" x14ac:dyDescent="0.3">
      <c r="A439" s="60">
        <v>149</v>
      </c>
      <c r="B439" s="60">
        <v>2</v>
      </c>
      <c r="C439" s="7" t="s">
        <v>133</v>
      </c>
      <c r="D439" s="60">
        <f>59.9*10.764</f>
        <v>644.7636</v>
      </c>
      <c r="E439" s="60">
        <v>0</v>
      </c>
      <c r="F439" s="60">
        <f>E439+D439</f>
        <v>644.7636</v>
      </c>
      <c r="G439" s="60">
        <v>0</v>
      </c>
      <c r="H439" s="60">
        <f>F439*1.45+G439</f>
        <v>934.90721999999994</v>
      </c>
      <c r="I439" s="129" t="s">
        <v>61</v>
      </c>
      <c r="J439" s="130"/>
    </row>
    <row r="440" spans="1:10" ht="15.6" x14ac:dyDescent="0.3">
      <c r="A440" s="60">
        <v>150</v>
      </c>
      <c r="B440" s="60">
        <v>3</v>
      </c>
      <c r="C440" s="7" t="s">
        <v>127</v>
      </c>
      <c r="D440" s="60">
        <f>45.87*10.764</f>
        <v>493.74467999999996</v>
      </c>
      <c r="E440" s="60">
        <v>0</v>
      </c>
      <c r="F440" s="60">
        <f>E440+D440</f>
        <v>493.74467999999996</v>
      </c>
      <c r="G440" s="60">
        <v>0</v>
      </c>
      <c r="H440" s="60">
        <f>F440*1.45+G440</f>
        <v>715.92978599999992</v>
      </c>
      <c r="I440" s="129" t="s">
        <v>61</v>
      </c>
      <c r="J440" s="130"/>
    </row>
    <row r="441" spans="1:10" ht="15.6" x14ac:dyDescent="0.3">
      <c r="A441" s="60">
        <v>151</v>
      </c>
      <c r="B441" s="60">
        <v>4</v>
      </c>
      <c r="C441" s="131" t="s">
        <v>135</v>
      </c>
      <c r="D441" s="132"/>
      <c r="E441" s="132"/>
      <c r="F441" s="132"/>
      <c r="G441" s="132"/>
      <c r="H441" s="132"/>
      <c r="I441" s="132"/>
      <c r="J441" s="133"/>
    </row>
    <row r="442" spans="1:10" ht="15.6" x14ac:dyDescent="0.3">
      <c r="A442" s="111" t="s">
        <v>144</v>
      </c>
      <c r="B442" s="112"/>
      <c r="C442" s="112"/>
      <c r="D442" s="112"/>
      <c r="E442" s="112"/>
      <c r="F442" s="112"/>
      <c r="G442" s="112"/>
      <c r="H442" s="112"/>
      <c r="I442" s="112"/>
      <c r="J442" s="113"/>
    </row>
    <row r="443" spans="1:10" ht="15.6" x14ac:dyDescent="0.3">
      <c r="A443" s="111" t="s">
        <v>137</v>
      </c>
      <c r="B443" s="112"/>
      <c r="C443" s="112"/>
      <c r="D443" s="112"/>
      <c r="E443" s="112"/>
      <c r="F443" s="112"/>
      <c r="G443" s="112"/>
      <c r="H443" s="112"/>
      <c r="I443" s="112"/>
      <c r="J443" s="113"/>
    </row>
    <row r="444" spans="1:10" ht="15.6" x14ac:dyDescent="0.3">
      <c r="A444" s="60">
        <v>152</v>
      </c>
      <c r="B444" s="60">
        <v>4</v>
      </c>
      <c r="C444" s="7" t="s">
        <v>127</v>
      </c>
      <c r="D444" s="60">
        <f>45.87*10.764</f>
        <v>493.74467999999996</v>
      </c>
      <c r="E444" s="60">
        <v>0</v>
      </c>
      <c r="F444" s="60">
        <f>E444+D444</f>
        <v>493.74467999999996</v>
      </c>
      <c r="G444" s="60">
        <v>0</v>
      </c>
      <c r="H444" s="60">
        <f>F444*1.45+G444</f>
        <v>715.92978599999992</v>
      </c>
      <c r="I444" s="129" t="s">
        <v>61</v>
      </c>
      <c r="J444" s="130"/>
    </row>
    <row r="445" spans="1:10" ht="15.6" x14ac:dyDescent="0.3">
      <c r="A445" s="111" t="s">
        <v>145</v>
      </c>
      <c r="B445" s="112"/>
      <c r="C445" s="112"/>
      <c r="D445" s="112"/>
      <c r="E445" s="112"/>
      <c r="F445" s="112"/>
      <c r="G445" s="112"/>
      <c r="H445" s="112"/>
      <c r="I445" s="112"/>
      <c r="J445" s="113"/>
    </row>
    <row r="446" spans="1:10" ht="15.6" x14ac:dyDescent="0.3">
      <c r="A446" s="60">
        <v>153</v>
      </c>
      <c r="B446" s="60">
        <v>4</v>
      </c>
      <c r="C446" s="7" t="s">
        <v>127</v>
      </c>
      <c r="D446" s="60">
        <f>45.87*10.764</f>
        <v>493.74467999999996</v>
      </c>
      <c r="E446" s="60">
        <v>0</v>
      </c>
      <c r="F446" s="60">
        <f>E446+D446</f>
        <v>493.74467999999996</v>
      </c>
      <c r="G446" s="60">
        <v>0</v>
      </c>
      <c r="H446" s="60">
        <f>F446*1.45+G446</f>
        <v>715.92978599999992</v>
      </c>
      <c r="I446" s="129" t="s">
        <v>61</v>
      </c>
      <c r="J446" s="130"/>
    </row>
    <row r="447" spans="1:10" ht="15.6" x14ac:dyDescent="0.3">
      <c r="A447" s="60">
        <v>154</v>
      </c>
      <c r="B447" s="60">
        <v>7</v>
      </c>
      <c r="C447" s="7" t="s">
        <v>127</v>
      </c>
      <c r="D447" s="60">
        <f>45.87*10.764</f>
        <v>493.74467999999996</v>
      </c>
      <c r="E447" s="60">
        <v>0</v>
      </c>
      <c r="F447" s="60">
        <f>E447+D447</f>
        <v>493.74467999999996</v>
      </c>
      <c r="G447" s="60">
        <v>0</v>
      </c>
      <c r="H447" s="60">
        <f>F447*1.45+G447</f>
        <v>715.92978599999992</v>
      </c>
      <c r="I447" s="129" t="s">
        <v>61</v>
      </c>
      <c r="J447" s="130"/>
    </row>
    <row r="448" spans="1:10" ht="15.6" x14ac:dyDescent="0.3">
      <c r="A448" s="111" t="s">
        <v>146</v>
      </c>
      <c r="B448" s="112"/>
      <c r="C448" s="112"/>
      <c r="D448" s="112"/>
      <c r="E448" s="112"/>
      <c r="F448" s="112"/>
      <c r="G448" s="112"/>
      <c r="H448" s="112"/>
      <c r="I448" s="112"/>
      <c r="J448" s="113"/>
    </row>
    <row r="449" spans="1:10" ht="15.6" x14ac:dyDescent="0.3">
      <c r="A449" s="60">
        <v>155</v>
      </c>
      <c r="B449" s="60">
        <v>4</v>
      </c>
      <c r="C449" s="7" t="s">
        <v>127</v>
      </c>
      <c r="D449" s="60">
        <f>45.87*10.764</f>
        <v>493.74467999999996</v>
      </c>
      <c r="E449" s="60">
        <v>0</v>
      </c>
      <c r="F449" s="60">
        <f>E449+D449</f>
        <v>493.74467999999996</v>
      </c>
      <c r="G449" s="60">
        <v>0</v>
      </c>
      <c r="H449" s="60">
        <f>F449*1.45+G449</f>
        <v>715.92978599999992</v>
      </c>
      <c r="I449" s="129" t="s">
        <v>61</v>
      </c>
      <c r="J449" s="130"/>
    </row>
    <row r="450" spans="1:10" ht="15.6" x14ac:dyDescent="0.3">
      <c r="A450" s="60">
        <v>156</v>
      </c>
      <c r="B450" s="60">
        <v>5</v>
      </c>
      <c r="C450" s="60" t="s">
        <v>138</v>
      </c>
      <c r="D450" s="60">
        <f>32.23*10.764</f>
        <v>346.92371999999995</v>
      </c>
      <c r="E450" s="60">
        <v>0</v>
      </c>
      <c r="F450" s="60">
        <f>E450+D450</f>
        <v>346.92371999999995</v>
      </c>
      <c r="G450" s="60">
        <v>0</v>
      </c>
      <c r="H450" s="60">
        <f>F450*1.45+G450</f>
        <v>503.0393939999999</v>
      </c>
      <c r="I450" s="129" t="s">
        <v>61</v>
      </c>
      <c r="J450" s="130"/>
    </row>
    <row r="451" spans="1:10" ht="15.6" x14ac:dyDescent="0.3">
      <c r="A451" s="60">
        <v>157</v>
      </c>
      <c r="B451" s="60">
        <v>6</v>
      </c>
      <c r="C451" s="60" t="s">
        <v>138</v>
      </c>
      <c r="D451" s="60">
        <f>32.23*10.764</f>
        <v>346.92371999999995</v>
      </c>
      <c r="E451" s="60">
        <v>0</v>
      </c>
      <c r="F451" s="60">
        <f>E451+D451</f>
        <v>346.92371999999995</v>
      </c>
      <c r="G451" s="60">
        <v>0</v>
      </c>
      <c r="H451" s="60">
        <f>F451*1.45+G451</f>
        <v>503.0393939999999</v>
      </c>
      <c r="I451" s="129" t="s">
        <v>61</v>
      </c>
      <c r="J451" s="130"/>
    </row>
    <row r="452" spans="1:10" ht="15.6" x14ac:dyDescent="0.3">
      <c r="A452" s="60">
        <v>158</v>
      </c>
      <c r="B452" s="60">
        <v>7</v>
      </c>
      <c r="C452" s="7" t="s">
        <v>127</v>
      </c>
      <c r="D452" s="60">
        <f>45.87*10.764</f>
        <v>493.74467999999996</v>
      </c>
      <c r="E452" s="60">
        <v>0</v>
      </c>
      <c r="F452" s="60">
        <f>E452+D452</f>
        <v>493.74467999999996</v>
      </c>
      <c r="G452" s="60">
        <v>0</v>
      </c>
      <c r="H452" s="60">
        <f>F452*1.45+G452</f>
        <v>715.92978599999992</v>
      </c>
      <c r="I452" s="129" t="s">
        <v>61</v>
      </c>
      <c r="J452" s="130"/>
    </row>
    <row r="453" spans="1:10" ht="15.6" x14ac:dyDescent="0.3">
      <c r="A453" s="111" t="s">
        <v>143</v>
      </c>
      <c r="B453" s="112"/>
      <c r="C453" s="112"/>
      <c r="D453" s="112"/>
      <c r="E453" s="112"/>
      <c r="F453" s="112"/>
      <c r="G453" s="112"/>
      <c r="H453" s="112"/>
      <c r="I453" s="112"/>
      <c r="J453" s="113"/>
    </row>
    <row r="454" spans="1:10" ht="15.6" x14ac:dyDescent="0.3">
      <c r="A454" s="60">
        <v>159</v>
      </c>
      <c r="B454" s="60">
        <v>1</v>
      </c>
      <c r="C454" s="7" t="s">
        <v>127</v>
      </c>
      <c r="D454" s="60">
        <f>46.19*10.764</f>
        <v>497.18915999999996</v>
      </c>
      <c r="E454" s="60">
        <v>0</v>
      </c>
      <c r="F454" s="60">
        <f>E454+D454</f>
        <v>497.18915999999996</v>
      </c>
      <c r="G454" s="60">
        <v>0</v>
      </c>
      <c r="H454" s="60">
        <f>F454*1.45+G454</f>
        <v>720.92428199999995</v>
      </c>
      <c r="I454" s="129" t="s">
        <v>61</v>
      </c>
      <c r="J454" s="130"/>
    </row>
    <row r="455" spans="1:10" ht="15.6" x14ac:dyDescent="0.3">
      <c r="A455" s="60">
        <v>160</v>
      </c>
      <c r="B455" s="60">
        <v>2</v>
      </c>
      <c r="C455" s="7" t="s">
        <v>127</v>
      </c>
      <c r="D455" s="60">
        <f>46.19*10.764</f>
        <v>497.18915999999996</v>
      </c>
      <c r="E455" s="60">
        <v>0</v>
      </c>
      <c r="F455" s="60">
        <f t="shared" ref="F455:F461" si="4">E455+D455</f>
        <v>497.18915999999996</v>
      </c>
      <c r="G455" s="60">
        <v>0</v>
      </c>
      <c r="H455" s="60">
        <f t="shared" ref="H455:H461" si="5">F455*1.45+G455</f>
        <v>720.92428199999995</v>
      </c>
      <c r="I455" s="129" t="s">
        <v>61</v>
      </c>
      <c r="J455" s="130"/>
    </row>
    <row r="456" spans="1:10" ht="15.6" x14ac:dyDescent="0.3">
      <c r="A456" s="60">
        <v>161</v>
      </c>
      <c r="B456" s="60">
        <v>3</v>
      </c>
      <c r="C456" s="7" t="s">
        <v>127</v>
      </c>
      <c r="D456" s="60">
        <f>45.87*10.764</f>
        <v>493.74467999999996</v>
      </c>
      <c r="E456" s="60">
        <v>0</v>
      </c>
      <c r="F456" s="60">
        <f t="shared" si="4"/>
        <v>493.74467999999996</v>
      </c>
      <c r="G456" s="60">
        <v>0</v>
      </c>
      <c r="H456" s="60">
        <f t="shared" si="5"/>
        <v>715.92978599999992</v>
      </c>
      <c r="I456" s="129" t="s">
        <v>61</v>
      </c>
      <c r="J456" s="130"/>
    </row>
    <row r="457" spans="1:10" ht="15.6" x14ac:dyDescent="0.3">
      <c r="A457" s="60">
        <v>162</v>
      </c>
      <c r="B457" s="60">
        <v>4</v>
      </c>
      <c r="C457" s="7" t="s">
        <v>127</v>
      </c>
      <c r="D457" s="60">
        <f>45.87*10.764</f>
        <v>493.74467999999996</v>
      </c>
      <c r="E457" s="60">
        <v>0</v>
      </c>
      <c r="F457" s="60">
        <f t="shared" si="4"/>
        <v>493.74467999999996</v>
      </c>
      <c r="G457" s="60">
        <v>0</v>
      </c>
      <c r="H457" s="60">
        <f t="shared" si="5"/>
        <v>715.92978599999992</v>
      </c>
      <c r="I457" s="129" t="s">
        <v>61</v>
      </c>
      <c r="J457" s="130"/>
    </row>
    <row r="458" spans="1:10" ht="15.6" x14ac:dyDescent="0.3">
      <c r="A458" s="60">
        <v>163</v>
      </c>
      <c r="B458" s="60">
        <v>5</v>
      </c>
      <c r="C458" s="7" t="s">
        <v>138</v>
      </c>
      <c r="D458" s="60">
        <f>32.23*10.764</f>
        <v>346.92371999999995</v>
      </c>
      <c r="E458" s="60">
        <v>0</v>
      </c>
      <c r="F458" s="60">
        <f t="shared" si="4"/>
        <v>346.92371999999995</v>
      </c>
      <c r="G458" s="60">
        <v>0</v>
      </c>
      <c r="H458" s="60">
        <f t="shared" si="5"/>
        <v>503.0393939999999</v>
      </c>
      <c r="I458" s="129" t="s">
        <v>61</v>
      </c>
      <c r="J458" s="130"/>
    </row>
    <row r="459" spans="1:10" ht="15.6" x14ac:dyDescent="0.3">
      <c r="A459" s="60">
        <v>164</v>
      </c>
      <c r="B459" s="60">
        <v>6</v>
      </c>
      <c r="C459" s="7" t="s">
        <v>138</v>
      </c>
      <c r="D459" s="60">
        <f>32.23*10.764</f>
        <v>346.92371999999995</v>
      </c>
      <c r="E459" s="60">
        <v>0</v>
      </c>
      <c r="F459" s="60">
        <f t="shared" si="4"/>
        <v>346.92371999999995</v>
      </c>
      <c r="G459" s="60">
        <v>0</v>
      </c>
      <c r="H459" s="60">
        <f t="shared" si="5"/>
        <v>503.0393939999999</v>
      </c>
      <c r="I459" s="129" t="s">
        <v>61</v>
      </c>
      <c r="J459" s="130"/>
    </row>
    <row r="460" spans="1:10" ht="15.6" x14ac:dyDescent="0.3">
      <c r="A460" s="60">
        <v>165</v>
      </c>
      <c r="B460" s="60">
        <v>7</v>
      </c>
      <c r="C460" s="7" t="s">
        <v>127</v>
      </c>
      <c r="D460" s="60">
        <f>45.87*10.764</f>
        <v>493.74467999999996</v>
      </c>
      <c r="E460" s="60">
        <v>0</v>
      </c>
      <c r="F460" s="60">
        <f t="shared" si="4"/>
        <v>493.74467999999996</v>
      </c>
      <c r="G460" s="60">
        <v>0</v>
      </c>
      <c r="H460" s="60">
        <f t="shared" si="5"/>
        <v>715.92978599999992</v>
      </c>
      <c r="I460" s="129" t="s">
        <v>61</v>
      </c>
      <c r="J460" s="130"/>
    </row>
    <row r="461" spans="1:10" ht="15.6" x14ac:dyDescent="0.3">
      <c r="A461" s="60">
        <v>166</v>
      </c>
      <c r="B461" s="60">
        <v>8</v>
      </c>
      <c r="C461" s="7" t="s">
        <v>127</v>
      </c>
      <c r="D461" s="60">
        <f>45.87*10.764</f>
        <v>493.74467999999996</v>
      </c>
      <c r="E461" s="60">
        <v>0</v>
      </c>
      <c r="F461" s="60">
        <f t="shared" si="4"/>
        <v>493.74467999999996</v>
      </c>
      <c r="G461" s="60">
        <v>0</v>
      </c>
      <c r="H461" s="60">
        <f t="shared" si="5"/>
        <v>715.92978599999992</v>
      </c>
      <c r="I461" s="129" t="s">
        <v>61</v>
      </c>
      <c r="J461" s="130"/>
    </row>
    <row r="462" spans="1:10" ht="15.6" x14ac:dyDescent="0.3">
      <c r="A462" s="111" t="s">
        <v>134</v>
      </c>
      <c r="B462" s="112"/>
      <c r="C462" s="112"/>
      <c r="D462" s="112"/>
      <c r="E462" s="112"/>
      <c r="F462" s="112"/>
      <c r="G462" s="112"/>
      <c r="H462" s="112"/>
      <c r="I462" s="112"/>
      <c r="J462" s="113"/>
    </row>
    <row r="463" spans="1:10" ht="15.6" x14ac:dyDescent="0.3">
      <c r="A463" s="60">
        <v>167</v>
      </c>
      <c r="B463" s="60">
        <v>1</v>
      </c>
      <c r="C463" s="7" t="s">
        <v>127</v>
      </c>
      <c r="D463" s="60">
        <f>46.19*10.764</f>
        <v>497.18915999999996</v>
      </c>
      <c r="E463" s="60">
        <v>0</v>
      </c>
      <c r="F463" s="60">
        <f>E463+D463</f>
        <v>497.18915999999996</v>
      </c>
      <c r="G463" s="60">
        <v>0</v>
      </c>
      <c r="H463" s="60">
        <f>F463*1.45+G463</f>
        <v>720.92428199999995</v>
      </c>
      <c r="I463" s="129" t="s">
        <v>61</v>
      </c>
      <c r="J463" s="130"/>
    </row>
    <row r="464" spans="1:10" ht="15.6" x14ac:dyDescent="0.3">
      <c r="A464" s="60">
        <v>168</v>
      </c>
      <c r="B464" s="60">
        <v>2</v>
      </c>
      <c r="C464" s="7" t="s">
        <v>127</v>
      </c>
      <c r="D464" s="60">
        <f>46.19*10.764</f>
        <v>497.18915999999996</v>
      </c>
      <c r="E464" s="60">
        <v>0</v>
      </c>
      <c r="F464" s="60">
        <f t="shared" ref="F464:F470" si="6">E464+D464</f>
        <v>497.18915999999996</v>
      </c>
      <c r="G464" s="60">
        <v>0</v>
      </c>
      <c r="H464" s="60">
        <f t="shared" ref="H464:H470" si="7">F464*1.45+G464</f>
        <v>720.92428199999995</v>
      </c>
      <c r="I464" s="129" t="s">
        <v>61</v>
      </c>
      <c r="J464" s="130"/>
    </row>
    <row r="465" spans="1:10" ht="15.6" x14ac:dyDescent="0.3">
      <c r="A465" s="60">
        <v>169</v>
      </c>
      <c r="B465" s="60">
        <v>3</v>
      </c>
      <c r="C465" s="7" t="s">
        <v>127</v>
      </c>
      <c r="D465" s="60">
        <f>45.87*10.764</f>
        <v>493.74467999999996</v>
      </c>
      <c r="E465" s="60">
        <v>0</v>
      </c>
      <c r="F465" s="60">
        <f t="shared" si="6"/>
        <v>493.74467999999996</v>
      </c>
      <c r="G465" s="60">
        <v>0</v>
      </c>
      <c r="H465" s="60">
        <f t="shared" si="7"/>
        <v>715.92978599999992</v>
      </c>
      <c r="I465" s="129" t="s">
        <v>61</v>
      </c>
      <c r="J465" s="130"/>
    </row>
    <row r="466" spans="1:10" ht="15.6" x14ac:dyDescent="0.3">
      <c r="A466" s="60">
        <v>170</v>
      </c>
      <c r="B466" s="60">
        <v>4</v>
      </c>
      <c r="C466" s="134" t="s">
        <v>135</v>
      </c>
      <c r="D466" s="135"/>
      <c r="E466" s="135"/>
      <c r="F466" s="135"/>
      <c r="G466" s="135"/>
      <c r="H466" s="135"/>
      <c r="I466" s="135"/>
      <c r="J466" s="136"/>
    </row>
    <row r="467" spans="1:10" ht="15.6" x14ac:dyDescent="0.3">
      <c r="A467" s="60">
        <v>171</v>
      </c>
      <c r="B467" s="60">
        <v>5</v>
      </c>
      <c r="C467" s="137"/>
      <c r="D467" s="138"/>
      <c r="E467" s="138"/>
      <c r="F467" s="138"/>
      <c r="G467" s="138"/>
      <c r="H467" s="138"/>
      <c r="I467" s="138"/>
      <c r="J467" s="139"/>
    </row>
    <row r="468" spans="1:10" ht="15.6" x14ac:dyDescent="0.3">
      <c r="A468" s="60">
        <v>172</v>
      </c>
      <c r="B468" s="60">
        <v>6</v>
      </c>
      <c r="C468" s="7" t="s">
        <v>138</v>
      </c>
      <c r="D468" s="60">
        <f>32.23*10.764</f>
        <v>346.92371999999995</v>
      </c>
      <c r="E468" s="60">
        <v>0</v>
      </c>
      <c r="F468" s="60">
        <f t="shared" si="6"/>
        <v>346.92371999999995</v>
      </c>
      <c r="G468" s="60">
        <v>0</v>
      </c>
      <c r="H468" s="60">
        <f t="shared" si="7"/>
        <v>503.0393939999999</v>
      </c>
      <c r="I468" s="129" t="s">
        <v>61</v>
      </c>
      <c r="J468" s="130"/>
    </row>
    <row r="469" spans="1:10" ht="15.6" x14ac:dyDescent="0.3">
      <c r="A469" s="60">
        <v>173</v>
      </c>
      <c r="B469" s="60">
        <v>7</v>
      </c>
      <c r="C469" s="7" t="s">
        <v>127</v>
      </c>
      <c r="D469" s="60">
        <f>45.87*10.764</f>
        <v>493.74467999999996</v>
      </c>
      <c r="E469" s="60">
        <v>0</v>
      </c>
      <c r="F469" s="60">
        <f t="shared" si="6"/>
        <v>493.74467999999996</v>
      </c>
      <c r="G469" s="60">
        <v>0</v>
      </c>
      <c r="H469" s="60">
        <f t="shared" si="7"/>
        <v>715.92978599999992</v>
      </c>
      <c r="I469" s="129" t="s">
        <v>61</v>
      </c>
      <c r="J469" s="130"/>
    </row>
    <row r="470" spans="1:10" ht="15.6" x14ac:dyDescent="0.3">
      <c r="A470" s="60">
        <v>174</v>
      </c>
      <c r="B470" s="60">
        <v>8</v>
      </c>
      <c r="C470" s="7" t="s">
        <v>127</v>
      </c>
      <c r="D470" s="60">
        <f>45.87*10.764</f>
        <v>493.74467999999996</v>
      </c>
      <c r="E470" s="60">
        <v>0</v>
      </c>
      <c r="F470" s="60">
        <f t="shared" si="6"/>
        <v>493.74467999999996</v>
      </c>
      <c r="G470" s="60">
        <v>0</v>
      </c>
      <c r="H470" s="60">
        <f t="shared" si="7"/>
        <v>715.92978599999992</v>
      </c>
      <c r="I470" s="129" t="s">
        <v>61</v>
      </c>
      <c r="J470" s="130"/>
    </row>
    <row r="471" spans="1:10" ht="15.6" x14ac:dyDescent="0.3">
      <c r="A471" s="111" t="s">
        <v>136</v>
      </c>
      <c r="B471" s="112"/>
      <c r="C471" s="112"/>
      <c r="D471" s="112"/>
      <c r="E471" s="112"/>
      <c r="F471" s="112"/>
      <c r="G471" s="112"/>
      <c r="H471" s="112"/>
      <c r="I471" s="112"/>
      <c r="J471" s="113"/>
    </row>
    <row r="472" spans="1:10" ht="15.6" x14ac:dyDescent="0.3">
      <c r="A472" s="60">
        <v>175</v>
      </c>
      <c r="B472" s="60">
        <v>1</v>
      </c>
      <c r="C472" s="7" t="s">
        <v>127</v>
      </c>
      <c r="D472" s="60">
        <f>46.19*10.764</f>
        <v>497.18915999999996</v>
      </c>
      <c r="E472" s="60">
        <v>0</v>
      </c>
      <c r="F472" s="60">
        <f>E472+D472</f>
        <v>497.18915999999996</v>
      </c>
      <c r="G472" s="60">
        <v>0</v>
      </c>
      <c r="H472" s="60">
        <f>F472*1.45+G472</f>
        <v>720.92428199999995</v>
      </c>
      <c r="I472" s="129" t="s">
        <v>61</v>
      </c>
      <c r="J472" s="130"/>
    </row>
    <row r="473" spans="1:10" ht="15.6" x14ac:dyDescent="0.3">
      <c r="A473" s="60">
        <v>176</v>
      </c>
      <c r="B473" s="60">
        <v>2</v>
      </c>
      <c r="C473" s="7" t="s">
        <v>127</v>
      </c>
      <c r="D473" s="60">
        <f>46.19*10.764</f>
        <v>497.18915999999996</v>
      </c>
      <c r="E473" s="60">
        <v>0</v>
      </c>
      <c r="F473" s="60">
        <f>E473+D473</f>
        <v>497.18915999999996</v>
      </c>
      <c r="G473" s="60">
        <v>0</v>
      </c>
      <c r="H473" s="60">
        <f>F473*1.45+G473</f>
        <v>720.92428199999995</v>
      </c>
      <c r="I473" s="129" t="s">
        <v>61</v>
      </c>
      <c r="J473" s="130"/>
    </row>
    <row r="474" spans="1:10" ht="15.6" x14ac:dyDescent="0.3">
      <c r="A474" s="60">
        <v>177</v>
      </c>
      <c r="B474" s="60">
        <v>3</v>
      </c>
      <c r="C474" s="7" t="s">
        <v>127</v>
      </c>
      <c r="D474" s="60">
        <f>45.87*10.764</f>
        <v>493.74467999999996</v>
      </c>
      <c r="E474" s="60">
        <v>0</v>
      </c>
      <c r="F474" s="60">
        <f>E474+D474</f>
        <v>493.74467999999996</v>
      </c>
      <c r="G474" s="60">
        <v>0</v>
      </c>
      <c r="H474" s="60">
        <f>F474*1.45+G474</f>
        <v>715.92978599999992</v>
      </c>
      <c r="I474" s="129" t="s">
        <v>61</v>
      </c>
      <c r="J474" s="130"/>
    </row>
    <row r="475" spans="1:10" ht="15.6" x14ac:dyDescent="0.3">
      <c r="A475" s="60">
        <v>178</v>
      </c>
      <c r="B475" s="60">
        <v>4</v>
      </c>
      <c r="C475" s="134" t="s">
        <v>135</v>
      </c>
      <c r="D475" s="135"/>
      <c r="E475" s="135"/>
      <c r="F475" s="135"/>
      <c r="G475" s="135"/>
      <c r="H475" s="135"/>
      <c r="I475" s="135"/>
      <c r="J475" s="136"/>
    </row>
    <row r="476" spans="1:10" ht="15.6" x14ac:dyDescent="0.3">
      <c r="A476" s="60">
        <v>179</v>
      </c>
      <c r="B476" s="60">
        <v>5</v>
      </c>
      <c r="C476" s="137"/>
      <c r="D476" s="138"/>
      <c r="E476" s="138"/>
      <c r="F476" s="138"/>
      <c r="G476" s="138"/>
      <c r="H476" s="138"/>
      <c r="I476" s="138"/>
      <c r="J476" s="139"/>
    </row>
    <row r="477" spans="1:10" ht="15.6" x14ac:dyDescent="0.3">
      <c r="A477" s="60">
        <v>180</v>
      </c>
      <c r="B477" s="60">
        <v>6</v>
      </c>
      <c r="C477" s="7" t="s">
        <v>138</v>
      </c>
      <c r="D477" s="60">
        <f>32.23*10.764</f>
        <v>346.92371999999995</v>
      </c>
      <c r="E477" s="60">
        <v>0</v>
      </c>
      <c r="F477" s="60">
        <f>E477+D477</f>
        <v>346.92371999999995</v>
      </c>
      <c r="G477" s="60">
        <v>0</v>
      </c>
      <c r="H477" s="60">
        <f>F477*1.45+G477</f>
        <v>503.0393939999999</v>
      </c>
      <c r="I477" s="129" t="s">
        <v>61</v>
      </c>
      <c r="J477" s="130"/>
    </row>
    <row r="478" spans="1:10" ht="15.6" x14ac:dyDescent="0.3">
      <c r="A478" s="60">
        <v>181</v>
      </c>
      <c r="B478" s="60">
        <v>7</v>
      </c>
      <c r="C478" s="7" t="s">
        <v>127</v>
      </c>
      <c r="D478" s="60">
        <f>45.87*10.764</f>
        <v>493.74467999999996</v>
      </c>
      <c r="E478" s="60">
        <v>0</v>
      </c>
      <c r="F478" s="60">
        <f>E478+D478</f>
        <v>493.74467999999996</v>
      </c>
      <c r="G478" s="60">
        <v>0</v>
      </c>
      <c r="H478" s="60">
        <f>F478*1.45+G478</f>
        <v>715.92978599999992</v>
      </c>
      <c r="I478" s="129" t="s">
        <v>61</v>
      </c>
      <c r="J478" s="130"/>
    </row>
    <row r="479" spans="1:10" ht="15.6" x14ac:dyDescent="0.3">
      <c r="A479" s="60">
        <v>182</v>
      </c>
      <c r="B479" s="60">
        <v>8</v>
      </c>
      <c r="C479" s="7" t="s">
        <v>127</v>
      </c>
      <c r="D479" s="60">
        <f>45.87*10.764</f>
        <v>493.74467999999996</v>
      </c>
      <c r="E479" s="60">
        <v>0</v>
      </c>
      <c r="F479" s="60">
        <f>E479+D479</f>
        <v>493.74467999999996</v>
      </c>
      <c r="G479" s="60">
        <v>0</v>
      </c>
      <c r="H479" s="60">
        <f>F479*1.45+G479</f>
        <v>715.92978599999992</v>
      </c>
      <c r="I479" s="129" t="s">
        <v>61</v>
      </c>
      <c r="J479" s="130"/>
    </row>
    <row r="480" spans="1:10" ht="15.6" x14ac:dyDescent="0.3">
      <c r="A480" s="111" t="s">
        <v>147</v>
      </c>
      <c r="B480" s="112"/>
      <c r="C480" s="112"/>
      <c r="D480" s="112"/>
      <c r="E480" s="112"/>
      <c r="F480" s="112"/>
      <c r="G480" s="112"/>
      <c r="H480" s="112"/>
      <c r="I480" s="112"/>
      <c r="J480" s="113"/>
    </row>
    <row r="481" spans="1:10" ht="15.6" x14ac:dyDescent="0.3">
      <c r="A481" s="111" t="s">
        <v>137</v>
      </c>
      <c r="B481" s="112"/>
      <c r="C481" s="112"/>
      <c r="D481" s="112"/>
      <c r="E481" s="112"/>
      <c r="F481" s="112"/>
      <c r="G481" s="112"/>
      <c r="H481" s="112"/>
      <c r="I481" s="112"/>
      <c r="J481" s="113"/>
    </row>
    <row r="482" spans="1:10" ht="15.6" x14ac:dyDescent="0.3">
      <c r="A482" s="60">
        <v>183</v>
      </c>
      <c r="B482" s="60">
        <v>1</v>
      </c>
      <c r="C482" s="111" t="s">
        <v>148</v>
      </c>
      <c r="D482" s="112"/>
      <c r="E482" s="112"/>
      <c r="F482" s="112"/>
      <c r="G482" s="112"/>
      <c r="H482" s="112"/>
      <c r="I482" s="112"/>
      <c r="J482" s="113"/>
    </row>
    <row r="483" spans="1:10" ht="15.6" x14ac:dyDescent="0.3">
      <c r="A483" s="60">
        <v>184</v>
      </c>
      <c r="B483" s="60">
        <v>2</v>
      </c>
      <c r="C483" s="111" t="s">
        <v>140</v>
      </c>
      <c r="D483" s="112"/>
      <c r="E483" s="112"/>
      <c r="F483" s="112"/>
      <c r="G483" s="112"/>
      <c r="H483" s="112"/>
      <c r="I483" s="112"/>
      <c r="J483" s="113"/>
    </row>
    <row r="484" spans="1:10" ht="15.6" x14ac:dyDescent="0.3">
      <c r="A484" s="60">
        <v>185</v>
      </c>
      <c r="B484" s="60">
        <v>3</v>
      </c>
      <c r="C484" s="60" t="s">
        <v>127</v>
      </c>
      <c r="D484" s="60">
        <f>45.87*10.764</f>
        <v>493.74467999999996</v>
      </c>
      <c r="E484" s="60">
        <v>0</v>
      </c>
      <c r="F484" s="60">
        <f>E484+D484</f>
        <v>493.74467999999996</v>
      </c>
      <c r="G484" s="60">
        <v>0</v>
      </c>
      <c r="H484" s="60">
        <f>F484*1.45+G484</f>
        <v>715.92978599999992</v>
      </c>
      <c r="I484" s="129" t="s">
        <v>61</v>
      </c>
      <c r="J484" s="130"/>
    </row>
    <row r="485" spans="1:10" ht="15.6" x14ac:dyDescent="0.3">
      <c r="A485" s="60">
        <v>186</v>
      </c>
      <c r="B485" s="60">
        <v>4</v>
      </c>
      <c r="C485" s="60" t="s">
        <v>133</v>
      </c>
      <c r="D485" s="60">
        <f>59.4*10.764</f>
        <v>639.38159999999993</v>
      </c>
      <c r="E485" s="60">
        <v>0</v>
      </c>
      <c r="F485" s="60">
        <f>E485+D485</f>
        <v>639.38159999999993</v>
      </c>
      <c r="G485" s="60">
        <v>0</v>
      </c>
      <c r="H485" s="60">
        <f>F485*1.45+G485</f>
        <v>927.10331999999983</v>
      </c>
      <c r="I485" s="129" t="s">
        <v>61</v>
      </c>
      <c r="J485" s="130"/>
    </row>
    <row r="486" spans="1:10" ht="15.6" x14ac:dyDescent="0.3">
      <c r="A486" s="60">
        <v>187</v>
      </c>
      <c r="B486" s="60">
        <v>5</v>
      </c>
      <c r="C486" s="60" t="s">
        <v>133</v>
      </c>
      <c r="D486" s="60">
        <f>59.4*10.764</f>
        <v>639.38159999999993</v>
      </c>
      <c r="E486" s="60">
        <v>0</v>
      </c>
      <c r="F486" s="60">
        <f>E486+D486</f>
        <v>639.38159999999993</v>
      </c>
      <c r="G486" s="60">
        <v>0</v>
      </c>
      <c r="H486" s="60">
        <f>F486*1.45+G486</f>
        <v>927.10331999999983</v>
      </c>
      <c r="I486" s="129" t="s">
        <v>61</v>
      </c>
      <c r="J486" s="130"/>
    </row>
    <row r="487" spans="1:10" ht="15.6" x14ac:dyDescent="0.3">
      <c r="A487" s="60">
        <v>188</v>
      </c>
      <c r="B487" s="60">
        <v>6</v>
      </c>
      <c r="C487" s="60" t="s">
        <v>127</v>
      </c>
      <c r="D487" s="60">
        <f>45.87*10.764</f>
        <v>493.74467999999996</v>
      </c>
      <c r="E487" s="60">
        <v>0</v>
      </c>
      <c r="F487" s="60">
        <f>E487+D487</f>
        <v>493.74467999999996</v>
      </c>
      <c r="G487" s="60">
        <v>0</v>
      </c>
      <c r="H487" s="60">
        <f>F487*1.45+G487</f>
        <v>715.92978599999992</v>
      </c>
      <c r="I487" s="129" t="s">
        <v>61</v>
      </c>
      <c r="J487" s="130"/>
    </row>
    <row r="488" spans="1:10" ht="15.6" x14ac:dyDescent="0.3">
      <c r="A488" s="111" t="s">
        <v>145</v>
      </c>
      <c r="B488" s="112"/>
      <c r="C488" s="112"/>
      <c r="D488" s="112"/>
      <c r="E488" s="112"/>
      <c r="F488" s="112"/>
      <c r="G488" s="112"/>
      <c r="H488" s="112"/>
      <c r="I488" s="112"/>
      <c r="J488" s="113"/>
    </row>
    <row r="489" spans="1:10" ht="15.6" x14ac:dyDescent="0.3">
      <c r="A489" s="60">
        <v>189</v>
      </c>
      <c r="B489" s="60">
        <v>3</v>
      </c>
      <c r="C489" s="60" t="s">
        <v>149</v>
      </c>
      <c r="D489" s="60">
        <f>45.87*10.764</f>
        <v>493.74467999999996</v>
      </c>
      <c r="E489" s="60">
        <v>0</v>
      </c>
      <c r="F489" s="60">
        <f>E489+D489</f>
        <v>493.74467999999996</v>
      </c>
      <c r="G489" s="60">
        <v>0</v>
      </c>
      <c r="H489" s="60">
        <f>F489*1.45+G489</f>
        <v>715.92978599999992</v>
      </c>
      <c r="I489" s="129" t="s">
        <v>61</v>
      </c>
      <c r="J489" s="130"/>
    </row>
    <row r="490" spans="1:10" ht="15.6" x14ac:dyDescent="0.3">
      <c r="A490" s="60">
        <v>190</v>
      </c>
      <c r="B490" s="60">
        <v>4</v>
      </c>
      <c r="C490" s="60" t="s">
        <v>150</v>
      </c>
      <c r="D490" s="60">
        <f>59.4*10.764</f>
        <v>639.38159999999993</v>
      </c>
      <c r="E490" s="60">
        <v>0</v>
      </c>
      <c r="F490" s="60">
        <f>D490+E490</f>
        <v>639.38159999999993</v>
      </c>
      <c r="G490" s="60">
        <v>0</v>
      </c>
      <c r="H490" s="60">
        <f>F490*1.45+G490</f>
        <v>927.10331999999983</v>
      </c>
      <c r="I490" s="129" t="s">
        <v>61</v>
      </c>
      <c r="J490" s="130"/>
    </row>
    <row r="491" spans="1:10" ht="15.6" x14ac:dyDescent="0.3">
      <c r="A491" s="60">
        <v>191</v>
      </c>
      <c r="B491" s="60">
        <v>5</v>
      </c>
      <c r="C491" s="60" t="s">
        <v>150</v>
      </c>
      <c r="D491" s="60">
        <f>59.4*10.764</f>
        <v>639.38159999999993</v>
      </c>
      <c r="E491" s="60">
        <v>0</v>
      </c>
      <c r="F491" s="60">
        <f>D491+E491</f>
        <v>639.38159999999993</v>
      </c>
      <c r="G491" s="60">
        <v>0</v>
      </c>
      <c r="H491" s="60">
        <f>F491*1.45+G491</f>
        <v>927.10331999999983</v>
      </c>
      <c r="I491" s="129" t="s">
        <v>61</v>
      </c>
      <c r="J491" s="130"/>
    </row>
    <row r="492" spans="1:10" ht="15.6" x14ac:dyDescent="0.3">
      <c r="A492" s="60">
        <v>192</v>
      </c>
      <c r="B492" s="60">
        <v>6</v>
      </c>
      <c r="C492" s="60" t="s">
        <v>149</v>
      </c>
      <c r="D492" s="60">
        <f>45.87*10.764</f>
        <v>493.74467999999996</v>
      </c>
      <c r="E492" s="60">
        <v>0</v>
      </c>
      <c r="F492" s="60">
        <f>E492+D492</f>
        <v>493.74467999999996</v>
      </c>
      <c r="G492" s="60">
        <v>0</v>
      </c>
      <c r="H492" s="60">
        <f>F492*1.45+G492</f>
        <v>715.92978599999992</v>
      </c>
      <c r="I492" s="129" t="s">
        <v>61</v>
      </c>
      <c r="J492" s="130"/>
    </row>
    <row r="493" spans="1:10" ht="15.6" x14ac:dyDescent="0.3">
      <c r="A493" s="111" t="s">
        <v>151</v>
      </c>
      <c r="B493" s="140"/>
      <c r="C493" s="140"/>
      <c r="D493" s="140"/>
      <c r="E493" s="140"/>
      <c r="F493" s="140"/>
      <c r="G493" s="140"/>
      <c r="H493" s="140"/>
      <c r="I493" s="140"/>
      <c r="J493" s="122"/>
    </row>
    <row r="494" spans="1:10" ht="15.6" x14ac:dyDescent="0.3">
      <c r="A494" s="60">
        <v>193</v>
      </c>
      <c r="B494" s="60">
        <v>1</v>
      </c>
      <c r="C494" s="60" t="s">
        <v>152</v>
      </c>
      <c r="D494" s="60">
        <f>32.23*10.764</f>
        <v>346.92371999999995</v>
      </c>
      <c r="E494" s="60">
        <v>0</v>
      </c>
      <c r="F494" s="60">
        <f t="shared" ref="F494:F499" si="8">D494+E494</f>
        <v>346.92371999999995</v>
      </c>
      <c r="G494" s="60">
        <v>0</v>
      </c>
      <c r="H494" s="60">
        <f>F494*1.45+G494</f>
        <v>503.0393939999999</v>
      </c>
      <c r="I494" s="129" t="s">
        <v>61</v>
      </c>
      <c r="J494" s="130"/>
    </row>
    <row r="495" spans="1:10" ht="15.6" x14ac:dyDescent="0.3">
      <c r="A495" s="60">
        <v>194</v>
      </c>
      <c r="B495" s="60">
        <v>2</v>
      </c>
      <c r="C495" s="60" t="s">
        <v>152</v>
      </c>
      <c r="D495" s="60">
        <f>32.23*10.764</f>
        <v>346.92371999999995</v>
      </c>
      <c r="E495" s="60">
        <v>0</v>
      </c>
      <c r="F495" s="60">
        <f t="shared" si="8"/>
        <v>346.92371999999995</v>
      </c>
      <c r="G495" s="60">
        <v>0</v>
      </c>
      <c r="H495" s="60">
        <f t="shared" ref="H495:H506" si="9">F495*1.45+G495</f>
        <v>503.0393939999999</v>
      </c>
      <c r="I495" s="129" t="s">
        <v>61</v>
      </c>
      <c r="J495" s="130"/>
    </row>
    <row r="496" spans="1:10" ht="15.6" x14ac:dyDescent="0.3">
      <c r="A496" s="60">
        <v>195</v>
      </c>
      <c r="B496" s="60">
        <v>3</v>
      </c>
      <c r="C496" s="60" t="s">
        <v>149</v>
      </c>
      <c r="D496" s="60">
        <f>45.87*10.764</f>
        <v>493.74467999999996</v>
      </c>
      <c r="E496" s="60">
        <v>0</v>
      </c>
      <c r="F496" s="60">
        <f t="shared" si="8"/>
        <v>493.74467999999996</v>
      </c>
      <c r="G496" s="60">
        <v>0</v>
      </c>
      <c r="H496" s="60">
        <f t="shared" si="9"/>
        <v>715.92978599999992</v>
      </c>
      <c r="I496" s="129" t="s">
        <v>61</v>
      </c>
      <c r="J496" s="130"/>
    </row>
    <row r="497" spans="1:12" ht="15.6" x14ac:dyDescent="0.3">
      <c r="A497" s="60">
        <v>196</v>
      </c>
      <c r="B497" s="60">
        <v>4</v>
      </c>
      <c r="C497" s="60" t="s">
        <v>150</v>
      </c>
      <c r="D497" s="60">
        <f>59.4*10.764</f>
        <v>639.38159999999993</v>
      </c>
      <c r="E497" s="60">
        <v>0</v>
      </c>
      <c r="F497" s="60">
        <f t="shared" si="8"/>
        <v>639.38159999999993</v>
      </c>
      <c r="G497" s="60">
        <v>0</v>
      </c>
      <c r="H497" s="60">
        <f t="shared" si="9"/>
        <v>927.10331999999983</v>
      </c>
      <c r="I497" s="129" t="s">
        <v>61</v>
      </c>
      <c r="J497" s="130"/>
    </row>
    <row r="498" spans="1:12" ht="15.6" x14ac:dyDescent="0.3">
      <c r="A498" s="60">
        <v>197</v>
      </c>
      <c r="B498" s="60">
        <v>5</v>
      </c>
      <c r="C498" s="60" t="s">
        <v>150</v>
      </c>
      <c r="D498" s="60">
        <f>59.4*10.764</f>
        <v>639.38159999999993</v>
      </c>
      <c r="E498" s="60">
        <v>0</v>
      </c>
      <c r="F498" s="60">
        <f t="shared" si="8"/>
        <v>639.38159999999993</v>
      </c>
      <c r="G498" s="60">
        <v>0</v>
      </c>
      <c r="H498" s="60">
        <f t="shared" si="9"/>
        <v>927.10331999999983</v>
      </c>
      <c r="I498" s="129" t="s">
        <v>61</v>
      </c>
      <c r="J498" s="130"/>
    </row>
    <row r="499" spans="1:12" ht="15.6" x14ac:dyDescent="0.3">
      <c r="A499" s="60">
        <v>198</v>
      </c>
      <c r="B499" s="60">
        <v>6</v>
      </c>
      <c r="C499" s="60" t="s">
        <v>149</v>
      </c>
      <c r="D499" s="60">
        <f>45.87*10.764</f>
        <v>493.74467999999996</v>
      </c>
      <c r="E499" s="60">
        <v>0</v>
      </c>
      <c r="F499" s="60">
        <f t="shared" si="8"/>
        <v>493.74467999999996</v>
      </c>
      <c r="G499" s="60">
        <v>0</v>
      </c>
      <c r="H499" s="60">
        <f t="shared" si="9"/>
        <v>715.92978599999992</v>
      </c>
      <c r="I499" s="129" t="s">
        <v>61</v>
      </c>
      <c r="J499" s="130"/>
      <c r="L499">
        <f>25000000/H499</f>
        <v>34919.625484055505</v>
      </c>
    </row>
    <row r="500" spans="1:12" ht="15.6" x14ac:dyDescent="0.3">
      <c r="A500" s="111" t="s">
        <v>134</v>
      </c>
      <c r="B500" s="112"/>
      <c r="C500" s="112"/>
      <c r="D500" s="112"/>
      <c r="E500" s="112"/>
      <c r="F500" s="112"/>
      <c r="G500" s="112"/>
      <c r="H500" s="112"/>
      <c r="I500" s="112"/>
      <c r="J500" s="113"/>
    </row>
    <row r="501" spans="1:12" ht="15.6" x14ac:dyDescent="0.3">
      <c r="A501" s="60">
        <v>199</v>
      </c>
      <c r="B501" s="60">
        <v>1</v>
      </c>
      <c r="C501" s="60" t="s">
        <v>152</v>
      </c>
      <c r="D501" s="60">
        <f>32.23*10.764</f>
        <v>346.92371999999995</v>
      </c>
      <c r="E501" s="60">
        <v>0</v>
      </c>
      <c r="F501" s="60">
        <f>D501+E501</f>
        <v>346.92371999999995</v>
      </c>
      <c r="G501" s="60">
        <v>0</v>
      </c>
      <c r="H501" s="60">
        <f t="shared" si="9"/>
        <v>503.0393939999999</v>
      </c>
      <c r="I501" s="129" t="s">
        <v>61</v>
      </c>
      <c r="J501" s="130"/>
    </row>
    <row r="502" spans="1:12" ht="15.6" x14ac:dyDescent="0.3">
      <c r="A502" s="60">
        <v>200</v>
      </c>
      <c r="B502" s="60">
        <v>2</v>
      </c>
      <c r="C502" s="123" t="s">
        <v>135</v>
      </c>
      <c r="D502" s="124"/>
      <c r="E502" s="124"/>
      <c r="F502" s="124"/>
      <c r="G502" s="124"/>
      <c r="H502" s="124"/>
      <c r="I502" s="124"/>
      <c r="J502" s="125"/>
    </row>
    <row r="503" spans="1:12" ht="15.6" x14ac:dyDescent="0.3">
      <c r="A503" s="60">
        <v>201</v>
      </c>
      <c r="B503" s="60">
        <v>3</v>
      </c>
      <c r="C503" s="126"/>
      <c r="D503" s="127"/>
      <c r="E503" s="127"/>
      <c r="F503" s="127"/>
      <c r="G503" s="127"/>
      <c r="H503" s="127"/>
      <c r="I503" s="127"/>
      <c r="J503" s="128"/>
    </row>
    <row r="504" spans="1:12" ht="15.6" x14ac:dyDescent="0.3">
      <c r="A504" s="60">
        <v>202</v>
      </c>
      <c r="B504" s="60">
        <v>4</v>
      </c>
      <c r="C504" s="60" t="s">
        <v>150</v>
      </c>
      <c r="D504" s="60">
        <f>59.4*10.764</f>
        <v>639.38159999999993</v>
      </c>
      <c r="E504" s="60">
        <v>0</v>
      </c>
      <c r="F504" s="60">
        <f>D504+E504</f>
        <v>639.38159999999993</v>
      </c>
      <c r="G504" s="60">
        <v>0</v>
      </c>
      <c r="H504" s="60">
        <f t="shared" si="9"/>
        <v>927.10331999999983</v>
      </c>
      <c r="I504" s="129" t="s">
        <v>61</v>
      </c>
      <c r="J504" s="130"/>
    </row>
    <row r="505" spans="1:12" ht="15.6" x14ac:dyDescent="0.3">
      <c r="A505" s="60">
        <v>203</v>
      </c>
      <c r="B505" s="60">
        <v>5</v>
      </c>
      <c r="C505" s="60" t="s">
        <v>150</v>
      </c>
      <c r="D505" s="60">
        <f>59.4*10.764</f>
        <v>639.38159999999993</v>
      </c>
      <c r="E505" s="60">
        <v>0</v>
      </c>
      <c r="F505" s="60">
        <f>D505+E505</f>
        <v>639.38159999999993</v>
      </c>
      <c r="G505" s="60">
        <v>0</v>
      </c>
      <c r="H505" s="60">
        <f t="shared" si="9"/>
        <v>927.10331999999983</v>
      </c>
      <c r="I505" s="129" t="s">
        <v>61</v>
      </c>
      <c r="J505" s="130"/>
    </row>
    <row r="506" spans="1:12" ht="15.6" x14ac:dyDescent="0.3">
      <c r="A506" s="60">
        <v>204</v>
      </c>
      <c r="B506" s="60">
        <v>6</v>
      </c>
      <c r="C506" s="60" t="s">
        <v>149</v>
      </c>
      <c r="D506" s="60">
        <f>45.87*10.764</f>
        <v>493.74467999999996</v>
      </c>
      <c r="E506" s="60">
        <v>0</v>
      </c>
      <c r="F506" s="60">
        <f>D506+E506</f>
        <v>493.74467999999996</v>
      </c>
      <c r="G506" s="60">
        <v>0</v>
      </c>
      <c r="H506" s="60">
        <f t="shared" si="9"/>
        <v>715.92978599999992</v>
      </c>
      <c r="I506" s="129" t="s">
        <v>61</v>
      </c>
      <c r="J506" s="130"/>
    </row>
    <row r="507" spans="1:12" ht="15.6" x14ac:dyDescent="0.3">
      <c r="A507" s="111" t="s">
        <v>136</v>
      </c>
      <c r="B507" s="112"/>
      <c r="C507" s="112"/>
      <c r="D507" s="112"/>
      <c r="E507" s="112"/>
      <c r="F507" s="112"/>
      <c r="G507" s="112"/>
      <c r="H507" s="112"/>
      <c r="I507" s="112"/>
      <c r="J507" s="113"/>
    </row>
    <row r="508" spans="1:12" ht="15.6" x14ac:dyDescent="0.3">
      <c r="A508" s="60">
        <v>205</v>
      </c>
      <c r="B508" s="60">
        <v>1</v>
      </c>
      <c r="C508" s="60" t="s">
        <v>152</v>
      </c>
      <c r="D508" s="60">
        <f>32.23*10.764</f>
        <v>346.92371999999995</v>
      </c>
      <c r="E508" s="60">
        <v>0</v>
      </c>
      <c r="F508" s="60">
        <f>D508+E508</f>
        <v>346.92371999999995</v>
      </c>
      <c r="G508" s="60">
        <v>0</v>
      </c>
      <c r="H508" s="60">
        <f>F508*1.45+G508</f>
        <v>503.0393939999999</v>
      </c>
      <c r="I508" s="129" t="s">
        <v>61</v>
      </c>
      <c r="J508" s="130"/>
    </row>
    <row r="509" spans="1:12" ht="15.6" x14ac:dyDescent="0.3">
      <c r="A509" s="60">
        <v>206</v>
      </c>
      <c r="B509" s="60">
        <v>2</v>
      </c>
      <c r="C509" s="60" t="s">
        <v>152</v>
      </c>
      <c r="D509" s="60">
        <f>32.23*10.764</f>
        <v>346.92371999999995</v>
      </c>
      <c r="E509" s="60">
        <v>0</v>
      </c>
      <c r="F509" s="60">
        <f>D509+E509</f>
        <v>346.92371999999995</v>
      </c>
      <c r="G509" s="60">
        <v>0</v>
      </c>
      <c r="H509" s="60">
        <f>F509*1.45+G509</f>
        <v>503.0393939999999</v>
      </c>
      <c r="I509" s="129" t="s">
        <v>61</v>
      </c>
      <c r="J509" s="130"/>
    </row>
    <row r="510" spans="1:12" ht="15.6" x14ac:dyDescent="0.3">
      <c r="A510" s="60">
        <v>207</v>
      </c>
      <c r="B510" s="60">
        <v>3</v>
      </c>
      <c r="C510" s="111" t="s">
        <v>135</v>
      </c>
      <c r="D510" s="112"/>
      <c r="E510" s="112"/>
      <c r="F510" s="112"/>
      <c r="G510" s="112"/>
      <c r="H510" s="112"/>
      <c r="I510" s="112"/>
      <c r="J510" s="113"/>
    </row>
    <row r="511" spans="1:12" ht="15.6" x14ac:dyDescent="0.3">
      <c r="A511" s="60">
        <v>208</v>
      </c>
      <c r="B511" s="60">
        <v>4</v>
      </c>
      <c r="C511" s="60" t="s">
        <v>150</v>
      </c>
      <c r="D511" s="60">
        <f>59.4*10.764</f>
        <v>639.38159999999993</v>
      </c>
      <c r="E511" s="60">
        <v>0</v>
      </c>
      <c r="F511" s="60">
        <f>D511+E511</f>
        <v>639.38159999999993</v>
      </c>
      <c r="G511" s="60">
        <v>0</v>
      </c>
      <c r="H511" s="60">
        <f>F511*1.45+G511</f>
        <v>927.10331999999983</v>
      </c>
      <c r="I511" s="129" t="s">
        <v>61</v>
      </c>
      <c r="J511" s="130"/>
    </row>
    <row r="512" spans="1:12" ht="15.6" x14ac:dyDescent="0.3">
      <c r="A512" s="60">
        <v>209</v>
      </c>
      <c r="B512" s="60">
        <v>5</v>
      </c>
      <c r="C512" s="60" t="s">
        <v>150</v>
      </c>
      <c r="D512" s="60">
        <f>59.4*10.764</f>
        <v>639.38159999999993</v>
      </c>
      <c r="E512" s="60">
        <v>0</v>
      </c>
      <c r="F512" s="60">
        <f>D512+E512</f>
        <v>639.38159999999993</v>
      </c>
      <c r="G512" s="60">
        <v>0</v>
      </c>
      <c r="H512" s="60">
        <f>F512*1.45+G512</f>
        <v>927.10331999999983</v>
      </c>
      <c r="I512" s="129" t="s">
        <v>61</v>
      </c>
      <c r="J512" s="130"/>
    </row>
    <row r="513" spans="1:10" ht="15.6" x14ac:dyDescent="0.3">
      <c r="A513" s="60">
        <v>210</v>
      </c>
      <c r="B513" s="60">
        <v>6</v>
      </c>
      <c r="C513" s="60" t="s">
        <v>149</v>
      </c>
      <c r="D513" s="60">
        <f>45.87*10.764</f>
        <v>493.74467999999996</v>
      </c>
      <c r="E513" s="60">
        <v>0</v>
      </c>
      <c r="F513" s="60">
        <f>D513+E513</f>
        <v>493.74467999999996</v>
      </c>
      <c r="G513" s="60">
        <v>0</v>
      </c>
      <c r="H513" s="60">
        <f>F513*1.45+G513</f>
        <v>715.92978599999992</v>
      </c>
      <c r="I513" s="129" t="s">
        <v>61</v>
      </c>
      <c r="J513" s="130"/>
    </row>
    <row r="514" spans="1:10" ht="15.6" x14ac:dyDescent="0.3">
      <c r="A514" s="111" t="s">
        <v>155</v>
      </c>
      <c r="B514" s="112"/>
      <c r="C514" s="112"/>
      <c r="D514" s="112"/>
      <c r="E514" s="112"/>
      <c r="F514" s="112"/>
      <c r="G514" s="112"/>
      <c r="H514" s="112"/>
      <c r="I514" s="112"/>
      <c r="J514" s="113"/>
    </row>
    <row r="515" spans="1:10" ht="15.6" x14ac:dyDescent="0.3">
      <c r="A515" s="111" t="s">
        <v>137</v>
      </c>
      <c r="B515" s="112"/>
      <c r="C515" s="112"/>
      <c r="D515" s="112"/>
      <c r="E515" s="112"/>
      <c r="F515" s="112"/>
      <c r="G515" s="112"/>
      <c r="H515" s="112"/>
      <c r="I515" s="112"/>
      <c r="J515" s="113"/>
    </row>
    <row r="516" spans="1:10" ht="15.6" x14ac:dyDescent="0.3">
      <c r="A516" s="60">
        <v>211</v>
      </c>
      <c r="B516" s="60">
        <v>2</v>
      </c>
      <c r="C516" s="60" t="s">
        <v>149</v>
      </c>
      <c r="D516" s="60">
        <f>43.09*10.764</f>
        <v>463.82076000000001</v>
      </c>
      <c r="E516" s="60">
        <v>0</v>
      </c>
      <c r="F516" s="60">
        <f>D516+E516</f>
        <v>463.82076000000001</v>
      </c>
      <c r="G516" s="60">
        <v>0</v>
      </c>
      <c r="H516" s="60">
        <f>F516*1.45+G516</f>
        <v>672.54010199999993</v>
      </c>
      <c r="I516" s="129" t="s">
        <v>61</v>
      </c>
      <c r="J516" s="130"/>
    </row>
    <row r="517" spans="1:10" ht="15.6" x14ac:dyDescent="0.3">
      <c r="A517" s="60">
        <v>212</v>
      </c>
      <c r="B517" s="60">
        <v>3</v>
      </c>
      <c r="C517" s="111" t="s">
        <v>140</v>
      </c>
      <c r="D517" s="112"/>
      <c r="E517" s="112"/>
      <c r="F517" s="112"/>
      <c r="G517" s="112"/>
      <c r="H517" s="112"/>
      <c r="I517" s="112"/>
      <c r="J517" s="113"/>
    </row>
    <row r="518" spans="1:10" ht="15.6" x14ac:dyDescent="0.3">
      <c r="A518" s="111" t="s">
        <v>154</v>
      </c>
      <c r="B518" s="112"/>
      <c r="C518" s="112"/>
      <c r="D518" s="112"/>
      <c r="E518" s="112"/>
      <c r="F518" s="112"/>
      <c r="G518" s="112"/>
      <c r="H518" s="112"/>
      <c r="I518" s="112"/>
      <c r="J518" s="113"/>
    </row>
    <row r="519" spans="1:10" ht="15.6" x14ac:dyDescent="0.3">
      <c r="A519" s="60">
        <v>213</v>
      </c>
      <c r="B519" s="60">
        <v>2</v>
      </c>
      <c r="C519" s="60" t="s">
        <v>149</v>
      </c>
      <c r="D519" s="60">
        <f>43.09*10.764</f>
        <v>463.82076000000001</v>
      </c>
      <c r="E519" s="60">
        <v>0</v>
      </c>
      <c r="F519" s="60">
        <f>D519+E519</f>
        <v>463.82076000000001</v>
      </c>
      <c r="G519" s="60">
        <v>0</v>
      </c>
      <c r="H519" s="60">
        <f>F519*1.45+G519</f>
        <v>672.54010199999993</v>
      </c>
      <c r="I519" s="121" t="s">
        <v>61</v>
      </c>
      <c r="J519" s="122"/>
    </row>
    <row r="520" spans="1:10" ht="15.6" x14ac:dyDescent="0.3">
      <c r="A520" s="60">
        <v>214</v>
      </c>
      <c r="B520" s="60">
        <v>3</v>
      </c>
      <c r="C520" s="60" t="s">
        <v>149</v>
      </c>
      <c r="D520" s="60">
        <f>43.09*10.764</f>
        <v>463.82076000000001</v>
      </c>
      <c r="E520" s="60">
        <v>0</v>
      </c>
      <c r="F520" s="60">
        <f>D520+E520</f>
        <v>463.82076000000001</v>
      </c>
      <c r="G520" s="60">
        <v>0</v>
      </c>
      <c r="H520" s="60">
        <f>F520*1.45+G520</f>
        <v>672.54010199999993</v>
      </c>
      <c r="I520" s="121" t="s">
        <v>61</v>
      </c>
      <c r="J520" s="122"/>
    </row>
    <row r="521" spans="1:10" ht="15.6" x14ac:dyDescent="0.3">
      <c r="A521" s="111" t="s">
        <v>143</v>
      </c>
      <c r="B521" s="112"/>
      <c r="C521" s="112"/>
      <c r="D521" s="112"/>
      <c r="E521" s="112"/>
      <c r="F521" s="112"/>
      <c r="G521" s="112"/>
      <c r="H521" s="112"/>
      <c r="I521" s="112"/>
      <c r="J521" s="113"/>
    </row>
    <row r="522" spans="1:10" ht="15.6" x14ac:dyDescent="0.3">
      <c r="A522" s="60">
        <v>215</v>
      </c>
      <c r="B522" s="60">
        <v>1</v>
      </c>
      <c r="C522" s="60" t="s">
        <v>150</v>
      </c>
      <c r="D522" s="60">
        <f>61.02*10.764</f>
        <v>656.81928000000005</v>
      </c>
      <c r="E522" s="60">
        <v>0</v>
      </c>
      <c r="F522" s="60">
        <f>D522+E522</f>
        <v>656.81928000000005</v>
      </c>
      <c r="G522" s="60">
        <v>0</v>
      </c>
      <c r="H522" s="60">
        <f>F522*1.45+G522</f>
        <v>952.38795600000003</v>
      </c>
      <c r="I522" s="121" t="s">
        <v>61</v>
      </c>
      <c r="J522" s="122"/>
    </row>
    <row r="523" spans="1:10" ht="15.6" x14ac:dyDescent="0.3">
      <c r="A523" s="60">
        <v>216</v>
      </c>
      <c r="B523" s="60">
        <v>2</v>
      </c>
      <c r="C523" s="60" t="s">
        <v>149</v>
      </c>
      <c r="D523" s="60">
        <f>43.09*10.764</f>
        <v>463.82076000000001</v>
      </c>
      <c r="E523" s="60">
        <v>0</v>
      </c>
      <c r="F523" s="60">
        <f>D523+E523</f>
        <v>463.82076000000001</v>
      </c>
      <c r="G523" s="60">
        <v>0</v>
      </c>
      <c r="H523" s="60">
        <f>F523*1.45+G523</f>
        <v>672.54010199999993</v>
      </c>
      <c r="I523" s="121" t="s">
        <v>61</v>
      </c>
      <c r="J523" s="122"/>
    </row>
    <row r="524" spans="1:10" ht="15.6" x14ac:dyDescent="0.3">
      <c r="A524" s="60">
        <v>217</v>
      </c>
      <c r="B524" s="60">
        <v>3</v>
      </c>
      <c r="C524" s="60" t="s">
        <v>149</v>
      </c>
      <c r="D524" s="60">
        <f>43.09*10.764</f>
        <v>463.82076000000001</v>
      </c>
      <c r="E524" s="60">
        <v>0</v>
      </c>
      <c r="F524" s="60">
        <f>D524+E524</f>
        <v>463.82076000000001</v>
      </c>
      <c r="G524" s="60">
        <v>0</v>
      </c>
      <c r="H524" s="60">
        <f>F524*1.45+G524</f>
        <v>672.54010199999993</v>
      </c>
      <c r="I524" s="121" t="s">
        <v>61</v>
      </c>
      <c r="J524" s="122"/>
    </row>
    <row r="525" spans="1:10" ht="15.6" x14ac:dyDescent="0.3">
      <c r="A525" s="60">
        <v>218</v>
      </c>
      <c r="B525" s="60">
        <v>4</v>
      </c>
      <c r="C525" s="60" t="s">
        <v>149</v>
      </c>
      <c r="D525" s="60">
        <f>43.09*10.764</f>
        <v>463.82076000000001</v>
      </c>
      <c r="E525" s="60">
        <v>0</v>
      </c>
      <c r="F525" s="60">
        <f>D525+E525</f>
        <v>463.82076000000001</v>
      </c>
      <c r="G525" s="60">
        <v>0</v>
      </c>
      <c r="H525" s="60">
        <f>F525*1.45+G525</f>
        <v>672.54010199999993</v>
      </c>
      <c r="I525" s="121" t="s">
        <v>61</v>
      </c>
      <c r="J525" s="122"/>
    </row>
    <row r="526" spans="1:10" ht="15.6" x14ac:dyDescent="0.3">
      <c r="A526" s="111" t="s">
        <v>134</v>
      </c>
      <c r="B526" s="112"/>
      <c r="C526" s="112"/>
      <c r="D526" s="112"/>
      <c r="E526" s="112"/>
      <c r="F526" s="112"/>
      <c r="G526" s="112"/>
      <c r="H526" s="112"/>
      <c r="I526" s="112"/>
      <c r="J526" s="113"/>
    </row>
    <row r="527" spans="1:10" ht="15.6" x14ac:dyDescent="0.3">
      <c r="A527" s="60">
        <v>219</v>
      </c>
      <c r="B527" s="60">
        <v>1</v>
      </c>
      <c r="C527" s="60" t="s">
        <v>150</v>
      </c>
      <c r="D527" s="60">
        <f>61.02*10.764</f>
        <v>656.81928000000005</v>
      </c>
      <c r="E527" s="60">
        <v>0</v>
      </c>
      <c r="F527" s="60">
        <f>D527+E527</f>
        <v>656.81928000000005</v>
      </c>
      <c r="G527" s="60">
        <v>0</v>
      </c>
      <c r="H527" s="60">
        <f>F527*1.45+G527</f>
        <v>952.38795600000003</v>
      </c>
      <c r="I527" s="121" t="s">
        <v>61</v>
      </c>
      <c r="J527" s="122"/>
    </row>
    <row r="528" spans="1:10" ht="15.6" x14ac:dyDescent="0.3">
      <c r="A528" s="60">
        <v>220</v>
      </c>
      <c r="B528" s="60">
        <v>2</v>
      </c>
      <c r="C528" s="60" t="s">
        <v>149</v>
      </c>
      <c r="D528" s="60">
        <f>43.09*10.764</f>
        <v>463.82076000000001</v>
      </c>
      <c r="E528" s="60">
        <v>0</v>
      </c>
      <c r="F528" s="60">
        <f>D528+E528</f>
        <v>463.82076000000001</v>
      </c>
      <c r="G528" s="60">
        <v>0</v>
      </c>
      <c r="H528" s="60">
        <f>F528*1.45+G528</f>
        <v>672.54010199999993</v>
      </c>
      <c r="I528" s="121" t="s">
        <v>61</v>
      </c>
      <c r="J528" s="122"/>
    </row>
    <row r="529" spans="1:10" ht="15.6" x14ac:dyDescent="0.3">
      <c r="A529" s="60">
        <v>221</v>
      </c>
      <c r="B529" s="60">
        <v>3</v>
      </c>
      <c r="C529" s="111" t="s">
        <v>135</v>
      </c>
      <c r="D529" s="112"/>
      <c r="E529" s="112"/>
      <c r="F529" s="112"/>
      <c r="G529" s="112"/>
      <c r="H529" s="112"/>
      <c r="I529" s="112"/>
      <c r="J529" s="113"/>
    </row>
    <row r="530" spans="1:10" ht="15.6" x14ac:dyDescent="0.3">
      <c r="A530" s="60">
        <v>222</v>
      </c>
      <c r="B530" s="60">
        <v>4</v>
      </c>
      <c r="C530" s="60" t="s">
        <v>149</v>
      </c>
      <c r="D530" s="60">
        <f>43.09*10.764</f>
        <v>463.82076000000001</v>
      </c>
      <c r="E530" s="60">
        <v>0</v>
      </c>
      <c r="F530" s="60">
        <f>D530+E530</f>
        <v>463.82076000000001</v>
      </c>
      <c r="G530" s="60">
        <v>0</v>
      </c>
      <c r="H530" s="60">
        <f>F530*1.45+G530</f>
        <v>672.54010199999993</v>
      </c>
      <c r="I530" s="121" t="s">
        <v>61</v>
      </c>
      <c r="J530" s="122"/>
    </row>
    <row r="531" spans="1:10" ht="15.6" x14ac:dyDescent="0.3">
      <c r="A531" s="111" t="s">
        <v>136</v>
      </c>
      <c r="B531" s="112"/>
      <c r="C531" s="112"/>
      <c r="D531" s="112"/>
      <c r="E531" s="112"/>
      <c r="F531" s="112"/>
      <c r="G531" s="112"/>
      <c r="H531" s="112"/>
      <c r="I531" s="112"/>
      <c r="J531" s="113"/>
    </row>
    <row r="532" spans="1:10" ht="15.6" x14ac:dyDescent="0.3">
      <c r="A532" s="60">
        <v>223</v>
      </c>
      <c r="B532" s="60">
        <v>1</v>
      </c>
      <c r="C532" s="60" t="s">
        <v>150</v>
      </c>
      <c r="D532" s="60">
        <f>61.02*10.764</f>
        <v>656.81928000000005</v>
      </c>
      <c r="E532" s="60">
        <v>0</v>
      </c>
      <c r="F532" s="60">
        <f>D532+E532</f>
        <v>656.81928000000005</v>
      </c>
      <c r="G532" s="60">
        <v>0</v>
      </c>
      <c r="H532" s="60">
        <f>F532*1.45+G532</f>
        <v>952.38795600000003</v>
      </c>
      <c r="I532" s="121" t="s">
        <v>61</v>
      </c>
      <c r="J532" s="122"/>
    </row>
    <row r="533" spans="1:10" ht="15.6" x14ac:dyDescent="0.3">
      <c r="A533" s="60">
        <v>224</v>
      </c>
      <c r="B533" s="60">
        <v>2</v>
      </c>
      <c r="C533" s="60" t="s">
        <v>149</v>
      </c>
      <c r="D533" s="60">
        <f>43.09*10.764</f>
        <v>463.82076000000001</v>
      </c>
      <c r="E533" s="60">
        <v>0</v>
      </c>
      <c r="F533" s="60">
        <f>D533+E533</f>
        <v>463.82076000000001</v>
      </c>
      <c r="G533" s="60">
        <v>0</v>
      </c>
      <c r="H533" s="60">
        <f>F533*1.45+G533</f>
        <v>672.54010199999993</v>
      </c>
      <c r="I533" s="121" t="s">
        <v>61</v>
      </c>
      <c r="J533" s="122"/>
    </row>
    <row r="534" spans="1:10" ht="15.6" x14ac:dyDescent="0.3">
      <c r="A534" s="60">
        <v>225</v>
      </c>
      <c r="B534" s="60">
        <v>3</v>
      </c>
      <c r="C534" s="111" t="s">
        <v>135</v>
      </c>
      <c r="D534" s="112"/>
      <c r="E534" s="112"/>
      <c r="F534" s="112"/>
      <c r="G534" s="112"/>
      <c r="H534" s="112"/>
      <c r="I534" s="112"/>
      <c r="J534" s="113"/>
    </row>
    <row r="535" spans="1:10" ht="15.6" x14ac:dyDescent="0.3">
      <c r="A535" s="60">
        <v>226</v>
      </c>
      <c r="B535" s="60">
        <v>4</v>
      </c>
      <c r="C535" s="60" t="s">
        <v>149</v>
      </c>
      <c r="D535" s="60">
        <f>43.09*10.764</f>
        <v>463.82076000000001</v>
      </c>
      <c r="E535" s="60">
        <v>0</v>
      </c>
      <c r="F535" s="60">
        <f>D535+E535</f>
        <v>463.82076000000001</v>
      </c>
      <c r="G535" s="60">
        <v>0</v>
      </c>
      <c r="H535" s="60">
        <f>F535*1.45+G535</f>
        <v>672.54010199999993</v>
      </c>
      <c r="I535" s="121" t="s">
        <v>61</v>
      </c>
      <c r="J535" s="122"/>
    </row>
    <row r="536" spans="1:10" ht="15.6" x14ac:dyDescent="0.3">
      <c r="A536" s="123" t="s">
        <v>153</v>
      </c>
      <c r="B536" s="124"/>
      <c r="C536" s="124"/>
      <c r="D536" s="124"/>
      <c r="E536" s="124"/>
      <c r="F536" s="124"/>
      <c r="G536" s="124"/>
      <c r="H536" s="124"/>
      <c r="I536" s="124"/>
      <c r="J536" s="125"/>
    </row>
    <row r="537" spans="1:10" ht="15.6" x14ac:dyDescent="0.3">
      <c r="A537" s="111" t="s">
        <v>137</v>
      </c>
      <c r="B537" s="112"/>
      <c r="C537" s="112"/>
      <c r="D537" s="112"/>
      <c r="E537" s="112"/>
      <c r="F537" s="112"/>
      <c r="G537" s="112"/>
      <c r="H537" s="112"/>
      <c r="I537" s="112"/>
      <c r="J537" s="113"/>
    </row>
    <row r="538" spans="1:10" ht="15.6" x14ac:dyDescent="0.3">
      <c r="A538" s="60">
        <v>227</v>
      </c>
      <c r="B538" s="60">
        <v>1</v>
      </c>
      <c r="C538" s="60" t="s">
        <v>158</v>
      </c>
      <c r="D538" s="60">
        <f>31.09*10.764</f>
        <v>334.65276</v>
      </c>
      <c r="E538" s="60">
        <v>0</v>
      </c>
      <c r="F538" s="60">
        <f>D538+E538</f>
        <v>334.65276</v>
      </c>
      <c r="G538" s="60">
        <v>0</v>
      </c>
      <c r="H538" s="60">
        <f>F538*1.45+G538</f>
        <v>485.24650199999996</v>
      </c>
      <c r="I538" s="121" t="s">
        <v>61</v>
      </c>
      <c r="J538" s="122"/>
    </row>
    <row r="539" spans="1:10" ht="15.6" x14ac:dyDescent="0.3">
      <c r="A539" s="60">
        <v>228</v>
      </c>
      <c r="B539" s="60">
        <v>2</v>
      </c>
      <c r="C539" s="60" t="s">
        <v>152</v>
      </c>
      <c r="D539" s="60">
        <f>31.09*10.764</f>
        <v>334.65276</v>
      </c>
      <c r="E539" s="60">
        <v>0</v>
      </c>
      <c r="F539" s="60">
        <f>D539+E539</f>
        <v>334.65276</v>
      </c>
      <c r="G539" s="60">
        <v>0</v>
      </c>
      <c r="H539" s="60">
        <f>F539*1.45+G539</f>
        <v>485.24650199999996</v>
      </c>
      <c r="I539" s="121" t="s">
        <v>61</v>
      </c>
      <c r="J539" s="122"/>
    </row>
    <row r="540" spans="1:10" ht="15.6" x14ac:dyDescent="0.3">
      <c r="A540" s="60">
        <v>229</v>
      </c>
      <c r="B540" s="60">
        <v>3</v>
      </c>
      <c r="C540" s="60" t="s">
        <v>156</v>
      </c>
      <c r="D540" s="60">
        <f>43.09*10.764</f>
        <v>463.82076000000001</v>
      </c>
      <c r="E540" s="60">
        <v>0</v>
      </c>
      <c r="F540" s="60">
        <f>D540+E540</f>
        <v>463.82076000000001</v>
      </c>
      <c r="G540" s="60">
        <v>0</v>
      </c>
      <c r="H540" s="60">
        <f>F540*1.45+G540</f>
        <v>672.54010199999993</v>
      </c>
      <c r="I540" s="121" t="s">
        <v>61</v>
      </c>
      <c r="J540" s="122"/>
    </row>
    <row r="541" spans="1:10" ht="15.6" x14ac:dyDescent="0.3">
      <c r="A541" s="60">
        <v>230</v>
      </c>
      <c r="B541" s="60">
        <v>4</v>
      </c>
      <c r="C541" s="111" t="s">
        <v>141</v>
      </c>
      <c r="D541" s="112"/>
      <c r="E541" s="112"/>
      <c r="F541" s="112"/>
      <c r="G541" s="112"/>
      <c r="H541" s="112"/>
      <c r="I541" s="112"/>
      <c r="J541" s="113"/>
    </row>
    <row r="542" spans="1:10" ht="15.6" x14ac:dyDescent="0.3">
      <c r="A542" s="111" t="s">
        <v>157</v>
      </c>
      <c r="B542" s="140"/>
      <c r="C542" s="140"/>
      <c r="D542" s="140"/>
      <c r="E542" s="140"/>
      <c r="F542" s="140"/>
      <c r="G542" s="140"/>
      <c r="H542" s="140"/>
      <c r="I542" s="140"/>
      <c r="J542" s="122"/>
    </row>
    <row r="543" spans="1:10" ht="15.6" x14ac:dyDescent="0.3">
      <c r="A543" s="60">
        <v>231</v>
      </c>
      <c r="B543" s="60">
        <v>1</v>
      </c>
      <c r="C543" s="60" t="s">
        <v>152</v>
      </c>
      <c r="D543" s="60">
        <f>31.09*10.764</f>
        <v>334.65276</v>
      </c>
      <c r="E543" s="60">
        <v>0</v>
      </c>
      <c r="F543" s="60">
        <f>D543+E543</f>
        <v>334.65276</v>
      </c>
      <c r="G543" s="60">
        <v>0</v>
      </c>
      <c r="H543" s="60">
        <f>F543*1.45+G543</f>
        <v>485.24650199999996</v>
      </c>
      <c r="I543" s="121" t="s">
        <v>61</v>
      </c>
      <c r="J543" s="122"/>
    </row>
    <row r="544" spans="1:10" ht="15.6" x14ac:dyDescent="0.3">
      <c r="A544" s="60">
        <v>232</v>
      </c>
      <c r="B544" s="60">
        <v>2</v>
      </c>
      <c r="C544" s="60" t="s">
        <v>152</v>
      </c>
      <c r="D544" s="60">
        <f>31.09*10.764</f>
        <v>334.65276</v>
      </c>
      <c r="E544" s="60">
        <v>0</v>
      </c>
      <c r="F544" s="60">
        <f>D544+E544</f>
        <v>334.65276</v>
      </c>
      <c r="G544" s="60">
        <v>0</v>
      </c>
      <c r="H544" s="60">
        <f>F544*1.45+G544</f>
        <v>485.24650199999996</v>
      </c>
      <c r="I544" s="121" t="s">
        <v>61</v>
      </c>
      <c r="J544" s="122"/>
    </row>
    <row r="545" spans="1:12" ht="15.6" x14ac:dyDescent="0.3">
      <c r="A545" s="60">
        <v>233</v>
      </c>
      <c r="B545" s="60">
        <v>3</v>
      </c>
      <c r="C545" s="60" t="s">
        <v>156</v>
      </c>
      <c r="D545" s="60">
        <f>43.09*10.764</f>
        <v>463.82076000000001</v>
      </c>
      <c r="E545" s="60">
        <v>0</v>
      </c>
      <c r="F545" s="60">
        <f>D545+E545</f>
        <v>463.82076000000001</v>
      </c>
      <c r="G545" s="60">
        <v>0</v>
      </c>
      <c r="H545" s="60">
        <f>F545*1.45+G545</f>
        <v>672.54010199999993</v>
      </c>
      <c r="I545" s="121" t="s">
        <v>61</v>
      </c>
      <c r="J545" s="122"/>
    </row>
    <row r="546" spans="1:12" ht="15.6" x14ac:dyDescent="0.3">
      <c r="A546" s="60">
        <v>234</v>
      </c>
      <c r="B546" s="60">
        <v>4</v>
      </c>
      <c r="C546" s="60" t="s">
        <v>156</v>
      </c>
      <c r="D546" s="60">
        <f>43.09*10.764</f>
        <v>463.82076000000001</v>
      </c>
      <c r="E546" s="60">
        <v>0</v>
      </c>
      <c r="F546" s="60">
        <f>D546+E546</f>
        <v>463.82076000000001</v>
      </c>
      <c r="G546" s="60">
        <v>0</v>
      </c>
      <c r="H546" s="60">
        <f>F546*1.45+G546</f>
        <v>672.54010199999993</v>
      </c>
      <c r="I546" s="121" t="s">
        <v>61</v>
      </c>
      <c r="J546" s="122"/>
    </row>
    <row r="547" spans="1:12" ht="15.6" x14ac:dyDescent="0.3">
      <c r="A547" s="111" t="s">
        <v>139</v>
      </c>
      <c r="B547" s="112"/>
      <c r="C547" s="112"/>
      <c r="D547" s="112"/>
      <c r="E547" s="112"/>
      <c r="F547" s="112"/>
      <c r="G547" s="112"/>
      <c r="H547" s="112"/>
      <c r="I547" s="112"/>
      <c r="J547" s="113"/>
    </row>
    <row r="548" spans="1:12" ht="15.6" x14ac:dyDescent="0.3">
      <c r="A548" s="60">
        <v>235</v>
      </c>
      <c r="B548" s="60">
        <v>1</v>
      </c>
      <c r="C548" s="60" t="s">
        <v>152</v>
      </c>
      <c r="D548" s="60">
        <f>31.09*10.764</f>
        <v>334.65276</v>
      </c>
      <c r="E548" s="60">
        <v>0</v>
      </c>
      <c r="F548" s="60">
        <f>D548+E548</f>
        <v>334.65276</v>
      </c>
      <c r="G548" s="60">
        <v>0</v>
      </c>
      <c r="H548" s="60">
        <f>F548*1.45+G548</f>
        <v>485.24650199999996</v>
      </c>
      <c r="I548" s="121" t="s">
        <v>61</v>
      </c>
      <c r="J548" s="122"/>
    </row>
    <row r="549" spans="1:12" ht="15.6" x14ac:dyDescent="0.3">
      <c r="A549" s="60">
        <v>236</v>
      </c>
      <c r="B549" s="60">
        <v>2</v>
      </c>
      <c r="C549" s="60" t="s">
        <v>152</v>
      </c>
      <c r="D549" s="60">
        <f>31.09*10.764</f>
        <v>334.65276</v>
      </c>
      <c r="E549" s="60">
        <v>0</v>
      </c>
      <c r="F549" s="60">
        <f>D549+E549</f>
        <v>334.65276</v>
      </c>
      <c r="G549" s="60">
        <v>0</v>
      </c>
      <c r="H549" s="60">
        <f>F549*1.45+G549</f>
        <v>485.24650199999996</v>
      </c>
      <c r="I549" s="121" t="s">
        <v>61</v>
      </c>
      <c r="J549" s="122"/>
    </row>
    <row r="550" spans="1:12" ht="15.6" x14ac:dyDescent="0.3">
      <c r="A550" s="60">
        <v>237</v>
      </c>
      <c r="B550" s="60">
        <v>3</v>
      </c>
      <c r="C550" s="60" t="s">
        <v>156</v>
      </c>
      <c r="D550" s="60">
        <f>43.09*10.764</f>
        <v>463.82076000000001</v>
      </c>
      <c r="E550" s="60">
        <v>0</v>
      </c>
      <c r="F550" s="60">
        <f>D550+E550</f>
        <v>463.82076000000001</v>
      </c>
      <c r="G550" s="60">
        <v>0</v>
      </c>
      <c r="H550" s="60">
        <f>F550*1.45+G550</f>
        <v>672.54010199999993</v>
      </c>
      <c r="I550" s="121" t="s">
        <v>61</v>
      </c>
      <c r="J550" s="122"/>
    </row>
    <row r="551" spans="1:12" ht="15.6" x14ac:dyDescent="0.3">
      <c r="A551" s="60">
        <v>238</v>
      </c>
      <c r="B551" s="60">
        <v>4</v>
      </c>
      <c r="C551" s="111" t="s">
        <v>135</v>
      </c>
      <c r="D551" s="112"/>
      <c r="E551" s="112"/>
      <c r="F551" s="112"/>
      <c r="G551" s="112"/>
      <c r="H551" s="112"/>
      <c r="I551" s="112"/>
      <c r="J551" s="113"/>
    </row>
    <row r="552" spans="1:12" ht="17.25" customHeight="1" x14ac:dyDescent="0.3">
      <c r="A552" s="172" t="s">
        <v>331</v>
      </c>
      <c r="B552" s="173"/>
      <c r="C552" s="173"/>
      <c r="D552" s="173"/>
      <c r="E552" s="173"/>
      <c r="F552" s="173"/>
      <c r="G552" s="173"/>
      <c r="H552" s="173"/>
      <c r="I552" s="173"/>
      <c r="J552" s="174"/>
    </row>
    <row r="553" spans="1:12" ht="229.5" customHeight="1" x14ac:dyDescent="0.3">
      <c r="A553" s="175"/>
      <c r="B553" s="176"/>
      <c r="C553" s="176"/>
      <c r="D553" s="176"/>
      <c r="E553" s="176"/>
      <c r="F553" s="176"/>
      <c r="G553" s="176"/>
      <c r="H553" s="176"/>
      <c r="I553" s="176"/>
      <c r="J553" s="177"/>
      <c r="L553" s="10"/>
    </row>
    <row r="554" spans="1:12" x14ac:dyDescent="0.3">
      <c r="A554" s="178" t="s">
        <v>27</v>
      </c>
      <c r="B554" s="170"/>
      <c r="C554" s="170"/>
      <c r="D554" s="170"/>
      <c r="E554" s="170"/>
      <c r="F554" s="170"/>
      <c r="G554" s="170"/>
      <c r="H554" s="170"/>
      <c r="I554" s="170"/>
      <c r="J554" s="171"/>
    </row>
    <row r="555" spans="1:12" x14ac:dyDescent="0.3">
      <c r="A555" s="166" t="s">
        <v>36</v>
      </c>
      <c r="B555" s="167"/>
      <c r="C555" s="167"/>
      <c r="D555" s="167"/>
      <c r="E555" s="167"/>
      <c r="F555" s="167"/>
      <c r="G555" s="167"/>
      <c r="H555" s="167"/>
      <c r="I555" s="167"/>
      <c r="J555" s="168"/>
    </row>
    <row r="556" spans="1:12" x14ac:dyDescent="0.3">
      <c r="A556" s="169" t="s">
        <v>29</v>
      </c>
      <c r="B556" s="170"/>
      <c r="C556" s="170"/>
      <c r="D556" s="170"/>
      <c r="E556" s="170"/>
      <c r="F556" s="170"/>
      <c r="G556" s="170"/>
      <c r="H556" s="170"/>
      <c r="I556" s="170"/>
      <c r="J556" s="171"/>
    </row>
    <row r="557" spans="1:12" x14ac:dyDescent="0.3">
      <c r="A557" s="115" t="s">
        <v>41</v>
      </c>
      <c r="B557" s="116"/>
      <c r="C557" s="116"/>
      <c r="D557" s="116"/>
      <c r="E557" s="116"/>
      <c r="F557" s="116"/>
      <c r="G557" s="116"/>
      <c r="H557" s="116"/>
      <c r="I557" s="116"/>
      <c r="J557" s="117"/>
    </row>
    <row r="558" spans="1:12" ht="16.5" customHeight="1" x14ac:dyDescent="0.3">
      <c r="A558" s="160" t="s">
        <v>69</v>
      </c>
      <c r="B558" s="161"/>
      <c r="C558" s="161"/>
      <c r="D558" s="161"/>
      <c r="E558" s="161"/>
      <c r="F558" s="161"/>
      <c r="G558" s="161"/>
      <c r="H558" s="161"/>
      <c r="I558" s="161"/>
      <c r="J558" s="162"/>
    </row>
    <row r="559" spans="1:12" x14ac:dyDescent="0.3">
      <c r="A559" s="115" t="s">
        <v>42</v>
      </c>
      <c r="B559" s="116"/>
      <c r="C559" s="116"/>
      <c r="D559" s="116"/>
      <c r="E559" s="116"/>
      <c r="F559" s="116"/>
      <c r="G559" s="116"/>
      <c r="H559" s="116"/>
      <c r="I559" s="116"/>
      <c r="J559" s="117"/>
    </row>
    <row r="560" spans="1:12" hidden="1" x14ac:dyDescent="0.3">
      <c r="A560" s="115" t="s">
        <v>43</v>
      </c>
      <c r="B560" s="116"/>
      <c r="C560" s="116"/>
      <c r="D560" s="116"/>
      <c r="E560" s="116"/>
      <c r="F560" s="116"/>
      <c r="G560" s="116"/>
      <c r="H560" s="116"/>
      <c r="I560" s="116"/>
      <c r="J560" s="117"/>
    </row>
    <row r="561" spans="1:16" ht="30.75" hidden="1" customHeight="1" x14ac:dyDescent="0.3">
      <c r="A561" s="118" t="s">
        <v>44</v>
      </c>
      <c r="B561" s="119"/>
      <c r="C561" s="119"/>
      <c r="D561" s="119"/>
      <c r="E561" s="119"/>
      <c r="F561" s="119"/>
      <c r="G561" s="119"/>
      <c r="H561" s="119"/>
      <c r="I561" s="119"/>
      <c r="J561" s="120"/>
    </row>
    <row r="562" spans="1:16" ht="15" customHeight="1" x14ac:dyDescent="0.3">
      <c r="A562" s="150" t="s">
        <v>28</v>
      </c>
      <c r="B562" s="150"/>
      <c r="C562" s="150"/>
      <c r="D562" s="150"/>
      <c r="E562" s="150"/>
      <c r="F562" s="150"/>
      <c r="G562" s="150"/>
      <c r="H562" s="150"/>
      <c r="I562" s="150"/>
      <c r="J562" s="150"/>
    </row>
    <row r="563" spans="1:16" ht="12" customHeight="1" x14ac:dyDescent="0.3">
      <c r="A563" s="150"/>
      <c r="B563" s="150"/>
      <c r="C563" s="150"/>
      <c r="D563" s="150"/>
      <c r="E563" s="150"/>
      <c r="F563" s="150"/>
      <c r="G563" s="150"/>
      <c r="H563" s="150"/>
      <c r="I563" s="150"/>
      <c r="J563" s="150"/>
    </row>
    <row r="564" spans="1:16" x14ac:dyDescent="0.3">
      <c r="A564" s="150"/>
      <c r="B564" s="150"/>
      <c r="C564" s="150"/>
      <c r="D564" s="150"/>
      <c r="E564" s="150"/>
      <c r="F564" s="150"/>
      <c r="G564" s="150"/>
      <c r="H564" s="150"/>
      <c r="I564" s="150"/>
      <c r="J564" s="150"/>
    </row>
    <row r="565" spans="1:16" x14ac:dyDescent="0.3">
      <c r="A565" s="150"/>
      <c r="B565" s="150"/>
      <c r="C565" s="150"/>
      <c r="D565" s="150"/>
      <c r="E565" s="150"/>
      <c r="F565" s="150"/>
      <c r="G565" s="150"/>
      <c r="H565" s="150"/>
      <c r="I565" s="150"/>
      <c r="J565" s="150"/>
    </row>
    <row r="566" spans="1:16" s="82" customFormat="1" x14ac:dyDescent="0.3">
      <c r="A566" s="82" t="s">
        <v>218</v>
      </c>
      <c r="D566" s="82" t="str">
        <f>F8</f>
        <v>Lawns &amp; Beyond</v>
      </c>
      <c r="L566"/>
      <c r="M566"/>
      <c r="N566"/>
      <c r="O566"/>
      <c r="P566"/>
    </row>
    <row r="571" spans="1:16" x14ac:dyDescent="0.3">
      <c r="L571">
        <f>4.01*6.43+3.11*1.67+1.8*0.75+1.95*4.2+1.35*1.52</f>
        <v>42.569999999999993</v>
      </c>
    </row>
    <row r="572" spans="1:16" x14ac:dyDescent="0.3">
      <c r="L572">
        <f>4.01*6.58+4.61*1.52+1.8*0.75+1.95*0.75</f>
        <v>36.205500000000001</v>
      </c>
    </row>
    <row r="573" spans="1:16" x14ac:dyDescent="0.3">
      <c r="L573">
        <f>L571+L572</f>
        <v>78.775499999999994</v>
      </c>
      <c r="M573">
        <f>3.1*1.8</f>
        <v>5.58</v>
      </c>
      <c r="N573">
        <f>L573+M573</f>
        <v>84.355499999999992</v>
      </c>
    </row>
    <row r="608" ht="31.5" customHeight="1" x14ac:dyDescent="0.3"/>
    <row r="614" spans="1:2" x14ac:dyDescent="0.3">
      <c r="A614" s="83" t="s">
        <v>328</v>
      </c>
      <c r="B614" s="83"/>
    </row>
    <row r="615" spans="1:2" x14ac:dyDescent="0.3">
      <c r="A615" s="83"/>
    </row>
    <row r="659" spans="1:1" x14ac:dyDescent="0.3">
      <c r="A659" s="83" t="s">
        <v>219</v>
      </c>
    </row>
  </sheetData>
  <mergeCells count="853">
    <mergeCell ref="A152:J152"/>
    <mergeCell ref="A156:B156"/>
    <mergeCell ref="D156:E156"/>
    <mergeCell ref="F156:G165"/>
    <mergeCell ref="H156:J165"/>
    <mergeCell ref="A157:B157"/>
    <mergeCell ref="D157:E157"/>
    <mergeCell ref="A158:B158"/>
    <mergeCell ref="D158:E158"/>
    <mergeCell ref="A159:B159"/>
    <mergeCell ref="D159:E159"/>
    <mergeCell ref="A160:B160"/>
    <mergeCell ref="D160:E160"/>
    <mergeCell ref="A161:B161"/>
    <mergeCell ref="D161:E161"/>
    <mergeCell ref="A162:B162"/>
    <mergeCell ref="D162:E162"/>
    <mergeCell ref="A163:B163"/>
    <mergeCell ref="D163:E163"/>
    <mergeCell ref="A164:B164"/>
    <mergeCell ref="D164:E164"/>
    <mergeCell ref="A165:B165"/>
    <mergeCell ref="D165:E165"/>
    <mergeCell ref="A153:B153"/>
    <mergeCell ref="D153:E153"/>
    <mergeCell ref="F153:G153"/>
    <mergeCell ref="I153:J153"/>
    <mergeCell ref="A154:B154"/>
    <mergeCell ref="C154:J154"/>
    <mergeCell ref="A155:B155"/>
    <mergeCell ref="D155:E155"/>
    <mergeCell ref="F155:G155"/>
    <mergeCell ref="H155:J155"/>
    <mergeCell ref="A114:B114"/>
    <mergeCell ref="D114:E114"/>
    <mergeCell ref="F114:G123"/>
    <mergeCell ref="H114:J123"/>
    <mergeCell ref="A115:B115"/>
    <mergeCell ref="D115:E115"/>
    <mergeCell ref="A116:B116"/>
    <mergeCell ref="D116:E116"/>
    <mergeCell ref="A117:B117"/>
    <mergeCell ref="D117:E117"/>
    <mergeCell ref="A118:B118"/>
    <mergeCell ref="D118:E118"/>
    <mergeCell ref="A119:B119"/>
    <mergeCell ref="D119:E119"/>
    <mergeCell ref="A120:B120"/>
    <mergeCell ref="D120:E120"/>
    <mergeCell ref="A121:B121"/>
    <mergeCell ref="D121:E121"/>
    <mergeCell ref="A122:B122"/>
    <mergeCell ref="D122:E122"/>
    <mergeCell ref="A123:B123"/>
    <mergeCell ref="D123:E123"/>
    <mergeCell ref="I111:J111"/>
    <mergeCell ref="A112:B112"/>
    <mergeCell ref="C112:J112"/>
    <mergeCell ref="A113:B113"/>
    <mergeCell ref="D113:E113"/>
    <mergeCell ref="F113:G113"/>
    <mergeCell ref="H113:J113"/>
    <mergeCell ref="A110:B110"/>
    <mergeCell ref="C110:J110"/>
    <mergeCell ref="E111:F111"/>
    <mergeCell ref="A100:B100"/>
    <mergeCell ref="D100:E100"/>
    <mergeCell ref="F100:G109"/>
    <mergeCell ref="H100:J109"/>
    <mergeCell ref="A101:B101"/>
    <mergeCell ref="D101:E101"/>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 ref="A97:B97"/>
    <mergeCell ref="D97:E97"/>
    <mergeCell ref="F97:G97"/>
    <mergeCell ref="I97:J97"/>
    <mergeCell ref="A98:B98"/>
    <mergeCell ref="C98:J98"/>
    <mergeCell ref="A99:B99"/>
    <mergeCell ref="D99:E99"/>
    <mergeCell ref="F99:G99"/>
    <mergeCell ref="H99:J99"/>
    <mergeCell ref="A96:J96"/>
    <mergeCell ref="A86:B86"/>
    <mergeCell ref="D86:E86"/>
    <mergeCell ref="F86:G95"/>
    <mergeCell ref="H86:J95"/>
    <mergeCell ref="A87:B87"/>
    <mergeCell ref="D87:E87"/>
    <mergeCell ref="A88:B88"/>
    <mergeCell ref="D88:E88"/>
    <mergeCell ref="A89:B89"/>
    <mergeCell ref="D89:E89"/>
    <mergeCell ref="A90:B90"/>
    <mergeCell ref="D90:E90"/>
    <mergeCell ref="A91:B91"/>
    <mergeCell ref="D91:E91"/>
    <mergeCell ref="A92:B92"/>
    <mergeCell ref="A214:B214"/>
    <mergeCell ref="D214:E214"/>
    <mergeCell ref="F214:G223"/>
    <mergeCell ref="H214:J223"/>
    <mergeCell ref="A215:B215"/>
    <mergeCell ref="D215:E215"/>
    <mergeCell ref="A216:B216"/>
    <mergeCell ref="D216:E216"/>
    <mergeCell ref="A217:B217"/>
    <mergeCell ref="D217:E217"/>
    <mergeCell ref="A223:B223"/>
    <mergeCell ref="D223:E223"/>
    <mergeCell ref="A219:B219"/>
    <mergeCell ref="D219:E219"/>
    <mergeCell ref="A220:B220"/>
    <mergeCell ref="D220:E220"/>
    <mergeCell ref="A221:B221"/>
    <mergeCell ref="D221:E221"/>
    <mergeCell ref="A218:B218"/>
    <mergeCell ref="D218:E218"/>
    <mergeCell ref="A222:B222"/>
    <mergeCell ref="D222:E222"/>
    <mergeCell ref="A210:J210"/>
    <mergeCell ref="A211:B211"/>
    <mergeCell ref="D211:E211"/>
    <mergeCell ref="F211:G211"/>
    <mergeCell ref="I211:J211"/>
    <mergeCell ref="A212:B212"/>
    <mergeCell ref="C212:J212"/>
    <mergeCell ref="A213:B213"/>
    <mergeCell ref="D213:E213"/>
    <mergeCell ref="F213:G213"/>
    <mergeCell ref="H213:J213"/>
    <mergeCell ref="H184:J193"/>
    <mergeCell ref="A185:B185"/>
    <mergeCell ref="D185:E185"/>
    <mergeCell ref="A186:B186"/>
    <mergeCell ref="D186:E186"/>
    <mergeCell ref="A187:B187"/>
    <mergeCell ref="D187:E187"/>
    <mergeCell ref="A188:B188"/>
    <mergeCell ref="D188:E188"/>
    <mergeCell ref="A189:B189"/>
    <mergeCell ref="D189:E189"/>
    <mergeCell ref="A190:B190"/>
    <mergeCell ref="D190:E190"/>
    <mergeCell ref="A191:B191"/>
    <mergeCell ref="D191:E191"/>
    <mergeCell ref="A192:B192"/>
    <mergeCell ref="D192:E192"/>
    <mergeCell ref="A193:B193"/>
    <mergeCell ref="D193:E193"/>
    <mergeCell ref="A128:B128"/>
    <mergeCell ref="D128:E128"/>
    <mergeCell ref="F128:G137"/>
    <mergeCell ref="H128:J137"/>
    <mergeCell ref="A129:B129"/>
    <mergeCell ref="D129:E129"/>
    <mergeCell ref="A130:B130"/>
    <mergeCell ref="D130:E130"/>
    <mergeCell ref="A131:B131"/>
    <mergeCell ref="D131:E131"/>
    <mergeCell ref="A132:B132"/>
    <mergeCell ref="D132:E132"/>
    <mergeCell ref="A133:B133"/>
    <mergeCell ref="D133:E133"/>
    <mergeCell ref="A134:B134"/>
    <mergeCell ref="D134:E134"/>
    <mergeCell ref="A135:B135"/>
    <mergeCell ref="D135:E135"/>
    <mergeCell ref="A136:B136"/>
    <mergeCell ref="D136:E136"/>
    <mergeCell ref="A137:B137"/>
    <mergeCell ref="D137:E137"/>
    <mergeCell ref="A124:J124"/>
    <mergeCell ref="A125:B125"/>
    <mergeCell ref="D125:E125"/>
    <mergeCell ref="F125:G125"/>
    <mergeCell ref="I125:J125"/>
    <mergeCell ref="A126:B126"/>
    <mergeCell ref="C126:J126"/>
    <mergeCell ref="A127:B127"/>
    <mergeCell ref="D127:E127"/>
    <mergeCell ref="F127:G127"/>
    <mergeCell ref="H127:J127"/>
    <mergeCell ref="D66:E66"/>
    <mergeCell ref="D67:E67"/>
    <mergeCell ref="D92:E92"/>
    <mergeCell ref="A93:B93"/>
    <mergeCell ref="D93:E93"/>
    <mergeCell ref="A94:B94"/>
    <mergeCell ref="D94:E94"/>
    <mergeCell ref="A95:B95"/>
    <mergeCell ref="D95:E95"/>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A85:B85"/>
    <mergeCell ref="D85:E85"/>
    <mergeCell ref="F85:G85"/>
    <mergeCell ref="H85:J85"/>
    <mergeCell ref="A68:J68"/>
    <mergeCell ref="A69:B69"/>
    <mergeCell ref="D69:E69"/>
    <mergeCell ref="F69:G69"/>
    <mergeCell ref="I69:J69"/>
    <mergeCell ref="A70:B70"/>
    <mergeCell ref="C70:J70"/>
    <mergeCell ref="A71:B71"/>
    <mergeCell ref="D71:E71"/>
    <mergeCell ref="F71:G71"/>
    <mergeCell ref="H71:J71"/>
    <mergeCell ref="A72:B72"/>
    <mergeCell ref="D72:E72"/>
    <mergeCell ref="F72:G81"/>
    <mergeCell ref="H72:J81"/>
    <mergeCell ref="F83:G83"/>
    <mergeCell ref="I83:J83"/>
    <mergeCell ref="D80:E80"/>
    <mergeCell ref="A81:B81"/>
    <mergeCell ref="D81:E81"/>
    <mergeCell ref="A233:J233"/>
    <mergeCell ref="I543:J543"/>
    <mergeCell ref="I544:J544"/>
    <mergeCell ref="I545:J545"/>
    <mergeCell ref="I532:J532"/>
    <mergeCell ref="I533:J533"/>
    <mergeCell ref="I535:J535"/>
    <mergeCell ref="A537:J537"/>
    <mergeCell ref="C541:J541"/>
    <mergeCell ref="A542:J542"/>
    <mergeCell ref="A536:J536"/>
    <mergeCell ref="G239:J239"/>
    <mergeCell ref="I259:J259"/>
    <mergeCell ref="I260:J260"/>
    <mergeCell ref="I249:J249"/>
    <mergeCell ref="A246:J246"/>
    <mergeCell ref="A247:J247"/>
    <mergeCell ref="A248:J248"/>
    <mergeCell ref="A239:F239"/>
    <mergeCell ref="G235:J235"/>
    <mergeCell ref="A235:F235"/>
    <mergeCell ref="A234:F234"/>
    <mergeCell ref="A245:J245"/>
    <mergeCell ref="A236:F236"/>
    <mergeCell ref="A2:J2"/>
    <mergeCell ref="A3:E3"/>
    <mergeCell ref="F3:J3"/>
    <mergeCell ref="A4:E4"/>
    <mergeCell ref="F4:J4"/>
    <mergeCell ref="A6:E6"/>
    <mergeCell ref="F6:J6"/>
    <mergeCell ref="A5:E5"/>
    <mergeCell ref="F21:J21"/>
    <mergeCell ref="C9:J9"/>
    <mergeCell ref="F5:J5"/>
    <mergeCell ref="A8:E8"/>
    <mergeCell ref="A19:E19"/>
    <mergeCell ref="F19:J19"/>
    <mergeCell ref="G14:J14"/>
    <mergeCell ref="F16:G16"/>
    <mergeCell ref="A9:B9"/>
    <mergeCell ref="H16:J16"/>
    <mergeCell ref="A7:E7"/>
    <mergeCell ref="F7:J7"/>
    <mergeCell ref="C16:E16"/>
    <mergeCell ref="B13:D13"/>
    <mergeCell ref="H13:J13"/>
    <mergeCell ref="G15:J15"/>
    <mergeCell ref="A10:E10"/>
    <mergeCell ref="F8:J8"/>
    <mergeCell ref="A21:E21"/>
    <mergeCell ref="F10:J10"/>
    <mergeCell ref="B14:E14"/>
    <mergeCell ref="A11:B11"/>
    <mergeCell ref="E25:F25"/>
    <mergeCell ref="G25:H25"/>
    <mergeCell ref="A25:B25"/>
    <mergeCell ref="I25:J25"/>
    <mergeCell ref="A24:B24"/>
    <mergeCell ref="C24:D24"/>
    <mergeCell ref="E24:F24"/>
    <mergeCell ref="G24:H24"/>
    <mergeCell ref="B15:E15"/>
    <mergeCell ref="A16:B16"/>
    <mergeCell ref="A20:E20"/>
    <mergeCell ref="F20:J20"/>
    <mergeCell ref="A17:E18"/>
    <mergeCell ref="F17:J18"/>
    <mergeCell ref="C25:D25"/>
    <mergeCell ref="I24:J24"/>
    <mergeCell ref="A22:E22"/>
    <mergeCell ref="A23:E23"/>
    <mergeCell ref="F22:J22"/>
    <mergeCell ref="F23:J23"/>
    <mergeCell ref="F38:J38"/>
    <mergeCell ref="A37:E37"/>
    <mergeCell ref="A36:E36"/>
    <mergeCell ref="I26:J26"/>
    <mergeCell ref="A27:J27"/>
    <mergeCell ref="A28:J28"/>
    <mergeCell ref="A31:J31"/>
    <mergeCell ref="A26:B26"/>
    <mergeCell ref="C26:D26"/>
    <mergeCell ref="E26:F26"/>
    <mergeCell ref="G26:H26"/>
    <mergeCell ref="A29:B29"/>
    <mergeCell ref="C29:D29"/>
    <mergeCell ref="G29:H29"/>
    <mergeCell ref="E29:F29"/>
    <mergeCell ref="A32:J33"/>
    <mergeCell ref="A34:E34"/>
    <mergeCell ref="F36:J36"/>
    <mergeCell ref="A30:B30"/>
    <mergeCell ref="C30:J30"/>
    <mergeCell ref="A562:J565"/>
    <mergeCell ref="A240:F240"/>
    <mergeCell ref="G240:J240"/>
    <mergeCell ref="A241:J241"/>
    <mergeCell ref="A242:J242"/>
    <mergeCell ref="A558:J558"/>
    <mergeCell ref="A559:J559"/>
    <mergeCell ref="G234:J234"/>
    <mergeCell ref="A560:J560"/>
    <mergeCell ref="A531:J531"/>
    <mergeCell ref="C534:J534"/>
    <mergeCell ref="A561:J561"/>
    <mergeCell ref="A555:J555"/>
    <mergeCell ref="A556:J556"/>
    <mergeCell ref="A552:J553"/>
    <mergeCell ref="A557:J557"/>
    <mergeCell ref="A554:J554"/>
    <mergeCell ref="I539:J539"/>
    <mergeCell ref="I530:J530"/>
    <mergeCell ref="C529:J529"/>
    <mergeCell ref="I527:J527"/>
    <mergeCell ref="I528:J528"/>
    <mergeCell ref="A244:J244"/>
    <mergeCell ref="G238:J238"/>
    <mergeCell ref="A1:J1"/>
    <mergeCell ref="I29:J29"/>
    <mergeCell ref="A54:J54"/>
    <mergeCell ref="F39:J39"/>
    <mergeCell ref="A57:B57"/>
    <mergeCell ref="A51:C51"/>
    <mergeCell ref="A49:J49"/>
    <mergeCell ref="F50:H50"/>
    <mergeCell ref="A50:C50"/>
    <mergeCell ref="H41:J41"/>
    <mergeCell ref="I11:J11"/>
    <mergeCell ref="C11:G11"/>
    <mergeCell ref="A12:B12"/>
    <mergeCell ref="C12:J12"/>
    <mergeCell ref="A45:B45"/>
    <mergeCell ref="C45:F45"/>
    <mergeCell ref="H45:J45"/>
    <mergeCell ref="F34:J34"/>
    <mergeCell ref="A35:E35"/>
    <mergeCell ref="F35:J35"/>
    <mergeCell ref="F37:J37"/>
    <mergeCell ref="A38:E38"/>
    <mergeCell ref="C41:F41"/>
    <mergeCell ref="A39:E39"/>
    <mergeCell ref="A226:J232"/>
    <mergeCell ref="I50:J50"/>
    <mergeCell ref="A40:J40"/>
    <mergeCell ref="D48:E48"/>
    <mergeCell ref="C42:F42"/>
    <mergeCell ref="C46:F46"/>
    <mergeCell ref="A48:C48"/>
    <mergeCell ref="D50:E50"/>
    <mergeCell ref="A65:B65"/>
    <mergeCell ref="A41:B41"/>
    <mergeCell ref="A224:J224"/>
    <mergeCell ref="A225:J225"/>
    <mergeCell ref="F48:G48"/>
    <mergeCell ref="A46:B46"/>
    <mergeCell ref="A53:J53"/>
    <mergeCell ref="H42:J42"/>
    <mergeCell ref="H43:J43"/>
    <mergeCell ref="H44:J44"/>
    <mergeCell ref="A47:B47"/>
    <mergeCell ref="C47:F47"/>
    <mergeCell ref="H47:J47"/>
    <mergeCell ref="C44:F44"/>
    <mergeCell ref="A42:B42"/>
    <mergeCell ref="D83:E83"/>
    <mergeCell ref="G236:J236"/>
    <mergeCell ref="I243:J243"/>
    <mergeCell ref="I262:J262"/>
    <mergeCell ref="I264:J264"/>
    <mergeCell ref="C261:J261"/>
    <mergeCell ref="A263:J263"/>
    <mergeCell ref="I265:J265"/>
    <mergeCell ref="I267:J267"/>
    <mergeCell ref="I477:J477"/>
    <mergeCell ref="I273:J273"/>
    <mergeCell ref="I275:J275"/>
    <mergeCell ref="I276:J276"/>
    <mergeCell ref="A274:J274"/>
    <mergeCell ref="I277:J277"/>
    <mergeCell ref="I278:J278"/>
    <mergeCell ref="I270:J270"/>
    <mergeCell ref="C266:J266"/>
    <mergeCell ref="A268:J268"/>
    <mergeCell ref="A269:J269"/>
    <mergeCell ref="I271:J271"/>
    <mergeCell ref="I272:J272"/>
    <mergeCell ref="C250:J250"/>
    <mergeCell ref="A253:J253"/>
    <mergeCell ref="A258:J258"/>
    <mergeCell ref="I334:J334"/>
    <mergeCell ref="A332:J332"/>
    <mergeCell ref="I349:J349"/>
    <mergeCell ref="I351:J351"/>
    <mergeCell ref="I352:J352"/>
    <mergeCell ref="A347:J347"/>
    <mergeCell ref="A348:J348"/>
    <mergeCell ref="C350:J350"/>
    <mergeCell ref="I341:J341"/>
    <mergeCell ref="I343:J343"/>
    <mergeCell ref="I344:J344"/>
    <mergeCell ref="I346:J346"/>
    <mergeCell ref="A342:J342"/>
    <mergeCell ref="C345:J345"/>
    <mergeCell ref="I312:J312"/>
    <mergeCell ref="I313:J313"/>
    <mergeCell ref="I314:J314"/>
    <mergeCell ref="I315:J315"/>
    <mergeCell ref="I328:J328"/>
    <mergeCell ref="C324:J324"/>
    <mergeCell ref="A326:J326"/>
    <mergeCell ref="A327:J327"/>
    <mergeCell ref="I333:J333"/>
    <mergeCell ref="I525:J525"/>
    <mergeCell ref="A300:J300"/>
    <mergeCell ref="I470:J470"/>
    <mergeCell ref="I472:J472"/>
    <mergeCell ref="I473:J473"/>
    <mergeCell ref="I474:J474"/>
    <mergeCell ref="C286:J286"/>
    <mergeCell ref="I291:J291"/>
    <mergeCell ref="I292:J292"/>
    <mergeCell ref="I293:J293"/>
    <mergeCell ref="I294:J294"/>
    <mergeCell ref="A289:J289"/>
    <mergeCell ref="A290:J290"/>
    <mergeCell ref="A295:J295"/>
    <mergeCell ref="I287:J287"/>
    <mergeCell ref="I288:J288"/>
    <mergeCell ref="I489:J489"/>
    <mergeCell ref="I490:J490"/>
    <mergeCell ref="I492:J492"/>
    <mergeCell ref="I495:J495"/>
    <mergeCell ref="I299:J299"/>
    <mergeCell ref="I501:J501"/>
    <mergeCell ref="C502:J503"/>
    <mergeCell ref="A507:J507"/>
    <mergeCell ref="I254:J254"/>
    <mergeCell ref="I255:J255"/>
    <mergeCell ref="I256:J256"/>
    <mergeCell ref="I257:J257"/>
    <mergeCell ref="I251:J251"/>
    <mergeCell ref="I252:J252"/>
    <mergeCell ref="I296:J296"/>
    <mergeCell ref="I297:J297"/>
    <mergeCell ref="I298:J298"/>
    <mergeCell ref="I280:J280"/>
    <mergeCell ref="I282:J282"/>
    <mergeCell ref="A279:J279"/>
    <mergeCell ref="C281:J281"/>
    <mergeCell ref="I283:J283"/>
    <mergeCell ref="I285:J285"/>
    <mergeCell ref="A284:J284"/>
    <mergeCell ref="I504:J504"/>
    <mergeCell ref="I505:J505"/>
    <mergeCell ref="I506:J506"/>
    <mergeCell ref="I496:J496"/>
    <mergeCell ref="I491:J491"/>
    <mergeCell ref="I494:J494"/>
    <mergeCell ref="A493:J493"/>
    <mergeCell ref="I497:J497"/>
    <mergeCell ref="I498:J498"/>
    <mergeCell ref="A500:J500"/>
    <mergeCell ref="A521:J521"/>
    <mergeCell ref="A526:J526"/>
    <mergeCell ref="I522:J522"/>
    <mergeCell ref="I523:J523"/>
    <mergeCell ref="I524:J524"/>
    <mergeCell ref="I301:J301"/>
    <mergeCell ref="I302:J302"/>
    <mergeCell ref="I303:J303"/>
    <mergeCell ref="I306:J306"/>
    <mergeCell ref="C364:J365"/>
    <mergeCell ref="A515:J515"/>
    <mergeCell ref="C517:J517"/>
    <mergeCell ref="I516:J516"/>
    <mergeCell ref="I519:J519"/>
    <mergeCell ref="I520:J520"/>
    <mergeCell ref="A518:J518"/>
    <mergeCell ref="I508:J508"/>
    <mergeCell ref="C510:J510"/>
    <mergeCell ref="A514:J514"/>
    <mergeCell ref="I509:J509"/>
    <mergeCell ref="I511:J511"/>
    <mergeCell ref="I512:J512"/>
    <mergeCell ref="I513:J513"/>
    <mergeCell ref="I499:J499"/>
    <mergeCell ref="A488:J488"/>
    <mergeCell ref="I317:J317"/>
    <mergeCell ref="I318:J318"/>
    <mergeCell ref="I319:J319"/>
    <mergeCell ref="I320:J320"/>
    <mergeCell ref="A321:J321"/>
    <mergeCell ref="A362:J362"/>
    <mergeCell ref="I322:J322"/>
    <mergeCell ref="I323:J323"/>
    <mergeCell ref="I325:J325"/>
    <mergeCell ref="I485:J485"/>
    <mergeCell ref="I486:J486"/>
    <mergeCell ref="I487:J487"/>
    <mergeCell ref="I479:J479"/>
    <mergeCell ref="I484:J484"/>
    <mergeCell ref="I335:J335"/>
    <mergeCell ref="I336:J336"/>
    <mergeCell ref="I338:J338"/>
    <mergeCell ref="I339:J339"/>
    <mergeCell ref="A337:J337"/>
    <mergeCell ref="C340:J340"/>
    <mergeCell ref="I329:J329"/>
    <mergeCell ref="I330:J330"/>
    <mergeCell ref="I331:J331"/>
    <mergeCell ref="C482:J482"/>
    <mergeCell ref="C483:J483"/>
    <mergeCell ref="I353:J353"/>
    <mergeCell ref="I354:J354"/>
    <mergeCell ref="I356:J356"/>
    <mergeCell ref="I357:J357"/>
    <mergeCell ref="I438:J438"/>
    <mergeCell ref="C436:J436"/>
    <mergeCell ref="A437:J437"/>
    <mergeCell ref="I439:J439"/>
    <mergeCell ref="A355:J355"/>
    <mergeCell ref="I359:J359"/>
    <mergeCell ref="I360:J360"/>
    <mergeCell ref="I435:J435"/>
    <mergeCell ref="I358:J358"/>
    <mergeCell ref="I423:J423"/>
    <mergeCell ref="I425:J425"/>
    <mergeCell ref="I426:J426"/>
    <mergeCell ref="A424:J424"/>
    <mergeCell ref="I428:J428"/>
    <mergeCell ref="I429:J429"/>
    <mergeCell ref="I417:J417"/>
    <mergeCell ref="I418:J418"/>
    <mergeCell ref="I420:J420"/>
    <mergeCell ref="A481:J481"/>
    <mergeCell ref="I444:J444"/>
    <mergeCell ref="I446:J446"/>
    <mergeCell ref="I447:J447"/>
    <mergeCell ref="I449:J449"/>
    <mergeCell ref="A445:J445"/>
    <mergeCell ref="I456:J456"/>
    <mergeCell ref="I457:J457"/>
    <mergeCell ref="I458:J458"/>
    <mergeCell ref="I459:J459"/>
    <mergeCell ref="I460:J460"/>
    <mergeCell ref="I461:J461"/>
    <mergeCell ref="A448:J448"/>
    <mergeCell ref="I450:J450"/>
    <mergeCell ref="I451:J451"/>
    <mergeCell ref="I452:J452"/>
    <mergeCell ref="I454:J454"/>
    <mergeCell ref="I455:J455"/>
    <mergeCell ref="A453:J453"/>
    <mergeCell ref="I463:J463"/>
    <mergeCell ref="I464:J464"/>
    <mergeCell ref="I465:J465"/>
    <mergeCell ref="I478:J478"/>
    <mergeCell ref="A462:J462"/>
    <mergeCell ref="I361:J361"/>
    <mergeCell ref="I363:J363"/>
    <mergeCell ref="I366:J366"/>
    <mergeCell ref="C419:J419"/>
    <mergeCell ref="I375:J375"/>
    <mergeCell ref="I378:J378"/>
    <mergeCell ref="A376:J376"/>
    <mergeCell ref="A377:J377"/>
    <mergeCell ref="I379:J379"/>
    <mergeCell ref="I380:J380"/>
    <mergeCell ref="I367:J367"/>
    <mergeCell ref="I368:J368"/>
    <mergeCell ref="I370:J370"/>
    <mergeCell ref="I371:J371"/>
    <mergeCell ref="A369:J369"/>
    <mergeCell ref="C372:J372"/>
    <mergeCell ref="A398:J398"/>
    <mergeCell ref="I387:J387"/>
    <mergeCell ref="I388:J388"/>
    <mergeCell ref="I389:J389"/>
    <mergeCell ref="I390:J390"/>
    <mergeCell ref="C466:J467"/>
    <mergeCell ref="A480:J480"/>
    <mergeCell ref="I468:J468"/>
    <mergeCell ref="I469:J469"/>
    <mergeCell ref="C475:J476"/>
    <mergeCell ref="A471:J471"/>
    <mergeCell ref="A422:J422"/>
    <mergeCell ref="A442:J442"/>
    <mergeCell ref="A443:J443"/>
    <mergeCell ref="I433:J433"/>
    <mergeCell ref="I434:J434"/>
    <mergeCell ref="A427:J427"/>
    <mergeCell ref="A432:J432"/>
    <mergeCell ref="I430:J430"/>
    <mergeCell ref="I431:J431"/>
    <mergeCell ref="A421:J421"/>
    <mergeCell ref="I440:J440"/>
    <mergeCell ref="C441:J441"/>
    <mergeCell ref="I393:J393"/>
    <mergeCell ref="I383:J383"/>
    <mergeCell ref="I373:J373"/>
    <mergeCell ref="I374:J374"/>
    <mergeCell ref="I382:J382"/>
    <mergeCell ref="C381:J381"/>
    <mergeCell ref="A384:J384"/>
    <mergeCell ref="I385:J385"/>
    <mergeCell ref="I386:J386"/>
    <mergeCell ref="C309:J309"/>
    <mergeCell ref="A310:J310"/>
    <mergeCell ref="A311:J311"/>
    <mergeCell ref="A316:J316"/>
    <mergeCell ref="I307:J307"/>
    <mergeCell ref="A416:J416"/>
    <mergeCell ref="I415:J415"/>
    <mergeCell ref="I397:J397"/>
    <mergeCell ref="I399:J399"/>
    <mergeCell ref="I400:J400"/>
    <mergeCell ref="I402:J402"/>
    <mergeCell ref="I413:J413"/>
    <mergeCell ref="I414:J414"/>
    <mergeCell ref="C409:J409"/>
    <mergeCell ref="A411:J411"/>
    <mergeCell ref="A406:J406"/>
    <mergeCell ref="I396:J396"/>
    <mergeCell ref="A391:J391"/>
    <mergeCell ref="C394:J395"/>
    <mergeCell ref="C401:J401"/>
    <mergeCell ref="I403:J403"/>
    <mergeCell ref="I404:J404"/>
    <mergeCell ref="A405:J405"/>
    <mergeCell ref="I392:J392"/>
    <mergeCell ref="A547:J547"/>
    <mergeCell ref="C551:J551"/>
    <mergeCell ref="A43:B43"/>
    <mergeCell ref="A44:B44"/>
    <mergeCell ref="C43:F43"/>
    <mergeCell ref="A237:F237"/>
    <mergeCell ref="G237:J237"/>
    <mergeCell ref="A238:F238"/>
    <mergeCell ref="I546:J546"/>
    <mergeCell ref="A63:B63"/>
    <mergeCell ref="I548:J548"/>
    <mergeCell ref="I549:J549"/>
    <mergeCell ref="I550:J550"/>
    <mergeCell ref="I308:J308"/>
    <mergeCell ref="I538:J538"/>
    <mergeCell ref="I540:J540"/>
    <mergeCell ref="I410:J410"/>
    <mergeCell ref="I412:J412"/>
    <mergeCell ref="I407:J407"/>
    <mergeCell ref="I408:J408"/>
    <mergeCell ref="C304:J304"/>
    <mergeCell ref="A305:J305"/>
    <mergeCell ref="D62:E62"/>
    <mergeCell ref="D63:E63"/>
    <mergeCell ref="D51:J51"/>
    <mergeCell ref="H48:J48"/>
    <mergeCell ref="H46:J46"/>
    <mergeCell ref="H57:J57"/>
    <mergeCell ref="A55:B55"/>
    <mergeCell ref="A56:B56"/>
    <mergeCell ref="D55:E55"/>
    <mergeCell ref="F55:G55"/>
    <mergeCell ref="I55:J55"/>
    <mergeCell ref="C56:J56"/>
    <mergeCell ref="D57:E57"/>
    <mergeCell ref="F57:G57"/>
    <mergeCell ref="E52:J52"/>
    <mergeCell ref="A52:D52"/>
    <mergeCell ref="D61:E61"/>
    <mergeCell ref="A58:B58"/>
    <mergeCell ref="A176:B176"/>
    <mergeCell ref="D176:E176"/>
    <mergeCell ref="A177:B177"/>
    <mergeCell ref="D177:E177"/>
    <mergeCell ref="A67:B67"/>
    <mergeCell ref="A82:J82"/>
    <mergeCell ref="A83:B83"/>
    <mergeCell ref="D58:E58"/>
    <mergeCell ref="F58:G67"/>
    <mergeCell ref="H58:J67"/>
    <mergeCell ref="A166:J166"/>
    <mergeCell ref="A167:B167"/>
    <mergeCell ref="D167:E167"/>
    <mergeCell ref="F167:G167"/>
    <mergeCell ref="I167:J167"/>
    <mergeCell ref="D59:E59"/>
    <mergeCell ref="D60:E60"/>
    <mergeCell ref="D64:E64"/>
    <mergeCell ref="D65:E65"/>
    <mergeCell ref="A59:B59"/>
    <mergeCell ref="A60:B60"/>
    <mergeCell ref="A61:B61"/>
    <mergeCell ref="E209:G209"/>
    <mergeCell ref="H209:J209"/>
    <mergeCell ref="A62:B62"/>
    <mergeCell ref="A64:B64"/>
    <mergeCell ref="A178:B178"/>
    <mergeCell ref="D178:E178"/>
    <mergeCell ref="A179:B179"/>
    <mergeCell ref="D179:E179"/>
    <mergeCell ref="A168:B168"/>
    <mergeCell ref="C168:J168"/>
    <mergeCell ref="A169:B169"/>
    <mergeCell ref="D169:E169"/>
    <mergeCell ref="F169:G169"/>
    <mergeCell ref="H169:J169"/>
    <mergeCell ref="A170:B170"/>
    <mergeCell ref="D170:E170"/>
    <mergeCell ref="F170:G179"/>
    <mergeCell ref="H170:J179"/>
    <mergeCell ref="A171:B171"/>
    <mergeCell ref="D171:E171"/>
    <mergeCell ref="A172:B172"/>
    <mergeCell ref="A66:B66"/>
    <mergeCell ref="A84:B84"/>
    <mergeCell ref="C84:J84"/>
    <mergeCell ref="A204:B204"/>
    <mergeCell ref="D204:E204"/>
    <mergeCell ref="A205:B205"/>
    <mergeCell ref="D205:E205"/>
    <mergeCell ref="A206:B206"/>
    <mergeCell ref="D206:E206"/>
    <mergeCell ref="A207:B207"/>
    <mergeCell ref="D207:E207"/>
    <mergeCell ref="A208:J208"/>
    <mergeCell ref="A175:B175"/>
    <mergeCell ref="D175:E175"/>
    <mergeCell ref="D172:E172"/>
    <mergeCell ref="A173:B173"/>
    <mergeCell ref="D173:E173"/>
    <mergeCell ref="A174:B174"/>
    <mergeCell ref="D174:E174"/>
    <mergeCell ref="D202:E202"/>
    <mergeCell ref="A203:B203"/>
    <mergeCell ref="D203:E203"/>
    <mergeCell ref="A180:J180"/>
    <mergeCell ref="A181:B181"/>
    <mergeCell ref="D181:E181"/>
    <mergeCell ref="F181:G181"/>
    <mergeCell ref="I181:J181"/>
    <mergeCell ref="A182:B182"/>
    <mergeCell ref="C182:J182"/>
    <mergeCell ref="A183:B183"/>
    <mergeCell ref="D183:E183"/>
    <mergeCell ref="F183:G183"/>
    <mergeCell ref="H183:J183"/>
    <mergeCell ref="A184:B184"/>
    <mergeCell ref="D184:E184"/>
    <mergeCell ref="F184:G193"/>
    <mergeCell ref="D201:E201"/>
    <mergeCell ref="A202:B202"/>
    <mergeCell ref="A209:B209"/>
    <mergeCell ref="C209:D209"/>
    <mergeCell ref="A194:J194"/>
    <mergeCell ref="A195:B195"/>
    <mergeCell ref="D195:E195"/>
    <mergeCell ref="F195:G195"/>
    <mergeCell ref="I195:J195"/>
    <mergeCell ref="A196:B196"/>
    <mergeCell ref="C196:J196"/>
    <mergeCell ref="A197:B197"/>
    <mergeCell ref="D197:E197"/>
    <mergeCell ref="F197:G197"/>
    <mergeCell ref="H197:J197"/>
    <mergeCell ref="A198:B198"/>
    <mergeCell ref="D198:E198"/>
    <mergeCell ref="F198:G207"/>
    <mergeCell ref="H198:J207"/>
    <mergeCell ref="A199:B199"/>
    <mergeCell ref="D199:E199"/>
    <mergeCell ref="A200:B200"/>
    <mergeCell ref="D200:E200"/>
    <mergeCell ref="A201:B201"/>
    <mergeCell ref="A138:J138"/>
    <mergeCell ref="A139:B139"/>
    <mergeCell ref="D139:E139"/>
    <mergeCell ref="F139:G139"/>
    <mergeCell ref="I139:J139"/>
    <mergeCell ref="A140:B140"/>
    <mergeCell ref="C140:J140"/>
    <mergeCell ref="A141:B141"/>
    <mergeCell ref="D141:E141"/>
    <mergeCell ref="F141:G141"/>
    <mergeCell ref="H141:J141"/>
    <mergeCell ref="A142:B142"/>
    <mergeCell ref="D142:E142"/>
    <mergeCell ref="F142:G151"/>
    <mergeCell ref="H142:J151"/>
    <mergeCell ref="A143:B143"/>
    <mergeCell ref="D143:E143"/>
    <mergeCell ref="A144:B144"/>
    <mergeCell ref="D144:E144"/>
    <mergeCell ref="A145:B145"/>
    <mergeCell ref="D145:E145"/>
    <mergeCell ref="A146:B146"/>
    <mergeCell ref="D146:E146"/>
    <mergeCell ref="A147:B147"/>
    <mergeCell ref="D147:E147"/>
    <mergeCell ref="A148:B148"/>
    <mergeCell ref="D148:E148"/>
    <mergeCell ref="A149:B149"/>
    <mergeCell ref="D149:E149"/>
    <mergeCell ref="A150:B150"/>
    <mergeCell ref="D150:E150"/>
    <mergeCell ref="A151:B151"/>
    <mergeCell ref="D151:E151"/>
  </mergeCells>
  <phoneticPr fontId="0" type="noConversion"/>
  <hyperlinks>
    <hyperlink ref="C30" r:id="rId1" xr:uid="{00000000-0004-0000-0000-000000000000}"/>
  </hyperlinks>
  <printOptions horizontalCentered="1"/>
  <pageMargins left="0.39370078740157483" right="0.39370078740157483" top="0.78740157480314965" bottom="0.78740157480314965" header="0.19685039370078741" footer="0.19685039370078741"/>
  <pageSetup scale="94" fitToHeight="0" orientation="portrait" r:id="rId2"/>
  <headerFooter>
    <oddHeader>&amp;C&amp;G</oddHeader>
    <oddFooter>&amp;L&amp;"Times New Roman,Bold"Ref No: &amp;F&amp;C&amp;G&amp;R&amp;P</oddFooter>
  </headerFooter>
  <rowBreaks count="4" manualBreakCount="4">
    <brk id="53" max="16383" man="1"/>
    <brk id="565" max="16383" man="1"/>
    <brk id="613" max="16383" man="1"/>
    <brk id="658"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0"/>
  <sheetViews>
    <sheetView workbookViewId="0">
      <selection activeCell="E13" sqref="E13"/>
    </sheetView>
  </sheetViews>
  <sheetFormatPr defaultRowHeight="14.4" x14ac:dyDescent="0.3"/>
  <cols>
    <col min="2" max="2" width="11.77734375" customWidth="1"/>
    <col min="4" max="4" width="14.77734375" customWidth="1"/>
    <col min="5" max="5" width="10.77734375" customWidth="1"/>
  </cols>
  <sheetData>
    <row r="1" spans="1:15" x14ac:dyDescent="0.3">
      <c r="D1" s="12" t="s">
        <v>225</v>
      </c>
      <c r="E1" t="s">
        <v>221</v>
      </c>
      <c r="F1" t="s">
        <v>222</v>
      </c>
      <c r="G1" t="s">
        <v>223</v>
      </c>
      <c r="H1" t="s">
        <v>224</v>
      </c>
    </row>
    <row r="2" spans="1:15" x14ac:dyDescent="0.3">
      <c r="A2" t="s">
        <v>196</v>
      </c>
      <c r="B2" s="8" t="s">
        <v>197</v>
      </c>
      <c r="C2" s="8">
        <v>19</v>
      </c>
      <c r="D2">
        <f>E2+F2+G2+H2</f>
        <v>22</v>
      </c>
      <c r="E2">
        <v>1</v>
      </c>
      <c r="F2">
        <v>1</v>
      </c>
      <c r="G2">
        <v>1</v>
      </c>
      <c r="H2">
        <v>19</v>
      </c>
    </row>
    <row r="3" spans="1:15" x14ac:dyDescent="0.3">
      <c r="B3" t="s">
        <v>198</v>
      </c>
      <c r="C3" t="s">
        <v>199</v>
      </c>
    </row>
    <row r="4" spans="1:15" x14ac:dyDescent="0.3">
      <c r="A4" t="s">
        <v>200</v>
      </c>
      <c r="B4" s="2">
        <v>10</v>
      </c>
      <c r="C4" s="2">
        <v>10</v>
      </c>
      <c r="E4">
        <f>(100/B4)*C4</f>
        <v>100</v>
      </c>
    </row>
    <row r="5" spans="1:15" x14ac:dyDescent="0.3">
      <c r="A5" t="s">
        <v>201</v>
      </c>
      <c r="B5" t="s">
        <v>202</v>
      </c>
      <c r="C5" t="s">
        <v>203</v>
      </c>
      <c r="E5" s="13">
        <f>(100/B6)*C6</f>
        <v>22.72727272727273</v>
      </c>
      <c r="I5" s="2" t="s">
        <v>204</v>
      </c>
      <c r="J5" s="2" t="s">
        <v>205</v>
      </c>
      <c r="K5" s="2" t="s">
        <v>206</v>
      </c>
      <c r="L5" s="2" t="s">
        <v>40</v>
      </c>
      <c r="M5" s="2" t="s">
        <v>50</v>
      </c>
      <c r="N5" s="2" t="s">
        <v>207</v>
      </c>
      <c r="O5" s="2" t="s">
        <v>51</v>
      </c>
    </row>
    <row r="6" spans="1:15" x14ac:dyDescent="0.3">
      <c r="B6" s="2">
        <f>D2</f>
        <v>22</v>
      </c>
      <c r="C6" s="2">
        <f>E2+F2+G2+2</f>
        <v>5</v>
      </c>
      <c r="E6" s="13">
        <f>(100/B8)*C8</f>
        <v>0</v>
      </c>
      <c r="F6" s="9" t="s">
        <v>208</v>
      </c>
      <c r="I6" s="9">
        <f>C4</f>
        <v>10</v>
      </c>
      <c r="J6" s="9">
        <f>40/B6*C6</f>
        <v>9.0909090909090899</v>
      </c>
      <c r="K6" s="9">
        <f>15/B8*C8</f>
        <v>0</v>
      </c>
      <c r="L6" s="9">
        <f>10/B10*C10</f>
        <v>0</v>
      </c>
      <c r="M6" s="9">
        <f>10/B12*C12</f>
        <v>0</v>
      </c>
      <c r="N6" s="9">
        <f>5/B14*C14</f>
        <v>0</v>
      </c>
      <c r="O6" s="9">
        <f>5/B16*C16</f>
        <v>0</v>
      </c>
    </row>
    <row r="7" spans="1:15" x14ac:dyDescent="0.3">
      <c r="A7" t="s">
        <v>209</v>
      </c>
      <c r="B7" t="s">
        <v>210</v>
      </c>
      <c r="C7" t="s">
        <v>211</v>
      </c>
      <c r="E7" s="13">
        <f>(100/B10)*C10</f>
        <v>0</v>
      </c>
      <c r="F7" s="2" t="s">
        <v>212</v>
      </c>
      <c r="G7" s="2"/>
      <c r="H7" s="2"/>
      <c r="I7" s="2">
        <f>I6+20</f>
        <v>30</v>
      </c>
      <c r="J7" s="2">
        <f>30/B6*C6</f>
        <v>6.8181818181818175</v>
      </c>
      <c r="K7" s="2">
        <f>15/B8*C8</f>
        <v>0</v>
      </c>
      <c r="L7" s="2">
        <f>10/B10*C10</f>
        <v>0</v>
      </c>
      <c r="M7" s="2">
        <f>5/B12*C12</f>
        <v>0</v>
      </c>
      <c r="N7" s="2">
        <f>5/B14*C14</f>
        <v>0</v>
      </c>
      <c r="O7" s="2">
        <f>5/B16*C16</f>
        <v>0</v>
      </c>
    </row>
    <row r="8" spans="1:15" x14ac:dyDescent="0.3">
      <c r="B8" s="2">
        <f>C2</f>
        <v>19</v>
      </c>
      <c r="C8" s="2">
        <v>0</v>
      </c>
      <c r="E8" s="13">
        <f>(100/B12)*C12</f>
        <v>0</v>
      </c>
    </row>
    <row r="9" spans="1:15" x14ac:dyDescent="0.3">
      <c r="A9" t="s">
        <v>213</v>
      </c>
      <c r="B9" t="s">
        <v>210</v>
      </c>
      <c r="C9" t="s">
        <v>211</v>
      </c>
      <c r="E9" s="13">
        <f>(100/B14)*C14</f>
        <v>0</v>
      </c>
    </row>
    <row r="10" spans="1:15" x14ac:dyDescent="0.3">
      <c r="B10" s="2">
        <f>C2</f>
        <v>19</v>
      </c>
      <c r="C10" s="2">
        <v>0</v>
      </c>
      <c r="E10" s="13">
        <f>(100/B16)*C16</f>
        <v>0</v>
      </c>
    </row>
    <row r="11" spans="1:15" x14ac:dyDescent="0.3">
      <c r="A11" t="s">
        <v>50</v>
      </c>
      <c r="B11" t="s">
        <v>210</v>
      </c>
      <c r="C11" t="s">
        <v>211</v>
      </c>
    </row>
    <row r="12" spans="1:15" x14ac:dyDescent="0.3">
      <c r="B12" s="2">
        <f>C2</f>
        <v>19</v>
      </c>
      <c r="C12" s="2">
        <v>0</v>
      </c>
      <c r="F12" s="2"/>
      <c r="G12" s="2" t="s">
        <v>208</v>
      </c>
      <c r="H12" s="2" t="s">
        <v>214</v>
      </c>
      <c r="L12" t="s">
        <v>215</v>
      </c>
    </row>
    <row r="13" spans="1:15" ht="28.8" x14ac:dyDescent="0.3">
      <c r="A13" s="10" t="s">
        <v>207</v>
      </c>
      <c r="B13" t="s">
        <v>210</v>
      </c>
      <c r="C13" t="s">
        <v>211</v>
      </c>
      <c r="F13" s="2" t="s">
        <v>38</v>
      </c>
      <c r="G13" s="2">
        <f>I6</f>
        <v>10</v>
      </c>
      <c r="H13" s="2">
        <f>I7</f>
        <v>30</v>
      </c>
      <c r="L13" t="s">
        <v>215</v>
      </c>
    </row>
    <row r="14" spans="1:15" x14ac:dyDescent="0.3">
      <c r="B14" s="2">
        <f>C2</f>
        <v>19</v>
      </c>
      <c r="C14" s="2">
        <v>0</v>
      </c>
      <c r="F14" s="2" t="s">
        <v>39</v>
      </c>
      <c r="G14" s="2">
        <f>J6</f>
        <v>9.0909090909090899</v>
      </c>
      <c r="H14" s="2">
        <f>J7</f>
        <v>6.8181818181818175</v>
      </c>
    </row>
    <row r="15" spans="1:15" x14ac:dyDescent="0.3">
      <c r="A15" t="s">
        <v>51</v>
      </c>
      <c r="B15" t="s">
        <v>210</v>
      </c>
      <c r="C15" t="s">
        <v>211</v>
      </c>
      <c r="F15" s="2" t="s">
        <v>206</v>
      </c>
      <c r="G15" s="2">
        <f>K6</f>
        <v>0</v>
      </c>
      <c r="H15" s="2">
        <f>K7</f>
        <v>0</v>
      </c>
    </row>
    <row r="16" spans="1:15" x14ac:dyDescent="0.3">
      <c r="B16" s="2">
        <f>C2</f>
        <v>19</v>
      </c>
      <c r="C16" s="2">
        <v>0</v>
      </c>
      <c r="F16" s="2" t="s">
        <v>40</v>
      </c>
      <c r="G16" s="2">
        <f>L6</f>
        <v>0</v>
      </c>
      <c r="H16" s="2">
        <f>L7</f>
        <v>0</v>
      </c>
    </row>
    <row r="17" spans="6:8" x14ac:dyDescent="0.3">
      <c r="F17" s="2" t="s">
        <v>50</v>
      </c>
      <c r="G17" s="2">
        <f>M6</f>
        <v>0</v>
      </c>
      <c r="H17" s="2">
        <f>M7</f>
        <v>0</v>
      </c>
    </row>
    <row r="18" spans="6:8" ht="28.8" x14ac:dyDescent="0.3">
      <c r="F18" s="11" t="s">
        <v>207</v>
      </c>
      <c r="G18" s="2">
        <f>N6</f>
        <v>0</v>
      </c>
      <c r="H18" s="2">
        <f>N7</f>
        <v>0</v>
      </c>
    </row>
    <row r="19" spans="6:8" x14ac:dyDescent="0.3">
      <c r="F19" s="2" t="s">
        <v>51</v>
      </c>
      <c r="G19" s="2">
        <f>O6</f>
        <v>0</v>
      </c>
      <c r="H19" s="2">
        <f>O7</f>
        <v>0</v>
      </c>
    </row>
    <row r="20" spans="6:8" x14ac:dyDescent="0.3">
      <c r="F20" s="2" t="s">
        <v>216</v>
      </c>
      <c r="G20" s="29">
        <f>G13+G14+G15+G16+G17+G18+G19</f>
        <v>19.09090909090909</v>
      </c>
      <c r="H20" s="29">
        <f>H13+H14+H15+H16+H17+H18+H19</f>
        <v>36.81818181818182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M34"/>
  <sheetViews>
    <sheetView workbookViewId="0">
      <selection activeCell="R75" sqref="R75"/>
    </sheetView>
  </sheetViews>
  <sheetFormatPr defaultRowHeight="14.4" x14ac:dyDescent="0.3"/>
  <sheetData>
    <row r="2" spans="2:13" x14ac:dyDescent="0.3">
      <c r="C2" s="5" t="s">
        <v>113</v>
      </c>
      <c r="D2" s="194"/>
      <c r="E2" s="194"/>
    </row>
    <row r="3" spans="2:13" x14ac:dyDescent="0.3">
      <c r="E3" s="4"/>
      <c r="F3" s="4"/>
      <c r="G3" s="4"/>
      <c r="H3" s="4"/>
      <c r="I3" s="4"/>
      <c r="J3" s="4"/>
    </row>
    <row r="4" spans="2:13" x14ac:dyDescent="0.3">
      <c r="B4" s="5" t="s">
        <v>114</v>
      </c>
      <c r="C4" s="3" t="s">
        <v>94</v>
      </c>
      <c r="D4" s="195" t="s">
        <v>95</v>
      </c>
      <c r="E4" s="195"/>
      <c r="F4" s="195"/>
      <c r="G4" s="6"/>
      <c r="H4" s="195" t="s">
        <v>96</v>
      </c>
      <c r="I4" s="195"/>
      <c r="J4" s="195"/>
      <c r="K4" s="195" t="s">
        <v>97</v>
      </c>
      <c r="L4" s="195"/>
      <c r="M4" s="195"/>
    </row>
    <row r="5" spans="2:13" x14ac:dyDescent="0.3">
      <c r="B5" s="5">
        <v>1</v>
      </c>
      <c r="C5" s="3"/>
      <c r="D5" s="3" t="s">
        <v>98</v>
      </c>
      <c r="E5" s="3" t="s">
        <v>99</v>
      </c>
      <c r="F5" s="3" t="s">
        <v>100</v>
      </c>
      <c r="G5" s="3"/>
      <c r="H5" s="3" t="s">
        <v>98</v>
      </c>
      <c r="I5" s="3" t="s">
        <v>99</v>
      </c>
      <c r="J5" s="3" t="s">
        <v>100</v>
      </c>
      <c r="K5" s="3" t="s">
        <v>98</v>
      </c>
      <c r="L5" s="3" t="s">
        <v>99</v>
      </c>
      <c r="M5" s="3" t="s">
        <v>100</v>
      </c>
    </row>
    <row r="6" spans="2:13" x14ac:dyDescent="0.3">
      <c r="C6" s="2" t="s">
        <v>101</v>
      </c>
      <c r="D6" s="2"/>
      <c r="E6" s="2"/>
      <c r="F6" s="2">
        <f>D6*E6</f>
        <v>0</v>
      </c>
      <c r="G6" s="2" t="s">
        <v>116</v>
      </c>
      <c r="H6" s="2"/>
      <c r="I6" s="2"/>
      <c r="J6" s="2">
        <f>H6*I6</f>
        <v>0</v>
      </c>
      <c r="K6" s="2"/>
      <c r="L6" s="2"/>
      <c r="M6" s="2">
        <f>K6*L6</f>
        <v>0</v>
      </c>
    </row>
    <row r="7" spans="2:13" x14ac:dyDescent="0.3">
      <c r="C7" s="2"/>
      <c r="D7" s="2"/>
      <c r="E7" s="2"/>
      <c r="F7" s="2">
        <f t="shared" ref="F7:F33" si="0">D7*E7</f>
        <v>0</v>
      </c>
      <c r="G7" s="2" t="s">
        <v>117</v>
      </c>
      <c r="H7" s="2"/>
      <c r="I7" s="2"/>
      <c r="J7" s="2">
        <f t="shared" ref="J7:J29" si="1">H7*I7</f>
        <v>0</v>
      </c>
      <c r="K7" s="2"/>
      <c r="L7" s="2"/>
      <c r="M7" s="2">
        <f t="shared" ref="M7:M29" si="2">K7*L7</f>
        <v>0</v>
      </c>
    </row>
    <row r="8" spans="2:13" x14ac:dyDescent="0.3">
      <c r="C8" s="2"/>
      <c r="D8" s="2"/>
      <c r="E8" s="2"/>
      <c r="F8" s="2">
        <f t="shared" si="0"/>
        <v>0</v>
      </c>
      <c r="G8" s="2"/>
      <c r="H8" s="2"/>
      <c r="I8" s="2"/>
      <c r="J8" s="2">
        <f t="shared" si="1"/>
        <v>0</v>
      </c>
      <c r="K8" s="2"/>
      <c r="L8" s="2"/>
      <c r="M8" s="2">
        <f t="shared" si="2"/>
        <v>0</v>
      </c>
    </row>
    <row r="9" spans="2:13" x14ac:dyDescent="0.3">
      <c r="C9" s="2" t="s">
        <v>104</v>
      </c>
      <c r="D9" s="2"/>
      <c r="E9" s="2"/>
      <c r="F9" s="2">
        <f t="shared" si="0"/>
        <v>0</v>
      </c>
      <c r="G9" s="2" t="s">
        <v>116</v>
      </c>
      <c r="H9" s="2"/>
      <c r="I9" s="2"/>
      <c r="J9" s="2">
        <f t="shared" si="1"/>
        <v>0</v>
      </c>
      <c r="K9" s="2"/>
      <c r="L9" s="2"/>
      <c r="M9" s="2">
        <f t="shared" si="2"/>
        <v>0</v>
      </c>
    </row>
    <row r="10" spans="2:13" x14ac:dyDescent="0.3">
      <c r="C10" s="2"/>
      <c r="D10" s="2"/>
      <c r="E10" s="2"/>
      <c r="F10" s="2">
        <f t="shared" si="0"/>
        <v>0</v>
      </c>
      <c r="G10" s="2" t="s">
        <v>117</v>
      </c>
      <c r="H10" s="2"/>
      <c r="I10" s="2"/>
      <c r="J10" s="2">
        <f t="shared" si="1"/>
        <v>0</v>
      </c>
      <c r="K10" s="2"/>
      <c r="L10" s="2"/>
      <c r="M10" s="2">
        <f t="shared" si="2"/>
        <v>0</v>
      </c>
    </row>
    <row r="11" spans="2:13" x14ac:dyDescent="0.3">
      <c r="C11" s="2"/>
      <c r="D11" s="2"/>
      <c r="E11" s="2"/>
      <c r="F11" s="2">
        <f t="shared" si="0"/>
        <v>0</v>
      </c>
      <c r="G11" s="2"/>
      <c r="H11" s="2"/>
      <c r="I11" s="2"/>
      <c r="J11" s="2">
        <f t="shared" si="1"/>
        <v>0</v>
      </c>
      <c r="K11" s="2"/>
      <c r="L11" s="2"/>
      <c r="M11" s="2">
        <f t="shared" si="2"/>
        <v>0</v>
      </c>
    </row>
    <row r="12" spans="2:13" x14ac:dyDescent="0.3">
      <c r="C12" s="2"/>
      <c r="D12" s="2"/>
      <c r="E12" s="2"/>
      <c r="F12" s="2">
        <f t="shared" si="0"/>
        <v>0</v>
      </c>
      <c r="G12" s="2"/>
      <c r="H12" s="2"/>
      <c r="I12" s="2"/>
      <c r="J12" s="2">
        <f t="shared" si="1"/>
        <v>0</v>
      </c>
      <c r="K12" s="2"/>
      <c r="L12" s="2"/>
      <c r="M12" s="2">
        <f t="shared" si="2"/>
        <v>0</v>
      </c>
    </row>
    <row r="13" spans="2:13" x14ac:dyDescent="0.3">
      <c r="C13" s="2" t="s">
        <v>102</v>
      </c>
      <c r="D13" s="2"/>
      <c r="E13" s="2"/>
      <c r="F13" s="2">
        <f t="shared" si="0"/>
        <v>0</v>
      </c>
      <c r="G13" s="2" t="s">
        <v>116</v>
      </c>
      <c r="H13" s="2"/>
      <c r="I13" s="2"/>
      <c r="J13" s="2">
        <f t="shared" si="1"/>
        <v>0</v>
      </c>
      <c r="K13" s="2"/>
      <c r="L13" s="2"/>
      <c r="M13" s="2">
        <f t="shared" si="2"/>
        <v>0</v>
      </c>
    </row>
    <row r="14" spans="2:13" x14ac:dyDescent="0.3">
      <c r="C14" s="2"/>
      <c r="D14" s="2"/>
      <c r="E14" s="2"/>
      <c r="F14" s="2">
        <f t="shared" si="0"/>
        <v>0</v>
      </c>
      <c r="G14" s="2" t="s">
        <v>117</v>
      </c>
      <c r="H14" s="2"/>
      <c r="I14" s="2"/>
      <c r="J14" s="2">
        <f t="shared" si="1"/>
        <v>0</v>
      </c>
      <c r="K14" s="2"/>
      <c r="L14" s="2"/>
      <c r="M14" s="2">
        <f t="shared" si="2"/>
        <v>0</v>
      </c>
    </row>
    <row r="15" spans="2:13" x14ac:dyDescent="0.3">
      <c r="C15" s="2"/>
      <c r="D15" s="2"/>
      <c r="E15" s="2"/>
      <c r="F15" s="2">
        <f t="shared" si="0"/>
        <v>0</v>
      </c>
      <c r="G15" s="2"/>
      <c r="H15" s="2"/>
      <c r="I15" s="2"/>
      <c r="J15" s="2">
        <f t="shared" si="1"/>
        <v>0</v>
      </c>
      <c r="K15" s="2"/>
      <c r="L15" s="2"/>
      <c r="M15" s="2">
        <f t="shared" si="2"/>
        <v>0</v>
      </c>
    </row>
    <row r="16" spans="2:13" x14ac:dyDescent="0.3">
      <c r="C16" s="2"/>
      <c r="D16" s="2"/>
      <c r="E16" s="2"/>
      <c r="F16" s="2">
        <f t="shared" si="0"/>
        <v>0</v>
      </c>
      <c r="G16" s="2"/>
      <c r="H16" s="2"/>
      <c r="I16" s="2"/>
      <c r="J16" s="2">
        <f t="shared" si="1"/>
        <v>0</v>
      </c>
      <c r="K16" s="2"/>
      <c r="L16" s="2"/>
      <c r="M16" s="2">
        <f t="shared" si="2"/>
        <v>0</v>
      </c>
    </row>
    <row r="17" spans="3:13" x14ac:dyDescent="0.3">
      <c r="C17" s="2" t="s">
        <v>103</v>
      </c>
      <c r="D17" s="2"/>
      <c r="E17" s="2"/>
      <c r="F17" s="2">
        <f t="shared" si="0"/>
        <v>0</v>
      </c>
      <c r="G17" s="2" t="s">
        <v>116</v>
      </c>
      <c r="H17" s="2"/>
      <c r="I17" s="2"/>
      <c r="J17" s="2">
        <f t="shared" si="1"/>
        <v>0</v>
      </c>
      <c r="K17" s="2"/>
      <c r="L17" s="2"/>
      <c r="M17" s="2">
        <f t="shared" si="2"/>
        <v>0</v>
      </c>
    </row>
    <row r="18" spans="3:13" x14ac:dyDescent="0.3">
      <c r="C18" s="2"/>
      <c r="D18" s="2"/>
      <c r="E18" s="2"/>
      <c r="F18" s="2">
        <f t="shared" si="0"/>
        <v>0</v>
      </c>
      <c r="G18" s="2" t="s">
        <v>117</v>
      </c>
      <c r="H18" s="2"/>
      <c r="I18" s="2"/>
      <c r="J18" s="2">
        <f t="shared" si="1"/>
        <v>0</v>
      </c>
      <c r="K18" s="2"/>
      <c r="L18" s="2"/>
      <c r="M18" s="2">
        <f t="shared" si="2"/>
        <v>0</v>
      </c>
    </row>
    <row r="19" spans="3:13" x14ac:dyDescent="0.3">
      <c r="C19" s="2"/>
      <c r="D19" s="2"/>
      <c r="E19" s="2"/>
      <c r="F19" s="2">
        <f t="shared" si="0"/>
        <v>0</v>
      </c>
      <c r="G19" s="2"/>
      <c r="H19" s="2"/>
      <c r="I19" s="2"/>
      <c r="J19" s="2">
        <f t="shared" si="1"/>
        <v>0</v>
      </c>
      <c r="K19" s="2"/>
      <c r="L19" s="2"/>
      <c r="M19" s="2">
        <f t="shared" si="2"/>
        <v>0</v>
      </c>
    </row>
    <row r="20" spans="3:13" x14ac:dyDescent="0.3">
      <c r="C20" s="2" t="s">
        <v>103</v>
      </c>
      <c r="D20" s="2"/>
      <c r="E20" s="2"/>
      <c r="F20" s="2">
        <f t="shared" si="0"/>
        <v>0</v>
      </c>
      <c r="G20" s="2" t="s">
        <v>116</v>
      </c>
      <c r="H20" s="2"/>
      <c r="I20" s="2"/>
      <c r="J20" s="2">
        <f t="shared" si="1"/>
        <v>0</v>
      </c>
      <c r="K20" s="2"/>
      <c r="L20" s="2"/>
      <c r="M20" s="2">
        <f t="shared" si="2"/>
        <v>0</v>
      </c>
    </row>
    <row r="21" spans="3:13" x14ac:dyDescent="0.3">
      <c r="C21" s="2"/>
      <c r="D21" s="2"/>
      <c r="E21" s="2"/>
      <c r="F21" s="2">
        <f t="shared" si="0"/>
        <v>0</v>
      </c>
      <c r="G21" s="2" t="s">
        <v>117</v>
      </c>
      <c r="H21" s="2"/>
      <c r="I21" s="2"/>
      <c r="J21" s="2">
        <f t="shared" si="1"/>
        <v>0</v>
      </c>
      <c r="K21" s="2"/>
      <c r="L21" s="2"/>
      <c r="M21" s="2">
        <f t="shared" si="2"/>
        <v>0</v>
      </c>
    </row>
    <row r="22" spans="3:13" x14ac:dyDescent="0.3">
      <c r="C22" s="2"/>
      <c r="D22" s="2"/>
      <c r="E22" s="2"/>
      <c r="F22" s="2">
        <f t="shared" si="0"/>
        <v>0</v>
      </c>
      <c r="G22" s="2"/>
      <c r="H22" s="2"/>
      <c r="I22" s="2"/>
      <c r="J22" s="2">
        <f t="shared" si="1"/>
        <v>0</v>
      </c>
      <c r="K22" s="2"/>
      <c r="L22" s="2"/>
      <c r="M22" s="2">
        <f t="shared" si="2"/>
        <v>0</v>
      </c>
    </row>
    <row r="23" spans="3:13" x14ac:dyDescent="0.3">
      <c r="C23" s="2" t="s">
        <v>109</v>
      </c>
      <c r="D23" s="2"/>
      <c r="E23" s="2"/>
      <c r="F23" s="2">
        <f t="shared" si="0"/>
        <v>0</v>
      </c>
      <c r="G23" s="2" t="s">
        <v>118</v>
      </c>
      <c r="H23" s="2"/>
      <c r="I23" s="2"/>
      <c r="J23" s="2">
        <f t="shared" si="1"/>
        <v>0</v>
      </c>
      <c r="K23" s="2"/>
      <c r="L23" s="2"/>
      <c r="M23" s="2">
        <f t="shared" si="2"/>
        <v>0</v>
      </c>
    </row>
    <row r="24" spans="3:13" x14ac:dyDescent="0.3">
      <c r="C24" s="2" t="s">
        <v>110</v>
      </c>
      <c r="D24" s="2"/>
      <c r="E24" s="2"/>
      <c r="F24" s="2">
        <f t="shared" si="0"/>
        <v>0</v>
      </c>
      <c r="G24" s="2" t="s">
        <v>118</v>
      </c>
      <c r="H24" s="2"/>
      <c r="I24" s="2"/>
      <c r="J24" s="2">
        <f t="shared" si="1"/>
        <v>0</v>
      </c>
      <c r="K24" s="2"/>
      <c r="L24" s="2"/>
      <c r="M24" s="2">
        <f t="shared" si="2"/>
        <v>0</v>
      </c>
    </row>
    <row r="25" spans="3:13" x14ac:dyDescent="0.3">
      <c r="C25" s="2" t="s">
        <v>111</v>
      </c>
      <c r="D25" s="2"/>
      <c r="E25" s="2"/>
      <c r="F25" s="2">
        <f t="shared" si="0"/>
        <v>0</v>
      </c>
      <c r="G25" s="2" t="s">
        <v>118</v>
      </c>
      <c r="H25" s="2"/>
      <c r="I25" s="2"/>
      <c r="J25" s="2">
        <f t="shared" si="1"/>
        <v>0</v>
      </c>
      <c r="K25" s="2"/>
      <c r="L25" s="2"/>
      <c r="M25" s="2">
        <f t="shared" si="2"/>
        <v>0</v>
      </c>
    </row>
    <row r="26" spans="3:13" x14ac:dyDescent="0.3">
      <c r="C26" s="2"/>
      <c r="D26" s="2"/>
      <c r="E26" s="2"/>
      <c r="F26" s="2">
        <f t="shared" si="0"/>
        <v>0</v>
      </c>
      <c r="G26" s="2"/>
      <c r="H26" s="2"/>
      <c r="I26" s="2"/>
      <c r="J26" s="2">
        <f t="shared" si="1"/>
        <v>0</v>
      </c>
      <c r="K26" s="2"/>
      <c r="L26" s="2"/>
      <c r="M26" s="2">
        <f t="shared" si="2"/>
        <v>0</v>
      </c>
    </row>
    <row r="27" spans="3:13" x14ac:dyDescent="0.3">
      <c r="C27" s="2" t="s">
        <v>105</v>
      </c>
      <c r="D27" s="2"/>
      <c r="E27" s="2"/>
      <c r="F27" s="2">
        <f t="shared" si="0"/>
        <v>0</v>
      </c>
      <c r="G27" s="2"/>
      <c r="H27" s="2"/>
      <c r="I27" s="2"/>
      <c r="J27" s="2">
        <f t="shared" si="1"/>
        <v>0</v>
      </c>
      <c r="K27" s="2"/>
      <c r="L27" s="2"/>
      <c r="M27" s="2">
        <f t="shared" si="2"/>
        <v>0</v>
      </c>
    </row>
    <row r="28" spans="3:13" x14ac:dyDescent="0.3">
      <c r="C28" s="2" t="s">
        <v>106</v>
      </c>
      <c r="D28" s="2"/>
      <c r="E28" s="2"/>
      <c r="F28" s="2">
        <f t="shared" si="0"/>
        <v>0</v>
      </c>
      <c r="G28" s="2"/>
      <c r="H28" s="2"/>
      <c r="I28" s="2"/>
      <c r="J28" s="2">
        <f t="shared" si="1"/>
        <v>0</v>
      </c>
      <c r="K28" s="2"/>
      <c r="L28" s="2"/>
      <c r="M28" s="2">
        <f t="shared" si="2"/>
        <v>0</v>
      </c>
    </row>
    <row r="29" spans="3:13" x14ac:dyDescent="0.3">
      <c r="C29" s="2" t="s">
        <v>107</v>
      </c>
      <c r="D29" s="2"/>
      <c r="E29" s="2"/>
      <c r="F29" s="2">
        <f t="shared" si="0"/>
        <v>0</v>
      </c>
      <c r="G29" s="2"/>
      <c r="H29" s="2"/>
      <c r="I29" s="2"/>
      <c r="J29" s="2">
        <f t="shared" si="1"/>
        <v>0</v>
      </c>
      <c r="K29" s="2"/>
      <c r="L29" s="2"/>
      <c r="M29" s="2">
        <f t="shared" si="2"/>
        <v>0</v>
      </c>
    </row>
    <row r="30" spans="3:13" x14ac:dyDescent="0.3">
      <c r="C30" s="2" t="s">
        <v>108</v>
      </c>
      <c r="D30" s="2"/>
      <c r="E30" s="2"/>
      <c r="F30" s="2">
        <f t="shared" si="0"/>
        <v>0</v>
      </c>
      <c r="G30" s="2"/>
      <c r="H30" s="2"/>
      <c r="I30" s="2"/>
      <c r="J30" s="2">
        <f>H30*I30</f>
        <v>0</v>
      </c>
      <c r="K30" s="2"/>
      <c r="L30" s="2"/>
      <c r="M30" s="2">
        <f>K30*L30</f>
        <v>0</v>
      </c>
    </row>
    <row r="31" spans="3:13" x14ac:dyDescent="0.3">
      <c r="C31" s="2"/>
      <c r="D31" s="2"/>
      <c r="E31" s="2"/>
      <c r="F31" s="2">
        <f t="shared" si="0"/>
        <v>0</v>
      </c>
      <c r="G31" s="2"/>
      <c r="H31" s="2"/>
      <c r="I31" s="2"/>
      <c r="J31" s="2">
        <f>H31*I31</f>
        <v>0</v>
      </c>
      <c r="K31" s="2"/>
      <c r="L31" s="2"/>
      <c r="M31" s="2">
        <f>K31*L31</f>
        <v>0</v>
      </c>
    </row>
    <row r="32" spans="3:13" x14ac:dyDescent="0.3">
      <c r="C32" s="2"/>
      <c r="D32" s="2"/>
      <c r="E32" s="2"/>
      <c r="F32" s="2">
        <f t="shared" si="0"/>
        <v>0</v>
      </c>
      <c r="G32" s="2"/>
      <c r="H32" s="2"/>
      <c r="I32" s="2"/>
      <c r="J32" s="2">
        <f>H32*I32</f>
        <v>0</v>
      </c>
      <c r="K32" s="2"/>
      <c r="L32" s="2"/>
      <c r="M32" s="2">
        <f>K32*L32</f>
        <v>0</v>
      </c>
    </row>
    <row r="33" spans="3:13" x14ac:dyDescent="0.3">
      <c r="C33" s="2"/>
      <c r="D33" s="2"/>
      <c r="E33" s="2"/>
      <c r="F33" s="2">
        <f t="shared" si="0"/>
        <v>0</v>
      </c>
      <c r="G33" s="2"/>
      <c r="H33" s="2"/>
      <c r="I33" s="2"/>
      <c r="J33" s="2">
        <f>H33*I33</f>
        <v>0</v>
      </c>
      <c r="K33" s="2"/>
      <c r="L33" s="2"/>
      <c r="M33" s="2">
        <f>K33*L33</f>
        <v>0</v>
      </c>
    </row>
    <row r="34" spans="3:13" x14ac:dyDescent="0.3">
      <c r="C34" s="2" t="s">
        <v>112</v>
      </c>
      <c r="D34" s="2"/>
      <c r="E34" s="2">
        <f>F34*10.764</f>
        <v>0</v>
      </c>
      <c r="F34" s="2">
        <f>SUM(F6:F33)</f>
        <v>0</v>
      </c>
      <c r="G34" s="2"/>
      <c r="H34" s="2"/>
      <c r="I34" s="2">
        <f>J34*10.764</f>
        <v>0</v>
      </c>
      <c r="J34" s="2">
        <f>SUM(J6:J33)</f>
        <v>0</v>
      </c>
      <c r="K34" s="2"/>
      <c r="L34" s="2">
        <f>M34*10.764</f>
        <v>0</v>
      </c>
      <c r="M34" s="2">
        <f>SUM(M6:M33)</f>
        <v>0</v>
      </c>
    </row>
  </sheetData>
  <mergeCells count="4">
    <mergeCell ref="D2:E2"/>
    <mergeCell ref="D4:F4"/>
    <mergeCell ref="H4:J4"/>
    <mergeCell ref="K4:M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7"/>
  <sheetViews>
    <sheetView workbookViewId="0">
      <selection activeCell="E11" sqref="E11"/>
    </sheetView>
  </sheetViews>
  <sheetFormatPr defaultRowHeight="14.4" x14ac:dyDescent="0.3"/>
  <cols>
    <col min="2" max="2" width="36.77734375" customWidth="1"/>
    <col min="3" max="3" width="52.21875" customWidth="1"/>
    <col min="8" max="8" width="29" customWidth="1"/>
  </cols>
  <sheetData>
    <row r="1" spans="1:9" x14ac:dyDescent="0.3">
      <c r="A1" s="37"/>
      <c r="B1" s="37"/>
      <c r="C1" s="37"/>
      <c r="D1" s="37"/>
      <c r="E1" s="37"/>
      <c r="F1" s="37"/>
      <c r="G1" s="37"/>
      <c r="H1" s="37"/>
      <c r="I1" s="36"/>
    </row>
    <row r="2" spans="1:9" x14ac:dyDescent="0.3">
      <c r="A2" s="38"/>
      <c r="B2" s="38"/>
      <c r="C2" s="38"/>
      <c r="D2" s="38"/>
      <c r="E2" s="38"/>
      <c r="F2" s="38"/>
      <c r="G2" s="38"/>
      <c r="H2" s="38"/>
      <c r="I2" s="36"/>
    </row>
    <row r="3" spans="1:9" x14ac:dyDescent="0.3">
      <c r="A3" s="38"/>
      <c r="B3" s="196" t="s">
        <v>275</v>
      </c>
      <c r="C3" s="196"/>
      <c r="D3" s="196"/>
      <c r="E3" s="196"/>
      <c r="F3" s="196"/>
      <c r="G3" s="196"/>
      <c r="H3" s="196"/>
      <c r="I3" s="36"/>
    </row>
    <row r="4" spans="1:9" ht="28.8" x14ac:dyDescent="0.3">
      <c r="A4" s="38"/>
      <c r="B4" s="39" t="s">
        <v>276</v>
      </c>
      <c r="C4" s="39" t="s">
        <v>277</v>
      </c>
      <c r="D4" s="39" t="s">
        <v>114</v>
      </c>
      <c r="E4" s="39" t="s">
        <v>278</v>
      </c>
      <c r="F4" s="39" t="s">
        <v>279</v>
      </c>
      <c r="G4" s="39" t="s">
        <v>280</v>
      </c>
      <c r="H4" s="39" t="s">
        <v>281</v>
      </c>
      <c r="I4" s="36"/>
    </row>
    <row r="5" spans="1:9" x14ac:dyDescent="0.3">
      <c r="A5" s="38"/>
      <c r="B5" s="41" t="s">
        <v>282</v>
      </c>
      <c r="C5" s="47" t="s">
        <v>124</v>
      </c>
      <c r="D5" s="41" t="s">
        <v>127</v>
      </c>
      <c r="E5" s="41">
        <v>0</v>
      </c>
      <c r="F5" s="42">
        <v>1250</v>
      </c>
      <c r="G5" s="42">
        <f t="shared" ref="G5:G10" si="0">H5/F5</f>
        <v>20000</v>
      </c>
      <c r="H5" s="43">
        <v>25000000</v>
      </c>
      <c r="I5" s="36"/>
    </row>
    <row r="6" spans="1:9" x14ac:dyDescent="0.3">
      <c r="A6" s="38"/>
      <c r="B6" s="41" t="s">
        <v>285</v>
      </c>
      <c r="C6" s="47" t="s">
        <v>124</v>
      </c>
      <c r="D6" s="41" t="s">
        <v>138</v>
      </c>
      <c r="E6" s="41">
        <v>335</v>
      </c>
      <c r="F6" s="42">
        <f>E6*1.45</f>
        <v>485.75</v>
      </c>
      <c r="G6" s="42">
        <f t="shared" si="0"/>
        <v>17539.886773031394</v>
      </c>
      <c r="H6" s="43">
        <v>8520000</v>
      </c>
      <c r="I6" s="36"/>
    </row>
    <row r="7" spans="1:9" x14ac:dyDescent="0.3">
      <c r="A7" s="38"/>
      <c r="B7" s="41" t="s">
        <v>285</v>
      </c>
      <c r="C7" s="47" t="s">
        <v>124</v>
      </c>
      <c r="D7" s="41" t="s">
        <v>127</v>
      </c>
      <c r="E7" s="41">
        <v>480</v>
      </c>
      <c r="F7" s="42">
        <f>E7*1.45</f>
        <v>696</v>
      </c>
      <c r="G7" s="42">
        <f t="shared" si="0"/>
        <v>16522.988505747126</v>
      </c>
      <c r="H7" s="43">
        <v>11500000</v>
      </c>
      <c r="I7" s="36"/>
    </row>
    <row r="8" spans="1:9" x14ac:dyDescent="0.3">
      <c r="A8" s="38"/>
      <c r="B8" s="41" t="s">
        <v>285</v>
      </c>
      <c r="C8" s="47" t="s">
        <v>124</v>
      </c>
      <c r="D8" s="41" t="s">
        <v>127</v>
      </c>
      <c r="E8" s="41">
        <v>500</v>
      </c>
      <c r="F8" s="42">
        <f>E8*1.45</f>
        <v>725</v>
      </c>
      <c r="G8" s="42">
        <f t="shared" si="0"/>
        <v>16551.724137931036</v>
      </c>
      <c r="H8" s="43">
        <v>12000000</v>
      </c>
      <c r="I8" s="36"/>
    </row>
    <row r="9" spans="1:9" x14ac:dyDescent="0.3">
      <c r="A9" s="38"/>
      <c r="B9" s="41" t="s">
        <v>285</v>
      </c>
      <c r="C9" s="47" t="s">
        <v>124</v>
      </c>
      <c r="D9" s="41" t="s">
        <v>133</v>
      </c>
      <c r="E9" s="41">
        <v>630</v>
      </c>
      <c r="F9" s="42">
        <f>E9*1.45</f>
        <v>913.5</v>
      </c>
      <c r="G9" s="42">
        <f t="shared" si="0"/>
        <v>16529.830322933773</v>
      </c>
      <c r="H9" s="43">
        <v>15100000</v>
      </c>
      <c r="I9" s="36"/>
    </row>
    <row r="10" spans="1:9" x14ac:dyDescent="0.3">
      <c r="A10" s="38"/>
      <c r="B10" s="41" t="s">
        <v>285</v>
      </c>
      <c r="C10" s="47" t="s">
        <v>124</v>
      </c>
      <c r="D10" s="41" t="s">
        <v>133</v>
      </c>
      <c r="E10" s="41">
        <v>710</v>
      </c>
      <c r="F10" s="42">
        <f>E10*1.45</f>
        <v>1029.5</v>
      </c>
      <c r="G10" s="42">
        <f t="shared" si="0"/>
        <v>16512.87032540068</v>
      </c>
      <c r="H10" s="43">
        <v>17000000</v>
      </c>
      <c r="I10" s="36"/>
    </row>
    <row r="11" spans="1:9" x14ac:dyDescent="0.3">
      <c r="A11" s="38"/>
      <c r="B11" s="50" t="s">
        <v>287</v>
      </c>
      <c r="C11" s="51" t="s">
        <v>124</v>
      </c>
      <c r="D11" s="50" t="s">
        <v>127</v>
      </c>
      <c r="E11" s="50">
        <f>74.88*10.764</f>
        <v>806.00831999999991</v>
      </c>
      <c r="F11" s="45">
        <f>E11*1.6</f>
        <v>1289.613312</v>
      </c>
      <c r="G11" s="45">
        <f>H11/F11</f>
        <v>19385.655969407362</v>
      </c>
      <c r="H11" s="52">
        <v>25000000</v>
      </c>
      <c r="I11" s="36"/>
    </row>
    <row r="12" spans="1:9" x14ac:dyDescent="0.3">
      <c r="A12" s="38"/>
      <c r="B12" s="50" t="s">
        <v>288</v>
      </c>
      <c r="C12" s="51" t="s">
        <v>124</v>
      </c>
      <c r="D12" s="50" t="s">
        <v>127</v>
      </c>
      <c r="E12" s="50">
        <v>800</v>
      </c>
      <c r="F12" s="45">
        <f>E12*1.6</f>
        <v>1280</v>
      </c>
      <c r="G12" s="45">
        <f>H12/F12</f>
        <v>19531.25</v>
      </c>
      <c r="H12" s="52">
        <v>25000000</v>
      </c>
      <c r="I12" s="36"/>
    </row>
    <row r="13" spans="1:9" x14ac:dyDescent="0.3">
      <c r="A13" s="38"/>
      <c r="B13" s="44" t="s">
        <v>283</v>
      </c>
      <c r="C13" s="41"/>
      <c r="D13" s="41"/>
      <c r="E13" s="41"/>
      <c r="F13" s="41"/>
      <c r="G13" s="45">
        <f>AVERAGE(G5:G10)</f>
        <v>17276.216677507338</v>
      </c>
      <c r="H13" s="41"/>
      <c r="I13" s="36"/>
    </row>
    <row r="14" spans="1:9" x14ac:dyDescent="0.3">
      <c r="A14" s="37"/>
      <c r="B14" s="44" t="s">
        <v>284</v>
      </c>
      <c r="C14" s="41"/>
      <c r="D14" s="41"/>
      <c r="E14" s="41"/>
      <c r="F14" s="46"/>
      <c r="G14" s="44">
        <v>17300</v>
      </c>
      <c r="H14" s="44"/>
      <c r="I14" s="40"/>
    </row>
    <row r="15" spans="1:9" x14ac:dyDescent="0.3">
      <c r="A15" s="36"/>
      <c r="B15" s="37"/>
      <c r="C15" s="37"/>
      <c r="D15" s="37"/>
      <c r="E15" s="37"/>
      <c r="F15" s="36"/>
      <c r="G15" s="36"/>
      <c r="H15" s="36"/>
      <c r="I15" s="36"/>
    </row>
    <row r="16" spans="1:9" x14ac:dyDescent="0.3">
      <c r="A16" s="36"/>
      <c r="B16" s="37"/>
      <c r="C16" s="37"/>
      <c r="D16" s="37"/>
      <c r="E16" s="37"/>
      <c r="F16" s="36"/>
      <c r="G16" s="36"/>
      <c r="H16" s="36"/>
      <c r="I16" s="36"/>
    </row>
    <row r="17" spans="1:9" x14ac:dyDescent="0.3">
      <c r="A17" s="36"/>
      <c r="B17" s="37"/>
      <c r="C17" s="37"/>
      <c r="D17" s="37"/>
      <c r="E17" s="37"/>
      <c r="F17" s="36"/>
      <c r="G17" s="36"/>
      <c r="H17" s="36"/>
      <c r="I17" s="36"/>
    </row>
  </sheetData>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opLeftCell="A19" workbookViewId="0">
      <selection activeCell="B20" sqref="B20:F43"/>
    </sheetView>
  </sheetViews>
  <sheetFormatPr defaultColWidth="9.21875" defaultRowHeight="14.4" x14ac:dyDescent="0.3"/>
  <cols>
    <col min="1" max="16384" width="9.21875" style="30"/>
  </cols>
  <sheetData>
    <row r="1" spans="1:12" x14ac:dyDescent="0.3">
      <c r="A1" s="190">
        <v>43862</v>
      </c>
      <c r="B1" s="191"/>
      <c r="C1" s="191"/>
      <c r="D1" s="191"/>
      <c r="E1" s="191"/>
      <c r="F1" s="191"/>
      <c r="G1" s="191"/>
      <c r="H1" s="191"/>
      <c r="I1" s="191"/>
      <c r="J1" s="191"/>
      <c r="K1" s="191"/>
      <c r="L1" s="191"/>
    </row>
    <row r="2" spans="1:12" ht="48" customHeight="1" x14ac:dyDescent="0.3">
      <c r="A2" s="189" t="s">
        <v>269</v>
      </c>
      <c r="B2" s="189"/>
      <c r="C2" s="189"/>
      <c r="D2" s="189"/>
      <c r="E2" s="189"/>
      <c r="F2" s="189"/>
      <c r="G2" s="189"/>
      <c r="H2" s="189"/>
      <c r="I2" s="189"/>
      <c r="J2" s="189"/>
      <c r="K2" s="35">
        <v>27.990430622009569</v>
      </c>
      <c r="L2" s="35">
        <v>44.808612440191389</v>
      </c>
    </row>
    <row r="3" spans="1:12" ht="48" customHeight="1" x14ac:dyDescent="0.3">
      <c r="A3" s="189" t="s">
        <v>230</v>
      </c>
      <c r="B3" s="189"/>
      <c r="C3" s="189"/>
      <c r="D3" s="189"/>
      <c r="E3" s="189"/>
      <c r="F3" s="189"/>
      <c r="G3" s="189"/>
      <c r="H3" s="189"/>
      <c r="I3" s="189"/>
      <c r="J3" s="189"/>
      <c r="K3" s="35">
        <v>27.990430622009569</v>
      </c>
      <c r="L3" s="35">
        <v>44.808612440191389</v>
      </c>
    </row>
    <row r="4" spans="1:12" ht="45.75" customHeight="1" x14ac:dyDescent="0.3">
      <c r="A4" s="189" t="s">
        <v>231</v>
      </c>
      <c r="B4" s="189"/>
      <c r="C4" s="189"/>
      <c r="D4" s="189"/>
      <c r="E4" s="189"/>
      <c r="F4" s="189"/>
      <c r="G4" s="189"/>
      <c r="H4" s="189"/>
      <c r="I4" s="189"/>
      <c r="J4" s="189"/>
      <c r="K4" s="35">
        <v>21.722488038277511</v>
      </c>
      <c r="L4" s="35">
        <v>39.449760765550245</v>
      </c>
    </row>
    <row r="5" spans="1:12" ht="46.5" customHeight="1" x14ac:dyDescent="0.3">
      <c r="A5" s="189" t="s">
        <v>232</v>
      </c>
      <c r="B5" s="189"/>
      <c r="C5" s="189"/>
      <c r="D5" s="189"/>
      <c r="E5" s="189"/>
      <c r="F5" s="189"/>
      <c r="G5" s="189"/>
      <c r="H5" s="189"/>
      <c r="I5" s="189"/>
      <c r="J5" s="189"/>
      <c r="K5" s="35">
        <v>21.722488038277511</v>
      </c>
      <c r="L5" s="35">
        <v>39.449760765550245</v>
      </c>
    </row>
    <row r="6" spans="1:12" ht="33" customHeight="1" x14ac:dyDescent="0.3">
      <c r="A6" s="189" t="s">
        <v>270</v>
      </c>
      <c r="B6" s="189"/>
      <c r="C6" s="189"/>
      <c r="D6" s="189"/>
      <c r="E6" s="189"/>
      <c r="F6" s="189"/>
      <c r="G6" s="189"/>
      <c r="H6" s="189"/>
      <c r="I6" s="189"/>
      <c r="J6" s="189"/>
      <c r="K6" s="35">
        <v>13.636363636363637</v>
      </c>
      <c r="L6" s="35">
        <v>32.727272727272727</v>
      </c>
    </row>
    <row r="7" spans="1:12" ht="49.5" customHeight="1" x14ac:dyDescent="0.3">
      <c r="A7" s="189" t="s">
        <v>233</v>
      </c>
      <c r="B7" s="189"/>
      <c r="C7" s="189"/>
      <c r="D7" s="189"/>
      <c r="E7" s="189"/>
      <c r="F7" s="189"/>
      <c r="G7" s="189"/>
      <c r="H7" s="189"/>
      <c r="I7" s="189"/>
      <c r="J7" s="189"/>
      <c r="K7" s="35">
        <v>22.631578947368421</v>
      </c>
      <c r="L7" s="35">
        <v>40.131578947368425</v>
      </c>
    </row>
    <row r="8" spans="1:12" ht="33.75" customHeight="1" x14ac:dyDescent="0.3">
      <c r="A8" s="189" t="s">
        <v>234</v>
      </c>
      <c r="B8" s="189"/>
      <c r="C8" s="189"/>
      <c r="D8" s="189"/>
      <c r="E8" s="189"/>
      <c r="F8" s="189"/>
      <c r="G8" s="189"/>
      <c r="H8" s="189"/>
      <c r="I8" s="189"/>
      <c r="J8" s="189"/>
      <c r="K8" s="35">
        <v>12.727272727272727</v>
      </c>
      <c r="L8" s="35">
        <v>32.045454545454547</v>
      </c>
    </row>
    <row r="9" spans="1:12" x14ac:dyDescent="0.3">
      <c r="A9" s="34"/>
      <c r="B9" s="34"/>
      <c r="C9" s="34"/>
      <c r="D9" s="34"/>
      <c r="E9" s="34"/>
      <c r="F9" s="34"/>
      <c r="G9" s="34"/>
      <c r="H9" s="34"/>
      <c r="I9" s="34"/>
      <c r="J9" s="34"/>
    </row>
    <row r="10" spans="1:12" x14ac:dyDescent="0.3">
      <c r="A10" s="190">
        <v>44105</v>
      </c>
      <c r="B10" s="191"/>
      <c r="C10" s="191"/>
      <c r="D10" s="191"/>
      <c r="E10" s="191"/>
      <c r="F10" s="191"/>
      <c r="G10" s="191"/>
      <c r="H10" s="191"/>
      <c r="I10" s="191"/>
      <c r="J10" s="191"/>
      <c r="K10" s="191"/>
      <c r="L10" s="191"/>
    </row>
    <row r="11" spans="1:12" ht="33" customHeight="1" x14ac:dyDescent="0.3">
      <c r="A11" s="189" t="s">
        <v>254</v>
      </c>
      <c r="B11" s="189"/>
      <c r="C11" s="189"/>
      <c r="D11" s="189"/>
      <c r="E11" s="189"/>
      <c r="F11" s="189"/>
      <c r="G11" s="189"/>
      <c r="H11" s="189"/>
      <c r="I11" s="189"/>
      <c r="J11" s="189"/>
      <c r="K11" s="35">
        <v>27.990430622009569</v>
      </c>
      <c r="L11" s="35">
        <v>44.808612440191389</v>
      </c>
    </row>
    <row r="12" spans="1:12" ht="32.25" customHeight="1" x14ac:dyDescent="0.3">
      <c r="A12" s="189" t="s">
        <v>249</v>
      </c>
      <c r="B12" s="189"/>
      <c r="C12" s="189"/>
      <c r="D12" s="189"/>
      <c r="E12" s="189"/>
      <c r="F12" s="189"/>
      <c r="G12" s="189"/>
      <c r="H12" s="189"/>
      <c r="I12" s="189"/>
      <c r="J12" s="189"/>
      <c r="K12" s="35">
        <v>27.990430622009569</v>
      </c>
      <c r="L12" s="35">
        <v>44.808612440191389</v>
      </c>
    </row>
    <row r="13" spans="1:12" ht="32.25" customHeight="1" x14ac:dyDescent="0.3">
      <c r="A13" s="189" t="s">
        <v>268</v>
      </c>
      <c r="B13" s="189"/>
      <c r="C13" s="189"/>
      <c r="D13" s="189"/>
      <c r="E13" s="189"/>
      <c r="F13" s="189"/>
      <c r="G13" s="189"/>
      <c r="H13" s="189"/>
      <c r="I13" s="189"/>
      <c r="J13" s="189"/>
      <c r="K13" s="35">
        <v>24.330143540669855</v>
      </c>
      <c r="L13" s="35">
        <v>41.602870813397132</v>
      </c>
    </row>
    <row r="14" spans="1:12" ht="32.25" customHeight="1" x14ac:dyDescent="0.3">
      <c r="A14" s="189" t="s">
        <v>251</v>
      </c>
      <c r="B14" s="189"/>
      <c r="C14" s="189"/>
      <c r="D14" s="189"/>
      <c r="E14" s="189"/>
      <c r="F14" s="189"/>
      <c r="G14" s="189"/>
      <c r="H14" s="189"/>
      <c r="I14" s="189"/>
      <c r="J14" s="189"/>
      <c r="K14" s="35">
        <v>24.330143540669855</v>
      </c>
      <c r="L14" s="35">
        <v>41.602870813397132</v>
      </c>
    </row>
    <row r="15" spans="1:12" ht="32.25" customHeight="1" x14ac:dyDescent="0.3">
      <c r="A15" s="189" t="s">
        <v>270</v>
      </c>
      <c r="B15" s="189"/>
      <c r="C15" s="189"/>
      <c r="D15" s="189"/>
      <c r="E15" s="189"/>
      <c r="F15" s="189"/>
      <c r="G15" s="189"/>
      <c r="H15" s="189"/>
      <c r="I15" s="189"/>
      <c r="J15" s="189"/>
      <c r="K15" s="35">
        <v>13.636363636363637</v>
      </c>
      <c r="L15" s="35">
        <v>32.727272727272727</v>
      </c>
    </row>
    <row r="16" spans="1:12" ht="32.25" customHeight="1" x14ac:dyDescent="0.3">
      <c r="A16" s="189" t="s">
        <v>252</v>
      </c>
      <c r="B16" s="189"/>
      <c r="C16" s="189"/>
      <c r="D16" s="189"/>
      <c r="E16" s="189"/>
      <c r="F16" s="189"/>
      <c r="G16" s="189"/>
      <c r="H16" s="189"/>
      <c r="I16" s="189"/>
      <c r="J16" s="189"/>
      <c r="K16" s="35">
        <v>26.674641148325357</v>
      </c>
      <c r="L16" s="35">
        <v>43.492822966507177</v>
      </c>
    </row>
    <row r="17" spans="1:12" ht="32.25" customHeight="1" x14ac:dyDescent="0.3">
      <c r="A17" s="189" t="s">
        <v>253</v>
      </c>
      <c r="B17" s="189"/>
      <c r="C17" s="189"/>
      <c r="D17" s="189"/>
      <c r="E17" s="189"/>
      <c r="F17" s="189"/>
      <c r="G17" s="189"/>
      <c r="H17" s="189"/>
      <c r="I17" s="189"/>
      <c r="J17" s="189"/>
      <c r="K17" s="35">
        <v>12.727272727272727</v>
      </c>
      <c r="L17" s="35">
        <v>32.045454545454547</v>
      </c>
    </row>
    <row r="18" spans="1:12" ht="32.25" customHeight="1" x14ac:dyDescent="0.3">
      <c r="A18" s="189" t="s">
        <v>250</v>
      </c>
      <c r="B18" s="189"/>
      <c r="C18" s="189"/>
      <c r="D18" s="189"/>
      <c r="E18" s="189"/>
      <c r="F18" s="189"/>
      <c r="G18" s="189"/>
      <c r="H18" s="189"/>
      <c r="I18" s="189"/>
      <c r="J18" s="189"/>
      <c r="K18" s="35">
        <v>19.09090909090909</v>
      </c>
      <c r="L18" s="35">
        <v>36.81818181818182</v>
      </c>
    </row>
    <row r="20" spans="1:12" ht="15" thickBot="1" x14ac:dyDescent="0.35">
      <c r="B20"/>
      <c r="C20"/>
      <c r="D20"/>
      <c r="E20"/>
      <c r="F20"/>
    </row>
    <row r="21" spans="1:12" ht="15.6" x14ac:dyDescent="0.3">
      <c r="B21" s="14" t="e">
        <f>(IF(#REF!=0,"Work not yet Started.",IF(#REF!=1,"Excavation work in process",IF(#REF!=2,"Excavation work completed",IF(#REF!=4,"Footing work is process",IF(#REF!=5,"Footing work Completed",IF(#REF!=7,"Plinth work is process",IF(#REF!=10,"Plinth work completed","0")))))))&amp;(IF(#REF!&gt;0,", RCC upto "&amp;#REF!&amp;" Slab completed",""))&amp;(IF(#REF!&gt;0,", Brickwork upto "&amp;#REF!&amp;" Floor completed"," "))&amp;(IF(#REF!&gt;0,", Plaster upto "&amp;#REF!&amp;" Floor completed"," "))&amp;(IF(#REF!&gt;0,", Flooring upto "&amp;#REF!&amp;" Floor completed"," "))&amp;(IF(#REF!&gt;0,", Painting upto "&amp;#REF!&amp;" Floor completed"," "))&amp;(IF(#REF!&gt;0,", Finishing upto "&amp;#REF!&amp;" Floor completed"," ")))</f>
        <v>#REF!</v>
      </c>
      <c r="C21" s="15"/>
      <c r="D21" s="16"/>
      <c r="E21"/>
      <c r="F21"/>
    </row>
    <row r="22" spans="1:12" ht="15.6" x14ac:dyDescent="0.3">
      <c r="B22" s="17" t="s">
        <v>236</v>
      </c>
      <c r="C22" s="18"/>
      <c r="D22" s="19"/>
      <c r="E22"/>
      <c r="F22"/>
    </row>
    <row r="23" spans="1:12" ht="15.6" x14ac:dyDescent="0.3">
      <c r="B23" s="17" t="s">
        <v>238</v>
      </c>
      <c r="C23" s="18"/>
      <c r="D23" s="19"/>
      <c r="E23"/>
      <c r="F23"/>
    </row>
    <row r="24" spans="1:12" ht="15.6" x14ac:dyDescent="0.3">
      <c r="B24" s="17" t="s">
        <v>242</v>
      </c>
      <c r="C24" s="20"/>
      <c r="D24" s="21"/>
      <c r="E24"/>
      <c r="F24"/>
    </row>
    <row r="25" spans="1:12" ht="15.6" x14ac:dyDescent="0.3">
      <c r="B25" s="22"/>
      <c r="C25" s="20"/>
      <c r="D25" s="21"/>
      <c r="E25"/>
      <c r="F25"/>
    </row>
    <row r="26" spans="1:12" x14ac:dyDescent="0.3">
      <c r="B26" s="23" t="s">
        <v>243</v>
      </c>
      <c r="C26" s="24">
        <v>0.01</v>
      </c>
      <c r="D26" s="25">
        <v>0.02</v>
      </c>
      <c r="E26"/>
      <c r="F26"/>
    </row>
    <row r="27" spans="1:12" x14ac:dyDescent="0.3">
      <c r="B27" s="23" t="s">
        <v>244</v>
      </c>
      <c r="C27" s="24">
        <v>0.02</v>
      </c>
      <c r="D27" s="25">
        <v>0.04</v>
      </c>
      <c r="E27"/>
      <c r="F27"/>
    </row>
    <row r="28" spans="1:12" x14ac:dyDescent="0.3">
      <c r="B28" s="23" t="s">
        <v>245</v>
      </c>
      <c r="C28" s="24">
        <v>0.04</v>
      </c>
      <c r="D28" s="25">
        <v>0.08</v>
      </c>
      <c r="E28"/>
      <c r="F28"/>
    </row>
    <row r="29" spans="1:12" x14ac:dyDescent="0.3">
      <c r="B29" s="23" t="s">
        <v>246</v>
      </c>
      <c r="C29" s="24">
        <v>0.05</v>
      </c>
      <c r="D29" s="25">
        <v>0.15</v>
      </c>
      <c r="E29"/>
      <c r="F29"/>
    </row>
    <row r="30" spans="1:12" x14ac:dyDescent="0.3">
      <c r="B30" s="23" t="s">
        <v>247</v>
      </c>
      <c r="C30" s="24">
        <v>7.0000000000000007E-2</v>
      </c>
      <c r="D30" s="25">
        <v>0.2</v>
      </c>
      <c r="E30"/>
      <c r="F30"/>
    </row>
    <row r="31" spans="1:12" ht="15" thickBot="1" x14ac:dyDescent="0.35">
      <c r="B31" s="26" t="s">
        <v>248</v>
      </c>
      <c r="C31" s="27">
        <v>0.1</v>
      </c>
      <c r="D31" s="28">
        <v>0.3</v>
      </c>
      <c r="E31"/>
      <c r="F31"/>
    </row>
    <row r="32" spans="1:12" x14ac:dyDescent="0.3">
      <c r="B32"/>
      <c r="C32"/>
      <c r="D32"/>
      <c r="E32"/>
      <c r="F32"/>
    </row>
    <row r="33" spans="2:6" x14ac:dyDescent="0.3">
      <c r="B33" s="192" t="s">
        <v>264</v>
      </c>
      <c r="C33" s="193" t="s">
        <v>262</v>
      </c>
      <c r="D33" s="193"/>
      <c r="E33" s="193" t="s">
        <v>263</v>
      </c>
      <c r="F33" s="193"/>
    </row>
    <row r="34" spans="2:6" x14ac:dyDescent="0.3">
      <c r="B34" s="192"/>
      <c r="C34" s="33" t="s">
        <v>265</v>
      </c>
      <c r="D34" s="33" t="s">
        <v>266</v>
      </c>
      <c r="E34" s="33" t="s">
        <v>265</v>
      </c>
      <c r="F34" s="33" t="s">
        <v>266</v>
      </c>
    </row>
    <row r="35" spans="2:6" x14ac:dyDescent="0.3">
      <c r="B35" s="31" t="s">
        <v>100</v>
      </c>
      <c r="C35" s="31">
        <v>28</v>
      </c>
      <c r="D35" s="31">
        <v>45</v>
      </c>
      <c r="E35" s="31">
        <v>28</v>
      </c>
      <c r="F35" s="31">
        <v>45</v>
      </c>
    </row>
    <row r="36" spans="2:6" x14ac:dyDescent="0.3">
      <c r="B36" s="31" t="s">
        <v>255</v>
      </c>
      <c r="C36" s="31">
        <v>28</v>
      </c>
      <c r="D36" s="31">
        <v>45</v>
      </c>
      <c r="E36" s="31">
        <v>28</v>
      </c>
      <c r="F36" s="31">
        <v>45</v>
      </c>
    </row>
    <row r="37" spans="2:6" x14ac:dyDescent="0.3">
      <c r="B37" s="31" t="s">
        <v>256</v>
      </c>
      <c r="C37" s="31">
        <v>22</v>
      </c>
      <c r="D37" s="31">
        <v>39</v>
      </c>
      <c r="E37" s="31">
        <v>24</v>
      </c>
      <c r="F37" s="31">
        <v>42</v>
      </c>
    </row>
    <row r="38" spans="2:6" x14ac:dyDescent="0.3">
      <c r="B38" s="31" t="s">
        <v>257</v>
      </c>
      <c r="C38" s="31">
        <v>22</v>
      </c>
      <c r="D38" s="31">
        <v>39</v>
      </c>
      <c r="E38" s="31">
        <v>24</v>
      </c>
      <c r="F38" s="31">
        <v>42</v>
      </c>
    </row>
    <row r="39" spans="2:6" x14ac:dyDescent="0.3">
      <c r="B39" s="31" t="s">
        <v>258</v>
      </c>
      <c r="C39" s="31">
        <v>14</v>
      </c>
      <c r="D39" s="31">
        <v>33</v>
      </c>
      <c r="E39" s="31">
        <v>14</v>
      </c>
      <c r="F39" s="31">
        <v>33</v>
      </c>
    </row>
    <row r="40" spans="2:6" ht="15.6" x14ac:dyDescent="0.3">
      <c r="B40" s="32" t="s">
        <v>259</v>
      </c>
      <c r="C40" s="31">
        <v>13</v>
      </c>
      <c r="D40" s="31">
        <v>32</v>
      </c>
      <c r="E40" s="31">
        <v>13</v>
      </c>
      <c r="F40" s="31">
        <v>32</v>
      </c>
    </row>
    <row r="41" spans="2:6" x14ac:dyDescent="0.3">
      <c r="B41" s="31" t="s">
        <v>260</v>
      </c>
      <c r="C41" s="31"/>
      <c r="D41" s="31"/>
      <c r="E41" s="31">
        <v>19</v>
      </c>
      <c r="F41" s="31">
        <v>37</v>
      </c>
    </row>
    <row r="42" spans="2:6" x14ac:dyDescent="0.3">
      <c r="B42" s="31" t="s">
        <v>261</v>
      </c>
      <c r="C42" s="31">
        <v>23</v>
      </c>
      <c r="D42" s="31">
        <v>40</v>
      </c>
      <c r="E42" s="31">
        <v>27</v>
      </c>
      <c r="F42" s="31">
        <v>43</v>
      </c>
    </row>
    <row r="43" spans="2:6" x14ac:dyDescent="0.3">
      <c r="B43"/>
      <c r="C43"/>
      <c r="D43"/>
      <c r="E43"/>
      <c r="F43"/>
    </row>
  </sheetData>
  <mergeCells count="20">
    <mergeCell ref="B33:B34"/>
    <mergeCell ref="C33:D33"/>
    <mergeCell ref="E33:F33"/>
    <mergeCell ref="A12:J12"/>
    <mergeCell ref="A13:J13"/>
    <mergeCell ref="A14:J14"/>
    <mergeCell ref="A15:J15"/>
    <mergeCell ref="A16:J16"/>
    <mergeCell ref="A17:J17"/>
    <mergeCell ref="A18:J18"/>
    <mergeCell ref="A7:J7"/>
    <mergeCell ref="A10:L10"/>
    <mergeCell ref="A1:L1"/>
    <mergeCell ref="A8:J8"/>
    <mergeCell ref="A11:J11"/>
    <mergeCell ref="A2:J2"/>
    <mergeCell ref="A3:J3"/>
    <mergeCell ref="A4:J4"/>
    <mergeCell ref="A5:J5"/>
    <mergeCell ref="A6:J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workbookViewId="0">
      <selection activeCell="C7" sqref="C7"/>
    </sheetView>
  </sheetViews>
  <sheetFormatPr defaultRowHeight="14.4" x14ac:dyDescent="0.3"/>
  <cols>
    <col min="2" max="2" width="11.77734375" customWidth="1"/>
    <col min="4" max="4" width="14.77734375" customWidth="1"/>
    <col min="5" max="5" width="10.77734375" customWidth="1"/>
  </cols>
  <sheetData>
    <row r="1" spans="1:15" x14ac:dyDescent="0.3">
      <c r="D1" s="12" t="s">
        <v>225</v>
      </c>
      <c r="E1" t="s">
        <v>221</v>
      </c>
      <c r="F1" t="s">
        <v>222</v>
      </c>
      <c r="G1" t="s">
        <v>223</v>
      </c>
      <c r="H1" t="s">
        <v>224</v>
      </c>
    </row>
    <row r="2" spans="1:15" x14ac:dyDescent="0.3">
      <c r="A2" t="s">
        <v>196</v>
      </c>
      <c r="B2" s="8" t="s">
        <v>197</v>
      </c>
      <c r="C2" s="8">
        <v>19</v>
      </c>
      <c r="D2">
        <f>E2+F2+G2+H2</f>
        <v>22</v>
      </c>
      <c r="E2">
        <v>1</v>
      </c>
      <c r="F2">
        <v>1</v>
      </c>
      <c r="G2">
        <v>1</v>
      </c>
      <c r="H2">
        <v>19</v>
      </c>
    </row>
    <row r="3" spans="1:15" x14ac:dyDescent="0.3">
      <c r="B3" t="s">
        <v>198</v>
      </c>
      <c r="C3" t="s">
        <v>199</v>
      </c>
    </row>
    <row r="4" spans="1:15" x14ac:dyDescent="0.3">
      <c r="A4" t="s">
        <v>200</v>
      </c>
      <c r="B4" s="2">
        <v>10</v>
      </c>
      <c r="C4" s="2">
        <v>10</v>
      </c>
      <c r="E4">
        <f>(100/B4)*C4</f>
        <v>100</v>
      </c>
    </row>
    <row r="5" spans="1:15" x14ac:dyDescent="0.3">
      <c r="A5" t="s">
        <v>201</v>
      </c>
      <c r="B5" t="s">
        <v>202</v>
      </c>
      <c r="C5" t="s">
        <v>203</v>
      </c>
      <c r="E5" s="13">
        <f>(100/B6)*C6</f>
        <v>45.45454545454546</v>
      </c>
      <c r="I5" s="2" t="s">
        <v>204</v>
      </c>
      <c r="J5" s="2" t="s">
        <v>205</v>
      </c>
      <c r="K5" s="2" t="s">
        <v>206</v>
      </c>
      <c r="L5" s="2" t="s">
        <v>40</v>
      </c>
      <c r="M5" s="2" t="s">
        <v>50</v>
      </c>
      <c r="N5" s="2" t="s">
        <v>207</v>
      </c>
      <c r="O5" s="2" t="s">
        <v>51</v>
      </c>
    </row>
    <row r="6" spans="1:15" x14ac:dyDescent="0.3">
      <c r="B6" s="2">
        <f>D2</f>
        <v>22</v>
      </c>
      <c r="C6" s="2">
        <f>E2+F2+G2+7</f>
        <v>10</v>
      </c>
      <c r="E6" s="13">
        <f>(100/B8)*C8</f>
        <v>10.526315789473685</v>
      </c>
      <c r="F6" s="9" t="s">
        <v>208</v>
      </c>
      <c r="I6" s="9">
        <f>C4</f>
        <v>10</v>
      </c>
      <c r="J6" s="9">
        <f>40/B6*C6</f>
        <v>18.18181818181818</v>
      </c>
      <c r="K6" s="9">
        <f>15/B8*C8</f>
        <v>1.5789473684210527</v>
      </c>
      <c r="L6" s="9">
        <f>10/B10*C10</f>
        <v>1.0526315789473684</v>
      </c>
      <c r="M6" s="9">
        <f>10/B12*C12</f>
        <v>0</v>
      </c>
      <c r="N6" s="9">
        <f>5/B14*C14</f>
        <v>0</v>
      </c>
      <c r="O6" s="9">
        <f>5/B16*C16</f>
        <v>0</v>
      </c>
    </row>
    <row r="7" spans="1:15" x14ac:dyDescent="0.3">
      <c r="A7" t="s">
        <v>209</v>
      </c>
      <c r="B7" t="s">
        <v>210</v>
      </c>
      <c r="C7" t="s">
        <v>211</v>
      </c>
      <c r="E7" s="13">
        <f>(100/B10)*C10</f>
        <v>10.526315789473685</v>
      </c>
      <c r="F7" s="2" t="s">
        <v>212</v>
      </c>
      <c r="G7" s="2"/>
      <c r="H7" s="2"/>
      <c r="I7" s="2">
        <f>I6+20</f>
        <v>30</v>
      </c>
      <c r="J7" s="2">
        <f>30/B6*C6</f>
        <v>13.636363636363635</v>
      </c>
      <c r="K7" s="2">
        <f>15/B8*C8</f>
        <v>1.5789473684210527</v>
      </c>
      <c r="L7" s="2">
        <f>10/B10*C10</f>
        <v>1.0526315789473684</v>
      </c>
      <c r="M7" s="2">
        <f>5/B12*C12</f>
        <v>0</v>
      </c>
      <c r="N7" s="2">
        <f>5/B14*C14</f>
        <v>0</v>
      </c>
      <c r="O7" s="2">
        <f>5/B16*C16</f>
        <v>0</v>
      </c>
    </row>
    <row r="8" spans="1:15" x14ac:dyDescent="0.3">
      <c r="B8" s="2">
        <f>C2</f>
        <v>19</v>
      </c>
      <c r="C8" s="2">
        <v>2</v>
      </c>
      <c r="E8" s="13">
        <f>(100/B12)*C12</f>
        <v>0</v>
      </c>
    </row>
    <row r="9" spans="1:15" x14ac:dyDescent="0.3">
      <c r="A9" t="s">
        <v>213</v>
      </c>
      <c r="B9" t="s">
        <v>210</v>
      </c>
      <c r="C9" t="s">
        <v>211</v>
      </c>
      <c r="E9" s="13">
        <f>(100/B14)*C14</f>
        <v>0</v>
      </c>
    </row>
    <row r="10" spans="1:15" x14ac:dyDescent="0.3">
      <c r="B10" s="2">
        <f>C2</f>
        <v>19</v>
      </c>
      <c r="C10" s="2">
        <v>2</v>
      </c>
      <c r="E10" s="13">
        <f>(100/B16)*C16</f>
        <v>0</v>
      </c>
    </row>
    <row r="11" spans="1:15" x14ac:dyDescent="0.3">
      <c r="A11" t="s">
        <v>50</v>
      </c>
      <c r="B11" t="s">
        <v>210</v>
      </c>
      <c r="C11" t="s">
        <v>211</v>
      </c>
    </row>
    <row r="12" spans="1:15" x14ac:dyDescent="0.3">
      <c r="B12" s="2">
        <f>C2</f>
        <v>19</v>
      </c>
      <c r="C12" s="2">
        <v>0</v>
      </c>
      <c r="F12" s="2"/>
      <c r="G12" s="2" t="s">
        <v>208</v>
      </c>
      <c r="H12" s="2" t="s">
        <v>214</v>
      </c>
      <c r="L12" t="s">
        <v>215</v>
      </c>
    </row>
    <row r="13" spans="1:15" ht="28.8" x14ac:dyDescent="0.3">
      <c r="A13" s="10" t="s">
        <v>207</v>
      </c>
      <c r="B13" t="s">
        <v>210</v>
      </c>
      <c r="C13" t="s">
        <v>211</v>
      </c>
      <c r="F13" s="2" t="s">
        <v>38</v>
      </c>
      <c r="G13" s="2">
        <f>I6</f>
        <v>10</v>
      </c>
      <c r="H13" s="2">
        <f>I7</f>
        <v>30</v>
      </c>
      <c r="L13" t="s">
        <v>215</v>
      </c>
    </row>
    <row r="14" spans="1:15" x14ac:dyDescent="0.3">
      <c r="B14" s="2">
        <f>C2</f>
        <v>19</v>
      </c>
      <c r="C14" s="2">
        <v>0</v>
      </c>
      <c r="F14" s="2" t="s">
        <v>39</v>
      </c>
      <c r="G14" s="2">
        <f>J6</f>
        <v>18.18181818181818</v>
      </c>
      <c r="H14" s="2">
        <f>J7</f>
        <v>13.636363636363635</v>
      </c>
    </row>
    <row r="15" spans="1:15" x14ac:dyDescent="0.3">
      <c r="A15" t="s">
        <v>51</v>
      </c>
      <c r="B15" t="s">
        <v>210</v>
      </c>
      <c r="C15" t="s">
        <v>211</v>
      </c>
      <c r="F15" s="2" t="s">
        <v>206</v>
      </c>
      <c r="G15" s="2">
        <f>K6</f>
        <v>1.5789473684210527</v>
      </c>
      <c r="H15" s="2">
        <f>K7</f>
        <v>1.5789473684210527</v>
      </c>
    </row>
    <row r="16" spans="1:15" x14ac:dyDescent="0.3">
      <c r="B16" s="2">
        <f>C2</f>
        <v>19</v>
      </c>
      <c r="C16" s="2">
        <v>0</v>
      </c>
      <c r="F16" s="2" t="s">
        <v>40</v>
      </c>
      <c r="G16" s="2">
        <f>L6</f>
        <v>1.0526315789473684</v>
      </c>
      <c r="H16" s="2">
        <f>L7</f>
        <v>1.0526315789473684</v>
      </c>
    </row>
    <row r="17" spans="6:8" x14ac:dyDescent="0.3">
      <c r="F17" s="2" t="s">
        <v>50</v>
      </c>
      <c r="G17" s="2">
        <f>M6</f>
        <v>0</v>
      </c>
      <c r="H17" s="2">
        <f>M7</f>
        <v>0</v>
      </c>
    </row>
    <row r="18" spans="6:8" ht="28.8" x14ac:dyDescent="0.3">
      <c r="F18" s="11" t="s">
        <v>207</v>
      </c>
      <c r="G18" s="2">
        <f>N6</f>
        <v>0</v>
      </c>
      <c r="H18" s="2">
        <f>N7</f>
        <v>0</v>
      </c>
    </row>
    <row r="19" spans="6:8" x14ac:dyDescent="0.3">
      <c r="F19" s="2" t="s">
        <v>51</v>
      </c>
      <c r="G19" s="2">
        <f>O6</f>
        <v>0</v>
      </c>
      <c r="H19" s="2">
        <f>O7</f>
        <v>0</v>
      </c>
    </row>
    <row r="20" spans="6:8" x14ac:dyDescent="0.3">
      <c r="F20" s="2" t="s">
        <v>216</v>
      </c>
      <c r="G20" s="29">
        <f>G13+G14+G15+G16+G17+G18+G19</f>
        <v>30.813397129186601</v>
      </c>
      <c r="H20" s="29">
        <f>H13+H14+H15+H16+H17+H18+H19</f>
        <v>46.267942583732058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0"/>
  <sheetViews>
    <sheetView workbookViewId="0">
      <selection activeCell="C7" sqref="C7"/>
    </sheetView>
  </sheetViews>
  <sheetFormatPr defaultRowHeight="14.4" x14ac:dyDescent="0.3"/>
  <cols>
    <col min="2" max="2" width="11.77734375" customWidth="1"/>
    <col min="4" max="4" width="14.77734375" customWidth="1"/>
    <col min="5" max="5" width="10.77734375" customWidth="1"/>
  </cols>
  <sheetData>
    <row r="1" spans="1:15" x14ac:dyDescent="0.3">
      <c r="D1" s="12" t="s">
        <v>225</v>
      </c>
      <c r="E1" t="s">
        <v>221</v>
      </c>
      <c r="F1" t="s">
        <v>222</v>
      </c>
      <c r="G1" t="s">
        <v>223</v>
      </c>
      <c r="H1" t="s">
        <v>224</v>
      </c>
    </row>
    <row r="2" spans="1:15" x14ac:dyDescent="0.3">
      <c r="A2" t="s">
        <v>196</v>
      </c>
      <c r="B2" s="8" t="s">
        <v>197</v>
      </c>
      <c r="C2" s="8">
        <v>19</v>
      </c>
      <c r="D2">
        <f>E2+F2+G2+H2</f>
        <v>22</v>
      </c>
      <c r="E2">
        <v>1</v>
      </c>
      <c r="F2">
        <v>1</v>
      </c>
      <c r="G2">
        <v>1</v>
      </c>
      <c r="H2">
        <v>19</v>
      </c>
    </row>
    <row r="3" spans="1:15" x14ac:dyDescent="0.3">
      <c r="B3" t="s">
        <v>198</v>
      </c>
      <c r="C3" t="s">
        <v>199</v>
      </c>
    </row>
    <row r="4" spans="1:15" x14ac:dyDescent="0.3">
      <c r="A4" t="s">
        <v>200</v>
      </c>
      <c r="B4" s="2">
        <v>10</v>
      </c>
      <c r="C4" s="2">
        <v>10</v>
      </c>
      <c r="E4">
        <f>(100/B4)*C4</f>
        <v>100</v>
      </c>
    </row>
    <row r="5" spans="1:15" x14ac:dyDescent="0.3">
      <c r="A5" t="s">
        <v>201</v>
      </c>
      <c r="B5" t="s">
        <v>202</v>
      </c>
      <c r="C5" t="s">
        <v>203</v>
      </c>
      <c r="E5" s="13">
        <f>(100/B6)*C6</f>
        <v>45.45454545454546</v>
      </c>
      <c r="I5" s="2" t="s">
        <v>204</v>
      </c>
      <c r="J5" s="2" t="s">
        <v>205</v>
      </c>
      <c r="K5" s="2" t="s">
        <v>206</v>
      </c>
      <c r="L5" s="2" t="s">
        <v>40</v>
      </c>
      <c r="M5" s="2" t="s">
        <v>50</v>
      </c>
      <c r="N5" s="2" t="s">
        <v>207</v>
      </c>
      <c r="O5" s="2" t="s">
        <v>51</v>
      </c>
    </row>
    <row r="6" spans="1:15" x14ac:dyDescent="0.3">
      <c r="B6" s="2">
        <f>D2</f>
        <v>22</v>
      </c>
      <c r="C6" s="2">
        <f>E2+F2+G2+7</f>
        <v>10</v>
      </c>
      <c r="E6" s="13">
        <f>(100/B8)*C8</f>
        <v>10.526315789473685</v>
      </c>
      <c r="F6" s="9" t="s">
        <v>208</v>
      </c>
      <c r="I6" s="9">
        <f>C4</f>
        <v>10</v>
      </c>
      <c r="J6" s="9">
        <f>40/B6*C6</f>
        <v>18.18181818181818</v>
      </c>
      <c r="K6" s="9">
        <f>15/B8*C8</f>
        <v>1.5789473684210527</v>
      </c>
      <c r="L6" s="9">
        <f>10/B10*C10</f>
        <v>1.0526315789473684</v>
      </c>
      <c r="M6" s="9">
        <f>10/B12*C12</f>
        <v>0</v>
      </c>
      <c r="N6" s="9">
        <f>5/B14*C14</f>
        <v>0</v>
      </c>
      <c r="O6" s="9">
        <f>5/B16*C16</f>
        <v>0</v>
      </c>
    </row>
    <row r="7" spans="1:15" x14ac:dyDescent="0.3">
      <c r="A7" t="s">
        <v>209</v>
      </c>
      <c r="B7" t="s">
        <v>210</v>
      </c>
      <c r="C7" t="s">
        <v>211</v>
      </c>
      <c r="E7" s="13">
        <f>(100/B10)*C10</f>
        <v>10.526315789473685</v>
      </c>
      <c r="F7" s="2" t="s">
        <v>212</v>
      </c>
      <c r="G7" s="2"/>
      <c r="H7" s="2"/>
      <c r="I7" s="2">
        <f>I6+20</f>
        <v>30</v>
      </c>
      <c r="J7" s="2">
        <f>30/B6*C6</f>
        <v>13.636363636363635</v>
      </c>
      <c r="K7" s="2">
        <f>15/B8*C8</f>
        <v>1.5789473684210527</v>
      </c>
      <c r="L7" s="2">
        <f>10/B10*C10</f>
        <v>1.0526315789473684</v>
      </c>
      <c r="M7" s="2">
        <f>5/B12*C12</f>
        <v>0</v>
      </c>
      <c r="N7" s="2">
        <f>5/B14*C14</f>
        <v>0</v>
      </c>
      <c r="O7" s="2">
        <f>5/B16*C16</f>
        <v>0</v>
      </c>
    </row>
    <row r="8" spans="1:15" x14ac:dyDescent="0.3">
      <c r="B8" s="2">
        <f>C2</f>
        <v>19</v>
      </c>
      <c r="C8" s="2">
        <v>2</v>
      </c>
      <c r="E8" s="13">
        <f>(100/B12)*C12</f>
        <v>0</v>
      </c>
    </row>
    <row r="9" spans="1:15" x14ac:dyDescent="0.3">
      <c r="A9" t="s">
        <v>213</v>
      </c>
      <c r="B9" t="s">
        <v>210</v>
      </c>
      <c r="C9" t="s">
        <v>211</v>
      </c>
      <c r="E9" s="13">
        <f>(100/B14)*C14</f>
        <v>0</v>
      </c>
    </row>
    <row r="10" spans="1:15" x14ac:dyDescent="0.3">
      <c r="B10" s="2">
        <f>C2</f>
        <v>19</v>
      </c>
      <c r="C10" s="2">
        <v>2</v>
      </c>
      <c r="E10" s="13">
        <f>(100/B16)*C16</f>
        <v>0</v>
      </c>
    </row>
    <row r="11" spans="1:15" x14ac:dyDescent="0.3">
      <c r="A11" t="s">
        <v>50</v>
      </c>
      <c r="B11" t="s">
        <v>210</v>
      </c>
      <c r="C11" t="s">
        <v>211</v>
      </c>
    </row>
    <row r="12" spans="1:15" x14ac:dyDescent="0.3">
      <c r="B12" s="2">
        <f>C2</f>
        <v>19</v>
      </c>
      <c r="C12" s="2">
        <v>0</v>
      </c>
      <c r="F12" s="2"/>
      <c r="G12" s="2" t="s">
        <v>208</v>
      </c>
      <c r="H12" s="2" t="s">
        <v>214</v>
      </c>
      <c r="L12" t="s">
        <v>215</v>
      </c>
    </row>
    <row r="13" spans="1:15" ht="28.8" x14ac:dyDescent="0.3">
      <c r="A13" s="10" t="s">
        <v>207</v>
      </c>
      <c r="B13" t="s">
        <v>210</v>
      </c>
      <c r="C13" t="s">
        <v>211</v>
      </c>
      <c r="F13" s="2" t="s">
        <v>38</v>
      </c>
      <c r="G13" s="2">
        <f>I6</f>
        <v>10</v>
      </c>
      <c r="H13" s="2">
        <f>I7</f>
        <v>30</v>
      </c>
      <c r="L13" t="s">
        <v>215</v>
      </c>
    </row>
    <row r="14" spans="1:15" x14ac:dyDescent="0.3">
      <c r="B14" s="2">
        <f>C2</f>
        <v>19</v>
      </c>
      <c r="C14" s="2">
        <v>0</v>
      </c>
      <c r="F14" s="2" t="s">
        <v>39</v>
      </c>
      <c r="G14" s="2">
        <f>J6</f>
        <v>18.18181818181818</v>
      </c>
      <c r="H14" s="2">
        <f>J7</f>
        <v>13.636363636363635</v>
      </c>
    </row>
    <row r="15" spans="1:15" x14ac:dyDescent="0.3">
      <c r="A15" t="s">
        <v>51</v>
      </c>
      <c r="B15" t="s">
        <v>210</v>
      </c>
      <c r="C15" t="s">
        <v>211</v>
      </c>
      <c r="F15" s="2" t="s">
        <v>206</v>
      </c>
      <c r="G15" s="2">
        <f>K6</f>
        <v>1.5789473684210527</v>
      </c>
      <c r="H15" s="2">
        <f>K7</f>
        <v>1.5789473684210527</v>
      </c>
    </row>
    <row r="16" spans="1:15" x14ac:dyDescent="0.3">
      <c r="B16" s="2">
        <f>C2</f>
        <v>19</v>
      </c>
      <c r="C16" s="2">
        <v>0</v>
      </c>
      <c r="F16" s="2" t="s">
        <v>40</v>
      </c>
      <c r="G16" s="2">
        <f>L6</f>
        <v>1.0526315789473684</v>
      </c>
      <c r="H16" s="2">
        <f>L7</f>
        <v>1.0526315789473684</v>
      </c>
    </row>
    <row r="17" spans="6:8" x14ac:dyDescent="0.3">
      <c r="F17" s="2" t="s">
        <v>50</v>
      </c>
      <c r="G17" s="2">
        <f>M6</f>
        <v>0</v>
      </c>
      <c r="H17" s="2">
        <f>M7</f>
        <v>0</v>
      </c>
    </row>
    <row r="18" spans="6:8" ht="28.8" x14ac:dyDescent="0.3">
      <c r="F18" s="11" t="s">
        <v>207</v>
      </c>
      <c r="G18" s="2">
        <f>N6</f>
        <v>0</v>
      </c>
      <c r="H18" s="2">
        <f>N7</f>
        <v>0</v>
      </c>
    </row>
    <row r="19" spans="6:8" x14ac:dyDescent="0.3">
      <c r="F19" s="2" t="s">
        <v>51</v>
      </c>
      <c r="G19" s="2">
        <f>O6</f>
        <v>0</v>
      </c>
      <c r="H19" s="2">
        <f>O7</f>
        <v>0</v>
      </c>
    </row>
    <row r="20" spans="6:8" x14ac:dyDescent="0.3">
      <c r="F20" s="2" t="s">
        <v>216</v>
      </c>
      <c r="G20" s="2">
        <f>G13+G14+G15+G16+G17+G18+G19</f>
        <v>30.813397129186601</v>
      </c>
      <c r="H20" s="2">
        <f>H13+H14+H15+H16+H17+H18+H19</f>
        <v>46.267942583732058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0"/>
  <sheetViews>
    <sheetView workbookViewId="0">
      <selection activeCell="D15" sqref="D15"/>
    </sheetView>
  </sheetViews>
  <sheetFormatPr defaultRowHeight="14.4" x14ac:dyDescent="0.3"/>
  <cols>
    <col min="2" max="2" width="11.77734375" customWidth="1"/>
    <col min="4" max="4" width="14.77734375" customWidth="1"/>
    <col min="5" max="5" width="10.77734375" customWidth="1"/>
  </cols>
  <sheetData>
    <row r="1" spans="1:15" x14ac:dyDescent="0.3">
      <c r="D1" s="12" t="s">
        <v>225</v>
      </c>
      <c r="E1" t="s">
        <v>221</v>
      </c>
      <c r="F1" t="s">
        <v>222</v>
      </c>
      <c r="G1" t="s">
        <v>223</v>
      </c>
      <c r="H1" t="s">
        <v>224</v>
      </c>
    </row>
    <row r="2" spans="1:15" x14ac:dyDescent="0.3">
      <c r="A2" t="s">
        <v>196</v>
      </c>
      <c r="B2" s="8" t="s">
        <v>197</v>
      </c>
      <c r="C2" s="8">
        <v>19</v>
      </c>
      <c r="D2">
        <f>E2+F2+G2+H2</f>
        <v>22</v>
      </c>
      <c r="E2">
        <v>1</v>
      </c>
      <c r="F2">
        <v>1</v>
      </c>
      <c r="G2">
        <v>1</v>
      </c>
      <c r="H2">
        <v>19</v>
      </c>
    </row>
    <row r="3" spans="1:15" x14ac:dyDescent="0.3">
      <c r="B3" t="s">
        <v>198</v>
      </c>
      <c r="C3" t="s">
        <v>199</v>
      </c>
    </row>
    <row r="4" spans="1:15" x14ac:dyDescent="0.3">
      <c r="A4" t="s">
        <v>200</v>
      </c>
      <c r="B4" s="2">
        <v>10</v>
      </c>
      <c r="C4" s="2">
        <v>10</v>
      </c>
      <c r="E4">
        <f>(100/B4)*C4</f>
        <v>100</v>
      </c>
    </row>
    <row r="5" spans="1:15" x14ac:dyDescent="0.3">
      <c r="A5" t="s">
        <v>201</v>
      </c>
      <c r="B5" t="s">
        <v>202</v>
      </c>
      <c r="C5" t="s">
        <v>203</v>
      </c>
      <c r="E5" s="13">
        <f>(100/B6)*C6</f>
        <v>40.909090909090914</v>
      </c>
      <c r="I5" s="2" t="s">
        <v>204</v>
      </c>
      <c r="J5" s="2" t="s">
        <v>205</v>
      </c>
      <c r="K5" s="2" t="s">
        <v>206</v>
      </c>
      <c r="L5" s="2" t="s">
        <v>40</v>
      </c>
      <c r="M5" s="2" t="s">
        <v>50</v>
      </c>
      <c r="N5" s="2" t="s">
        <v>207</v>
      </c>
      <c r="O5" s="2" t="s">
        <v>51</v>
      </c>
    </row>
    <row r="6" spans="1:15" x14ac:dyDescent="0.3">
      <c r="B6" s="2">
        <f>D2</f>
        <v>22</v>
      </c>
      <c r="C6" s="2">
        <f>E2+F2+G2+6</f>
        <v>9</v>
      </c>
      <c r="E6" s="13">
        <f>(100/B8)*C8</f>
        <v>26.315789473684212</v>
      </c>
      <c r="F6" s="9" t="s">
        <v>208</v>
      </c>
      <c r="I6" s="9">
        <f>C4</f>
        <v>10</v>
      </c>
      <c r="J6" s="9">
        <f>40/B6*C6</f>
        <v>16.363636363636363</v>
      </c>
      <c r="K6" s="9">
        <f>15/B8*C8</f>
        <v>3.9473684210526319</v>
      </c>
      <c r="L6" s="9">
        <f>10/B10*C10</f>
        <v>1.3157894736842104</v>
      </c>
      <c r="M6" s="9">
        <f>10/B12*C12</f>
        <v>0</v>
      </c>
      <c r="N6" s="9">
        <f>5/B14*C14</f>
        <v>0</v>
      </c>
      <c r="O6" s="9">
        <f>5/B16*C16</f>
        <v>0</v>
      </c>
    </row>
    <row r="7" spans="1:15" x14ac:dyDescent="0.3">
      <c r="A7" t="s">
        <v>209</v>
      </c>
      <c r="B7" t="s">
        <v>210</v>
      </c>
      <c r="C7" t="s">
        <v>211</v>
      </c>
      <c r="E7" s="13">
        <f>(100/B10)*C10</f>
        <v>13.157894736842106</v>
      </c>
      <c r="F7" s="2" t="s">
        <v>212</v>
      </c>
      <c r="G7" s="2"/>
      <c r="H7" s="2"/>
      <c r="I7" s="2">
        <f>I6+20</f>
        <v>30</v>
      </c>
      <c r="J7" s="2">
        <f>30/B6*C6</f>
        <v>12.272727272727272</v>
      </c>
      <c r="K7" s="2">
        <f>15/B8*C8</f>
        <v>3.9473684210526319</v>
      </c>
      <c r="L7" s="2">
        <f>10/B10*C10</f>
        <v>1.3157894736842104</v>
      </c>
      <c r="M7" s="2">
        <f>5/B12*C12</f>
        <v>0</v>
      </c>
      <c r="N7" s="2">
        <f>5/B14*C14</f>
        <v>0</v>
      </c>
      <c r="O7" s="2">
        <f>5/B16*C16</f>
        <v>0</v>
      </c>
    </row>
    <row r="8" spans="1:15" x14ac:dyDescent="0.3">
      <c r="B8" s="2">
        <f>C2</f>
        <v>19</v>
      </c>
      <c r="C8" s="2">
        <f>6-1</f>
        <v>5</v>
      </c>
      <c r="E8" s="13">
        <f>(100/B12)*C12</f>
        <v>0</v>
      </c>
    </row>
    <row r="9" spans="1:15" x14ac:dyDescent="0.3">
      <c r="A9" t="s">
        <v>213</v>
      </c>
      <c r="B9" t="s">
        <v>210</v>
      </c>
      <c r="C9" t="s">
        <v>211</v>
      </c>
      <c r="E9" s="13">
        <f>(100/B14)*C14</f>
        <v>0</v>
      </c>
    </row>
    <row r="10" spans="1:15" x14ac:dyDescent="0.3">
      <c r="B10" s="2">
        <f>C2</f>
        <v>19</v>
      </c>
      <c r="C10" s="2">
        <f>C8/2</f>
        <v>2.5</v>
      </c>
      <c r="E10" s="13">
        <f>(100/B16)*C16</f>
        <v>0</v>
      </c>
    </row>
    <row r="11" spans="1:15" x14ac:dyDescent="0.3">
      <c r="A11" t="s">
        <v>50</v>
      </c>
      <c r="B11" t="s">
        <v>210</v>
      </c>
      <c r="C11" t="s">
        <v>211</v>
      </c>
    </row>
    <row r="12" spans="1:15" x14ac:dyDescent="0.3">
      <c r="B12" s="2">
        <f>C2</f>
        <v>19</v>
      </c>
      <c r="C12" s="2">
        <v>0</v>
      </c>
      <c r="F12" s="2"/>
      <c r="G12" s="2" t="s">
        <v>208</v>
      </c>
      <c r="H12" s="2" t="s">
        <v>214</v>
      </c>
      <c r="L12" t="s">
        <v>215</v>
      </c>
    </row>
    <row r="13" spans="1:15" ht="28.8" x14ac:dyDescent="0.3">
      <c r="A13" s="10" t="s">
        <v>207</v>
      </c>
      <c r="B13" t="s">
        <v>210</v>
      </c>
      <c r="C13" t="s">
        <v>211</v>
      </c>
      <c r="F13" s="2" t="s">
        <v>38</v>
      </c>
      <c r="G13" s="2">
        <f>I6</f>
        <v>10</v>
      </c>
      <c r="H13" s="2">
        <f>I7</f>
        <v>30</v>
      </c>
      <c r="L13" t="s">
        <v>215</v>
      </c>
    </row>
    <row r="14" spans="1:15" x14ac:dyDescent="0.3">
      <c r="B14" s="2">
        <f>C2</f>
        <v>19</v>
      </c>
      <c r="C14" s="2">
        <v>0</v>
      </c>
      <c r="F14" s="2" t="s">
        <v>39</v>
      </c>
      <c r="G14" s="2">
        <f>J6</f>
        <v>16.363636363636363</v>
      </c>
      <c r="H14" s="2">
        <f>J7</f>
        <v>12.272727272727272</v>
      </c>
    </row>
    <row r="15" spans="1:15" x14ac:dyDescent="0.3">
      <c r="A15" t="s">
        <v>51</v>
      </c>
      <c r="B15" t="s">
        <v>210</v>
      </c>
      <c r="C15" t="s">
        <v>211</v>
      </c>
      <c r="F15" s="2" t="s">
        <v>206</v>
      </c>
      <c r="G15" s="2">
        <f>K6</f>
        <v>3.9473684210526319</v>
      </c>
      <c r="H15" s="2">
        <f>K7</f>
        <v>3.9473684210526319</v>
      </c>
    </row>
    <row r="16" spans="1:15" x14ac:dyDescent="0.3">
      <c r="B16" s="2">
        <f>C2</f>
        <v>19</v>
      </c>
      <c r="C16" s="2">
        <v>0</v>
      </c>
      <c r="F16" s="2" t="s">
        <v>40</v>
      </c>
      <c r="G16" s="2">
        <f>L6</f>
        <v>1.3157894736842104</v>
      </c>
      <c r="H16" s="2">
        <f>L7</f>
        <v>1.3157894736842104</v>
      </c>
    </row>
    <row r="17" spans="6:8" x14ac:dyDescent="0.3">
      <c r="F17" s="2" t="s">
        <v>50</v>
      </c>
      <c r="G17" s="2">
        <f>M6</f>
        <v>0</v>
      </c>
      <c r="H17" s="2">
        <f>M7</f>
        <v>0</v>
      </c>
    </row>
    <row r="18" spans="6:8" ht="28.8" x14ac:dyDescent="0.3">
      <c r="F18" s="11" t="s">
        <v>207</v>
      </c>
      <c r="G18" s="2">
        <f>N6</f>
        <v>0</v>
      </c>
      <c r="H18" s="2">
        <f>N7</f>
        <v>0</v>
      </c>
    </row>
    <row r="19" spans="6:8" x14ac:dyDescent="0.3">
      <c r="F19" s="2" t="s">
        <v>51</v>
      </c>
      <c r="G19" s="2">
        <f>O6</f>
        <v>0</v>
      </c>
      <c r="H19" s="2">
        <f>O7</f>
        <v>0</v>
      </c>
    </row>
    <row r="20" spans="6:8" x14ac:dyDescent="0.3">
      <c r="F20" s="2" t="s">
        <v>216</v>
      </c>
      <c r="G20" s="29">
        <f>G13+G14+G15+G16+G17+G18+G19</f>
        <v>31.626794258373206</v>
      </c>
      <c r="H20" s="29">
        <f>H13+H14+H15+H16+H17+H18+H19</f>
        <v>47.535885167464116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0"/>
  <sheetViews>
    <sheetView workbookViewId="0">
      <selection activeCell="C9" sqref="C9"/>
    </sheetView>
  </sheetViews>
  <sheetFormatPr defaultRowHeight="14.4" x14ac:dyDescent="0.3"/>
  <cols>
    <col min="2" max="2" width="11.77734375" customWidth="1"/>
    <col min="4" max="4" width="14.77734375" customWidth="1"/>
    <col min="5" max="5" width="10.77734375" customWidth="1"/>
  </cols>
  <sheetData>
    <row r="1" spans="1:15" x14ac:dyDescent="0.3">
      <c r="D1" s="12" t="s">
        <v>225</v>
      </c>
      <c r="E1" t="s">
        <v>221</v>
      </c>
      <c r="F1" t="s">
        <v>222</v>
      </c>
      <c r="G1" t="s">
        <v>223</v>
      </c>
      <c r="H1" t="s">
        <v>224</v>
      </c>
    </row>
    <row r="2" spans="1:15" x14ac:dyDescent="0.3">
      <c r="A2" t="s">
        <v>196</v>
      </c>
      <c r="B2" s="8" t="s">
        <v>197</v>
      </c>
      <c r="C2" s="8">
        <v>19</v>
      </c>
      <c r="D2">
        <f>E2+F2+G2+H2</f>
        <v>22</v>
      </c>
      <c r="E2">
        <v>1</v>
      </c>
      <c r="F2">
        <v>1</v>
      </c>
      <c r="G2">
        <v>1</v>
      </c>
      <c r="H2">
        <v>19</v>
      </c>
    </row>
    <row r="3" spans="1:15" x14ac:dyDescent="0.3">
      <c r="B3" t="s">
        <v>198</v>
      </c>
      <c r="C3" t="s">
        <v>199</v>
      </c>
    </row>
    <row r="4" spans="1:15" x14ac:dyDescent="0.3">
      <c r="A4" t="s">
        <v>200</v>
      </c>
      <c r="B4" s="2">
        <v>10</v>
      </c>
      <c r="C4" s="2">
        <v>10</v>
      </c>
      <c r="E4">
        <f>(100/B4)*C4</f>
        <v>100</v>
      </c>
    </row>
    <row r="5" spans="1:15" x14ac:dyDescent="0.3">
      <c r="A5" t="s">
        <v>201</v>
      </c>
      <c r="B5" t="s">
        <v>202</v>
      </c>
      <c r="C5" t="s">
        <v>203</v>
      </c>
      <c r="E5" s="13">
        <f>(100/B6)*C6</f>
        <v>40.909090909090914</v>
      </c>
      <c r="I5" s="2" t="s">
        <v>204</v>
      </c>
      <c r="J5" s="2" t="s">
        <v>205</v>
      </c>
      <c r="K5" s="2" t="s">
        <v>206</v>
      </c>
      <c r="L5" s="2" t="s">
        <v>40</v>
      </c>
      <c r="M5" s="2" t="s">
        <v>50</v>
      </c>
      <c r="N5" s="2" t="s">
        <v>207</v>
      </c>
      <c r="O5" s="2" t="s">
        <v>51</v>
      </c>
    </row>
    <row r="6" spans="1:15" x14ac:dyDescent="0.3">
      <c r="B6" s="2">
        <f>D2</f>
        <v>22</v>
      </c>
      <c r="C6" s="2">
        <f>E2+F2+G2+6</f>
        <v>9</v>
      </c>
      <c r="E6" s="13">
        <f>(100/B8)*C8</f>
        <v>26.315789473684212</v>
      </c>
      <c r="F6" s="9" t="s">
        <v>208</v>
      </c>
      <c r="I6" s="9">
        <f>C4</f>
        <v>10</v>
      </c>
      <c r="J6" s="9">
        <f>40/B6*C6</f>
        <v>16.363636363636363</v>
      </c>
      <c r="K6" s="9">
        <f>15/B8*C8</f>
        <v>3.9473684210526319</v>
      </c>
      <c r="L6" s="9">
        <f>10/B10*C10</f>
        <v>1.3157894736842104</v>
      </c>
      <c r="M6" s="9">
        <f>10/B12*C12</f>
        <v>0</v>
      </c>
      <c r="N6" s="9">
        <f>5/B14*C14</f>
        <v>0</v>
      </c>
      <c r="O6" s="9">
        <f>5/B16*C16</f>
        <v>0</v>
      </c>
    </row>
    <row r="7" spans="1:15" x14ac:dyDescent="0.3">
      <c r="A7" t="s">
        <v>209</v>
      </c>
      <c r="B7" t="s">
        <v>210</v>
      </c>
      <c r="C7" t="s">
        <v>211</v>
      </c>
      <c r="E7" s="13">
        <f>(100/B10)*C10</f>
        <v>13.157894736842106</v>
      </c>
      <c r="F7" s="2" t="s">
        <v>212</v>
      </c>
      <c r="G7" s="2"/>
      <c r="H7" s="2"/>
      <c r="I7" s="2">
        <f>I6+20</f>
        <v>30</v>
      </c>
      <c r="J7" s="2">
        <f>30/B6*C6</f>
        <v>12.272727272727272</v>
      </c>
      <c r="K7" s="2">
        <f>15/B8*C8</f>
        <v>3.9473684210526319</v>
      </c>
      <c r="L7" s="2">
        <f>10/B10*C10</f>
        <v>1.3157894736842104</v>
      </c>
      <c r="M7" s="2">
        <f>5/B12*C12</f>
        <v>0</v>
      </c>
      <c r="N7" s="2">
        <f>5/B14*C14</f>
        <v>0</v>
      </c>
      <c r="O7" s="2">
        <f>5/B16*C16</f>
        <v>0</v>
      </c>
    </row>
    <row r="8" spans="1:15" x14ac:dyDescent="0.3">
      <c r="B8" s="2">
        <f>C2</f>
        <v>19</v>
      </c>
      <c r="C8" s="2">
        <f>6-1</f>
        <v>5</v>
      </c>
      <c r="E8" s="13">
        <f>(100/B12)*C12</f>
        <v>0</v>
      </c>
    </row>
    <row r="9" spans="1:15" x14ac:dyDescent="0.3">
      <c r="A9" t="s">
        <v>213</v>
      </c>
      <c r="B9" t="s">
        <v>210</v>
      </c>
      <c r="C9" t="s">
        <v>211</v>
      </c>
      <c r="E9" s="13">
        <f>(100/B14)*C14</f>
        <v>0</v>
      </c>
    </row>
    <row r="10" spans="1:15" x14ac:dyDescent="0.3">
      <c r="B10" s="2">
        <f>C2</f>
        <v>19</v>
      </c>
      <c r="C10" s="2">
        <f>C8/2</f>
        <v>2.5</v>
      </c>
      <c r="E10" s="13">
        <f>(100/B16)*C16</f>
        <v>0</v>
      </c>
    </row>
    <row r="11" spans="1:15" x14ac:dyDescent="0.3">
      <c r="A11" t="s">
        <v>50</v>
      </c>
      <c r="B11" t="s">
        <v>210</v>
      </c>
      <c r="C11" t="s">
        <v>211</v>
      </c>
    </row>
    <row r="12" spans="1:15" x14ac:dyDescent="0.3">
      <c r="B12" s="2">
        <f>C2</f>
        <v>19</v>
      </c>
      <c r="C12" s="2">
        <v>0</v>
      </c>
      <c r="F12" s="2"/>
      <c r="G12" s="2" t="s">
        <v>208</v>
      </c>
      <c r="H12" s="2" t="s">
        <v>214</v>
      </c>
      <c r="L12" t="s">
        <v>215</v>
      </c>
    </row>
    <row r="13" spans="1:15" ht="28.8" x14ac:dyDescent="0.3">
      <c r="A13" s="10" t="s">
        <v>207</v>
      </c>
      <c r="B13" t="s">
        <v>210</v>
      </c>
      <c r="C13" t="s">
        <v>211</v>
      </c>
      <c r="F13" s="2" t="s">
        <v>38</v>
      </c>
      <c r="G13" s="2">
        <f>I6</f>
        <v>10</v>
      </c>
      <c r="H13" s="2">
        <f>I7</f>
        <v>30</v>
      </c>
      <c r="L13" t="s">
        <v>215</v>
      </c>
    </row>
    <row r="14" spans="1:15" x14ac:dyDescent="0.3">
      <c r="B14" s="2">
        <f>C2</f>
        <v>19</v>
      </c>
      <c r="C14" s="2">
        <v>0</v>
      </c>
      <c r="F14" s="2" t="s">
        <v>39</v>
      </c>
      <c r="G14" s="2">
        <f>J6</f>
        <v>16.363636363636363</v>
      </c>
      <c r="H14" s="2">
        <f>J7</f>
        <v>12.272727272727272</v>
      </c>
    </row>
    <row r="15" spans="1:15" x14ac:dyDescent="0.3">
      <c r="A15" t="s">
        <v>51</v>
      </c>
      <c r="B15" t="s">
        <v>210</v>
      </c>
      <c r="C15" t="s">
        <v>211</v>
      </c>
      <c r="F15" s="2" t="s">
        <v>206</v>
      </c>
      <c r="G15" s="2">
        <f>K6</f>
        <v>3.9473684210526319</v>
      </c>
      <c r="H15" s="2">
        <f>K7</f>
        <v>3.9473684210526319</v>
      </c>
    </row>
    <row r="16" spans="1:15" x14ac:dyDescent="0.3">
      <c r="B16" s="2">
        <f>C2</f>
        <v>19</v>
      </c>
      <c r="C16" s="2">
        <v>0</v>
      </c>
      <c r="F16" s="2" t="s">
        <v>40</v>
      </c>
      <c r="G16" s="2">
        <f>L6</f>
        <v>1.3157894736842104</v>
      </c>
      <c r="H16" s="2">
        <f>L7</f>
        <v>1.3157894736842104</v>
      </c>
    </row>
    <row r="17" spans="6:8" x14ac:dyDescent="0.3">
      <c r="F17" s="2" t="s">
        <v>50</v>
      </c>
      <c r="G17" s="2">
        <f>M6</f>
        <v>0</v>
      </c>
      <c r="H17" s="2">
        <f>M7</f>
        <v>0</v>
      </c>
    </row>
    <row r="18" spans="6:8" ht="28.8" x14ac:dyDescent="0.3">
      <c r="F18" s="11" t="s">
        <v>207</v>
      </c>
      <c r="G18" s="2">
        <f>N6</f>
        <v>0</v>
      </c>
      <c r="H18" s="2">
        <f>N7</f>
        <v>0</v>
      </c>
    </row>
    <row r="19" spans="6:8" x14ac:dyDescent="0.3">
      <c r="F19" s="2" t="s">
        <v>51</v>
      </c>
      <c r="G19" s="2">
        <f>O6</f>
        <v>0</v>
      </c>
      <c r="H19" s="2">
        <f>O7</f>
        <v>0</v>
      </c>
    </row>
    <row r="20" spans="6:8" x14ac:dyDescent="0.3">
      <c r="F20" s="2" t="s">
        <v>216</v>
      </c>
      <c r="G20" s="2">
        <f>G13+G14+G15+G16+G17+G18+G19</f>
        <v>31.626794258373206</v>
      </c>
      <c r="H20" s="2">
        <f>H13+H14+H15+H16+H17+H18+H19</f>
        <v>47.535885167464116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0"/>
  <sheetViews>
    <sheetView workbookViewId="0">
      <selection activeCell="C6" sqref="C6"/>
    </sheetView>
  </sheetViews>
  <sheetFormatPr defaultRowHeight="14.4" x14ac:dyDescent="0.3"/>
  <cols>
    <col min="2" max="2" width="11.77734375" customWidth="1"/>
    <col min="4" max="4" width="14.77734375" customWidth="1"/>
    <col min="5" max="5" width="10.77734375" customWidth="1"/>
  </cols>
  <sheetData>
    <row r="1" spans="1:15" x14ac:dyDescent="0.3">
      <c r="D1" s="12" t="s">
        <v>225</v>
      </c>
      <c r="E1" t="s">
        <v>221</v>
      </c>
      <c r="F1" t="s">
        <v>222</v>
      </c>
      <c r="G1" t="s">
        <v>223</v>
      </c>
      <c r="H1" t="s">
        <v>224</v>
      </c>
    </row>
    <row r="2" spans="1:15" x14ac:dyDescent="0.3">
      <c r="A2" t="s">
        <v>196</v>
      </c>
      <c r="B2" s="8" t="s">
        <v>197</v>
      </c>
      <c r="C2" s="8">
        <v>19</v>
      </c>
      <c r="D2">
        <f>E2+F2+G2+H2</f>
        <v>22</v>
      </c>
      <c r="E2">
        <v>1</v>
      </c>
      <c r="F2">
        <v>1</v>
      </c>
      <c r="G2">
        <v>1</v>
      </c>
      <c r="H2">
        <v>19</v>
      </c>
    </row>
    <row r="3" spans="1:15" x14ac:dyDescent="0.3">
      <c r="B3" t="s">
        <v>198</v>
      </c>
      <c r="C3" t="s">
        <v>199</v>
      </c>
    </row>
    <row r="4" spans="1:15" x14ac:dyDescent="0.3">
      <c r="A4" t="s">
        <v>200</v>
      </c>
      <c r="B4" s="2">
        <v>10</v>
      </c>
      <c r="C4" s="2">
        <v>10</v>
      </c>
      <c r="E4">
        <f>(100/B4)*C4</f>
        <v>100</v>
      </c>
    </row>
    <row r="5" spans="1:15" x14ac:dyDescent="0.3">
      <c r="A5" t="s">
        <v>201</v>
      </c>
      <c r="B5" t="s">
        <v>202</v>
      </c>
      <c r="C5" t="s">
        <v>203</v>
      </c>
      <c r="E5" s="13">
        <f>(100/B6)*C6</f>
        <v>13.636363636363637</v>
      </c>
      <c r="I5" s="2" t="s">
        <v>204</v>
      </c>
      <c r="J5" s="2" t="s">
        <v>205</v>
      </c>
      <c r="K5" s="2" t="s">
        <v>206</v>
      </c>
      <c r="L5" s="2" t="s">
        <v>40</v>
      </c>
      <c r="M5" s="2" t="s">
        <v>50</v>
      </c>
      <c r="N5" s="2" t="s">
        <v>207</v>
      </c>
      <c r="O5" s="2" t="s">
        <v>51</v>
      </c>
    </row>
    <row r="6" spans="1:15" x14ac:dyDescent="0.3">
      <c r="B6" s="2">
        <f>D2</f>
        <v>22</v>
      </c>
      <c r="C6" s="2">
        <v>3</v>
      </c>
      <c r="E6" s="13">
        <f>(100/B8)*C8</f>
        <v>0</v>
      </c>
      <c r="F6" s="9" t="s">
        <v>208</v>
      </c>
      <c r="I6" s="9">
        <f>C4</f>
        <v>10</v>
      </c>
      <c r="J6" s="9">
        <f>40/B6*C6</f>
        <v>5.4545454545454541</v>
      </c>
      <c r="K6" s="9">
        <f>15/B8*C8</f>
        <v>0</v>
      </c>
      <c r="L6" s="9">
        <f>10/B10*C10</f>
        <v>0</v>
      </c>
      <c r="M6" s="9">
        <f>10/B12*C12</f>
        <v>0</v>
      </c>
      <c r="N6" s="9">
        <f>5/B14*C14</f>
        <v>0</v>
      </c>
      <c r="O6" s="9">
        <f>5/B16*C16</f>
        <v>0</v>
      </c>
    </row>
    <row r="7" spans="1:15" x14ac:dyDescent="0.3">
      <c r="A7" t="s">
        <v>209</v>
      </c>
      <c r="B7" t="s">
        <v>210</v>
      </c>
      <c r="C7" t="s">
        <v>211</v>
      </c>
      <c r="E7" s="13">
        <f>(100/B10)*C10</f>
        <v>0</v>
      </c>
      <c r="F7" s="2" t="s">
        <v>212</v>
      </c>
      <c r="G7" s="2"/>
      <c r="H7" s="2"/>
      <c r="I7" s="2">
        <f>I6+20</f>
        <v>30</v>
      </c>
      <c r="J7" s="2">
        <f>30/B6*C6</f>
        <v>4.0909090909090908</v>
      </c>
      <c r="K7" s="2">
        <f>15/B8*C8</f>
        <v>0</v>
      </c>
      <c r="L7" s="2">
        <f>10/B10*C10</f>
        <v>0</v>
      </c>
      <c r="M7" s="2">
        <f>5/B12*C12</f>
        <v>0</v>
      </c>
      <c r="N7" s="2">
        <f>5/B14*C14</f>
        <v>0</v>
      </c>
      <c r="O7" s="2">
        <f>5/B16*C16</f>
        <v>0</v>
      </c>
    </row>
    <row r="8" spans="1:15" x14ac:dyDescent="0.3">
      <c r="B8" s="2">
        <f>C2</f>
        <v>19</v>
      </c>
      <c r="C8" s="2">
        <v>0</v>
      </c>
      <c r="E8" s="13">
        <f>(100/B12)*C12</f>
        <v>0</v>
      </c>
    </row>
    <row r="9" spans="1:15" x14ac:dyDescent="0.3">
      <c r="A9" t="s">
        <v>213</v>
      </c>
      <c r="B9" t="s">
        <v>210</v>
      </c>
      <c r="C9" t="s">
        <v>211</v>
      </c>
      <c r="E9" s="13">
        <f>(100/B14)*C14</f>
        <v>0</v>
      </c>
    </row>
    <row r="10" spans="1:15" x14ac:dyDescent="0.3">
      <c r="B10" s="2">
        <f>C2</f>
        <v>19</v>
      </c>
      <c r="C10" s="2">
        <v>0</v>
      </c>
      <c r="E10" s="13">
        <f>(100/B16)*C16</f>
        <v>0</v>
      </c>
    </row>
    <row r="11" spans="1:15" x14ac:dyDescent="0.3">
      <c r="A11" t="s">
        <v>50</v>
      </c>
      <c r="B11" t="s">
        <v>210</v>
      </c>
      <c r="C11" t="s">
        <v>211</v>
      </c>
    </row>
    <row r="12" spans="1:15" x14ac:dyDescent="0.3">
      <c r="B12" s="2">
        <f>C2</f>
        <v>19</v>
      </c>
      <c r="C12" s="2">
        <v>0</v>
      </c>
      <c r="F12" s="2"/>
      <c r="G12" s="2" t="s">
        <v>208</v>
      </c>
      <c r="H12" s="2" t="s">
        <v>214</v>
      </c>
      <c r="L12" t="s">
        <v>215</v>
      </c>
    </row>
    <row r="13" spans="1:15" ht="28.8" x14ac:dyDescent="0.3">
      <c r="A13" s="10" t="s">
        <v>207</v>
      </c>
      <c r="B13" t="s">
        <v>210</v>
      </c>
      <c r="C13" t="s">
        <v>211</v>
      </c>
      <c r="F13" s="2" t="s">
        <v>38</v>
      </c>
      <c r="G13" s="2">
        <f>I6</f>
        <v>10</v>
      </c>
      <c r="H13" s="2">
        <f>I7</f>
        <v>30</v>
      </c>
      <c r="L13" t="s">
        <v>215</v>
      </c>
    </row>
    <row r="14" spans="1:15" x14ac:dyDescent="0.3">
      <c r="B14" s="2">
        <f>C2</f>
        <v>19</v>
      </c>
      <c r="C14" s="2">
        <v>0</v>
      </c>
      <c r="F14" s="2" t="s">
        <v>39</v>
      </c>
      <c r="G14" s="2">
        <f>J6</f>
        <v>5.4545454545454541</v>
      </c>
      <c r="H14" s="2">
        <f>J7</f>
        <v>4.0909090909090908</v>
      </c>
    </row>
    <row r="15" spans="1:15" x14ac:dyDescent="0.3">
      <c r="A15" t="s">
        <v>51</v>
      </c>
      <c r="B15" t="s">
        <v>210</v>
      </c>
      <c r="C15" t="s">
        <v>211</v>
      </c>
      <c r="F15" s="2" t="s">
        <v>206</v>
      </c>
      <c r="G15" s="2">
        <f>K6</f>
        <v>0</v>
      </c>
      <c r="H15" s="2">
        <f>K7</f>
        <v>0</v>
      </c>
    </row>
    <row r="16" spans="1:15" x14ac:dyDescent="0.3">
      <c r="B16" s="2">
        <f>C2</f>
        <v>19</v>
      </c>
      <c r="C16" s="2">
        <v>0</v>
      </c>
      <c r="F16" s="2" t="s">
        <v>40</v>
      </c>
      <c r="G16" s="2">
        <f>L6</f>
        <v>0</v>
      </c>
      <c r="H16" s="2">
        <f>L7</f>
        <v>0</v>
      </c>
    </row>
    <row r="17" spans="6:8" x14ac:dyDescent="0.3">
      <c r="F17" s="2" t="s">
        <v>50</v>
      </c>
      <c r="G17" s="2">
        <f>M6</f>
        <v>0</v>
      </c>
      <c r="H17" s="2">
        <f>M7</f>
        <v>0</v>
      </c>
    </row>
    <row r="18" spans="6:8" ht="28.8" x14ac:dyDescent="0.3">
      <c r="F18" s="11" t="s">
        <v>207</v>
      </c>
      <c r="G18" s="2">
        <f>N6</f>
        <v>0</v>
      </c>
      <c r="H18" s="2">
        <f>N7</f>
        <v>0</v>
      </c>
    </row>
    <row r="19" spans="6:8" x14ac:dyDescent="0.3">
      <c r="F19" s="2" t="s">
        <v>51</v>
      </c>
      <c r="G19" s="2">
        <f>O6</f>
        <v>0</v>
      </c>
      <c r="H19" s="2">
        <f>O7</f>
        <v>0</v>
      </c>
    </row>
    <row r="20" spans="6:8" x14ac:dyDescent="0.3">
      <c r="F20" s="2" t="s">
        <v>216</v>
      </c>
      <c r="G20" s="29">
        <f>G13+G14+G15+G16+G17+G18+G19</f>
        <v>15.454545454545453</v>
      </c>
      <c r="H20" s="29">
        <f>H13+H14+H15+H16+H17+H18+H19</f>
        <v>34.090909090909093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0"/>
  <sheetViews>
    <sheetView workbookViewId="0">
      <selection activeCell="M14" sqref="M14"/>
    </sheetView>
  </sheetViews>
  <sheetFormatPr defaultRowHeight="14.4" x14ac:dyDescent="0.3"/>
  <cols>
    <col min="2" max="2" width="11.77734375" customWidth="1"/>
    <col min="4" max="4" width="14.77734375" customWidth="1"/>
    <col min="5" max="5" width="10.77734375" customWidth="1"/>
  </cols>
  <sheetData>
    <row r="1" spans="1:15" x14ac:dyDescent="0.3">
      <c r="D1" s="12" t="s">
        <v>225</v>
      </c>
      <c r="E1" t="s">
        <v>221</v>
      </c>
      <c r="F1" t="s">
        <v>222</v>
      </c>
      <c r="G1" t="s">
        <v>223</v>
      </c>
      <c r="H1" t="s">
        <v>224</v>
      </c>
    </row>
    <row r="2" spans="1:15" x14ac:dyDescent="0.3">
      <c r="A2" t="s">
        <v>196</v>
      </c>
      <c r="B2" s="8" t="s">
        <v>197</v>
      </c>
      <c r="C2" s="8">
        <v>19</v>
      </c>
      <c r="D2">
        <f>E2+F2+G2+H2</f>
        <v>22</v>
      </c>
      <c r="E2">
        <v>1</v>
      </c>
      <c r="F2">
        <v>1</v>
      </c>
      <c r="G2">
        <v>1</v>
      </c>
      <c r="H2">
        <v>19</v>
      </c>
    </row>
    <row r="3" spans="1:15" x14ac:dyDescent="0.3">
      <c r="B3" t="s">
        <v>198</v>
      </c>
      <c r="C3" t="s">
        <v>199</v>
      </c>
    </row>
    <row r="4" spans="1:15" x14ac:dyDescent="0.3">
      <c r="A4" t="s">
        <v>200</v>
      </c>
      <c r="B4" s="2">
        <v>10</v>
      </c>
      <c r="C4" s="2">
        <v>10</v>
      </c>
      <c r="E4">
        <f>(100/B4)*C4</f>
        <v>100</v>
      </c>
    </row>
    <row r="5" spans="1:15" x14ac:dyDescent="0.3">
      <c r="A5" t="s">
        <v>201</v>
      </c>
      <c r="B5" t="s">
        <v>202</v>
      </c>
      <c r="C5" t="s">
        <v>203</v>
      </c>
      <c r="E5" s="13">
        <f>(100/B6)*C6</f>
        <v>50.000000000000007</v>
      </c>
      <c r="I5" s="2" t="s">
        <v>204</v>
      </c>
      <c r="J5" s="2" t="s">
        <v>205</v>
      </c>
      <c r="K5" s="2" t="s">
        <v>206</v>
      </c>
      <c r="L5" s="2" t="s">
        <v>40</v>
      </c>
      <c r="M5" s="2" t="s">
        <v>50</v>
      </c>
      <c r="N5" s="2" t="s">
        <v>207</v>
      </c>
      <c r="O5" s="2" t="s">
        <v>51</v>
      </c>
    </row>
    <row r="6" spans="1:15" x14ac:dyDescent="0.3">
      <c r="B6" s="2">
        <f>D2</f>
        <v>22</v>
      </c>
      <c r="C6" s="2">
        <f>E2+F2+G2+8</f>
        <v>11</v>
      </c>
      <c r="E6" s="13">
        <f>(100/B8)*C8</f>
        <v>36.842105263157897</v>
      </c>
      <c r="F6" s="9" t="s">
        <v>208</v>
      </c>
      <c r="I6" s="9">
        <f>C4</f>
        <v>10</v>
      </c>
      <c r="J6" s="9">
        <f>40/B6*C6</f>
        <v>20</v>
      </c>
      <c r="K6" s="9">
        <f>15/B8*C8</f>
        <v>5.5263157894736841</v>
      </c>
      <c r="L6" s="9">
        <f>10/B10*C10</f>
        <v>1.8421052631578947</v>
      </c>
      <c r="M6" s="9">
        <f>10/B12*C12</f>
        <v>0</v>
      </c>
      <c r="N6" s="9">
        <f>5/B14*C14</f>
        <v>0</v>
      </c>
      <c r="O6" s="9">
        <f>5/B16*C16</f>
        <v>0</v>
      </c>
    </row>
    <row r="7" spans="1:15" x14ac:dyDescent="0.3">
      <c r="A7" t="s">
        <v>209</v>
      </c>
      <c r="B7" t="s">
        <v>210</v>
      </c>
      <c r="C7" t="s">
        <v>211</v>
      </c>
      <c r="E7" s="13">
        <f>(100/B10)*C10</f>
        <v>18.421052631578949</v>
      </c>
      <c r="F7" s="2" t="s">
        <v>212</v>
      </c>
      <c r="G7" s="2"/>
      <c r="H7" s="2"/>
      <c r="I7" s="2">
        <f>I6+20</f>
        <v>30</v>
      </c>
      <c r="J7" s="2">
        <f>30/B6*C6</f>
        <v>14.999999999999998</v>
      </c>
      <c r="K7" s="2">
        <f>15/B8*C8</f>
        <v>5.5263157894736841</v>
      </c>
      <c r="L7" s="2">
        <f>10/B10*C10</f>
        <v>1.8421052631578947</v>
      </c>
      <c r="M7" s="2">
        <f>5/B12*C12</f>
        <v>0</v>
      </c>
      <c r="N7" s="2">
        <f>5/B14*C14</f>
        <v>0</v>
      </c>
      <c r="O7" s="2">
        <f>5/B16*C16</f>
        <v>0</v>
      </c>
    </row>
    <row r="8" spans="1:15" x14ac:dyDescent="0.3">
      <c r="B8" s="2">
        <f>C2</f>
        <v>19</v>
      </c>
      <c r="C8" s="2">
        <f>8-1</f>
        <v>7</v>
      </c>
      <c r="E8" s="13">
        <f>(100/B12)*C12</f>
        <v>0</v>
      </c>
    </row>
    <row r="9" spans="1:15" x14ac:dyDescent="0.3">
      <c r="A9" t="s">
        <v>213</v>
      </c>
      <c r="B9" t="s">
        <v>210</v>
      </c>
      <c r="C9" t="s">
        <v>211</v>
      </c>
      <c r="E9" s="13">
        <f>(100/B14)*C14</f>
        <v>0</v>
      </c>
    </row>
    <row r="10" spans="1:15" x14ac:dyDescent="0.3">
      <c r="B10" s="2">
        <f>C2</f>
        <v>19</v>
      </c>
      <c r="C10" s="2">
        <f>C8/2</f>
        <v>3.5</v>
      </c>
      <c r="E10" s="13">
        <f>(100/B16)*C16</f>
        <v>0</v>
      </c>
    </row>
    <row r="11" spans="1:15" x14ac:dyDescent="0.3">
      <c r="A11" t="s">
        <v>50</v>
      </c>
      <c r="B11" t="s">
        <v>210</v>
      </c>
      <c r="C11" t="s">
        <v>211</v>
      </c>
    </row>
    <row r="12" spans="1:15" x14ac:dyDescent="0.3">
      <c r="B12" s="2">
        <f>C2</f>
        <v>19</v>
      </c>
      <c r="C12" s="2">
        <v>0</v>
      </c>
      <c r="F12" s="2"/>
      <c r="G12" s="2" t="s">
        <v>208</v>
      </c>
      <c r="H12" s="2" t="s">
        <v>214</v>
      </c>
      <c r="L12" t="s">
        <v>215</v>
      </c>
    </row>
    <row r="13" spans="1:15" ht="28.8" x14ac:dyDescent="0.3">
      <c r="A13" s="10" t="s">
        <v>207</v>
      </c>
      <c r="B13" t="s">
        <v>210</v>
      </c>
      <c r="C13" t="s">
        <v>211</v>
      </c>
      <c r="F13" s="2" t="s">
        <v>38</v>
      </c>
      <c r="G13" s="2">
        <f>I6</f>
        <v>10</v>
      </c>
      <c r="H13" s="2">
        <f>I7</f>
        <v>30</v>
      </c>
      <c r="L13" t="s">
        <v>215</v>
      </c>
    </row>
    <row r="14" spans="1:15" x14ac:dyDescent="0.3">
      <c r="B14" s="2">
        <f>C2</f>
        <v>19</v>
      </c>
      <c r="C14" s="2">
        <v>0</v>
      </c>
      <c r="F14" s="2" t="s">
        <v>39</v>
      </c>
      <c r="G14" s="2">
        <f>J6</f>
        <v>20</v>
      </c>
      <c r="H14" s="2">
        <f>J7</f>
        <v>14.999999999999998</v>
      </c>
    </row>
    <row r="15" spans="1:15" x14ac:dyDescent="0.3">
      <c r="A15" t="s">
        <v>51</v>
      </c>
      <c r="B15" t="s">
        <v>210</v>
      </c>
      <c r="C15" t="s">
        <v>211</v>
      </c>
      <c r="F15" s="2" t="s">
        <v>206</v>
      </c>
      <c r="G15" s="2">
        <f>K6</f>
        <v>5.5263157894736841</v>
      </c>
      <c r="H15" s="2">
        <f>K7</f>
        <v>5.5263157894736841</v>
      </c>
    </row>
    <row r="16" spans="1:15" x14ac:dyDescent="0.3">
      <c r="B16" s="2">
        <f>C2</f>
        <v>19</v>
      </c>
      <c r="C16" s="2">
        <v>0</v>
      </c>
      <c r="F16" s="2" t="s">
        <v>40</v>
      </c>
      <c r="G16" s="2">
        <f>L6</f>
        <v>1.8421052631578947</v>
      </c>
      <c r="H16" s="2">
        <f>L7</f>
        <v>1.8421052631578947</v>
      </c>
    </row>
    <row r="17" spans="6:8" x14ac:dyDescent="0.3">
      <c r="F17" s="2" t="s">
        <v>50</v>
      </c>
      <c r="G17" s="2">
        <f>M6</f>
        <v>0</v>
      </c>
      <c r="H17" s="2">
        <f>M7</f>
        <v>0</v>
      </c>
    </row>
    <row r="18" spans="6:8" ht="28.8" x14ac:dyDescent="0.3">
      <c r="F18" s="11" t="s">
        <v>207</v>
      </c>
      <c r="G18" s="2">
        <f>N6</f>
        <v>0</v>
      </c>
      <c r="H18" s="2">
        <f>N7</f>
        <v>0</v>
      </c>
    </row>
    <row r="19" spans="6:8" x14ac:dyDescent="0.3">
      <c r="F19" s="2" t="s">
        <v>51</v>
      </c>
      <c r="G19" s="2">
        <f>O6</f>
        <v>0</v>
      </c>
      <c r="H19" s="2">
        <f>O7</f>
        <v>0</v>
      </c>
    </row>
    <row r="20" spans="6:8" x14ac:dyDescent="0.3">
      <c r="F20" s="2" t="s">
        <v>216</v>
      </c>
      <c r="G20" s="29">
        <f>G13+G14+G15+G16+G17+G18+G19</f>
        <v>37.368421052631582</v>
      </c>
      <c r="H20" s="29">
        <f>H13+H14+H15+H16+H17+H18+H19</f>
        <v>52.368421052631582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0"/>
  <sheetViews>
    <sheetView workbookViewId="0">
      <selection activeCell="C6" sqref="C6"/>
    </sheetView>
  </sheetViews>
  <sheetFormatPr defaultRowHeight="14.4" x14ac:dyDescent="0.3"/>
  <cols>
    <col min="2" max="2" width="11.77734375" customWidth="1"/>
    <col min="4" max="4" width="14.77734375" customWidth="1"/>
    <col min="5" max="5" width="10.77734375" customWidth="1"/>
  </cols>
  <sheetData>
    <row r="1" spans="1:15" x14ac:dyDescent="0.3">
      <c r="D1" s="12" t="s">
        <v>225</v>
      </c>
      <c r="E1" t="s">
        <v>221</v>
      </c>
      <c r="F1" t="s">
        <v>222</v>
      </c>
      <c r="G1" t="s">
        <v>223</v>
      </c>
      <c r="H1" t="s">
        <v>224</v>
      </c>
    </row>
    <row r="2" spans="1:15" x14ac:dyDescent="0.3">
      <c r="A2" t="s">
        <v>196</v>
      </c>
      <c r="B2" s="8" t="s">
        <v>197</v>
      </c>
      <c r="C2" s="8">
        <v>19</v>
      </c>
      <c r="D2">
        <f>E2+F2+G2+H2</f>
        <v>22</v>
      </c>
      <c r="E2">
        <v>1</v>
      </c>
      <c r="F2">
        <v>1</v>
      </c>
      <c r="G2">
        <v>1</v>
      </c>
      <c r="H2">
        <v>19</v>
      </c>
    </row>
    <row r="3" spans="1:15" x14ac:dyDescent="0.3">
      <c r="B3" t="s">
        <v>198</v>
      </c>
      <c r="C3" t="s">
        <v>199</v>
      </c>
    </row>
    <row r="4" spans="1:15" x14ac:dyDescent="0.3">
      <c r="A4" t="s">
        <v>200</v>
      </c>
      <c r="B4" s="2">
        <v>10</v>
      </c>
      <c r="C4" s="2">
        <v>10</v>
      </c>
      <c r="E4">
        <f>(100/B4)*C4</f>
        <v>100</v>
      </c>
    </row>
    <row r="5" spans="1:15" x14ac:dyDescent="0.3">
      <c r="A5" t="s">
        <v>201</v>
      </c>
      <c r="B5" t="s">
        <v>202</v>
      </c>
      <c r="C5" t="s">
        <v>203</v>
      </c>
      <c r="E5" s="13">
        <f>(100/B6)*C6</f>
        <v>13.636363636363637</v>
      </c>
      <c r="I5" s="2" t="s">
        <v>204</v>
      </c>
      <c r="J5" s="2" t="s">
        <v>205</v>
      </c>
      <c r="K5" s="2" t="s">
        <v>206</v>
      </c>
      <c r="L5" s="2" t="s">
        <v>40</v>
      </c>
      <c r="M5" s="2" t="s">
        <v>50</v>
      </c>
      <c r="N5" s="2" t="s">
        <v>207</v>
      </c>
      <c r="O5" s="2" t="s">
        <v>51</v>
      </c>
    </row>
    <row r="6" spans="1:15" x14ac:dyDescent="0.3">
      <c r="B6" s="2">
        <f>D2</f>
        <v>22</v>
      </c>
      <c r="C6" s="2">
        <v>3</v>
      </c>
      <c r="E6" s="13">
        <f>(100/B8)*C8</f>
        <v>0</v>
      </c>
      <c r="F6" s="9" t="s">
        <v>208</v>
      </c>
      <c r="I6" s="9">
        <f>C4</f>
        <v>10</v>
      </c>
      <c r="J6" s="9">
        <f>40/B6*C6</f>
        <v>5.4545454545454541</v>
      </c>
      <c r="K6" s="9">
        <f>15/B8*C8</f>
        <v>0</v>
      </c>
      <c r="L6" s="9">
        <f>10/B10*C10</f>
        <v>0</v>
      </c>
      <c r="M6" s="9">
        <f>10/B12*C12</f>
        <v>0</v>
      </c>
      <c r="N6" s="9">
        <f>5/B14*C14</f>
        <v>0</v>
      </c>
      <c r="O6" s="9">
        <f>5/B16*C16</f>
        <v>0</v>
      </c>
    </row>
    <row r="7" spans="1:15" x14ac:dyDescent="0.3">
      <c r="A7" t="s">
        <v>209</v>
      </c>
      <c r="B7" t="s">
        <v>210</v>
      </c>
      <c r="E7" s="13">
        <f>(100/B10)*C10</f>
        <v>0</v>
      </c>
      <c r="F7" s="2" t="s">
        <v>212</v>
      </c>
      <c r="G7" s="2"/>
      <c r="H7" s="2"/>
      <c r="I7" s="2">
        <f>I6+20</f>
        <v>30</v>
      </c>
      <c r="J7" s="2">
        <f>30/B6*C6</f>
        <v>4.0909090909090908</v>
      </c>
      <c r="K7" s="2">
        <f>15/B8*C8</f>
        <v>0</v>
      </c>
      <c r="L7" s="2">
        <f>10/B10*C10</f>
        <v>0</v>
      </c>
      <c r="M7" s="2">
        <f>5/B12*C12</f>
        <v>0</v>
      </c>
      <c r="N7" s="2">
        <f>5/B14*C14</f>
        <v>0</v>
      </c>
      <c r="O7" s="2">
        <f>5/B16*C16</f>
        <v>0</v>
      </c>
    </row>
    <row r="8" spans="1:15" x14ac:dyDescent="0.3">
      <c r="B8" s="2">
        <f>C2</f>
        <v>19</v>
      </c>
      <c r="C8" s="2">
        <v>0</v>
      </c>
      <c r="E8" s="13">
        <f>(100/B12)*C12</f>
        <v>0</v>
      </c>
    </row>
    <row r="9" spans="1:15" x14ac:dyDescent="0.3">
      <c r="A9" t="s">
        <v>213</v>
      </c>
      <c r="B9" t="s">
        <v>210</v>
      </c>
      <c r="C9" t="s">
        <v>211</v>
      </c>
      <c r="E9" s="13">
        <f>(100/B14)*C14</f>
        <v>0</v>
      </c>
    </row>
    <row r="10" spans="1:15" x14ac:dyDescent="0.3">
      <c r="B10" s="2">
        <f>C2</f>
        <v>19</v>
      </c>
      <c r="C10" s="2">
        <v>0</v>
      </c>
      <c r="E10" s="13">
        <f>(100/B16)*C16</f>
        <v>0</v>
      </c>
    </row>
    <row r="11" spans="1:15" x14ac:dyDescent="0.3">
      <c r="A11" t="s">
        <v>50</v>
      </c>
      <c r="B11" t="s">
        <v>210</v>
      </c>
      <c r="C11" t="s">
        <v>211</v>
      </c>
    </row>
    <row r="12" spans="1:15" x14ac:dyDescent="0.3">
      <c r="B12" s="2">
        <f>C2</f>
        <v>19</v>
      </c>
      <c r="C12" s="2">
        <v>0</v>
      </c>
      <c r="F12" s="2"/>
      <c r="G12" s="2" t="s">
        <v>208</v>
      </c>
      <c r="H12" s="2" t="s">
        <v>214</v>
      </c>
      <c r="L12" t="s">
        <v>215</v>
      </c>
    </row>
    <row r="13" spans="1:15" ht="28.8" x14ac:dyDescent="0.3">
      <c r="A13" s="10" t="s">
        <v>207</v>
      </c>
      <c r="B13" t="s">
        <v>210</v>
      </c>
      <c r="C13" t="s">
        <v>211</v>
      </c>
      <c r="F13" s="2" t="s">
        <v>38</v>
      </c>
      <c r="G13" s="2">
        <f>I6</f>
        <v>10</v>
      </c>
      <c r="H13" s="2">
        <f>I7</f>
        <v>30</v>
      </c>
      <c r="L13" t="s">
        <v>215</v>
      </c>
    </row>
    <row r="14" spans="1:15" x14ac:dyDescent="0.3">
      <c r="B14" s="2">
        <f>C2</f>
        <v>19</v>
      </c>
      <c r="C14" s="2">
        <v>0</v>
      </c>
      <c r="F14" s="2" t="s">
        <v>39</v>
      </c>
      <c r="G14" s="2">
        <f>J6</f>
        <v>5.4545454545454541</v>
      </c>
      <c r="H14" s="2">
        <f>J7</f>
        <v>4.0909090909090908</v>
      </c>
    </row>
    <row r="15" spans="1:15" x14ac:dyDescent="0.3">
      <c r="A15" t="s">
        <v>51</v>
      </c>
      <c r="B15" t="s">
        <v>210</v>
      </c>
      <c r="C15" t="s">
        <v>211</v>
      </c>
      <c r="F15" s="2" t="s">
        <v>206</v>
      </c>
      <c r="G15" s="2">
        <f>K6</f>
        <v>0</v>
      </c>
      <c r="H15" s="2">
        <f>K7</f>
        <v>0</v>
      </c>
    </row>
    <row r="16" spans="1:15" x14ac:dyDescent="0.3">
      <c r="B16" s="2">
        <f>C2</f>
        <v>19</v>
      </c>
      <c r="C16" s="2">
        <v>0</v>
      </c>
      <c r="F16" s="2" t="s">
        <v>40</v>
      </c>
      <c r="G16" s="2">
        <f>L6</f>
        <v>0</v>
      </c>
      <c r="H16" s="2">
        <f>L7</f>
        <v>0</v>
      </c>
    </row>
    <row r="17" spans="6:8" x14ac:dyDescent="0.3">
      <c r="F17" s="2" t="s">
        <v>50</v>
      </c>
      <c r="G17" s="2">
        <f>M6</f>
        <v>0</v>
      </c>
      <c r="H17" s="2">
        <f>M7</f>
        <v>0</v>
      </c>
    </row>
    <row r="18" spans="6:8" ht="28.8" x14ac:dyDescent="0.3">
      <c r="F18" s="11" t="s">
        <v>207</v>
      </c>
      <c r="G18" s="2">
        <f>N6</f>
        <v>0</v>
      </c>
      <c r="H18" s="2">
        <f>N7</f>
        <v>0</v>
      </c>
    </row>
    <row r="19" spans="6:8" x14ac:dyDescent="0.3">
      <c r="F19" s="2" t="s">
        <v>51</v>
      </c>
      <c r="G19" s="2">
        <f>O6</f>
        <v>0</v>
      </c>
      <c r="H19" s="2">
        <f>O7</f>
        <v>0</v>
      </c>
    </row>
    <row r="20" spans="6:8" x14ac:dyDescent="0.3">
      <c r="F20" s="2" t="s">
        <v>216</v>
      </c>
      <c r="G20" s="29">
        <f>G13+G14+G15+G16+G17+G18+G19</f>
        <v>15.454545454545453</v>
      </c>
      <c r="H20" s="29">
        <f>H13+H14+H15+H16+H17+H18+H19</f>
        <v>34.090909090909093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Sheet1</vt:lpstr>
      <vt:lpstr>Sheet3</vt:lpstr>
      <vt:lpstr>A%</vt:lpstr>
      <vt:lpstr>B%</vt:lpstr>
      <vt:lpstr>C%</vt:lpstr>
      <vt:lpstr>D%</vt:lpstr>
      <vt:lpstr>F%</vt:lpstr>
      <vt:lpstr>K%</vt:lpstr>
      <vt:lpstr>J-1%</vt:lpstr>
      <vt:lpstr>J-2%</vt:lpstr>
      <vt:lpstr>Wing A</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pranitam503@gmail.com</cp:lastModifiedBy>
  <cp:lastPrinted>2025-09-12T06:31:03Z</cp:lastPrinted>
  <dcterms:created xsi:type="dcterms:W3CDTF">2013-11-23T05:32:33Z</dcterms:created>
  <dcterms:modified xsi:type="dcterms:W3CDTF">2025-09-12T06:37:30Z</dcterms:modified>
</cp:coreProperties>
</file>