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C119" i="1"/>
  <c r="C97" i="1" l="1"/>
  <c r="D317" i="1" l="1"/>
  <c r="D316" i="1"/>
  <c r="D372" i="1"/>
  <c r="F372" i="1" s="1"/>
  <c r="D371" i="1"/>
  <c r="F371" i="1" s="1"/>
  <c r="P370" i="1"/>
  <c r="P371" i="1" s="1"/>
  <c r="O370" i="1"/>
  <c r="O371" i="1" s="1"/>
  <c r="O372" i="1" s="1"/>
  <c r="D370" i="1"/>
  <c r="F370" i="1" s="1"/>
  <c r="P369" i="1"/>
  <c r="O369" i="1"/>
  <c r="D368" i="1"/>
  <c r="F368" i="1" s="1"/>
  <c r="D367" i="1"/>
  <c r="F367" i="1" s="1"/>
  <c r="D366" i="1"/>
  <c r="F366" i="1" s="1"/>
  <c r="G365" i="1"/>
  <c r="D365" i="1"/>
  <c r="F365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G356" i="1"/>
  <c r="D356" i="1"/>
  <c r="F356" i="1" s="1"/>
  <c r="J356" i="1" s="1"/>
  <c r="D353" i="1"/>
  <c r="F353" i="1" s="1"/>
  <c r="D352" i="1"/>
  <c r="F352" i="1" s="1"/>
  <c r="D351" i="1"/>
  <c r="F351" i="1" s="1"/>
  <c r="A351" i="1"/>
  <c r="A352" i="1" s="1"/>
  <c r="A353" i="1" s="1"/>
  <c r="D350" i="1"/>
  <c r="F350" i="1" s="1"/>
  <c r="G347" i="1"/>
  <c r="D345" i="1"/>
  <c r="F345" i="1" s="1"/>
  <c r="D344" i="1"/>
  <c r="F344" i="1" s="1"/>
  <c r="D343" i="1"/>
  <c r="F343" i="1" s="1"/>
  <c r="G342" i="1"/>
  <c r="D342" i="1"/>
  <c r="F342" i="1" s="1"/>
  <c r="P210" i="1"/>
  <c r="O210" i="1"/>
  <c r="P239" i="1"/>
  <c r="O239" i="1"/>
  <c r="N239" i="1" s="1"/>
  <c r="P268" i="1"/>
  <c r="O268" i="1"/>
  <c r="P306" i="1"/>
  <c r="O306" i="1"/>
  <c r="P335" i="1"/>
  <c r="O335" i="1"/>
  <c r="D290" i="1"/>
  <c r="F290" i="1" s="1"/>
  <c r="D289" i="1"/>
  <c r="F289" i="1" s="1"/>
  <c r="D288" i="1"/>
  <c r="F288" i="1" s="1"/>
  <c r="D287" i="1"/>
  <c r="F287" i="1" s="1"/>
  <c r="A288" i="1"/>
  <c r="A289" i="1" s="1"/>
  <c r="A290" i="1" s="1"/>
  <c r="G284" i="1"/>
  <c r="D281" i="1"/>
  <c r="F281" i="1" s="1"/>
  <c r="D280" i="1"/>
  <c r="F280" i="1" s="1"/>
  <c r="D279" i="1"/>
  <c r="F279" i="1" s="1"/>
  <c r="D278" i="1"/>
  <c r="F278" i="1" s="1"/>
  <c r="D309" i="1"/>
  <c r="F309" i="1" s="1"/>
  <c r="D308" i="1"/>
  <c r="F308" i="1" s="1"/>
  <c r="D307" i="1"/>
  <c r="D305" i="1"/>
  <c r="F305" i="1" s="1"/>
  <c r="D304" i="1"/>
  <c r="F304" i="1" s="1"/>
  <c r="D303" i="1"/>
  <c r="F303" i="1" s="1"/>
  <c r="D302" i="1"/>
  <c r="D300" i="1"/>
  <c r="F300" i="1" s="1"/>
  <c r="D299" i="1"/>
  <c r="F299" i="1" s="1"/>
  <c r="D298" i="1"/>
  <c r="F298" i="1" s="1"/>
  <c r="D297" i="1"/>
  <c r="D296" i="1"/>
  <c r="F296" i="1" s="1"/>
  <c r="D295" i="1"/>
  <c r="F295" i="1" s="1"/>
  <c r="D294" i="1"/>
  <c r="F294" i="1" s="1"/>
  <c r="D293" i="1"/>
  <c r="F293" i="1" s="1"/>
  <c r="J293" i="1" s="1"/>
  <c r="D338" i="1"/>
  <c r="F338" i="1" s="1"/>
  <c r="D337" i="1"/>
  <c r="F337" i="1" s="1"/>
  <c r="P336" i="1"/>
  <c r="P337" i="1" s="1"/>
  <c r="P338" i="1" s="1"/>
  <c r="O336" i="1"/>
  <c r="O337" i="1" s="1"/>
  <c r="O338" i="1" s="1"/>
  <c r="D336" i="1"/>
  <c r="F336" i="1" s="1"/>
  <c r="D334" i="1"/>
  <c r="F334" i="1" s="1"/>
  <c r="D333" i="1"/>
  <c r="F333" i="1" s="1"/>
  <c r="D332" i="1"/>
  <c r="F332" i="1" s="1"/>
  <c r="G331" i="1"/>
  <c r="D331" i="1"/>
  <c r="F331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G322" i="1"/>
  <c r="D322" i="1"/>
  <c r="F322" i="1" s="1"/>
  <c r="J322" i="1" s="1"/>
  <c r="D319" i="1"/>
  <c r="F319" i="1" s="1"/>
  <c r="D318" i="1"/>
  <c r="F318" i="1" s="1"/>
  <c r="F317" i="1"/>
  <c r="G313" i="1"/>
  <c r="F316" i="1"/>
  <c r="P307" i="1"/>
  <c r="P308" i="1" s="1"/>
  <c r="O307" i="1"/>
  <c r="O308" i="1" s="1"/>
  <c r="O309" i="1" s="1"/>
  <c r="F307" i="1"/>
  <c r="G302" i="1"/>
  <c r="F302" i="1"/>
  <c r="F297" i="1"/>
  <c r="G293" i="1"/>
  <c r="G275" i="1"/>
  <c r="C125" i="1"/>
  <c r="C111" i="1"/>
  <c r="J136" i="1"/>
  <c r="J135" i="1"/>
  <c r="J134" i="1"/>
  <c r="J133" i="1"/>
  <c r="C134" i="1"/>
  <c r="J122" i="1"/>
  <c r="J121" i="1"/>
  <c r="J120" i="1"/>
  <c r="J119" i="1"/>
  <c r="C118" i="1"/>
  <c r="D54" i="1"/>
  <c r="P315" i="1"/>
  <c r="O248" i="1"/>
  <c r="P331" i="1"/>
  <c r="P314" i="1"/>
  <c r="P342" i="1"/>
  <c r="P277" i="1"/>
  <c r="P313" i="1"/>
  <c r="P276" i="1"/>
  <c r="P365" i="1"/>
  <c r="O247" i="1"/>
  <c r="O316" i="1"/>
  <c r="O322" i="1"/>
  <c r="P246" i="1"/>
  <c r="O313" i="1"/>
  <c r="O246" i="1"/>
  <c r="P247" i="1"/>
  <c r="P218" i="1"/>
  <c r="P293" i="1"/>
  <c r="P248" i="1"/>
  <c r="P219" i="1"/>
  <c r="O275" i="1"/>
  <c r="P302" i="1"/>
  <c r="O365" i="1"/>
  <c r="O218" i="1"/>
  <c r="P316" i="1"/>
  <c r="O277" i="1"/>
  <c r="O331" i="1"/>
  <c r="O314" i="1"/>
  <c r="P275" i="1"/>
  <c r="P322" i="1"/>
  <c r="P356" i="1"/>
  <c r="O293" i="1"/>
  <c r="P217" i="1"/>
  <c r="O342" i="1"/>
  <c r="O302" i="1"/>
  <c r="O356" i="1"/>
  <c r="O278" i="1"/>
  <c r="O315" i="1"/>
  <c r="O276" i="1"/>
  <c r="P278" i="1"/>
  <c r="O219" i="1"/>
  <c r="O217" i="1"/>
  <c r="N210" i="1" l="1"/>
  <c r="D162" i="1"/>
  <c r="N268" i="1"/>
  <c r="N306" i="1"/>
  <c r="G161" i="1"/>
  <c r="N370" i="1"/>
  <c r="N335" i="1"/>
  <c r="N369" i="1"/>
  <c r="P372" i="1"/>
  <c r="N372" i="1" s="1"/>
  <c r="N371" i="1"/>
  <c r="G162" i="1"/>
  <c r="N336" i="1"/>
  <c r="E161" i="1"/>
  <c r="D161" i="1"/>
  <c r="E162" i="1"/>
  <c r="N338" i="1"/>
  <c r="N307" i="1"/>
  <c r="N218" i="1"/>
  <c r="N217" i="1"/>
  <c r="N219" i="1"/>
  <c r="N246" i="1"/>
  <c r="N247" i="1"/>
  <c r="N248" i="1"/>
  <c r="N276" i="1"/>
  <c r="N277" i="1"/>
  <c r="N275" i="1"/>
  <c r="O343" i="1"/>
  <c r="N342" i="1"/>
  <c r="P343" i="1"/>
  <c r="P344" i="1" s="1"/>
  <c r="P345" i="1" s="1"/>
  <c r="N356" i="1"/>
  <c r="O357" i="1"/>
  <c r="N365" i="1"/>
  <c r="O366" i="1"/>
  <c r="P357" i="1"/>
  <c r="P358" i="1" s="1"/>
  <c r="P359" i="1" s="1"/>
  <c r="P360" i="1" s="1"/>
  <c r="P361" i="1" s="1"/>
  <c r="P362" i="1" s="1"/>
  <c r="P363" i="1" s="1"/>
  <c r="P366" i="1"/>
  <c r="P367" i="1" s="1"/>
  <c r="P368" i="1" s="1"/>
  <c r="N337" i="1"/>
  <c r="N314" i="1"/>
  <c r="N315" i="1"/>
  <c r="N313" i="1"/>
  <c r="O317" i="1"/>
  <c r="N316" i="1"/>
  <c r="P332" i="1"/>
  <c r="P333" i="1" s="1"/>
  <c r="P334" i="1" s="1"/>
  <c r="P317" i="1"/>
  <c r="P318" i="1" s="1"/>
  <c r="P319" i="1" s="1"/>
  <c r="P320" i="1" s="1"/>
  <c r="P323" i="1"/>
  <c r="P324" i="1" s="1"/>
  <c r="P325" i="1" s="1"/>
  <c r="P326" i="1" s="1"/>
  <c r="P327" i="1" s="1"/>
  <c r="P328" i="1" s="1"/>
  <c r="P329" i="1" s="1"/>
  <c r="N331" i="1"/>
  <c r="O332" i="1"/>
  <c r="N322" i="1"/>
  <c r="O323" i="1"/>
  <c r="P303" i="1"/>
  <c r="P304" i="1" s="1"/>
  <c r="P305" i="1" s="1"/>
  <c r="P294" i="1"/>
  <c r="P295" i="1" s="1"/>
  <c r="P296" i="1" s="1"/>
  <c r="P297" i="1" s="1"/>
  <c r="P298" i="1" s="1"/>
  <c r="P299" i="1" s="1"/>
  <c r="P300" i="1" s="1"/>
  <c r="P279" i="1"/>
  <c r="P280" i="1" s="1"/>
  <c r="P281" i="1" s="1"/>
  <c r="P282" i="1" s="1"/>
  <c r="O279" i="1"/>
  <c r="N278" i="1"/>
  <c r="N302" i="1"/>
  <c r="O303" i="1"/>
  <c r="N293" i="1"/>
  <c r="O294" i="1"/>
  <c r="P309" i="1"/>
  <c r="N309" i="1" s="1"/>
  <c r="N308" i="1"/>
  <c r="C104" i="1"/>
  <c r="O367" i="1" l="1"/>
  <c r="N366" i="1"/>
  <c r="O358" i="1"/>
  <c r="N357" i="1"/>
  <c r="N343" i="1"/>
  <c r="O344" i="1"/>
  <c r="N332" i="1"/>
  <c r="O333" i="1"/>
  <c r="N323" i="1"/>
  <c r="O324" i="1"/>
  <c r="N317" i="1"/>
  <c r="O318" i="1"/>
  <c r="N279" i="1"/>
  <c r="O280" i="1"/>
  <c r="N303" i="1"/>
  <c r="O304" i="1"/>
  <c r="N294" i="1"/>
  <c r="O295" i="1"/>
  <c r="N344" i="1" l="1"/>
  <c r="O345" i="1"/>
  <c r="N345" i="1" s="1"/>
  <c r="N358" i="1"/>
  <c r="O359" i="1"/>
  <c r="N367" i="1"/>
  <c r="O368" i="1"/>
  <c r="N368" i="1" s="1"/>
  <c r="O319" i="1"/>
  <c r="N318" i="1"/>
  <c r="O325" i="1"/>
  <c r="N324" i="1"/>
  <c r="O334" i="1"/>
  <c r="N334" i="1" s="1"/>
  <c r="N333" i="1"/>
  <c r="O296" i="1"/>
  <c r="N295" i="1"/>
  <c r="O305" i="1"/>
  <c r="N305" i="1" s="1"/>
  <c r="N304" i="1"/>
  <c r="O281" i="1"/>
  <c r="N280" i="1"/>
  <c r="D271" i="1"/>
  <c r="D270" i="1"/>
  <c r="D269" i="1"/>
  <c r="D267" i="1"/>
  <c r="D266" i="1"/>
  <c r="D265" i="1"/>
  <c r="D264" i="1"/>
  <c r="D262" i="1"/>
  <c r="D261" i="1"/>
  <c r="D260" i="1"/>
  <c r="D259" i="1"/>
  <c r="D258" i="1"/>
  <c r="D257" i="1"/>
  <c r="D256" i="1"/>
  <c r="D255" i="1"/>
  <c r="D252" i="1"/>
  <c r="D251" i="1"/>
  <c r="D250" i="1"/>
  <c r="D249" i="1"/>
  <c r="I220" i="1"/>
  <c r="I187" i="1"/>
  <c r="J187" i="1" s="1"/>
  <c r="C90" i="1"/>
  <c r="D160" i="1" l="1"/>
  <c r="N281" i="1"/>
  <c r="O282" i="1"/>
  <c r="N282" i="1" s="1"/>
  <c r="N359" i="1"/>
  <c r="O360" i="1"/>
  <c r="N319" i="1"/>
  <c r="O320" i="1"/>
  <c r="N320" i="1" s="1"/>
  <c r="N325" i="1"/>
  <c r="O326" i="1"/>
  <c r="N296" i="1"/>
  <c r="O297" i="1"/>
  <c r="F271" i="1"/>
  <c r="F270" i="1"/>
  <c r="F269" i="1"/>
  <c r="F267" i="1"/>
  <c r="F265" i="1"/>
  <c r="F264" i="1"/>
  <c r="F262" i="1"/>
  <c r="F256" i="1"/>
  <c r="F250" i="1"/>
  <c r="F252" i="1"/>
  <c r="P269" i="1"/>
  <c r="P270" i="1" s="1"/>
  <c r="P271" i="1" s="1"/>
  <c r="O269" i="1"/>
  <c r="F266" i="1"/>
  <c r="G264" i="1"/>
  <c r="F261" i="1"/>
  <c r="F260" i="1"/>
  <c r="F259" i="1"/>
  <c r="F258" i="1"/>
  <c r="F257" i="1"/>
  <c r="G255" i="1"/>
  <c r="F255" i="1"/>
  <c r="J255" i="1" s="1"/>
  <c r="F251" i="1"/>
  <c r="G246" i="1"/>
  <c r="J108" i="1"/>
  <c r="J107" i="1"/>
  <c r="J106" i="1"/>
  <c r="J105" i="1"/>
  <c r="O255" i="1"/>
  <c r="O264" i="1"/>
  <c r="P249" i="1"/>
  <c r="P255" i="1"/>
  <c r="P264" i="1"/>
  <c r="O249" i="1"/>
  <c r="N360" i="1" l="1"/>
  <c r="O361" i="1"/>
  <c r="N269" i="1"/>
  <c r="O327" i="1"/>
  <c r="N326" i="1"/>
  <c r="O298" i="1"/>
  <c r="N297" i="1"/>
  <c r="E160" i="1"/>
  <c r="F249" i="1"/>
  <c r="G160" i="1" s="1"/>
  <c r="P256" i="1"/>
  <c r="P257" i="1" s="1"/>
  <c r="P258" i="1" s="1"/>
  <c r="P259" i="1" s="1"/>
  <c r="P260" i="1" s="1"/>
  <c r="P261" i="1" s="1"/>
  <c r="P262" i="1" s="1"/>
  <c r="N264" i="1"/>
  <c r="O265" i="1"/>
  <c r="N249" i="1"/>
  <c r="O250" i="1"/>
  <c r="P265" i="1"/>
  <c r="P266" i="1" s="1"/>
  <c r="P267" i="1" s="1"/>
  <c r="P250" i="1"/>
  <c r="P251" i="1" s="1"/>
  <c r="P252" i="1" s="1"/>
  <c r="P253" i="1" s="1"/>
  <c r="O256" i="1"/>
  <c r="N255" i="1"/>
  <c r="O270" i="1"/>
  <c r="N361" i="1" l="1"/>
  <c r="O362" i="1"/>
  <c r="N327" i="1"/>
  <c r="O328" i="1"/>
  <c r="N298" i="1"/>
  <c r="O299" i="1"/>
  <c r="O266" i="1"/>
  <c r="N265" i="1"/>
  <c r="O271" i="1"/>
  <c r="N271" i="1" s="1"/>
  <c r="N270" i="1"/>
  <c r="O251" i="1"/>
  <c r="N250" i="1"/>
  <c r="N256" i="1"/>
  <c r="O257" i="1"/>
  <c r="I204" i="1"/>
  <c r="O363" i="1" l="1"/>
  <c r="N363" i="1" s="1"/>
  <c r="N362" i="1"/>
  <c r="N328" i="1"/>
  <c r="O329" i="1"/>
  <c r="N329" i="1" s="1"/>
  <c r="N299" i="1"/>
  <c r="O300" i="1"/>
  <c r="N300" i="1" s="1"/>
  <c r="N251" i="1"/>
  <c r="O252" i="1"/>
  <c r="O267" i="1"/>
  <c r="N267" i="1" s="1"/>
  <c r="N266" i="1"/>
  <c r="O258" i="1"/>
  <c r="N257" i="1"/>
  <c r="D242" i="1"/>
  <c r="F242" i="1" s="1"/>
  <c r="D241" i="1"/>
  <c r="F241" i="1" s="1"/>
  <c r="D240" i="1"/>
  <c r="F240" i="1" s="1"/>
  <c r="D238" i="1"/>
  <c r="F238" i="1" s="1"/>
  <c r="D237" i="1"/>
  <c r="F237" i="1" s="1"/>
  <c r="D236" i="1"/>
  <c r="F236" i="1" s="1"/>
  <c r="G235" i="1"/>
  <c r="D235" i="1"/>
  <c r="F235" i="1" s="1"/>
  <c r="D233" i="1"/>
  <c r="F233" i="1" s="1"/>
  <c r="D232" i="1"/>
  <c r="F232" i="1" s="1"/>
  <c r="D231" i="1"/>
  <c r="D230" i="1"/>
  <c r="D229" i="1"/>
  <c r="D228" i="1"/>
  <c r="D227" i="1"/>
  <c r="D226" i="1"/>
  <c r="D222" i="1"/>
  <c r="D221" i="1"/>
  <c r="D223" i="1"/>
  <c r="D220" i="1"/>
  <c r="D214" i="1"/>
  <c r="F214" i="1" s="1"/>
  <c r="D213" i="1"/>
  <c r="F213" i="1" s="1"/>
  <c r="D212" i="1"/>
  <c r="F212" i="1" s="1"/>
  <c r="D211" i="1"/>
  <c r="F211" i="1" s="1"/>
  <c r="G209" i="1"/>
  <c r="D209" i="1"/>
  <c r="F209" i="1" s="1"/>
  <c r="D207" i="1"/>
  <c r="D206" i="1"/>
  <c r="D205" i="1"/>
  <c r="D204" i="1"/>
  <c r="D203" i="1"/>
  <c r="D202" i="1"/>
  <c r="D198" i="1"/>
  <c r="D197" i="1"/>
  <c r="D196" i="1"/>
  <c r="D195" i="1"/>
  <c r="D191" i="1"/>
  <c r="F191" i="1" s="1"/>
  <c r="D190" i="1"/>
  <c r="F190" i="1" s="1"/>
  <c r="D189" i="1"/>
  <c r="F189" i="1" s="1"/>
  <c r="D188" i="1"/>
  <c r="G188" i="1"/>
  <c r="D172" i="1"/>
  <c r="D173" i="1"/>
  <c r="D174" i="1"/>
  <c r="D175" i="1"/>
  <c r="D176" i="1"/>
  <c r="D177" i="1"/>
  <c r="D178" i="1"/>
  <c r="F178" i="1" s="1"/>
  <c r="D179" i="1"/>
  <c r="F179" i="1" s="1"/>
  <c r="D180" i="1"/>
  <c r="F180" i="1" s="1"/>
  <c r="D181" i="1"/>
  <c r="F181" i="1" s="1"/>
  <c r="D182" i="1"/>
  <c r="F182" i="1" s="1"/>
  <c r="D171" i="1"/>
  <c r="P235" i="1"/>
  <c r="O235" i="1"/>
  <c r="P188" i="1"/>
  <c r="O188" i="1"/>
  <c r="P209" i="1"/>
  <c r="O209" i="1"/>
  <c r="F188" i="1" l="1"/>
  <c r="D158" i="1"/>
  <c r="D155" i="1"/>
  <c r="D159" i="1"/>
  <c r="N252" i="1"/>
  <c r="O253" i="1"/>
  <c r="N253" i="1" s="1"/>
  <c r="E159" i="1"/>
  <c r="O259" i="1"/>
  <c r="N258" i="1"/>
  <c r="E155" i="1"/>
  <c r="E158" i="1"/>
  <c r="P236" i="1"/>
  <c r="P237" i="1" s="1"/>
  <c r="P238" i="1" s="1"/>
  <c r="P240" i="1" s="1"/>
  <c r="P241" i="1" s="1"/>
  <c r="P242" i="1" s="1"/>
  <c r="N235" i="1"/>
  <c r="O236" i="1"/>
  <c r="P211" i="1"/>
  <c r="P212" i="1" s="1"/>
  <c r="P213" i="1" s="1"/>
  <c r="P214" i="1" s="1"/>
  <c r="N209" i="1"/>
  <c r="P189" i="1"/>
  <c r="P190" i="1" s="1"/>
  <c r="P191" i="1" s="1"/>
  <c r="N188" i="1"/>
  <c r="O189" i="1"/>
  <c r="C15" i="1"/>
  <c r="D163" i="1" l="1"/>
  <c r="D164" i="1" s="1"/>
  <c r="E163" i="1"/>
  <c r="E164" i="1" s="1"/>
  <c r="N259" i="1"/>
  <c r="O260" i="1"/>
  <c r="N236" i="1"/>
  <c r="O237" i="1"/>
  <c r="O211" i="1"/>
  <c r="N189" i="1"/>
  <c r="O190" i="1"/>
  <c r="E29" i="1"/>
  <c r="N260" i="1" l="1"/>
  <c r="O261" i="1"/>
  <c r="N237" i="1"/>
  <c r="O238" i="1"/>
  <c r="N211" i="1"/>
  <c r="O212" i="1"/>
  <c r="N190" i="1"/>
  <c r="O191" i="1"/>
  <c r="F231" i="1"/>
  <c r="F230" i="1"/>
  <c r="I230" i="1" s="1"/>
  <c r="F229" i="1"/>
  <c r="I229" i="1" s="1"/>
  <c r="F228" i="1"/>
  <c r="F227" i="1"/>
  <c r="F226" i="1"/>
  <c r="J226" i="1" s="1"/>
  <c r="F223" i="1"/>
  <c r="F222" i="1"/>
  <c r="F221" i="1"/>
  <c r="F220" i="1"/>
  <c r="F207" i="1"/>
  <c r="F206" i="1"/>
  <c r="F205" i="1"/>
  <c r="F204" i="1"/>
  <c r="J204" i="1" s="1"/>
  <c r="F203" i="1"/>
  <c r="J203" i="1" s="1"/>
  <c r="F202" i="1"/>
  <c r="F198" i="1"/>
  <c r="F196" i="1"/>
  <c r="F195" i="1"/>
  <c r="F197" i="1"/>
  <c r="G159" i="1" l="1"/>
  <c r="O262" i="1"/>
  <c r="N262" i="1" s="1"/>
  <c r="N261" i="1"/>
  <c r="G158" i="1"/>
  <c r="N238" i="1"/>
  <c r="O213" i="1"/>
  <c r="N212" i="1"/>
  <c r="N191" i="1"/>
  <c r="F172" i="1"/>
  <c r="F173" i="1"/>
  <c r="F174" i="1"/>
  <c r="F175" i="1"/>
  <c r="F176" i="1"/>
  <c r="F177" i="1"/>
  <c r="F171" i="1"/>
  <c r="P202" i="1"/>
  <c r="O202" i="1"/>
  <c r="G163" i="1" l="1"/>
  <c r="G155" i="1"/>
  <c r="G164" i="1" s="1"/>
  <c r="O240" i="1"/>
  <c r="N213" i="1"/>
  <c r="O214" i="1"/>
  <c r="N214" i="1" s="1"/>
  <c r="B376" i="1"/>
  <c r="B375" i="1"/>
  <c r="O220" i="1"/>
  <c r="N240" i="1" l="1"/>
  <c r="O241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00" i="1"/>
  <c r="A375" i="1"/>
  <c r="G226" i="1"/>
  <c r="G217" i="1"/>
  <c r="G202" i="1"/>
  <c r="G195" i="1"/>
  <c r="A196" i="1"/>
  <c r="A197" i="1" s="1"/>
  <c r="A198" i="1" s="1"/>
  <c r="A199" i="1" s="1"/>
  <c r="A200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G171" i="1"/>
  <c r="F152" i="1"/>
  <c r="J94" i="1"/>
  <c r="J93" i="1"/>
  <c r="J92" i="1"/>
  <c r="J91" i="1"/>
  <c r="J80" i="1"/>
  <c r="J79" i="1"/>
  <c r="J78" i="1"/>
  <c r="J77" i="1"/>
  <c r="C69" i="1"/>
  <c r="D63" i="1"/>
  <c r="G49" i="1"/>
  <c r="G50" i="1" s="1"/>
  <c r="C49" i="1"/>
  <c r="E42" i="1"/>
  <c r="E43" i="1" s="1"/>
  <c r="E26" i="1"/>
  <c r="E24" i="1"/>
  <c r="E8" i="1"/>
  <c r="E3" i="1"/>
  <c r="H70" i="1"/>
  <c r="P220" i="1"/>
  <c r="H84" i="1"/>
  <c r="P226" i="1"/>
  <c r="O226" i="1"/>
  <c r="N241" i="1" l="1"/>
  <c r="O242" i="1"/>
  <c r="N242" i="1" s="1"/>
  <c r="A376" i="1"/>
  <c r="D75" i="1"/>
  <c r="J73" i="1"/>
  <c r="D82" i="1"/>
  <c r="D80" i="1"/>
  <c r="D78" i="1"/>
  <c r="D76" i="1"/>
  <c r="J74" i="1"/>
  <c r="J72" i="1"/>
  <c r="J75" i="1"/>
  <c r="J76" i="1" s="1"/>
  <c r="D81" i="1"/>
  <c r="D77" i="1"/>
  <c r="D79" i="1"/>
  <c r="J89" i="1"/>
  <c r="D95" i="1"/>
  <c r="D93" i="1"/>
  <c r="D91" i="1"/>
  <c r="D89" i="1"/>
  <c r="J87" i="1"/>
  <c r="D96" i="1"/>
  <c r="J88" i="1"/>
  <c r="D87" i="1" s="1"/>
  <c r="D90" i="1"/>
  <c r="D92" i="1"/>
  <c r="D94" i="1"/>
  <c r="J86" i="1"/>
  <c r="N202" i="1"/>
  <c r="O203" i="1"/>
  <c r="N220" i="1"/>
  <c r="O221" i="1"/>
  <c r="P203" i="1"/>
  <c r="P206" i="1" s="1"/>
  <c r="P207" i="1" s="1"/>
  <c r="P221" i="1"/>
  <c r="P222" i="1" s="1"/>
  <c r="P223" i="1" s="1"/>
  <c r="P224" i="1" s="1"/>
  <c r="P227" i="1"/>
  <c r="P228" i="1" s="1"/>
  <c r="P229" i="1" s="1"/>
  <c r="P230" i="1" s="1"/>
  <c r="P231" i="1" s="1"/>
  <c r="P232" i="1" s="1"/>
  <c r="P233" i="1" s="1"/>
  <c r="N226" i="1"/>
  <c r="O227" i="1"/>
  <c r="H126" i="1"/>
  <c r="D138" i="1" l="1"/>
  <c r="D134" i="1"/>
  <c r="J131" i="1"/>
  <c r="D129" i="1"/>
  <c r="D135" i="1"/>
  <c r="D131" i="1"/>
  <c r="J128" i="1"/>
  <c r="D137" i="1"/>
  <c r="J130" i="1"/>
  <c r="D133" i="1"/>
  <c r="D136" i="1"/>
  <c r="D132" i="1"/>
  <c r="J129" i="1"/>
  <c r="J90" i="1"/>
  <c r="J95" i="1" s="1"/>
  <c r="J96" i="1" s="1"/>
  <c r="C88" i="1" s="1"/>
  <c r="E87" i="1" s="1"/>
  <c r="J81" i="1"/>
  <c r="J82" i="1" s="1"/>
  <c r="C74" i="1" s="1"/>
  <c r="D74" i="1" s="1"/>
  <c r="D73" i="1"/>
  <c r="A377" i="1"/>
  <c r="A378" i="1" s="1"/>
  <c r="A379" i="1" s="1"/>
  <c r="A380" i="1" s="1"/>
  <c r="A381" i="1" s="1"/>
  <c r="A382" i="1" s="1"/>
  <c r="N227" i="1"/>
  <c r="O228" i="1"/>
  <c r="N221" i="1"/>
  <c r="O222" i="1"/>
  <c r="N203" i="1"/>
  <c r="H112" i="1"/>
  <c r="J132" i="1" l="1"/>
  <c r="J137" i="1" s="1"/>
  <c r="D124" i="1"/>
  <c r="D120" i="1"/>
  <c r="J117" i="1"/>
  <c r="J118" i="1" s="1"/>
  <c r="J123" i="1" s="1"/>
  <c r="J124" i="1" s="1"/>
  <c r="C116" i="1" s="1"/>
  <c r="D115" i="1"/>
  <c r="D117" i="1"/>
  <c r="D119" i="1"/>
  <c r="J114" i="1"/>
  <c r="D123" i="1"/>
  <c r="J116" i="1"/>
  <c r="D122" i="1"/>
  <c r="J115" i="1"/>
  <c r="D121" i="1"/>
  <c r="D118" i="1"/>
  <c r="A384" i="1"/>
  <c r="G73" i="1"/>
  <c r="D67" i="1" s="1"/>
  <c r="D68" i="1" s="1"/>
  <c r="E73" i="1"/>
  <c r="I69" i="1" s="1"/>
  <c r="C71" i="1" s="1"/>
  <c r="G87" i="1"/>
  <c r="D88" i="1"/>
  <c r="I83" i="1"/>
  <c r="C85" i="1" s="1"/>
  <c r="N222" i="1"/>
  <c r="O223" i="1"/>
  <c r="O224" i="1" s="1"/>
  <c r="N224" i="1" s="1"/>
  <c r="N228" i="1"/>
  <c r="O229" i="1"/>
  <c r="J138" i="1" l="1"/>
  <c r="C130" i="1" s="1"/>
  <c r="E129" i="1" s="1"/>
  <c r="I125" i="1" s="1"/>
  <c r="C127" i="1" s="1"/>
  <c r="E115" i="1"/>
  <c r="I111" i="1" s="1"/>
  <c r="C113" i="1" s="1"/>
  <c r="D116" i="1"/>
  <c r="G115" i="1"/>
  <c r="F68" i="1"/>
  <c r="N229" i="1"/>
  <c r="O230" i="1"/>
  <c r="O206" i="1"/>
  <c r="N223" i="1"/>
  <c r="H98" i="1"/>
  <c r="G129" i="1" l="1"/>
  <c r="D130" i="1"/>
  <c r="J103" i="1"/>
  <c r="J104" i="1" s="1"/>
  <c r="J109" i="1" s="1"/>
  <c r="J110" i="1" s="1"/>
  <c r="C102" i="1" s="1"/>
  <c r="D101" i="1"/>
  <c r="D109" i="1"/>
  <c r="D107" i="1"/>
  <c r="D105" i="1"/>
  <c r="D103" i="1"/>
  <c r="J101" i="1"/>
  <c r="J100" i="1"/>
  <c r="J102" i="1"/>
  <c r="D110" i="1"/>
  <c r="D108" i="1"/>
  <c r="D106" i="1"/>
  <c r="D104" i="1"/>
  <c r="N206" i="1"/>
  <c r="O207" i="1"/>
  <c r="N207" i="1" s="1"/>
  <c r="N230" i="1"/>
  <c r="O231" i="1"/>
  <c r="E101" i="1" l="1"/>
  <c r="I97" i="1" s="1"/>
  <c r="C99" i="1" s="1"/>
  <c r="G101" i="1"/>
  <c r="D102" i="1"/>
  <c r="N231" i="1"/>
  <c r="O232" i="1"/>
  <c r="N232" i="1" l="1"/>
  <c r="O233" i="1"/>
  <c r="N233" i="1" s="1"/>
</calcChain>
</file>

<file path=xl/sharedStrings.xml><?xml version="1.0" encoding="utf-8"?>
<sst xmlns="http://schemas.openxmlformats.org/spreadsheetml/2006/main" count="647" uniqueCount="260">
  <si>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</si>
  <si>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</si>
  <si>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</si>
  <si>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</si>
  <si>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</si>
  <si>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</si>
  <si>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</si>
  <si>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</si>
  <si>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</si>
  <si>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</si>
  <si>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</si>
  <si>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</si>
  <si>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</si>
  <si>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</si>
  <si>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</si>
  <si>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</si>
  <si>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</si>
  <si>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</si>
  <si>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</si>
  <si>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</si>
  <si>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</si>
  <si>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</si>
  <si>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</si>
  <si>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</si>
  <si>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</si>
  <si>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</si>
  <si>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</si>
  <si>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</si>
  <si>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</si>
  <si>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</si>
  <si>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</si>
  <si>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</si>
  <si>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</si>
  <si>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</si>
  <si>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</si>
  <si>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</si>
  <si>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</si>
  <si>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</si>
  <si>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</si>
  <si>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</si>
  <si>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</si>
  <si>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</si>
  <si>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</si>
  <si>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</si>
  <si>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</si>
  <si>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</si>
  <si>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</si>
  <si>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</si>
  <si>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</si>
  <si>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</si>
  <si>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</si>
  <si>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</si>
  <si>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</si>
  <si>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</si>
  <si>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</si>
  <si>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</si>
  <si>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</si>
  <si>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</si>
  <si>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</si>
  <si>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</si>
  <si>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</si>
  <si>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</si>
  <si>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</si>
  <si>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</si>
  <si>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</si>
  <si>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</si>
  <si>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</si>
  <si>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</si>
  <si>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</si>
  <si>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</si>
  <si>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</si>
  <si>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</si>
  <si>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</si>
  <si>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</si>
  <si>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</si>
  <si>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</si>
  <si>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</si>
  <si>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</si>
  <si>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</si>
  <si>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</si>
  <si>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</si>
  <si>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</si>
  <si>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</si>
  <si>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</si>
  <si>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</si>
  <si>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</si>
  <si>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</si>
  <si>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</si>
  <si>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</si>
  <si>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</si>
  <si>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</si>
  <si>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</si>
  <si>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</si>
  <si>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</si>
  <si>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</si>
  <si>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</si>
  <si>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</si>
  <si>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</si>
  <si>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</si>
  <si>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</si>
  <si>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</si>
  <si>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</si>
  <si>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</si>
  <si>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</si>
  <si>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</si>
  <si>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</si>
  <si>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</si>
  <si>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</si>
  <si>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</si>
  <si>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</si>
  <si>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</si>
  <si>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</si>
  <si>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</si>
  <si>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</si>
  <si>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</si>
  <si>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</si>
  <si>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</si>
  <si>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</si>
  <si>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</si>
  <si>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</si>
  <si>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</si>
  <si>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</si>
  <si>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</si>
  <si>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</si>
  <si>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</si>
  <si>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</si>
  <si>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</si>
  <si>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</si>
  <si>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</si>
  <si>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</si>
  <si>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</si>
  <si>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</si>
  <si>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</si>
  <si>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</si>
  <si>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</si>
  <si>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</si>
  <si>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</si>
  <si>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</si>
  <si>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</si>
  <si>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</si>
  <si>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</si>
  <si>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</si>
  <si>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</si>
  <si>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</si>
  <si>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</si>
  <si>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</si>
  <si>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</si>
  <si>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</si>
  <si>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</si>
  <si>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</si>
  <si>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</si>
  <si>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</si>
  <si>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</si>
  <si>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</si>
  <si>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</si>
  <si>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</si>
  <si>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</si>
  <si>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</si>
  <si>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</si>
  <si>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</si>
  <si>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</si>
  <si>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</si>
  <si>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</si>
  <si>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</si>
  <si>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</si>
  <si>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</si>
  <si>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Ground Floor for Commercial &amp; Parking</t>
  </si>
  <si>
    <t>Shop Line</t>
  </si>
  <si>
    <t>Shop</t>
  </si>
  <si>
    <t>1st &amp; 2nd Floor for Residential &amp; Parking</t>
  </si>
  <si>
    <t>2BHK</t>
  </si>
  <si>
    <t>3BHK</t>
  </si>
  <si>
    <t>A Wing (Camellias)</t>
  </si>
  <si>
    <t>Society Office</t>
  </si>
  <si>
    <t>Creche</t>
  </si>
  <si>
    <t>4th to 7th, 9th to 12th, 14th to 17th, 19th to 22nd, 24th to 27th &amp; 29th Floor</t>
  </si>
  <si>
    <t>8th, 13th, 18th, 23rd &amp; 28th Floor (Part Refuge Area)</t>
  </si>
  <si>
    <t>B Wing (Iris)</t>
  </si>
  <si>
    <t>1st, 2nd &amp; 3rd Floor for Residential &amp; Parking</t>
  </si>
  <si>
    <t>1BHK</t>
  </si>
  <si>
    <t>4th to 7th, 9th to 12th, 14th to 17th &amp; 19th to 22nd Floor</t>
  </si>
  <si>
    <t>8th, 13th &amp; 18th Floor (Part Refuge Area)</t>
  </si>
  <si>
    <t>Survey No</t>
  </si>
  <si>
    <t>Rohinjan</t>
  </si>
  <si>
    <t>Raigad</t>
  </si>
  <si>
    <t>Panvel</t>
  </si>
  <si>
    <t>Taloja west</t>
  </si>
  <si>
    <t>Pisarve road</t>
  </si>
  <si>
    <t xml:space="preserve">Ekvira apartment </t>
  </si>
  <si>
    <t>Open land</t>
  </si>
  <si>
    <t>Turbhe rohinjan road</t>
  </si>
  <si>
    <t>Panvel Municipal Corporation (PMC)</t>
  </si>
  <si>
    <t>PMP/NRV/16030/JK-1906/2021</t>
  </si>
  <si>
    <t>We considered Gross carpet area = Net carpet + Balcony.</t>
  </si>
  <si>
    <t>M/s.Mahaavir Superstructures Private Limited</t>
  </si>
  <si>
    <t>19/1, 20, 24/A/8/B</t>
  </si>
  <si>
    <t>Ekvira apartment</t>
  </si>
  <si>
    <t>4,00,000/-</t>
  </si>
  <si>
    <t>25/- from 2nd Floor</t>
  </si>
  <si>
    <t>1.Vitrified tiles flooring 2. Granite Kitchen Platform 3. Decorative Enternace etc.</t>
  </si>
  <si>
    <t>Location Link</t>
  </si>
  <si>
    <t>https://goo.gl/maps/SY5LzJwJ3ZkiAQXM9</t>
  </si>
  <si>
    <t>C Wing (Jasmine)</t>
  </si>
  <si>
    <t>Ground Floor for Parking</t>
  </si>
  <si>
    <t>We have updated revised approved floor plan &amp; C.C for C wing (on 13/04/2023).</t>
  </si>
  <si>
    <t>On Site, we meet Mr. sachin - 9004674069.</t>
  </si>
  <si>
    <t>Bank Name:</t>
  </si>
  <si>
    <t xml:space="preserve">Commencement Certificate No.
Valid Up to:  </t>
  </si>
  <si>
    <t>Sunil Peravi</t>
  </si>
  <si>
    <t>Site Person - Contact Details ( Name &amp; Contact No.)</t>
  </si>
  <si>
    <t>Office No. 1031, Wing J, Akshar Business Park, Plot No. 03 Sector 25, Near APMC Market, Vashi, 
Navi Mumbai, Maharashtra 400703 TEL: 022-46090378/79/80
E mail : vsjcapf@gmail.com. Web site : www.vsjadon.com</t>
  </si>
  <si>
    <t>Axis Bank</t>
  </si>
  <si>
    <t>Axis Sanpada</t>
  </si>
  <si>
    <t xml:space="preserve">Approved Plans, CC, Sale Plans, Cost Sheet.
</t>
  </si>
  <si>
    <t>7400 to 8400</t>
  </si>
  <si>
    <t>Viraj</t>
  </si>
  <si>
    <t>Mahaavir Exotique Phase I &amp; II</t>
  </si>
  <si>
    <t>Phase  I = P52000031173
Phase II = P52000053208</t>
  </si>
  <si>
    <t>Latitude,Longitude</t>
  </si>
  <si>
    <t>19.092582,73.080321</t>
  </si>
  <si>
    <t>PMC/TP/Rohinjan/19/1,20,24/A/8/B/
16030/1906/2021</t>
  </si>
  <si>
    <t>D Wing (Lilac)</t>
  </si>
  <si>
    <t>E Wing (Marigold)</t>
  </si>
  <si>
    <t>-</t>
  </si>
  <si>
    <t>Parking</t>
  </si>
  <si>
    <t>1st, 2nd Floor for Residential &amp; Parking</t>
  </si>
  <si>
    <t>3rd Floor For Residential, Society Office &amp; Creche &amp; Parking</t>
  </si>
  <si>
    <t>Refuge Area</t>
  </si>
  <si>
    <t>F Wing</t>
  </si>
  <si>
    <t>3rd Floor For Residential, Society Office, Creche &amp; Amenities</t>
  </si>
  <si>
    <t>Amenities</t>
  </si>
  <si>
    <t>Layout :</t>
  </si>
  <si>
    <t>Grand Total</t>
  </si>
  <si>
    <t>Flats - 807, Shops - 12</t>
  </si>
  <si>
    <t>Mr. Mithilesh Pandey 9987688867</t>
  </si>
  <si>
    <t>Wing A (Camellias)
Wing B (Iris)
Wing C (Jasmine)
Wing D (Lilac)
Wing E (Marigold)</t>
  </si>
  <si>
    <t>05 Wings</t>
  </si>
  <si>
    <t>Wing A (Camellias) = G/St + 1st to 29th Upper Floor
Wing B (Iris) = G/St + 1st to 22nd Upper Floor
Wing C (Jasmine) = G/St + 1st to 22nd Upper Floor
Wing D (Lilac) = G/St + 1st to 22nd Upper Floor
Wing E (Marigold) = G/St + 1st to 22nd Upper Floor</t>
  </si>
  <si>
    <t>Wing A (Camellias) = G/St + 1st to 29th Upper Floor</t>
  </si>
  <si>
    <t>Wing B (Iris) = G/St + 1st to 22nd Upper Floor</t>
  </si>
  <si>
    <t>Wing C (Jasmine) = G/St + 1st to 22nd Upper Floor</t>
  </si>
  <si>
    <t>Wing D (Lilac) = G/St + 1st to 22nd Upper Floor</t>
  </si>
  <si>
    <t>Wing E (Marigold) = G/St + 1st to 22nd Upper Floor</t>
  </si>
  <si>
    <t>2.40 Km from Taloja Panchnand Railway Station</t>
  </si>
  <si>
    <t>We have updated Wing D &amp; E (On 20/04/2024).</t>
  </si>
  <si>
    <t>S. No. 24A/4</t>
  </si>
  <si>
    <t>15.00 M. Wide Road</t>
  </si>
  <si>
    <t>S. No. 25/1</t>
  </si>
  <si>
    <t>S. No. 24A/8</t>
  </si>
  <si>
    <t>Building No. A  = G/St + 1st to 29th Upper Floor
Building No. B, C, D, E  = G/St + 1st to 22nd Upper Floor</t>
  </si>
  <si>
    <t>Wing F is Same as Wing D 20/04/2024</t>
  </si>
  <si>
    <t>Project consist of A to F Wings but on RERA only A to E Wings are registered.</t>
  </si>
  <si>
    <t>Flat numbering is given as per the sale plan, which is provided by the bank officials on mail for Building No. B, C, &amp; E for 1st to 3rd floor.</t>
  </si>
  <si>
    <t>As per RERA - Phase I = 31/12/2026
                         Phase II = 31/12/2027</t>
  </si>
  <si>
    <t>Mr. Somnath 9702108280</t>
  </si>
  <si>
    <t>8400 to 8600 by viraj on 25/06/2025</t>
  </si>
  <si>
    <t>Recommended Rates/Other Charges of the Property have been revised on 30/12/2023 &amp; 25/06/2025.</t>
  </si>
  <si>
    <t>As per site meet person, on 10/09/2025 plinth slab construction is wrong thefore it dimolished</t>
  </si>
  <si>
    <t>Pranita Mhatre</t>
  </si>
  <si>
    <t>Wing A to D = Construction work is in process at the time of Visit. (Internal photos was not allowed.)
Wing E = Plinth slab demolishing work is in the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</si>
</sst>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5" fillId="3" borderId="0" xfId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25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23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23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399</xdr:row>
      <xdr:rowOff>171450</xdr:rowOff>
    </xdr:from>
    <xdr:to>
      <xdr:col>8</xdr:col>
      <xdr:colOff>1019175</xdr:colOff>
      <xdr:row>401</xdr:row>
      <xdr:rowOff>28575</xdr:rowOff>
    </xdr:to>
    <xdr:sp macro="" textlink="">
      <xdr:nvSpPr>
        <xdr:cNvPr id="4" name="TextBox 3"/>
        <xdr:cNvSpPr txBox="1"/>
      </xdr:nvSpPr>
      <xdr:spPr>
        <a:xfrm>
          <a:off x="7248525" y="51844575"/>
          <a:ext cx="2952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8</xdr:col>
      <xdr:colOff>587402</xdr:colOff>
      <xdr:row>401</xdr:row>
      <xdr:rowOff>136525</xdr:rowOff>
    </xdr:from>
    <xdr:to>
      <xdr:col>8</xdr:col>
      <xdr:colOff>882677</xdr:colOff>
      <xdr:row>403</xdr:row>
      <xdr:rowOff>3175</xdr:rowOff>
    </xdr:to>
    <xdr:sp macro="" textlink="">
      <xdr:nvSpPr>
        <xdr:cNvPr id="54" name="TextBox 53"/>
        <xdr:cNvSpPr txBox="1"/>
      </xdr:nvSpPr>
      <xdr:spPr>
        <a:xfrm>
          <a:off x="7112027" y="52209700"/>
          <a:ext cx="2952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</a:t>
          </a:r>
        </a:p>
      </xdr:txBody>
    </xdr:sp>
    <xdr:clientData/>
  </xdr:twoCellAnchor>
  <xdr:twoCellAnchor>
    <xdr:from>
      <xdr:col>0</xdr:col>
      <xdr:colOff>390524</xdr:colOff>
      <xdr:row>447</xdr:row>
      <xdr:rowOff>19050</xdr:rowOff>
    </xdr:from>
    <xdr:to>
      <xdr:col>7</xdr:col>
      <xdr:colOff>819149</xdr:colOff>
      <xdr:row>481</xdr:row>
      <xdr:rowOff>142875</xdr:rowOff>
    </xdr:to>
    <xdr:grpSp>
      <xdr:nvGrpSpPr>
        <xdr:cNvPr id="53" name="Group 52"/>
        <xdr:cNvGrpSpPr/>
      </xdr:nvGrpSpPr>
      <xdr:grpSpPr>
        <a:xfrm>
          <a:off x="390524" y="86963250"/>
          <a:ext cx="6124575" cy="6924675"/>
          <a:chOff x="387649" y="274337"/>
          <a:chExt cx="6120000" cy="7123857"/>
        </a:xfrm>
      </xdr:grpSpPr>
      <xdr:grpSp>
        <xdr:nvGrpSpPr>
          <xdr:cNvPr id="56" name="Group 55"/>
          <xdr:cNvGrpSpPr/>
        </xdr:nvGrpSpPr>
        <xdr:grpSpPr>
          <a:xfrm>
            <a:off x="387649" y="274337"/>
            <a:ext cx="6120000" cy="4225714"/>
            <a:chOff x="387649" y="274337"/>
            <a:chExt cx="6120000" cy="4225714"/>
          </a:xfrm>
        </xdr:grpSpPr>
        <xdr:pic>
          <xdr:nvPicPr>
            <xdr:cNvPr id="58" name="Picture 57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87649" y="274337"/>
              <a:ext cx="6120000" cy="422571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9" name="Rectangle 58"/>
            <xdr:cNvSpPr/>
          </xdr:nvSpPr>
          <xdr:spPr>
            <a:xfrm>
              <a:off x="4290060" y="960120"/>
              <a:ext cx="830580" cy="8382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0" name="Rectangle 59"/>
            <xdr:cNvSpPr/>
          </xdr:nvSpPr>
          <xdr:spPr>
            <a:xfrm>
              <a:off x="4806354" y="2293620"/>
              <a:ext cx="832445" cy="6096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1" name="Rectangle 60"/>
            <xdr:cNvSpPr/>
          </xdr:nvSpPr>
          <xdr:spPr>
            <a:xfrm>
              <a:off x="3960367" y="2293620"/>
              <a:ext cx="832443" cy="6096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3162300" y="2293620"/>
              <a:ext cx="784522" cy="6096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3" name="Rectangle 62"/>
            <xdr:cNvSpPr/>
          </xdr:nvSpPr>
          <xdr:spPr>
            <a:xfrm>
              <a:off x="2306997" y="2293620"/>
              <a:ext cx="841757" cy="6096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4" name="Rectangle 63"/>
            <xdr:cNvSpPr/>
          </xdr:nvSpPr>
          <xdr:spPr>
            <a:xfrm>
              <a:off x="1447631" y="2293620"/>
              <a:ext cx="845820" cy="6096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5" name="TextBox 8"/>
            <xdr:cNvSpPr txBox="1"/>
          </xdr:nvSpPr>
          <xdr:spPr>
            <a:xfrm>
              <a:off x="4342863" y="652343"/>
              <a:ext cx="777777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A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6" name="TextBox 9"/>
            <xdr:cNvSpPr txBox="1"/>
          </xdr:nvSpPr>
          <xdr:spPr>
            <a:xfrm>
              <a:off x="1481652" y="2920662"/>
              <a:ext cx="750526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F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7" name="TextBox 10"/>
            <xdr:cNvSpPr txBox="1"/>
          </xdr:nvSpPr>
          <xdr:spPr>
            <a:xfrm>
              <a:off x="2337934" y="2003207"/>
              <a:ext cx="756938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E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8" name="TextBox 11"/>
            <xdr:cNvSpPr txBox="1"/>
          </xdr:nvSpPr>
          <xdr:spPr>
            <a:xfrm>
              <a:off x="3189393" y="2920662"/>
              <a:ext cx="782587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D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9" name="TextBox 12"/>
            <xdr:cNvSpPr txBox="1"/>
          </xdr:nvSpPr>
          <xdr:spPr>
            <a:xfrm>
              <a:off x="3998257" y="2003208"/>
              <a:ext cx="763351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C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70" name="TextBox 13"/>
            <xdr:cNvSpPr txBox="1"/>
          </xdr:nvSpPr>
          <xdr:spPr>
            <a:xfrm>
              <a:off x="4897134" y="2920662"/>
              <a:ext cx="769763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B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</xdr:grpSp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27649" y="4647113"/>
            <a:ext cx="3240000" cy="275108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</xdr:col>
      <xdr:colOff>368406</xdr:colOff>
      <xdr:row>485</xdr:row>
      <xdr:rowOff>44824</xdr:rowOff>
    </xdr:from>
    <xdr:to>
      <xdr:col>7</xdr:col>
      <xdr:colOff>56669</xdr:colOff>
      <xdr:row>502</xdr:row>
      <xdr:rowOff>186338</xdr:rowOff>
    </xdr:to>
    <xdr:pic>
      <xdr:nvPicPr>
        <xdr:cNvPr id="71" name="Picture 70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0406" y="93782030"/>
          <a:ext cx="4630057" cy="35705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448235</xdr:colOff>
      <xdr:row>503</xdr:row>
      <xdr:rowOff>142474</xdr:rowOff>
    </xdr:from>
    <xdr:to>
      <xdr:col>7</xdr:col>
      <xdr:colOff>738841</xdr:colOff>
      <xdr:row>523</xdr:row>
      <xdr:rowOff>99786</xdr:rowOff>
    </xdr:to>
    <xdr:grpSp>
      <xdr:nvGrpSpPr>
        <xdr:cNvPr id="72" name="Group 71"/>
        <xdr:cNvGrpSpPr/>
      </xdr:nvGrpSpPr>
      <xdr:grpSpPr>
        <a:xfrm>
          <a:off x="448235" y="98288074"/>
          <a:ext cx="5986556" cy="3957812"/>
          <a:chOff x="311150" y="3999592"/>
          <a:chExt cx="5994400" cy="3991429"/>
        </a:xfrm>
      </xdr:grpSpPr>
      <xdr:pic>
        <xdr:nvPicPr>
          <xdr:cNvPr id="73" name="Picture 72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11150" y="3999592"/>
            <a:ext cx="5994400" cy="399142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4" name="Rectangle 73"/>
          <xdr:cNvSpPr/>
        </xdr:nvSpPr>
        <xdr:spPr>
          <a:xfrm rot="1672584">
            <a:off x="1841858" y="5124039"/>
            <a:ext cx="2932981" cy="1742535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8</xdr:col>
      <xdr:colOff>723900</xdr:colOff>
      <xdr:row>436</xdr:row>
      <xdr:rowOff>171450</xdr:rowOff>
    </xdr:from>
    <xdr:to>
      <xdr:col>8</xdr:col>
      <xdr:colOff>1019175</xdr:colOff>
      <xdr:row>438</xdr:row>
      <xdr:rowOff>28575</xdr:rowOff>
    </xdr:to>
    <xdr:sp macro="" textlink="">
      <xdr:nvSpPr>
        <xdr:cNvPr id="33" name="TextBox 32"/>
        <xdr:cNvSpPr txBox="1"/>
      </xdr:nvSpPr>
      <xdr:spPr>
        <a:xfrm>
          <a:off x="7975600" y="77063600"/>
          <a:ext cx="2952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8</xdr:col>
      <xdr:colOff>587402</xdr:colOff>
      <xdr:row>438</xdr:row>
      <xdr:rowOff>136525</xdr:rowOff>
    </xdr:from>
    <xdr:to>
      <xdr:col>8</xdr:col>
      <xdr:colOff>882677</xdr:colOff>
      <xdr:row>445</xdr:row>
      <xdr:rowOff>0</xdr:rowOff>
    </xdr:to>
    <xdr:sp macro="" textlink="">
      <xdr:nvSpPr>
        <xdr:cNvPr id="34" name="TextBox 33"/>
        <xdr:cNvSpPr txBox="1"/>
      </xdr:nvSpPr>
      <xdr:spPr>
        <a:xfrm>
          <a:off x="7839102" y="77422375"/>
          <a:ext cx="295275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</a:t>
          </a:r>
        </a:p>
      </xdr:txBody>
    </xdr:sp>
    <xdr:clientData/>
  </xdr:twoCellAnchor>
  <xdr:twoCellAnchor>
    <xdr:from>
      <xdr:col>10</xdr:col>
      <xdr:colOff>302223</xdr:colOff>
      <xdr:row>438</xdr:row>
      <xdr:rowOff>136525</xdr:rowOff>
    </xdr:from>
    <xdr:to>
      <xdr:col>10</xdr:col>
      <xdr:colOff>597498</xdr:colOff>
      <xdr:row>445</xdr:row>
      <xdr:rowOff>0</xdr:rowOff>
    </xdr:to>
    <xdr:sp macro="" textlink="">
      <xdr:nvSpPr>
        <xdr:cNvPr id="35" name="TextBox 34"/>
        <xdr:cNvSpPr txBox="1"/>
      </xdr:nvSpPr>
      <xdr:spPr>
        <a:xfrm>
          <a:off x="9573223" y="77422375"/>
          <a:ext cx="295275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</a:t>
          </a:r>
        </a:p>
      </xdr:txBody>
    </xdr:sp>
    <xdr:clientData/>
  </xdr:twoCellAnchor>
  <xdr:twoCellAnchor editAs="oneCell">
    <xdr:from>
      <xdr:col>16</xdr:col>
      <xdr:colOff>59909</xdr:colOff>
      <xdr:row>445</xdr:row>
      <xdr:rowOff>0</xdr:rowOff>
    </xdr:from>
    <xdr:to>
      <xdr:col>18</xdr:col>
      <xdr:colOff>382822</xdr:colOff>
      <xdr:row>455</xdr:row>
      <xdr:rowOff>172450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9384" y="90852702"/>
          <a:ext cx="1542113" cy="2175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59909</xdr:colOff>
      <xdr:row>445</xdr:row>
      <xdr:rowOff>0</xdr:rowOff>
    </xdr:from>
    <xdr:to>
      <xdr:col>20</xdr:col>
      <xdr:colOff>384542</xdr:colOff>
      <xdr:row>455</xdr:row>
      <xdr:rowOff>188325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9384" y="88536501"/>
          <a:ext cx="2763033" cy="21917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78960</xdr:colOff>
      <xdr:row>445</xdr:row>
      <xdr:rowOff>0</xdr:rowOff>
    </xdr:from>
    <xdr:to>
      <xdr:col>20</xdr:col>
      <xdr:colOff>403593</xdr:colOff>
      <xdr:row>455</xdr:row>
      <xdr:rowOff>191500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8435" y="86226650"/>
          <a:ext cx="276303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165101</xdr:colOff>
      <xdr:row>445</xdr:row>
      <xdr:rowOff>0</xdr:rowOff>
    </xdr:from>
    <xdr:to>
      <xdr:col>12</xdr:col>
      <xdr:colOff>753259</xdr:colOff>
      <xdr:row>455</xdr:row>
      <xdr:rowOff>191500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42301" y="86217125"/>
          <a:ext cx="2759858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585920</xdr:colOff>
      <xdr:row>445</xdr:row>
      <xdr:rowOff>0</xdr:rowOff>
    </xdr:from>
    <xdr:to>
      <xdr:col>12</xdr:col>
      <xdr:colOff>753258</xdr:colOff>
      <xdr:row>455</xdr:row>
      <xdr:rowOff>172450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5120" y="90852702"/>
          <a:ext cx="1577038" cy="2175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679450</xdr:colOff>
      <xdr:row>444</xdr:row>
      <xdr:rowOff>190500</xdr:rowOff>
    </xdr:from>
    <xdr:to>
      <xdr:col>16</xdr:col>
      <xdr:colOff>477033</xdr:colOff>
      <xdr:row>455</xdr:row>
      <xdr:rowOff>178800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6650" y="86134575"/>
          <a:ext cx="2759858" cy="218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723900</xdr:colOff>
      <xdr:row>444</xdr:row>
      <xdr:rowOff>171450</xdr:rowOff>
    </xdr:from>
    <xdr:to>
      <xdr:col>8</xdr:col>
      <xdr:colOff>1019175</xdr:colOff>
      <xdr:row>445</xdr:row>
      <xdr:rowOff>0</xdr:rowOff>
    </xdr:to>
    <xdr:sp macro="" textlink="">
      <xdr:nvSpPr>
        <xdr:cNvPr id="102" name="TextBox 101"/>
        <xdr:cNvSpPr txBox="1"/>
      </xdr:nvSpPr>
      <xdr:spPr>
        <a:xfrm>
          <a:off x="7975600" y="83356450"/>
          <a:ext cx="2952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8</xdr:col>
      <xdr:colOff>283911</xdr:colOff>
      <xdr:row>397</xdr:row>
      <xdr:rowOff>187859</xdr:rowOff>
    </xdr:from>
    <xdr:to>
      <xdr:col>20</xdr:col>
      <xdr:colOff>480413</xdr:colOff>
      <xdr:row>437</xdr:row>
      <xdr:rowOff>71385</xdr:rowOff>
    </xdr:to>
    <xdr:grpSp>
      <xdr:nvGrpSpPr>
        <xdr:cNvPr id="5" name="Group 4"/>
        <xdr:cNvGrpSpPr/>
      </xdr:nvGrpSpPr>
      <xdr:grpSpPr>
        <a:xfrm>
          <a:off x="7199061" y="77149859"/>
          <a:ext cx="6759227" cy="7875001"/>
          <a:chOff x="85725" y="77200124"/>
          <a:chExt cx="6734175" cy="7875001"/>
        </a:xfrm>
      </xdr:grpSpPr>
      <xdr:grpSp>
        <xdr:nvGrpSpPr>
          <xdr:cNvPr id="3" name="Group 2"/>
          <xdr:cNvGrpSpPr/>
        </xdr:nvGrpSpPr>
        <xdr:grpSpPr>
          <a:xfrm>
            <a:off x="85725" y="77200124"/>
            <a:ext cx="6734175" cy="7875001"/>
            <a:chOff x="85725" y="77200124"/>
            <a:chExt cx="6734175" cy="7875001"/>
          </a:xfrm>
        </xdr:grpSpPr>
        <xdr:pic>
          <xdr:nvPicPr>
            <xdr:cNvPr id="82" name="Picture 81" descr="https://vsjcllp.vsjadon.com/upload/insp-236383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53000" y="8290560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3" name="Picture 82" descr="https://vsjcllp.vsjadon.com/upload/insp-236383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725" y="77200124"/>
              <a:ext cx="2190750" cy="292404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5" name="Picture 84" descr="https://vsjcllp.vsjadon.com/upload/insp-236383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52675" y="77200124"/>
              <a:ext cx="2190750" cy="292404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6" name="Picture 85" descr="https://vsjcllp.vsjadon.com/upload/insp-236383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275" y="82910362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" name="Picture 86" descr="https://vsjcllp.vsjadon.com/upload/insp-236383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29150" y="77200124"/>
              <a:ext cx="2190750" cy="292404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8" name="Picture 87" descr="https://vsjcllp.vsjadon.com/upload/insp-236383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7225" y="80210025"/>
              <a:ext cx="1951781" cy="26050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0" name="Picture 89" descr="https://vsjcllp.vsjadon.com/upload/insp-236383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86050" y="80214787"/>
              <a:ext cx="3470234" cy="26050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1" name="Picture 90" descr="https://vsjcllp.vsjadon.com/upload/insp-236383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48025" y="82915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93" name="TextBox 92"/>
          <xdr:cNvSpPr txBox="1"/>
        </xdr:nvSpPr>
        <xdr:spPr>
          <a:xfrm>
            <a:off x="1425261" y="77390663"/>
            <a:ext cx="570757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106" name="TextBox 105"/>
          <xdr:cNvSpPr txBox="1"/>
        </xdr:nvSpPr>
        <xdr:spPr>
          <a:xfrm>
            <a:off x="5553075" y="77200124"/>
            <a:ext cx="570757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107" name="TextBox 106"/>
          <xdr:cNvSpPr txBox="1"/>
        </xdr:nvSpPr>
        <xdr:spPr>
          <a:xfrm>
            <a:off x="3762375" y="77247749"/>
            <a:ext cx="570757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108" name="TextBox 107"/>
          <xdr:cNvSpPr txBox="1"/>
        </xdr:nvSpPr>
        <xdr:spPr>
          <a:xfrm>
            <a:off x="962025" y="80238599"/>
            <a:ext cx="570757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109" name="TextBox 108"/>
          <xdr:cNvSpPr txBox="1"/>
        </xdr:nvSpPr>
        <xdr:spPr>
          <a:xfrm>
            <a:off x="3295650" y="80267174"/>
            <a:ext cx="570757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</xdr:grpSp>
    <xdr:clientData/>
  </xdr:twoCellAnchor>
  <xdr:twoCellAnchor>
    <xdr:from>
      <xdr:col>8</xdr:col>
      <xdr:colOff>582456</xdr:colOff>
      <xdr:row>397</xdr:row>
      <xdr:rowOff>126547</xdr:rowOff>
    </xdr:from>
    <xdr:to>
      <xdr:col>8</xdr:col>
      <xdr:colOff>1158360</xdr:colOff>
      <xdr:row>398</xdr:row>
      <xdr:rowOff>195612</xdr:rowOff>
    </xdr:to>
    <xdr:sp macro="" textlink="">
      <xdr:nvSpPr>
        <xdr:cNvPr id="94" name="TextBox 93"/>
        <xdr:cNvSpPr txBox="1"/>
      </xdr:nvSpPr>
      <xdr:spPr>
        <a:xfrm>
          <a:off x="7497606" y="77307622"/>
          <a:ext cx="575904" cy="269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>
    <xdr:from>
      <xdr:col>8</xdr:col>
      <xdr:colOff>967938</xdr:colOff>
      <xdr:row>399</xdr:row>
      <xdr:rowOff>62113</xdr:rowOff>
    </xdr:from>
    <xdr:to>
      <xdr:col>9</xdr:col>
      <xdr:colOff>373948</xdr:colOff>
      <xdr:row>400</xdr:row>
      <xdr:rowOff>131178</xdr:rowOff>
    </xdr:to>
    <xdr:sp macro="" textlink="">
      <xdr:nvSpPr>
        <xdr:cNvPr id="95" name="TextBox 94"/>
        <xdr:cNvSpPr txBox="1"/>
      </xdr:nvSpPr>
      <xdr:spPr>
        <a:xfrm>
          <a:off x="7883088" y="77643238"/>
          <a:ext cx="568060" cy="269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9</xdr:col>
      <xdr:colOff>560604</xdr:colOff>
      <xdr:row>400</xdr:row>
      <xdr:rowOff>129908</xdr:rowOff>
    </xdr:from>
    <xdr:to>
      <xdr:col>10</xdr:col>
      <xdr:colOff>430866</xdr:colOff>
      <xdr:row>401</xdr:row>
      <xdr:rowOff>197293</xdr:rowOff>
    </xdr:to>
    <xdr:sp macro="" textlink="">
      <xdr:nvSpPr>
        <xdr:cNvPr id="96" name="TextBox 95"/>
        <xdr:cNvSpPr txBox="1"/>
      </xdr:nvSpPr>
      <xdr:spPr>
        <a:xfrm>
          <a:off x="8637804" y="77911058"/>
          <a:ext cx="632262" cy="267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C Wing</a:t>
          </a:r>
        </a:p>
      </xdr:txBody>
    </xdr:sp>
    <xdr:clientData/>
  </xdr:twoCellAnchor>
  <xdr:twoCellAnchor>
    <xdr:from>
      <xdr:col>0</xdr:col>
      <xdr:colOff>432297</xdr:colOff>
      <xdr:row>415</xdr:row>
      <xdr:rowOff>158483</xdr:rowOff>
    </xdr:from>
    <xdr:to>
      <xdr:col>1</xdr:col>
      <xdr:colOff>302559</xdr:colOff>
      <xdr:row>417</xdr:row>
      <xdr:rowOff>25842</xdr:rowOff>
    </xdr:to>
    <xdr:sp macro="" textlink="">
      <xdr:nvSpPr>
        <xdr:cNvPr id="97" name="TextBox 96"/>
        <xdr:cNvSpPr txBox="1"/>
      </xdr:nvSpPr>
      <xdr:spPr>
        <a:xfrm>
          <a:off x="432297" y="81132189"/>
          <a:ext cx="632262" cy="270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</a:t>
          </a:r>
          <a:r>
            <a:rPr lang="en-IN" sz="1200" b="1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</a:p>
      </xdr:txBody>
    </xdr:sp>
    <xdr:clientData/>
  </xdr:twoCellAnchor>
  <xdr:twoCellAnchor>
    <xdr:from>
      <xdr:col>2</xdr:col>
      <xdr:colOff>107326</xdr:colOff>
      <xdr:row>421</xdr:row>
      <xdr:rowOff>24013</xdr:rowOff>
    </xdr:from>
    <xdr:to>
      <xdr:col>2</xdr:col>
      <xdr:colOff>739588</xdr:colOff>
      <xdr:row>422</xdr:row>
      <xdr:rowOff>93078</xdr:rowOff>
    </xdr:to>
    <xdr:sp macro="" textlink="">
      <xdr:nvSpPr>
        <xdr:cNvPr id="98" name="TextBox 97"/>
        <xdr:cNvSpPr txBox="1"/>
      </xdr:nvSpPr>
      <xdr:spPr>
        <a:xfrm>
          <a:off x="1664944" y="82207954"/>
          <a:ext cx="632262" cy="270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</a:t>
          </a:r>
          <a:r>
            <a:rPr lang="en-IN" sz="1200" b="1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</a:p>
      </xdr:txBody>
    </xdr:sp>
    <xdr:clientData/>
  </xdr:twoCellAnchor>
  <xdr:twoCellAnchor>
    <xdr:from>
      <xdr:col>0</xdr:col>
      <xdr:colOff>143402</xdr:colOff>
      <xdr:row>400</xdr:row>
      <xdr:rowOff>136068</xdr:rowOff>
    </xdr:from>
    <xdr:to>
      <xdr:col>7</xdr:col>
      <xdr:colOff>1072242</xdr:colOff>
      <xdr:row>438</xdr:row>
      <xdr:rowOff>129017</xdr:rowOff>
    </xdr:to>
    <xdr:grpSp>
      <xdr:nvGrpSpPr>
        <xdr:cNvPr id="7" name="Group 6"/>
        <xdr:cNvGrpSpPr/>
      </xdr:nvGrpSpPr>
      <xdr:grpSpPr>
        <a:xfrm>
          <a:off x="143402" y="77698143"/>
          <a:ext cx="6624790" cy="7584374"/>
          <a:chOff x="200552" y="77917218"/>
          <a:chExt cx="6624790" cy="7584374"/>
        </a:xfrm>
      </xdr:grpSpPr>
      <xdr:grpSp>
        <xdr:nvGrpSpPr>
          <xdr:cNvPr id="6" name="Group 5"/>
          <xdr:cNvGrpSpPr/>
        </xdr:nvGrpSpPr>
        <xdr:grpSpPr>
          <a:xfrm>
            <a:off x="200552" y="77917218"/>
            <a:ext cx="6624790" cy="7584374"/>
            <a:chOff x="241797" y="78095395"/>
            <a:chExt cx="6632211" cy="7646973"/>
          </a:xfrm>
        </xdr:grpSpPr>
        <xdr:grpSp>
          <xdr:nvGrpSpPr>
            <xdr:cNvPr id="49" name="Group 48"/>
            <xdr:cNvGrpSpPr/>
          </xdr:nvGrpSpPr>
          <xdr:grpSpPr>
            <a:xfrm>
              <a:off x="241797" y="78095395"/>
              <a:ext cx="6632211" cy="7631997"/>
              <a:chOff x="418698" y="1471938"/>
              <a:chExt cx="6346654" cy="6927693"/>
            </a:xfrm>
          </xdr:grpSpPr>
          <xdr:pic>
            <xdr:nvPicPr>
              <xdr:cNvPr id="50" name="Picture 49" descr="https://vsjcllp.vsjadon.com/upload/insp-246834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92599" y="6461379"/>
                <a:ext cx="1452175" cy="1938252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1" name="Picture 50" descr="https://vsjcllp.vsjadon.com/upload/insp-246834-84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2651" y="1471938"/>
                <a:ext cx="1979982" cy="26427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5" name="Picture 54" descr="https://vsjcllp.vsjadon.com/upload/insp-246834-844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77006" y="1471938"/>
                <a:ext cx="1979982" cy="26427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0" name="Picture 79" descr="https://vsjcllp.vsjadon.com/upload/insp-246834-86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79236" y="1484638"/>
                <a:ext cx="1979982" cy="26427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1" name="Picture 80" descr="https://vsjcllp.vsjadon.com/upload/insp-246834-86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162370" y="4216023"/>
                <a:ext cx="1618313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4" name="Picture 83" descr="https://vsjcllp.vsjadon.com/upload/insp-246834-87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18698" y="4216023"/>
                <a:ext cx="1618313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9" name="Picture 88" descr="https://vsjcllp.vsjadon.com/upload/insp-246834-88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88019" y="4216023"/>
                <a:ext cx="2877333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92" name="Picture 91" descr="https://vsjcllp.vsjadon.com/upload/insp-246834-151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13593" y="6461378"/>
                <a:ext cx="1452175" cy="1938252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99" name="Picture 98" descr="https://vsjcllp.vsjadon.com/upload/insp-246834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9024" y="83607064"/>
              <a:ext cx="2815385" cy="213530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0" name="TextBox 99"/>
          <xdr:cNvSpPr txBox="1"/>
        </xdr:nvSpPr>
        <xdr:spPr>
          <a:xfrm>
            <a:off x="1305452" y="78041043"/>
            <a:ext cx="572880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3705752" y="78002943"/>
            <a:ext cx="572880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5953652" y="77955318"/>
            <a:ext cx="572880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104" name="TextBox 103"/>
          <xdr:cNvSpPr txBox="1"/>
        </xdr:nvSpPr>
        <xdr:spPr>
          <a:xfrm>
            <a:off x="391052" y="80974743"/>
            <a:ext cx="572880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105" name="TextBox 104"/>
          <xdr:cNvSpPr txBox="1"/>
        </xdr:nvSpPr>
        <xdr:spPr>
          <a:xfrm>
            <a:off x="5553602" y="81108093"/>
            <a:ext cx="572880" cy="268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582686</xdr:colOff>
      <xdr:row>14</xdr:row>
      <xdr:rowOff>0</xdr:rowOff>
    </xdr:from>
    <xdr:to>
      <xdr:col>6</xdr:col>
      <xdr:colOff>1285161</xdr:colOff>
      <xdr:row>36</xdr:row>
      <xdr:rowOff>129000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686" y="2678206"/>
          <a:ext cx="768374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537261</xdr:colOff>
      <xdr:row>38</xdr:row>
      <xdr:rowOff>147439</xdr:rowOff>
    </xdr:from>
    <xdr:to>
      <xdr:col>6</xdr:col>
      <xdr:colOff>1239736</xdr:colOff>
      <xdr:row>61</xdr:row>
      <xdr:rowOff>85939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261" y="7397645"/>
          <a:ext cx="7683740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Y5LzJwJ3ZkiAQXM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4"/>
  <sheetViews>
    <sheetView tabSelected="1" view="pageBreakPreview" topLeftCell="A332" zoomScaleNormal="100" zoomScaleSheetLayoutView="100" workbookViewId="0">
      <selection activeCell="I376" sqref="I376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8.285156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3" ht="46.5" customHeight="1" x14ac:dyDescent="0.25">
      <c r="A1" s="172" t="s">
        <v>210</v>
      </c>
      <c r="B1" s="172"/>
      <c r="C1" s="172"/>
      <c r="D1" s="172"/>
      <c r="E1" s="172"/>
      <c r="F1" s="172"/>
      <c r="G1" s="172"/>
      <c r="H1" s="172"/>
    </row>
    <row r="2" spans="1:13" ht="16.5" customHeight="1" x14ac:dyDescent="0.25">
      <c r="A2" s="104" t="s">
        <v>0</v>
      </c>
      <c r="B2" s="104"/>
      <c r="C2" s="104"/>
      <c r="D2" s="104"/>
      <c r="E2" s="104"/>
      <c r="F2" s="104"/>
      <c r="G2" s="104"/>
      <c r="H2" s="104"/>
    </row>
    <row r="3" spans="1:13" x14ac:dyDescent="0.25">
      <c r="A3" s="134" t="s">
        <v>1</v>
      </c>
      <c r="B3" s="134"/>
      <c r="C3" s="134"/>
      <c r="D3" s="134"/>
      <c r="E3" s="173" t="str">
        <f ca="1">TEXT(TODAY(),"DD/MM/YYYY")</f>
        <v>10/09/2025</v>
      </c>
      <c r="F3" s="173"/>
      <c r="G3" s="173"/>
      <c r="H3" s="173"/>
    </row>
    <row r="4" spans="1:13" ht="15" customHeight="1" x14ac:dyDescent="0.25">
      <c r="A4" s="134" t="s">
        <v>206</v>
      </c>
      <c r="B4" s="134"/>
      <c r="C4" s="134"/>
      <c r="D4" s="134"/>
      <c r="E4" s="175" t="s">
        <v>211</v>
      </c>
      <c r="F4" s="175"/>
      <c r="G4" s="175"/>
      <c r="H4" s="175"/>
    </row>
    <row r="5" spans="1:13" ht="15" customHeight="1" x14ac:dyDescent="0.25">
      <c r="A5" s="134" t="s">
        <v>2</v>
      </c>
      <c r="B5" s="134"/>
      <c r="C5" s="134"/>
      <c r="D5" s="134"/>
      <c r="E5" s="175" t="s">
        <v>212</v>
      </c>
      <c r="F5" s="175"/>
      <c r="G5" s="175"/>
      <c r="H5" s="175"/>
    </row>
    <row r="6" spans="1:13" x14ac:dyDescent="0.25">
      <c r="A6" s="134" t="s">
        <v>3</v>
      </c>
      <c r="B6" s="134"/>
      <c r="C6" s="134"/>
      <c r="D6" s="134"/>
      <c r="E6" s="173">
        <v>45908</v>
      </c>
      <c r="F6" s="173"/>
      <c r="G6" s="173"/>
      <c r="H6" s="173"/>
    </row>
    <row r="7" spans="1:13" ht="16.5" customHeight="1" x14ac:dyDescent="0.25">
      <c r="A7" s="134" t="s">
        <v>4</v>
      </c>
      <c r="B7" s="134"/>
      <c r="C7" s="134"/>
      <c r="D7" s="134"/>
      <c r="E7" s="140" t="s">
        <v>194</v>
      </c>
      <c r="F7" s="140"/>
      <c r="G7" s="140"/>
      <c r="H7" s="140"/>
    </row>
    <row r="8" spans="1:13" ht="15" customHeight="1" x14ac:dyDescent="0.25">
      <c r="A8" s="134" t="s">
        <v>5</v>
      </c>
      <c r="B8" s="134"/>
      <c r="C8" s="134"/>
      <c r="D8" s="134"/>
      <c r="E8" s="140" t="str">
        <f>E7</f>
        <v>M/s.Mahaavir Superstructures Private Limited</v>
      </c>
      <c r="F8" s="140"/>
      <c r="G8" s="140"/>
      <c r="H8" s="140"/>
      <c r="J8" s="74" t="s">
        <v>250</v>
      </c>
      <c r="K8" s="74"/>
      <c r="L8" s="74"/>
      <c r="M8" s="74"/>
    </row>
    <row r="9" spans="1:13" x14ac:dyDescent="0.25">
      <c r="A9" s="134" t="s">
        <v>6</v>
      </c>
      <c r="B9" s="134"/>
      <c r="C9" s="134"/>
      <c r="D9" s="134"/>
      <c r="E9" s="174" t="s">
        <v>216</v>
      </c>
      <c r="F9" s="174"/>
      <c r="G9" s="174"/>
      <c r="H9" s="174"/>
    </row>
    <row r="10" spans="1:13" x14ac:dyDescent="0.25">
      <c r="A10" s="134" t="s">
        <v>134</v>
      </c>
      <c r="B10" s="134"/>
      <c r="C10" s="134"/>
      <c r="D10" s="134"/>
      <c r="E10" s="134" t="s">
        <v>234</v>
      </c>
      <c r="F10" s="134"/>
      <c r="G10" s="134"/>
      <c r="H10" s="134"/>
    </row>
    <row r="11" spans="1:13" x14ac:dyDescent="0.25">
      <c r="A11" s="134" t="s">
        <v>209</v>
      </c>
      <c r="B11" s="134"/>
      <c r="C11" s="134"/>
      <c r="D11" s="134"/>
      <c r="E11" s="134" t="s">
        <v>254</v>
      </c>
      <c r="F11" s="134"/>
      <c r="G11" s="134"/>
      <c r="H11" s="134"/>
    </row>
    <row r="12" spans="1:13" ht="80.25" customHeight="1" x14ac:dyDescent="0.25">
      <c r="A12" s="124" t="s">
        <v>7</v>
      </c>
      <c r="B12" s="124"/>
      <c r="C12" s="124"/>
      <c r="D12" s="124"/>
      <c r="E12" s="141" t="s">
        <v>235</v>
      </c>
      <c r="F12" s="124"/>
      <c r="G12" s="124"/>
      <c r="H12" s="124"/>
    </row>
    <row r="13" spans="1:13" x14ac:dyDescent="0.25">
      <c r="A13" s="134" t="s">
        <v>8</v>
      </c>
      <c r="B13" s="134"/>
      <c r="C13" s="134"/>
      <c r="D13" s="134"/>
      <c r="E13" s="141" t="s">
        <v>213</v>
      </c>
      <c r="F13" s="141"/>
      <c r="G13" s="141"/>
      <c r="H13" s="141"/>
    </row>
    <row r="14" spans="1:13" ht="33.75" customHeight="1" x14ac:dyDescent="0.25">
      <c r="A14" s="134" t="s">
        <v>9</v>
      </c>
      <c r="B14" s="134"/>
      <c r="C14" s="134"/>
      <c r="D14" s="134"/>
      <c r="E14" s="141" t="s">
        <v>217</v>
      </c>
      <c r="F14" s="124"/>
      <c r="G14" s="124"/>
      <c r="H14" s="124"/>
    </row>
    <row r="15" spans="1:13" ht="33" customHeight="1" x14ac:dyDescent="0.25">
      <c r="A15" s="140" t="s">
        <v>10</v>
      </c>
      <c r="B15" s="140"/>
      <c r="C15" s="140" t="str">
        <f>CONCATENATE((IF(OR(E9="",E9="NA"),"",E9)),", ",(IF(OR(A16="",A16="NA"),"",A16)),".",(IF(OR(C16="",C16="NA"),"",C16)),", near ",(IF(OR(C20="",C20="NA"),"",C20)),", ",(IF(OR(C17="",C17="NA"),"",C17)),", ",(IF(OR(G17="",G17="NA"),"",G17)),", ",(IF(OR(C18="",C18="NA"),"",C18)),", ",(IF(OR(C19="",C19="NA"),"",C19)),", ",(IF(OR(G18="",G18="NA"),"",G18))," - ",(IF(OR(G19="",G19="NA"),"",G19)),".")</f>
        <v>Mahaavir Exotique Phase I &amp; II, Survey No.19/1, 20, 24/A/8/B, near Ekvira apartment, Pisarve road, Rohinjan, Taloja west, Panvel, Raigad - 410208.</v>
      </c>
      <c r="D15" s="140"/>
      <c r="E15" s="140"/>
      <c r="F15" s="140"/>
      <c r="G15" s="140"/>
      <c r="H15" s="140"/>
    </row>
    <row r="16" spans="1:13" x14ac:dyDescent="0.25">
      <c r="A16" s="141" t="s">
        <v>182</v>
      </c>
      <c r="B16" s="141"/>
      <c r="C16" s="141" t="s">
        <v>195</v>
      </c>
      <c r="D16" s="141"/>
      <c r="E16" s="141"/>
      <c r="F16" s="141"/>
      <c r="G16" s="141"/>
      <c r="H16" s="141"/>
    </row>
    <row r="17" spans="1:8" ht="15.75" customHeight="1" x14ac:dyDescent="0.25">
      <c r="A17" s="140" t="s">
        <v>11</v>
      </c>
      <c r="B17" s="140"/>
      <c r="C17" s="124" t="s">
        <v>187</v>
      </c>
      <c r="D17" s="124"/>
      <c r="E17" s="140" t="s">
        <v>77</v>
      </c>
      <c r="F17" s="140"/>
      <c r="G17" s="141" t="s">
        <v>183</v>
      </c>
      <c r="H17" s="141"/>
    </row>
    <row r="18" spans="1:8" x14ac:dyDescent="0.25">
      <c r="A18" s="134" t="s">
        <v>13</v>
      </c>
      <c r="B18" s="134"/>
      <c r="C18" s="141" t="s">
        <v>186</v>
      </c>
      <c r="D18" s="141"/>
      <c r="E18" s="140" t="s">
        <v>12</v>
      </c>
      <c r="F18" s="140"/>
      <c r="G18" s="176" t="s">
        <v>184</v>
      </c>
      <c r="H18" s="176"/>
    </row>
    <row r="19" spans="1:8" x14ac:dyDescent="0.25">
      <c r="A19" s="134" t="s">
        <v>78</v>
      </c>
      <c r="B19" s="134"/>
      <c r="C19" s="141" t="s">
        <v>185</v>
      </c>
      <c r="D19" s="141"/>
      <c r="E19" s="140" t="s">
        <v>14</v>
      </c>
      <c r="F19" s="140"/>
      <c r="G19" s="141">
        <v>410208</v>
      </c>
      <c r="H19" s="141"/>
    </row>
    <row r="20" spans="1:8" ht="32.25" customHeight="1" x14ac:dyDescent="0.25">
      <c r="A20" s="134" t="s">
        <v>135</v>
      </c>
      <c r="B20" s="134"/>
      <c r="C20" s="177" t="s">
        <v>196</v>
      </c>
      <c r="D20" s="177"/>
      <c r="E20" s="140" t="s">
        <v>15</v>
      </c>
      <c r="F20" s="140"/>
      <c r="G20" s="141" t="s">
        <v>243</v>
      </c>
      <c r="H20" s="141"/>
    </row>
    <row r="21" spans="1:8" ht="15" customHeight="1" x14ac:dyDescent="0.25">
      <c r="A21" s="140" t="s">
        <v>82</v>
      </c>
      <c r="B21" s="140"/>
      <c r="C21" s="140"/>
      <c r="D21" s="140"/>
      <c r="E21" s="124" t="s">
        <v>16</v>
      </c>
      <c r="F21" s="124"/>
      <c r="G21" s="124"/>
      <c r="H21" s="124"/>
    </row>
    <row r="22" spans="1:8" ht="18.75" customHeight="1" x14ac:dyDescent="0.25">
      <c r="A22" s="140"/>
      <c r="B22" s="140"/>
      <c r="C22" s="140"/>
      <c r="D22" s="140"/>
      <c r="E22" s="124"/>
      <c r="F22" s="124"/>
      <c r="G22" s="124"/>
      <c r="H22" s="124"/>
    </row>
    <row r="23" spans="1:8" ht="15" customHeight="1" x14ac:dyDescent="0.25">
      <c r="A23" s="140" t="s">
        <v>17</v>
      </c>
      <c r="B23" s="140"/>
      <c r="C23" s="140"/>
      <c r="D23" s="140"/>
      <c r="E23" s="141" t="s">
        <v>18</v>
      </c>
      <c r="F23" s="141"/>
      <c r="G23" s="141"/>
      <c r="H23" s="141"/>
    </row>
    <row r="24" spans="1:8" ht="15" customHeight="1" x14ac:dyDescent="0.25">
      <c r="A24" s="134" t="s">
        <v>19</v>
      </c>
      <c r="B24" s="134"/>
      <c r="C24" s="134"/>
      <c r="D24" s="134"/>
      <c r="E24" s="141" t="str">
        <f>IF(AND(G18="Mumbai"),"Upper Class","Middle Class")</f>
        <v>Middle Class</v>
      </c>
      <c r="F24" s="141"/>
      <c r="G24" s="141"/>
      <c r="H24" s="141"/>
    </row>
    <row r="25" spans="1:8" x14ac:dyDescent="0.25">
      <c r="A25" s="134" t="s">
        <v>20</v>
      </c>
      <c r="B25" s="134"/>
      <c r="C25" s="134"/>
      <c r="D25" s="134"/>
      <c r="E25" s="141" t="s">
        <v>21</v>
      </c>
      <c r="F25" s="141"/>
      <c r="G25" s="141"/>
      <c r="H25" s="141"/>
    </row>
    <row r="26" spans="1:8" ht="15.75" customHeight="1" x14ac:dyDescent="0.25">
      <c r="A26" s="134" t="s">
        <v>22</v>
      </c>
      <c r="B26" s="134"/>
      <c r="C26" s="134"/>
      <c r="D26" s="134"/>
      <c r="E26" s="141" t="str">
        <f>IF(AND(G18="Mumbai"),"Developed","Developing")</f>
        <v>Developing</v>
      </c>
      <c r="F26" s="141"/>
      <c r="G26" s="141"/>
      <c r="H26" s="141"/>
    </row>
    <row r="27" spans="1:8" x14ac:dyDescent="0.25">
      <c r="A27" s="134" t="s">
        <v>23</v>
      </c>
      <c r="B27" s="134"/>
      <c r="C27" s="134"/>
      <c r="D27" s="134"/>
      <c r="E27" s="141" t="s">
        <v>24</v>
      </c>
      <c r="F27" s="141"/>
      <c r="G27" s="141"/>
      <c r="H27" s="141"/>
    </row>
    <row r="28" spans="1:8" x14ac:dyDescent="0.25">
      <c r="A28" s="134" t="s">
        <v>89</v>
      </c>
      <c r="B28" s="134"/>
      <c r="C28" s="134"/>
      <c r="D28" s="134"/>
      <c r="E28" s="141" t="s">
        <v>90</v>
      </c>
      <c r="F28" s="141"/>
      <c r="G28" s="141"/>
      <c r="H28" s="141"/>
    </row>
    <row r="29" spans="1:8" ht="15" customHeight="1" x14ac:dyDescent="0.25">
      <c r="A29" s="140" t="s">
        <v>33</v>
      </c>
      <c r="B29" s="140"/>
      <c r="C29" s="140"/>
      <c r="D29" s="140"/>
      <c r="E29" s="175" t="str">
        <f>IF(ISNUMBER(SEARCH("Shop",D55)),"Residential + Commercial",IF(ISNUMBER(SEARCH("Office",D55)),"Residential + Commercial",IF(SEARCH("Flats",D55),"Residential","")))</f>
        <v>Residential + Commercial</v>
      </c>
      <c r="F29" s="175"/>
      <c r="G29" s="175"/>
      <c r="H29" s="175"/>
    </row>
    <row r="30" spans="1:8" x14ac:dyDescent="0.25">
      <c r="A30" s="140" t="s">
        <v>101</v>
      </c>
      <c r="B30" s="140"/>
      <c r="C30" s="140"/>
      <c r="D30" s="140"/>
      <c r="E30" s="140" t="s">
        <v>34</v>
      </c>
      <c r="F30" s="140"/>
      <c r="G30" s="140"/>
      <c r="H30" s="140"/>
    </row>
    <row r="31" spans="1:8" s="6" customFormat="1" x14ac:dyDescent="0.25">
      <c r="A31" s="181" t="s">
        <v>102</v>
      </c>
      <c r="B31" s="181"/>
      <c r="C31" s="180" t="s">
        <v>29</v>
      </c>
      <c r="D31" s="180"/>
      <c r="E31" s="180"/>
      <c r="F31" s="180" t="s">
        <v>31</v>
      </c>
      <c r="G31" s="180"/>
      <c r="H31" s="180"/>
    </row>
    <row r="32" spans="1:8" s="6" customFormat="1" x14ac:dyDescent="0.25">
      <c r="A32" s="178" t="s">
        <v>25</v>
      </c>
      <c r="B32" s="178" t="s">
        <v>30</v>
      </c>
      <c r="C32" s="179" t="s">
        <v>247</v>
      </c>
      <c r="D32" s="179"/>
      <c r="E32" s="179"/>
      <c r="F32" s="179" t="s">
        <v>189</v>
      </c>
      <c r="G32" s="179"/>
      <c r="H32" s="179"/>
    </row>
    <row r="33" spans="1:8" x14ac:dyDescent="0.25">
      <c r="A33" s="178" t="s">
        <v>26</v>
      </c>
      <c r="B33" s="178" t="s">
        <v>30</v>
      </c>
      <c r="C33" s="179" t="s">
        <v>248</v>
      </c>
      <c r="D33" s="179"/>
      <c r="E33" s="179"/>
      <c r="F33" s="179" t="s">
        <v>188</v>
      </c>
      <c r="G33" s="179"/>
      <c r="H33" s="179"/>
    </row>
    <row r="34" spans="1:8" s="6" customFormat="1" x14ac:dyDescent="0.25">
      <c r="A34" s="178" t="s">
        <v>28</v>
      </c>
      <c r="B34" s="178" t="s">
        <v>30</v>
      </c>
      <c r="C34" s="179" t="s">
        <v>245</v>
      </c>
      <c r="D34" s="179"/>
      <c r="E34" s="179"/>
      <c r="F34" s="179" t="s">
        <v>189</v>
      </c>
      <c r="G34" s="179"/>
      <c r="H34" s="179"/>
    </row>
    <row r="35" spans="1:8" x14ac:dyDescent="0.25">
      <c r="A35" s="178" t="s">
        <v>27</v>
      </c>
      <c r="B35" s="178" t="s">
        <v>30</v>
      </c>
      <c r="C35" s="179" t="s">
        <v>246</v>
      </c>
      <c r="D35" s="179"/>
      <c r="E35" s="179"/>
      <c r="F35" s="179" t="s">
        <v>190</v>
      </c>
      <c r="G35" s="179"/>
      <c r="H35" s="179"/>
    </row>
    <row r="36" spans="1:8" x14ac:dyDescent="0.25">
      <c r="A36" s="134" t="s">
        <v>32</v>
      </c>
      <c r="B36" s="134"/>
      <c r="C36" s="134"/>
      <c r="D36" s="134"/>
      <c r="E36" s="134"/>
      <c r="F36" s="134"/>
      <c r="G36" s="134"/>
      <c r="H36" s="134"/>
    </row>
    <row r="37" spans="1:8" ht="15.75" customHeight="1" x14ac:dyDescent="0.25">
      <c r="A37" s="134" t="s">
        <v>218</v>
      </c>
      <c r="B37" s="134"/>
      <c r="C37" s="123" t="s">
        <v>219</v>
      </c>
      <c r="D37" s="123"/>
      <c r="E37" s="123"/>
      <c r="F37" s="123"/>
      <c r="G37" s="123"/>
      <c r="H37" s="123"/>
    </row>
    <row r="38" spans="1:8" ht="15.75" customHeight="1" x14ac:dyDescent="0.25">
      <c r="A38" s="134" t="s">
        <v>200</v>
      </c>
      <c r="B38" s="134"/>
      <c r="C38" s="186" t="s">
        <v>201</v>
      </c>
      <c r="D38" s="187"/>
      <c r="E38" s="187"/>
      <c r="F38" s="187"/>
      <c r="G38" s="187"/>
      <c r="H38" s="187"/>
    </row>
    <row r="39" spans="1:8" x14ac:dyDescent="0.25">
      <c r="A39" s="174" t="s">
        <v>35</v>
      </c>
      <c r="B39" s="174"/>
      <c r="C39" s="174"/>
      <c r="D39" s="174"/>
      <c r="E39" s="174"/>
      <c r="F39" s="174"/>
      <c r="G39" s="174"/>
      <c r="H39" s="174"/>
    </row>
    <row r="40" spans="1:8" x14ac:dyDescent="0.25">
      <c r="A40" s="134" t="s">
        <v>36</v>
      </c>
      <c r="B40" s="134"/>
      <c r="C40" s="134"/>
      <c r="D40" s="134"/>
      <c r="E40" s="194">
        <v>21592</v>
      </c>
      <c r="F40" s="194"/>
      <c r="G40" s="194"/>
      <c r="H40" s="194"/>
    </row>
    <row r="41" spans="1:8" x14ac:dyDescent="0.25">
      <c r="A41" s="134" t="s">
        <v>37</v>
      </c>
      <c r="B41" s="134"/>
      <c r="C41" s="134"/>
      <c r="D41" s="134"/>
      <c r="E41" s="143">
        <v>1.1000000000000001</v>
      </c>
      <c r="F41" s="143"/>
      <c r="G41" s="143"/>
      <c r="H41" s="143"/>
    </row>
    <row r="42" spans="1:8" x14ac:dyDescent="0.25">
      <c r="A42" s="134" t="s">
        <v>38</v>
      </c>
      <c r="B42" s="134"/>
      <c r="C42" s="134"/>
      <c r="D42" s="134"/>
      <c r="E42" s="143">
        <f>E44/E40-E41</f>
        <v>1.9080006483882919</v>
      </c>
      <c r="F42" s="143"/>
      <c r="G42" s="143"/>
      <c r="H42" s="143"/>
    </row>
    <row r="43" spans="1:8" x14ac:dyDescent="0.25">
      <c r="A43" s="134" t="s">
        <v>39</v>
      </c>
      <c r="B43" s="134"/>
      <c r="C43" s="134"/>
      <c r="D43" s="134"/>
      <c r="E43" s="143">
        <f>E41+E42</f>
        <v>3.008000648388292</v>
      </c>
      <c r="F43" s="143"/>
      <c r="G43" s="143"/>
      <c r="H43" s="143"/>
    </row>
    <row r="44" spans="1:8" x14ac:dyDescent="0.25">
      <c r="A44" s="134" t="s">
        <v>100</v>
      </c>
      <c r="B44" s="134"/>
      <c r="C44" s="134"/>
      <c r="D44" s="134"/>
      <c r="E44" s="195">
        <v>64948.75</v>
      </c>
      <c r="F44" s="195"/>
      <c r="G44" s="195"/>
      <c r="H44" s="195"/>
    </row>
    <row r="45" spans="1:8" x14ac:dyDescent="0.25">
      <c r="A45" s="124" t="s">
        <v>40</v>
      </c>
      <c r="B45" s="124"/>
      <c r="C45" s="124"/>
      <c r="D45" s="124"/>
      <c r="E45" s="124" t="s">
        <v>236</v>
      </c>
      <c r="F45" s="124"/>
      <c r="G45" s="124"/>
      <c r="H45" s="124"/>
    </row>
    <row r="46" spans="1:8" x14ac:dyDescent="0.25">
      <c r="A46" s="111" t="s">
        <v>41</v>
      </c>
      <c r="B46" s="111"/>
      <c r="C46" s="111"/>
      <c r="D46" s="111"/>
      <c r="E46" s="111"/>
      <c r="F46" s="111"/>
      <c r="G46" s="111"/>
      <c r="H46" s="111"/>
    </row>
    <row r="47" spans="1:8" ht="33.75" customHeight="1" x14ac:dyDescent="0.25">
      <c r="A47" s="188" t="s">
        <v>164</v>
      </c>
      <c r="B47" s="189"/>
      <c r="C47" s="190" t="s">
        <v>191</v>
      </c>
      <c r="D47" s="191"/>
      <c r="E47" s="191"/>
      <c r="F47" s="191"/>
      <c r="G47" s="191"/>
      <c r="H47" s="192"/>
    </row>
    <row r="48" spans="1:8" x14ac:dyDescent="0.25">
      <c r="A48" s="141" t="s">
        <v>42</v>
      </c>
      <c r="B48" s="141"/>
      <c r="C48" s="135" t="s">
        <v>192</v>
      </c>
      <c r="D48" s="135"/>
      <c r="E48" s="135"/>
      <c r="F48" s="48" t="s">
        <v>43</v>
      </c>
      <c r="G48" s="158">
        <v>44456</v>
      </c>
      <c r="H48" s="158"/>
    </row>
    <row r="49" spans="1:14" x14ac:dyDescent="0.25">
      <c r="A49" s="124" t="s">
        <v>44</v>
      </c>
      <c r="B49" s="124"/>
      <c r="C49" s="135" t="str">
        <f>C48</f>
        <v>PMP/NRV/16030/JK-1906/2021</v>
      </c>
      <c r="D49" s="135"/>
      <c r="E49" s="135"/>
      <c r="F49" s="48" t="s">
        <v>43</v>
      </c>
      <c r="G49" s="158">
        <f>G48</f>
        <v>44456</v>
      </c>
      <c r="H49" s="158"/>
    </row>
    <row r="50" spans="1:14" s="5" customFormat="1" ht="32.25" customHeight="1" x14ac:dyDescent="0.25">
      <c r="A50" s="141" t="s">
        <v>207</v>
      </c>
      <c r="B50" s="141"/>
      <c r="C50" s="135" t="s">
        <v>220</v>
      </c>
      <c r="D50" s="136"/>
      <c r="E50" s="136"/>
      <c r="F50" s="8" t="s">
        <v>43</v>
      </c>
      <c r="G50" s="158">
        <f>G49</f>
        <v>44456</v>
      </c>
      <c r="H50" s="158"/>
    </row>
    <row r="51" spans="1:14" s="5" customFormat="1" ht="32.25" customHeight="1" x14ac:dyDescent="0.25">
      <c r="A51" s="141"/>
      <c r="B51" s="141"/>
      <c r="C51" s="159" t="s">
        <v>249</v>
      </c>
      <c r="D51" s="160"/>
      <c r="E51" s="160"/>
      <c r="F51" s="160"/>
      <c r="G51" s="160"/>
      <c r="H51" s="161"/>
    </row>
    <row r="52" spans="1:14" x14ac:dyDescent="0.25">
      <c r="A52" s="112" t="s">
        <v>45</v>
      </c>
      <c r="B52" s="112"/>
      <c r="C52" s="137" t="s">
        <v>117</v>
      </c>
      <c r="D52" s="138"/>
      <c r="E52" s="138" t="s">
        <v>46</v>
      </c>
      <c r="F52" s="51" t="s">
        <v>43</v>
      </c>
      <c r="G52" s="142" t="s">
        <v>30</v>
      </c>
      <c r="H52" s="142"/>
    </row>
    <row r="53" spans="1:14" x14ac:dyDescent="0.25">
      <c r="A53" s="139" t="s">
        <v>48</v>
      </c>
      <c r="B53" s="139"/>
      <c r="C53" s="139"/>
      <c r="D53" s="139"/>
      <c r="E53" s="139"/>
      <c r="F53" s="139"/>
      <c r="G53" s="139"/>
      <c r="H53" s="139"/>
    </row>
    <row r="54" spans="1:14" x14ac:dyDescent="0.25">
      <c r="A54" s="140" t="s">
        <v>99</v>
      </c>
      <c r="B54" s="140"/>
      <c r="C54" s="140"/>
      <c r="D54" s="134">
        <f>13569.06+10165.34+10165.34+10245.35+10165.34</f>
        <v>54310.430000000008</v>
      </c>
      <c r="E54" s="134"/>
      <c r="F54" s="134"/>
      <c r="G54" s="134"/>
      <c r="H54" s="134"/>
    </row>
    <row r="55" spans="1:14" x14ac:dyDescent="0.25">
      <c r="A55" s="141" t="s">
        <v>49</v>
      </c>
      <c r="B55" s="124"/>
      <c r="C55" s="124"/>
      <c r="D55" s="124" t="s">
        <v>233</v>
      </c>
      <c r="E55" s="124"/>
      <c r="F55" s="124"/>
      <c r="G55" s="124"/>
      <c r="H55" s="124"/>
      <c r="I55" s="35"/>
    </row>
    <row r="56" spans="1:14" ht="80.25" customHeight="1" x14ac:dyDescent="0.25">
      <c r="A56" s="125" t="s">
        <v>50</v>
      </c>
      <c r="B56" s="126"/>
      <c r="C56" s="127"/>
      <c r="D56" s="162" t="s">
        <v>237</v>
      </c>
      <c r="E56" s="163"/>
      <c r="F56" s="163"/>
      <c r="G56" s="163"/>
      <c r="H56" s="163"/>
    </row>
    <row r="57" spans="1:14" ht="15.75" customHeight="1" x14ac:dyDescent="0.25">
      <c r="A57" s="125" t="s">
        <v>97</v>
      </c>
      <c r="B57" s="126"/>
      <c r="C57" s="127"/>
      <c r="D57" s="124" t="s">
        <v>238</v>
      </c>
      <c r="E57" s="124"/>
      <c r="F57" s="124"/>
      <c r="G57" s="124"/>
      <c r="H57" s="124"/>
    </row>
    <row r="58" spans="1:14" ht="15.75" customHeight="1" x14ac:dyDescent="0.25">
      <c r="A58" s="128"/>
      <c r="B58" s="129"/>
      <c r="C58" s="130"/>
      <c r="D58" s="124" t="s">
        <v>239</v>
      </c>
      <c r="E58" s="124"/>
      <c r="F58" s="124"/>
      <c r="G58" s="124"/>
      <c r="H58" s="124"/>
    </row>
    <row r="59" spans="1:14" ht="15.75" customHeight="1" x14ac:dyDescent="0.25">
      <c r="A59" s="128"/>
      <c r="B59" s="129"/>
      <c r="C59" s="130"/>
      <c r="D59" s="124" t="s">
        <v>240</v>
      </c>
      <c r="E59" s="124"/>
      <c r="F59" s="124"/>
      <c r="G59" s="124"/>
      <c r="H59" s="124"/>
    </row>
    <row r="60" spans="1:14" ht="15.75" customHeight="1" x14ac:dyDescent="0.25">
      <c r="A60" s="128"/>
      <c r="B60" s="129"/>
      <c r="C60" s="130"/>
      <c r="D60" s="124" t="s">
        <v>241</v>
      </c>
      <c r="E60" s="124"/>
      <c r="F60" s="124"/>
      <c r="G60" s="124"/>
      <c r="H60" s="124"/>
    </row>
    <row r="61" spans="1:14" ht="15.75" customHeight="1" x14ac:dyDescent="0.25">
      <c r="A61" s="131"/>
      <c r="B61" s="132"/>
      <c r="C61" s="133"/>
      <c r="D61" s="124" t="s">
        <v>242</v>
      </c>
      <c r="E61" s="124"/>
      <c r="F61" s="124"/>
      <c r="G61" s="124"/>
      <c r="H61" s="124"/>
    </row>
    <row r="62" spans="1:14" ht="35.25" customHeight="1" x14ac:dyDescent="0.25">
      <c r="A62" s="134" t="s">
        <v>47</v>
      </c>
      <c r="B62" s="134"/>
      <c r="C62" s="134"/>
      <c r="D62" s="141" t="s">
        <v>253</v>
      </c>
      <c r="E62" s="141"/>
      <c r="F62" s="141"/>
      <c r="G62" s="141"/>
      <c r="H62" s="141"/>
      <c r="J62" s="34"/>
      <c r="K62" s="35"/>
      <c r="N62" s="35"/>
    </row>
    <row r="63" spans="1:14" ht="15.75" customHeight="1" x14ac:dyDescent="0.25">
      <c r="A63" s="134" t="s">
        <v>95</v>
      </c>
      <c r="B63" s="134"/>
      <c r="C63" s="134"/>
      <c r="D63" s="193" t="str">
        <f>(IF(G52="NA","60 Years After Completion",IF(G52&lt;&gt;"NA",""&amp;60-ROUNDDOWN((E3-G52)/360,0)&amp;" Years"," ")))</f>
        <v>60 Years After Completion</v>
      </c>
      <c r="E63" s="193"/>
      <c r="F63" s="193"/>
      <c r="G63" s="193"/>
      <c r="H63" s="193"/>
      <c r="N63" s="35"/>
    </row>
    <row r="64" spans="1:14" ht="15.75" customHeight="1" x14ac:dyDescent="0.25">
      <c r="A64" s="134" t="s">
        <v>96</v>
      </c>
      <c r="B64" s="134"/>
      <c r="C64" s="134"/>
      <c r="D64" s="140" t="s">
        <v>24</v>
      </c>
      <c r="E64" s="140"/>
      <c r="F64" s="140"/>
      <c r="G64" s="140"/>
      <c r="H64" s="140"/>
      <c r="J64" s="13"/>
      <c r="K64" s="13"/>
    </row>
    <row r="65" spans="1:14" ht="32.25" hidden="1" customHeight="1" x14ac:dyDescent="0.25">
      <c r="A65" s="134" t="s">
        <v>79</v>
      </c>
      <c r="B65" s="134"/>
      <c r="C65" s="134"/>
      <c r="D65" s="141" t="s">
        <v>199</v>
      </c>
      <c r="E65" s="140"/>
      <c r="F65" s="140"/>
      <c r="G65" s="140"/>
      <c r="H65" s="140"/>
    </row>
    <row r="66" spans="1:14" x14ac:dyDescent="0.25">
      <c r="A66" s="140" t="s">
        <v>161</v>
      </c>
      <c r="B66" s="140"/>
      <c r="C66" s="140"/>
      <c r="D66" s="140" t="s">
        <v>30</v>
      </c>
      <c r="E66" s="140"/>
      <c r="F66" s="140"/>
      <c r="G66" s="140"/>
      <c r="H66" s="140"/>
      <c r="I66" s="45"/>
      <c r="J66" s="45"/>
      <c r="K66" s="45"/>
      <c r="L66" s="45"/>
      <c r="M66" s="45"/>
      <c r="N66" s="45"/>
    </row>
    <row r="67" spans="1:14" ht="15.75" customHeight="1" x14ac:dyDescent="0.25">
      <c r="A67" s="134" t="s">
        <v>94</v>
      </c>
      <c r="B67" s="134"/>
      <c r="C67" s="134"/>
      <c r="D67" s="141" t="str">
        <f ca="1">(IF(G73&gt;95%,"Nothing",IF(G73&gt;0%,"Cement, Aggregate, Steel, etc",IF(G73=0%,"Work not yet Started"))))</f>
        <v>Cement, Aggregate, Steel, etc</v>
      </c>
      <c r="E67" s="141"/>
      <c r="F67" s="141"/>
      <c r="G67" s="141"/>
      <c r="H67" s="141"/>
      <c r="J67" s="13"/>
    </row>
    <row r="68" spans="1:14" ht="33.75" customHeight="1" thickBot="1" x14ac:dyDescent="0.3">
      <c r="A68" s="140" t="s">
        <v>130</v>
      </c>
      <c r="B68" s="140"/>
      <c r="C68" s="140"/>
      <c r="D68" s="141" t="str">
        <f ca="1">(IF(D67="Nothing","Yes",IF(D67="Cement, Aggregate, Steel, etc","Under Construction",IF(D67="Work not yet Started","Work not yet Started"))))</f>
        <v>Under Construction</v>
      </c>
      <c r="E68" s="141"/>
      <c r="F68" s="141" t="str">
        <f ca="1">(IF(D67="Nothing","Yes",IF(D67="Cement, Aggregate, Steel, etc","Under Construction",IF(D67="Work not yet Started","Work not yet Started"))))</f>
        <v>Under Construction</v>
      </c>
      <c r="G68" s="141"/>
      <c r="H68" s="141"/>
    </row>
    <row r="69" spans="1:14" ht="15.75" customHeight="1" x14ac:dyDescent="0.25">
      <c r="A69" s="112" t="s">
        <v>153</v>
      </c>
      <c r="B69" s="112"/>
      <c r="C69" s="112" t="str">
        <f>D57</f>
        <v>Wing A (Camellias) = G/St + 1st to 29th Upper Floor</v>
      </c>
      <c r="D69" s="112"/>
      <c r="E69" s="112"/>
      <c r="F69" s="112"/>
      <c r="G69" s="112"/>
      <c r="H69" s="112"/>
      <c r="I69" s="37" t="str">
        <f ca="1">(IF(E73&gt;99%,"All work completed. Please provide OC.",IF(E73&gt;89.8%,"Plinth, RCC, Brick, Plaster, Flooring, Painting work Completed. Finishing work is in process.",IF(E73&lt;94%,(IF(C73=0,"Work not yet Started.",IF(D73=25%,"Piling work in process",IF(D73=50%,"Excavation work in process",IF(D73=100%,"Excavation work Completed. ","0")))&amp;(IF(C74=0%,"",IF(C74=J75,"Footing work is process",IF(C74=J76,"Footing work Completed",IF(C74=J77,"1st Basement Completed",IF(C74=J78,"1st &amp; 2nd Basement Completed",IF(C74=J79,"1st to 3rd Basement Completed",IF(C74=J80,"1st to 4th Basement Completed",IF(C74=J81,"Plinth work is process",IF(C74=J82,"Plinth work completed","0")))))))))))&amp;(IF(C75=(D70+F70+H70),", RCC Slab",IF(C75&gt;0,", RCC upto "&amp;C75&amp;" Slab",""))&amp;(IF(C76=H70,", Brickwork",IF(C76&gt;0,", Brickwork upto "&amp;C76&amp;" Floor",""))&amp;(IF(C77=H70,", Internal Plaster",IF(C77&gt;0,", Internal Plaster upto "&amp;C77&amp;" Floor",""))&amp;(IF(C78=H70,", External Plaster",IF(C78&gt;0,", External Plaster upto "&amp;C78&amp;" Floor",""))&amp;(IF(C79=H70,", Flooring",IF(C79&gt;0,", Flooring upto "&amp;C79&amp;" Floor",""))&amp;(IF(C80=H70,", Painting",IF(C80&gt;0,", Painting upto "&amp;C80&amp;" Floor",""))&amp;(IF(C81&gt;0,", Finishing upto "&amp;C81&amp;" Floor","")&amp;(IF(C75&gt;0.5," Completed",""))))))))))))))</f>
        <v>Plinth, RCC, Brick, Plaster, Flooring, Painting work Completed. Finishing work is in process.</v>
      </c>
      <c r="J69" s="15"/>
    </row>
    <row r="70" spans="1:14" x14ac:dyDescent="0.25">
      <c r="A70" s="77" t="s">
        <v>155</v>
      </c>
      <c r="B70" s="77">
        <v>0</v>
      </c>
      <c r="C70" s="77" t="s">
        <v>76</v>
      </c>
      <c r="D70" s="77">
        <v>1</v>
      </c>
      <c r="E70" s="77" t="s">
        <v>75</v>
      </c>
      <c r="F70" s="77">
        <v>0</v>
      </c>
      <c r="G70" s="77" t="s">
        <v>88</v>
      </c>
      <c r="H70" s="77">
        <f ca="1">--TRIM(RIGHT(SUBSTITUTE(LEFT(C69,_xlfn.AGGREGATE(16,6,FIND({0,1,2,3,4,5,6,7,8,9},C69,ROW(INDIRECT("1:"&amp;LEN(C69)))),1))," ",REPT(" ",LEN(C69))),LEN(C69)))</f>
        <v>29</v>
      </c>
      <c r="I70" s="13"/>
      <c r="J70" s="16"/>
    </row>
    <row r="71" spans="1:14" ht="35.450000000000003" customHeight="1" x14ac:dyDescent="0.25">
      <c r="A71" s="110" t="s">
        <v>98</v>
      </c>
      <c r="B71" s="111"/>
      <c r="C71" s="112" t="str">
        <f ca="1">I69</f>
        <v>Plinth, RCC, Brick, Plaster, Flooring, Painting work Completed. Finishing work is in process.</v>
      </c>
      <c r="D71" s="112"/>
      <c r="E71" s="112"/>
      <c r="F71" s="112"/>
      <c r="G71" s="112"/>
      <c r="H71" s="113"/>
      <c r="I71" s="13" t="s">
        <v>116</v>
      </c>
      <c r="J71" s="16"/>
    </row>
    <row r="72" spans="1:14" ht="15.75" customHeight="1" x14ac:dyDescent="0.25">
      <c r="A72" s="114" t="s">
        <v>51</v>
      </c>
      <c r="B72" s="115"/>
      <c r="C72" s="52" t="s">
        <v>152</v>
      </c>
      <c r="D72" s="52" t="s">
        <v>91</v>
      </c>
      <c r="E72" s="115" t="s">
        <v>93</v>
      </c>
      <c r="F72" s="115"/>
      <c r="G72" s="115" t="s">
        <v>92</v>
      </c>
      <c r="H72" s="116"/>
      <c r="I72" s="33" t="s">
        <v>154</v>
      </c>
      <c r="J72" s="17">
        <f ca="1">H70*25%</f>
        <v>7.25</v>
      </c>
    </row>
    <row r="73" spans="1:14" x14ac:dyDescent="0.25">
      <c r="A73" s="114" t="s">
        <v>141</v>
      </c>
      <c r="B73" s="115"/>
      <c r="C73" s="53">
        <v>29</v>
      </c>
      <c r="D73" s="54">
        <f ca="1">((100/H70)*C73)/100</f>
        <v>1</v>
      </c>
      <c r="E73" s="117">
        <f ca="1">(((C74/H70*10)+(40/(D70+F70+H70)*C75)+(7.5/(H70)*C76)+(7.5/(H70)*C77)+(10/H70*C78)+(10/H70*C79)+(5/H70*C80)+(5/H70*C81)+(5/H70*C82))/100)</f>
        <v>0.93103448275862077</v>
      </c>
      <c r="F73" s="117"/>
      <c r="G73" s="117">
        <f ca="1">((((C73/H70)*20)+((C74/H70)*25)+(30/(H70+F70+D70)*C75)+(5/H70*C76)+(5/H70*C77)+(5/H70*C78)+(5/H70*C79)+(0/H70*C80)+(0/H70*C81)+(5/H70*C82))/100)</f>
        <v>0.95</v>
      </c>
      <c r="H73" s="119"/>
      <c r="I73" s="33" t="s">
        <v>111</v>
      </c>
      <c r="J73" s="36">
        <f ca="1">H70*50%</f>
        <v>14.5</v>
      </c>
    </row>
    <row r="74" spans="1:14" x14ac:dyDescent="0.25">
      <c r="A74" s="114" t="s">
        <v>52</v>
      </c>
      <c r="B74" s="115"/>
      <c r="C74" s="55">
        <f ca="1">J82</f>
        <v>29</v>
      </c>
      <c r="D74" s="54">
        <f ca="1">((100/H70)*C74)/100</f>
        <v>1</v>
      </c>
      <c r="E74" s="117"/>
      <c r="F74" s="117"/>
      <c r="G74" s="117"/>
      <c r="H74" s="119"/>
      <c r="I74" s="33" t="s">
        <v>112</v>
      </c>
      <c r="J74" s="36">
        <f ca="1">H70</f>
        <v>29</v>
      </c>
    </row>
    <row r="75" spans="1:14" ht="15.75" customHeight="1" x14ac:dyDescent="0.25">
      <c r="A75" s="114" t="s">
        <v>142</v>
      </c>
      <c r="B75" s="115"/>
      <c r="C75" s="55">
        <v>30</v>
      </c>
      <c r="D75" s="54">
        <f ca="1">((100/(D70+F70+H70))*C75)/100</f>
        <v>1</v>
      </c>
      <c r="E75" s="117"/>
      <c r="F75" s="117"/>
      <c r="G75" s="117"/>
      <c r="H75" s="119"/>
      <c r="I75" s="33" t="s">
        <v>113</v>
      </c>
      <c r="J75" s="39">
        <f ca="1">(IF(B70&gt;1,(H70/(B70+2)),H70/4))</f>
        <v>7.25</v>
      </c>
    </row>
    <row r="76" spans="1:14" ht="15.75" customHeight="1" x14ac:dyDescent="0.25">
      <c r="A76" s="114" t="s">
        <v>149</v>
      </c>
      <c r="B76" s="115" t="s">
        <v>143</v>
      </c>
      <c r="C76" s="55">
        <v>29</v>
      </c>
      <c r="D76" s="54">
        <f ca="1">((100/H70)*C76)/100</f>
        <v>1</v>
      </c>
      <c r="E76" s="117"/>
      <c r="F76" s="117"/>
      <c r="G76" s="117"/>
      <c r="H76" s="119"/>
      <c r="I76" s="33" t="s">
        <v>114</v>
      </c>
      <c r="J76" s="39">
        <f ca="1">(IF(B70&gt;1,(H70/(B70+2)+J75),H70/4+J75))</f>
        <v>14.5</v>
      </c>
    </row>
    <row r="77" spans="1:14" ht="15.75" customHeight="1" x14ac:dyDescent="0.25">
      <c r="A77" s="114" t="s">
        <v>150</v>
      </c>
      <c r="B77" s="115" t="s">
        <v>143</v>
      </c>
      <c r="C77" s="55">
        <v>29</v>
      </c>
      <c r="D77" s="54">
        <f ca="1">((100/H70)*C77)/100</f>
        <v>1</v>
      </c>
      <c r="E77" s="117"/>
      <c r="F77" s="117"/>
      <c r="G77" s="117"/>
      <c r="H77" s="119"/>
      <c r="I77" s="33" t="s">
        <v>159</v>
      </c>
      <c r="J77" s="39">
        <f>(IF(B70&gt;1,(H70/(B70+2)+J76),0))</f>
        <v>0</v>
      </c>
    </row>
    <row r="78" spans="1:14" ht="15" customHeight="1" x14ac:dyDescent="0.25">
      <c r="A78" s="114" t="s">
        <v>148</v>
      </c>
      <c r="B78" s="115" t="s">
        <v>145</v>
      </c>
      <c r="C78" s="55">
        <v>29</v>
      </c>
      <c r="D78" s="54">
        <f ca="1">((100/(H70))*C78)/100</f>
        <v>1</v>
      </c>
      <c r="E78" s="117"/>
      <c r="F78" s="117"/>
      <c r="G78" s="117"/>
      <c r="H78" s="119"/>
      <c r="I78" s="33" t="s">
        <v>156</v>
      </c>
      <c r="J78" s="39">
        <f>(IF(B70&gt;2,(H70/(B70+2)+J77),0))</f>
        <v>0</v>
      </c>
    </row>
    <row r="79" spans="1:14" ht="15.75" customHeight="1" x14ac:dyDescent="0.25">
      <c r="A79" s="114" t="s">
        <v>144</v>
      </c>
      <c r="B79" s="115" t="s">
        <v>144</v>
      </c>
      <c r="C79" s="53">
        <v>29</v>
      </c>
      <c r="D79" s="54">
        <f ca="1">((100/H70)*C79)/100</f>
        <v>1</v>
      </c>
      <c r="E79" s="117"/>
      <c r="F79" s="117"/>
      <c r="G79" s="117"/>
      <c r="H79" s="119"/>
      <c r="I79" s="33" t="s">
        <v>157</v>
      </c>
      <c r="J79" s="40">
        <f>(IF(B70&gt;3,(H70/(B70+2)+J78),0))</f>
        <v>0</v>
      </c>
    </row>
    <row r="80" spans="1:14" ht="15.75" customHeight="1" x14ac:dyDescent="0.25">
      <c r="A80" s="114" t="s">
        <v>151</v>
      </c>
      <c r="B80" s="115"/>
      <c r="C80" s="53">
        <v>27</v>
      </c>
      <c r="D80" s="54">
        <f ca="1">((100/H70)*C80)/100</f>
        <v>0.93103448275862066</v>
      </c>
      <c r="E80" s="117"/>
      <c r="F80" s="117"/>
      <c r="G80" s="117"/>
      <c r="H80" s="119"/>
      <c r="I80" s="33" t="s">
        <v>158</v>
      </c>
      <c r="J80" s="39">
        <f>(IF(B70&gt;4,(H70/(B70+2)+J79),0))</f>
        <v>0</v>
      </c>
    </row>
    <row r="81" spans="1:10" ht="15.75" customHeight="1" x14ac:dyDescent="0.25">
      <c r="A81" s="114" t="s">
        <v>146</v>
      </c>
      <c r="B81" s="115" t="s">
        <v>146</v>
      </c>
      <c r="C81" s="53">
        <v>20</v>
      </c>
      <c r="D81" s="54">
        <f ca="1">((100/(H70))*C81)/100</f>
        <v>0.68965517241379304</v>
      </c>
      <c r="E81" s="117"/>
      <c r="F81" s="117"/>
      <c r="G81" s="117"/>
      <c r="H81" s="119"/>
      <c r="I81" s="33" t="s">
        <v>160</v>
      </c>
      <c r="J81" s="39">
        <f ca="1">(IF(B70=1,(H70/(B70+3)+J76),IF(B70=0,(H70/4+J76),IF(B70&gt;1,0))))</f>
        <v>21.75</v>
      </c>
    </row>
    <row r="82" spans="1:10" ht="16.5" thickBot="1" x14ac:dyDescent="0.3">
      <c r="A82" s="121" t="s">
        <v>147</v>
      </c>
      <c r="B82" s="122"/>
      <c r="C82" s="56">
        <v>0</v>
      </c>
      <c r="D82" s="57">
        <f ca="1">((100/(H70))*C82)/100</f>
        <v>0</v>
      </c>
      <c r="E82" s="118"/>
      <c r="F82" s="118"/>
      <c r="G82" s="118"/>
      <c r="H82" s="120"/>
      <c r="I82" s="38" t="s">
        <v>115</v>
      </c>
      <c r="J82" s="41">
        <f ca="1">(IF(B70&gt;1.5,(H70/(B70+2)+J76+MAX(0,J77-J76)+MAX(0,J78-J77)+MAX(0,J79-J78)+MAX(0,J80-J79)+MAX(0,J81-J80)),IF(B70=1,(H70/(B70+3)+J81),IF(B70=0,H70/4+J81))))</f>
        <v>29</v>
      </c>
    </row>
    <row r="83" spans="1:10" ht="15.75" customHeight="1" x14ac:dyDescent="0.25">
      <c r="A83" s="105" t="s">
        <v>153</v>
      </c>
      <c r="B83" s="106"/>
      <c r="C83" s="107" t="s">
        <v>239</v>
      </c>
      <c r="D83" s="108"/>
      <c r="E83" s="108"/>
      <c r="F83" s="108"/>
      <c r="G83" s="108"/>
      <c r="H83" s="109"/>
      <c r="I83" s="37" t="str">
        <f ca="1">(IF(E87&gt;99%,"All work completed. Please provide OC.",IF(E87&gt;89.8%,"Plinth, RCC, Brick, Plaster, Flooring, Painting work Completed. Finishing work is in process.",IF(E87&lt;94%,(IF(C87=0,"Work not yet Started.",IF(D87=25%,"Piling work in process",IF(D87=50%,"Excavation work in process",IF(D87=100%,"Excavation work Completed. ","0")))&amp;(IF(C88=0%,"",IF(C88=J89,"Footing work is process",IF(C88=J90,"Footing work Completed",IF(C88=J91,"1st Basement Completed",IF(C88=J92,"1st &amp; 2nd Basement Completed",IF(C88=J93,"1st to 3rd Basement Completed",IF(C88=J94,"1st to 4th Basement Completed",IF(C88=J95,"Plinth work is process",IF(C88=J96,"Plinth work completed","0")))))))))))&amp;(IF(C89=(D84+F84+H84),", RCC Slab",IF(C89&gt;0,", RCC upto "&amp;C89&amp;" Slab",""))&amp;(IF(C90=H84,", Brickwork",IF(C90&gt;0,", Brickwork upto "&amp;C90&amp;" Floor",""))&amp;(IF(C91=H84,", Internal Plaster",IF(C91&gt;0,", Internal Plaster upto "&amp;C91&amp;" Floor",""))&amp;(IF(C92=H84,", External Plaster",IF(C92&gt;0,", External Plaster upto "&amp;C92&amp;" Floor",""))&amp;(IF(C93=H84,", Flooring",IF(C93&gt;0,", Flooring upto "&amp;C93&amp;" Floor",""))&amp;(IF(C94=H84,", Painting",IF(C94&gt;0,", Painting upto "&amp;C94&amp;" Floor",""))&amp;(IF(C95&gt;0,", Finishing upto "&amp;C95&amp;" Floor","")&amp;(IF(C89&gt;0.5," Completed",""))))))))))))))</f>
        <v>Plinth, RCC, Brick, Plaster, Flooring, Painting work Completed. Finishing work is in process.</v>
      </c>
      <c r="J83" s="15"/>
    </row>
    <row r="84" spans="1:10" x14ac:dyDescent="0.25">
      <c r="A84" s="42" t="s">
        <v>155</v>
      </c>
      <c r="B84" s="49">
        <v>0</v>
      </c>
      <c r="C84" s="49" t="s">
        <v>76</v>
      </c>
      <c r="D84" s="49">
        <v>1</v>
      </c>
      <c r="E84" s="49" t="s">
        <v>75</v>
      </c>
      <c r="F84" s="49">
        <v>0</v>
      </c>
      <c r="G84" s="49" t="s">
        <v>88</v>
      </c>
      <c r="H84" s="44">
        <f ca="1">--TRIM(RIGHT(SUBSTITUTE(LEFT(C83,_xlfn.AGGREGATE(16,6,FIND({0,1,2,3,4,5,6,7,8,9},C83,ROW(INDIRECT("1:"&amp;LEN(C83)))),1))," ",REPT(" ",LEN(C83))),LEN(C83)))</f>
        <v>22</v>
      </c>
      <c r="I84" s="13"/>
      <c r="J84" s="16"/>
    </row>
    <row r="85" spans="1:10" ht="32.450000000000003" customHeight="1" x14ac:dyDescent="0.25">
      <c r="A85" s="110" t="s">
        <v>98</v>
      </c>
      <c r="B85" s="111"/>
      <c r="C85" s="112" t="str">
        <f ca="1">I83</f>
        <v>Plinth, RCC, Brick, Plaster, Flooring, Painting work Completed. Finishing work is in process.</v>
      </c>
      <c r="D85" s="112"/>
      <c r="E85" s="112"/>
      <c r="F85" s="112"/>
      <c r="G85" s="112"/>
      <c r="H85" s="113"/>
      <c r="I85" s="13" t="s">
        <v>116</v>
      </c>
      <c r="J85" s="16"/>
    </row>
    <row r="86" spans="1:10" ht="15.75" customHeight="1" x14ac:dyDescent="0.25">
      <c r="A86" s="114" t="s">
        <v>51</v>
      </c>
      <c r="B86" s="115"/>
      <c r="C86" s="52" t="s">
        <v>152</v>
      </c>
      <c r="D86" s="52" t="s">
        <v>91</v>
      </c>
      <c r="E86" s="115" t="s">
        <v>93</v>
      </c>
      <c r="F86" s="115"/>
      <c r="G86" s="115" t="s">
        <v>92</v>
      </c>
      <c r="H86" s="116"/>
      <c r="I86" s="33" t="s">
        <v>154</v>
      </c>
      <c r="J86" s="17">
        <f ca="1">H84*25%</f>
        <v>5.5</v>
      </c>
    </row>
    <row r="87" spans="1:10" x14ac:dyDescent="0.25">
      <c r="A87" s="114" t="s">
        <v>141</v>
      </c>
      <c r="B87" s="115"/>
      <c r="C87" s="53">
        <v>22</v>
      </c>
      <c r="D87" s="54">
        <f ca="1">((100/H84)*C87)/100</f>
        <v>1.0000000000000002</v>
      </c>
      <c r="E87" s="117">
        <f ca="1">(((C88/H84*10)+(40/(D84+F84+H84)*C89)+(7.5/(H84)*C90)+(7.5/(H84)*C91)+(10/H84*C92)+(10/H84*C93)+(5/H84*C94)+(5/H84*C95)+(5/H84*C96))/100)</f>
        <v>0.94318181818181812</v>
      </c>
      <c r="F87" s="117"/>
      <c r="G87" s="117">
        <f ca="1">((((C87/H84)*20)+((C88/H84)*25)+(30/(H84+F84+D84)*C89)+(5/H84*C90)+(5/H84*C91)+(5/H84*C92)+(5/H84*C93)+(0/H84*C94)+(0/H84*C95)+(5/H84*C96))/100)</f>
        <v>0.95</v>
      </c>
      <c r="H87" s="119"/>
      <c r="I87" s="33" t="s">
        <v>111</v>
      </c>
      <c r="J87" s="36">
        <f ca="1">H84*50%</f>
        <v>11</v>
      </c>
    </row>
    <row r="88" spans="1:10" x14ac:dyDescent="0.25">
      <c r="A88" s="114" t="s">
        <v>52</v>
      </c>
      <c r="B88" s="115"/>
      <c r="C88" s="55">
        <f ca="1">J96</f>
        <v>22</v>
      </c>
      <c r="D88" s="54">
        <f ca="1">((100/H84)*C88)/100</f>
        <v>1.0000000000000002</v>
      </c>
      <c r="E88" s="117"/>
      <c r="F88" s="117"/>
      <c r="G88" s="117"/>
      <c r="H88" s="119"/>
      <c r="I88" s="33" t="s">
        <v>112</v>
      </c>
      <c r="J88" s="36">
        <f ca="1">H84</f>
        <v>22</v>
      </c>
    </row>
    <row r="89" spans="1:10" ht="15.75" customHeight="1" x14ac:dyDescent="0.25">
      <c r="A89" s="114" t="s">
        <v>142</v>
      </c>
      <c r="B89" s="115"/>
      <c r="C89" s="55">
        <v>23</v>
      </c>
      <c r="D89" s="54">
        <f ca="1">((100/(D84+F84+H84))*C89)/100</f>
        <v>1</v>
      </c>
      <c r="E89" s="117"/>
      <c r="F89" s="117"/>
      <c r="G89" s="117"/>
      <c r="H89" s="119"/>
      <c r="I89" s="33" t="s">
        <v>113</v>
      </c>
      <c r="J89" s="39">
        <f ca="1">(IF(B84&gt;1,(H84/(B84+2)),H84/4))</f>
        <v>5.5</v>
      </c>
    </row>
    <row r="90" spans="1:10" ht="15.75" customHeight="1" x14ac:dyDescent="0.25">
      <c r="A90" s="114" t="s">
        <v>149</v>
      </c>
      <c r="B90" s="115" t="s">
        <v>143</v>
      </c>
      <c r="C90" s="55">
        <f>C89-1</f>
        <v>22</v>
      </c>
      <c r="D90" s="54">
        <f ca="1">((100/H84)*C90)/100</f>
        <v>1.0000000000000002</v>
      </c>
      <c r="E90" s="117"/>
      <c r="F90" s="117"/>
      <c r="G90" s="117"/>
      <c r="H90" s="119"/>
      <c r="I90" s="33" t="s">
        <v>114</v>
      </c>
      <c r="J90" s="39">
        <f ca="1">(IF(B84&gt;1,(H84/(B84+2)+J89),H84/4+J89))</f>
        <v>11</v>
      </c>
    </row>
    <row r="91" spans="1:10" ht="15.75" customHeight="1" x14ac:dyDescent="0.25">
      <c r="A91" s="114" t="s">
        <v>150</v>
      </c>
      <c r="B91" s="115" t="s">
        <v>143</v>
      </c>
      <c r="C91" s="55">
        <v>22</v>
      </c>
      <c r="D91" s="54">
        <f ca="1">((100/H84)*C91)/100</f>
        <v>1.0000000000000002</v>
      </c>
      <c r="E91" s="117"/>
      <c r="F91" s="117"/>
      <c r="G91" s="117"/>
      <c r="H91" s="119"/>
      <c r="I91" s="33" t="s">
        <v>159</v>
      </c>
      <c r="J91" s="39">
        <f>(IF(B84&gt;1,(H84/(B84+2)+J90),0))</f>
        <v>0</v>
      </c>
    </row>
    <row r="92" spans="1:10" ht="15" customHeight="1" x14ac:dyDescent="0.25">
      <c r="A92" s="114" t="s">
        <v>148</v>
      </c>
      <c r="B92" s="115" t="s">
        <v>145</v>
      </c>
      <c r="C92" s="55">
        <v>22</v>
      </c>
      <c r="D92" s="54">
        <f ca="1">((100/(H84))*C92)/100</f>
        <v>1.0000000000000002</v>
      </c>
      <c r="E92" s="117"/>
      <c r="F92" s="117"/>
      <c r="G92" s="117"/>
      <c r="H92" s="119"/>
      <c r="I92" s="33" t="s">
        <v>156</v>
      </c>
      <c r="J92" s="39">
        <f>(IF(B84&gt;2,(H84/(B84+2)+J91),0))</f>
        <v>0</v>
      </c>
    </row>
    <row r="93" spans="1:10" ht="15.75" customHeight="1" x14ac:dyDescent="0.25">
      <c r="A93" s="114" t="s">
        <v>144</v>
      </c>
      <c r="B93" s="115" t="s">
        <v>144</v>
      </c>
      <c r="C93" s="53">
        <v>22</v>
      </c>
      <c r="D93" s="54">
        <f ca="1">((100/H84)*C93)/100</f>
        <v>1.0000000000000002</v>
      </c>
      <c r="E93" s="117"/>
      <c r="F93" s="117"/>
      <c r="G93" s="117"/>
      <c r="H93" s="119"/>
      <c r="I93" s="33" t="s">
        <v>157</v>
      </c>
      <c r="J93" s="40">
        <f>(IF(B84&gt;3,(H84/(B84+2)+J92),0))</f>
        <v>0</v>
      </c>
    </row>
    <row r="94" spans="1:10" ht="15.75" customHeight="1" x14ac:dyDescent="0.25">
      <c r="A94" s="114" t="s">
        <v>151</v>
      </c>
      <c r="B94" s="115"/>
      <c r="C94" s="53">
        <v>21</v>
      </c>
      <c r="D94" s="54">
        <f ca="1">((100/H84)*C94)/100</f>
        <v>0.9545454545454547</v>
      </c>
      <c r="E94" s="117"/>
      <c r="F94" s="117"/>
      <c r="G94" s="117"/>
      <c r="H94" s="119"/>
      <c r="I94" s="33" t="s">
        <v>158</v>
      </c>
      <c r="J94" s="39">
        <f>(IF(B84&gt;4,(H84/(B84+2)+J93),0))</f>
        <v>0</v>
      </c>
    </row>
    <row r="95" spans="1:10" ht="15.75" customHeight="1" x14ac:dyDescent="0.25">
      <c r="A95" s="114" t="s">
        <v>146</v>
      </c>
      <c r="B95" s="115" t="s">
        <v>146</v>
      </c>
      <c r="C95" s="53">
        <v>20</v>
      </c>
      <c r="D95" s="54">
        <f ca="1">((100/(H84))*C95)/100</f>
        <v>0.90909090909090917</v>
      </c>
      <c r="E95" s="117"/>
      <c r="F95" s="117"/>
      <c r="G95" s="117"/>
      <c r="H95" s="119"/>
      <c r="I95" s="33" t="s">
        <v>160</v>
      </c>
      <c r="J95" s="39">
        <f ca="1">(IF(B84=1,(H84/(B84+3)+J90),IF(B84=0,(H84/4+J90),IF(B84&gt;1,0))))</f>
        <v>16.5</v>
      </c>
    </row>
    <row r="96" spans="1:10" ht="16.5" thickBot="1" x14ac:dyDescent="0.3">
      <c r="A96" s="121" t="s">
        <v>147</v>
      </c>
      <c r="B96" s="122"/>
      <c r="C96" s="56">
        <v>0</v>
      </c>
      <c r="D96" s="57">
        <f ca="1">((100/(H84))*C96)/100</f>
        <v>0</v>
      </c>
      <c r="E96" s="118"/>
      <c r="F96" s="118"/>
      <c r="G96" s="118"/>
      <c r="H96" s="120"/>
      <c r="I96" s="38" t="s">
        <v>115</v>
      </c>
      <c r="J96" s="41">
        <f ca="1">(IF(B84&gt;1.5,(H84/(B84+2)+J90+MAX(0,J91-J90)+MAX(0,J92-J91)+MAX(0,J93-J92)+MAX(0,J94-J93)+MAX(0,J95-J94)),IF(B84=1,(H84/(B84+3)+J95),IF(B84=0,H84/4+J95))))</f>
        <v>22</v>
      </c>
    </row>
    <row r="97" spans="1:10" ht="15.75" customHeight="1" x14ac:dyDescent="0.25">
      <c r="A97" s="105" t="s">
        <v>153</v>
      </c>
      <c r="B97" s="106"/>
      <c r="C97" s="107" t="str">
        <f>D59</f>
        <v>Wing C (Jasmine) = G/St + 1st to 22nd Upper Floor</v>
      </c>
      <c r="D97" s="108"/>
      <c r="E97" s="108"/>
      <c r="F97" s="108"/>
      <c r="G97" s="108"/>
      <c r="H97" s="109"/>
      <c r="I97" s="37" t="str">
        <f ca="1">(IF(E101&gt;99%,"All work completed. Please provide OC.",IF(E101&gt;89.8%,"Plinth, RCC, Brick, Plaster, Flooring, Painting work Completed. Finishing work is in process.",IF(E101&lt;94%,(IF(C101=0,"Work not yet Started.",IF(D101=25%,"Piling work in process",IF(D101=50%,"Excavation work in process",IF(D101=100%,"Excavation work Completed. ","0")))&amp;(IF(C102=0%,"",IF(C102=J103,"Footing work is process",IF(C102=J104,"Footing work Completed",IF(C102=J105,"1st Basement Completed",IF(C102=J106,"1st &amp; 2nd Basement Completed",IF(C102=J107,"1st to 3rd Basement Completed",IF(C102=J108,"1st to 4th Basement Completed",IF(C102=J109,"Plinth work is process",IF(C102=J110,"Plinth work completed","0")))))))))))&amp;(IF(C103=(D98+F98+H98),", RCC Slab",IF(C103&gt;0,", RCC upto "&amp;C103&amp;" Slab",""))&amp;(IF(C104=H98,", Brickwork",IF(C104&gt;0,", Brickwork upto "&amp;C104&amp;" Floor",""))&amp;(IF(C105=H98,", Internal Plaster",IF(C105&gt;0,", Internal Plaster upto "&amp;C105&amp;" Floor",""))&amp;(IF(C106=H98,", External Plaster",IF(C106&gt;0,", External Plaster upto "&amp;C106&amp;" Floor",""))&amp;(IF(C107=H98,", Flooring",IF(C107&gt;0,", Flooring upto "&amp;C107&amp;" Floor",""))&amp;(IF(C108=H98,", Painting",IF(C108&gt;0,", Painting upto "&amp;C108&amp;" Floor",""))&amp;(IF(C109&gt;0,", Finishing upto "&amp;C109&amp;" Floor","")&amp;(IF(C103&gt;0.5," Completed",""))))))))))))))</f>
        <v>Excavation work Completed. Plinth work completed, RCC Slab, Brickwork, Internal Plaster, External Plaster, Flooring upto 15 Floor, Painting upto 9 Floor Completed</v>
      </c>
      <c r="J97" s="15"/>
    </row>
    <row r="98" spans="1:10" x14ac:dyDescent="0.25">
      <c r="A98" s="42" t="s">
        <v>155</v>
      </c>
      <c r="B98" s="65">
        <v>0</v>
      </c>
      <c r="C98" s="65" t="s">
        <v>76</v>
      </c>
      <c r="D98" s="65">
        <v>1</v>
      </c>
      <c r="E98" s="65" t="s">
        <v>75</v>
      </c>
      <c r="F98" s="65">
        <v>0</v>
      </c>
      <c r="G98" s="65" t="s">
        <v>88</v>
      </c>
      <c r="H98" s="44">
        <f ca="1">--TRIM(RIGHT(SUBSTITUTE(LEFT(C97,_xlfn.AGGREGATE(16,6,FIND({0,1,2,3,4,5,6,7,8,9},C97,ROW(INDIRECT("1:"&amp;LEN(C97)))),1))," ",REPT(" ",LEN(C97))),LEN(C97)))</f>
        <v>22</v>
      </c>
      <c r="I98" s="13"/>
      <c r="J98" s="16"/>
    </row>
    <row r="99" spans="1:10" ht="35.1" customHeight="1" x14ac:dyDescent="0.25">
      <c r="A99" s="110" t="s">
        <v>98</v>
      </c>
      <c r="B99" s="111"/>
      <c r="C99" s="112" t="str">
        <f ca="1">I97</f>
        <v>Excavation work Completed. Plinth work completed, RCC Slab, Brickwork, Internal Plaster, External Plaster, Flooring upto 15 Floor, Painting upto 9 Floor Completed</v>
      </c>
      <c r="D99" s="112"/>
      <c r="E99" s="112"/>
      <c r="F99" s="112"/>
      <c r="G99" s="112"/>
      <c r="H99" s="113"/>
      <c r="I99" s="13" t="s">
        <v>116</v>
      </c>
      <c r="J99" s="16"/>
    </row>
    <row r="100" spans="1:10" ht="15.75" customHeight="1" x14ac:dyDescent="0.25">
      <c r="A100" s="114" t="s">
        <v>51</v>
      </c>
      <c r="B100" s="115"/>
      <c r="C100" s="63" t="s">
        <v>152</v>
      </c>
      <c r="D100" s="63" t="s">
        <v>91</v>
      </c>
      <c r="E100" s="115" t="s">
        <v>93</v>
      </c>
      <c r="F100" s="115"/>
      <c r="G100" s="115" t="s">
        <v>92</v>
      </c>
      <c r="H100" s="116"/>
      <c r="I100" s="33" t="s">
        <v>154</v>
      </c>
      <c r="J100" s="17">
        <f ca="1">H98*25%</f>
        <v>5.5</v>
      </c>
    </row>
    <row r="101" spans="1:10" x14ac:dyDescent="0.25">
      <c r="A101" s="114" t="s">
        <v>141</v>
      </c>
      <c r="B101" s="115"/>
      <c r="C101" s="53">
        <v>22</v>
      </c>
      <c r="D101" s="61">
        <f ca="1">((100/H98)*C101)/100</f>
        <v>1.0000000000000002</v>
      </c>
      <c r="E101" s="117">
        <f ca="1">(((C102/H98*10)+(40/(D98+F98+H98)*C103)+(7.5/(H98)*C104)+(7.5/(H98)*C105)+(10/H98*C106)+(10/H98*C107)+(5/H98*C108)+(5/H98*C109)+(5/H98*C110))/100)</f>
        <v>0.83863636363636362</v>
      </c>
      <c r="F101" s="117"/>
      <c r="G101" s="117">
        <f ca="1">((((C101/H98)*20)+((C102/H98)*25)+(30/(H98+F98+D98)*C103)+(5/H98*C104)+(5/H98*C105)+(5/H98*C106)+(5/H98*C107)+(0/H98*C108)+(0/H98*C109)+(5/H98*C110))/100)</f>
        <v>0.93409090909090908</v>
      </c>
      <c r="H101" s="119"/>
      <c r="I101" s="33" t="s">
        <v>111</v>
      </c>
      <c r="J101" s="36">
        <f ca="1">H98*50%</f>
        <v>11</v>
      </c>
    </row>
    <row r="102" spans="1:10" x14ac:dyDescent="0.25">
      <c r="A102" s="114" t="s">
        <v>52</v>
      </c>
      <c r="B102" s="115"/>
      <c r="C102" s="55">
        <f ca="1">J110</f>
        <v>22</v>
      </c>
      <c r="D102" s="61">
        <f ca="1">((100/H98)*C102)/100</f>
        <v>1.0000000000000002</v>
      </c>
      <c r="E102" s="117"/>
      <c r="F102" s="117"/>
      <c r="G102" s="117"/>
      <c r="H102" s="119"/>
      <c r="I102" s="33" t="s">
        <v>112</v>
      </c>
      <c r="J102" s="36">
        <f ca="1">H98</f>
        <v>22</v>
      </c>
    </row>
    <row r="103" spans="1:10" ht="15.75" customHeight="1" x14ac:dyDescent="0.25">
      <c r="A103" s="114" t="s">
        <v>142</v>
      </c>
      <c r="B103" s="115"/>
      <c r="C103" s="55">
        <v>23</v>
      </c>
      <c r="D103" s="61">
        <f ca="1">((100/(D98+F98+H98))*C103)/100</f>
        <v>1</v>
      </c>
      <c r="E103" s="117"/>
      <c r="F103" s="117"/>
      <c r="G103" s="117"/>
      <c r="H103" s="119"/>
      <c r="I103" s="33" t="s">
        <v>113</v>
      </c>
      <c r="J103" s="39">
        <f ca="1">(IF(B98&gt;1,(H98/(B98+2)),H98/4))</f>
        <v>5.5</v>
      </c>
    </row>
    <row r="104" spans="1:10" ht="15.75" customHeight="1" x14ac:dyDescent="0.25">
      <c r="A104" s="114" t="s">
        <v>149</v>
      </c>
      <c r="B104" s="115" t="s">
        <v>143</v>
      </c>
      <c r="C104" s="55">
        <f>C103-1</f>
        <v>22</v>
      </c>
      <c r="D104" s="61">
        <f ca="1">((100/H98)*C104)/100</f>
        <v>1.0000000000000002</v>
      </c>
      <c r="E104" s="117"/>
      <c r="F104" s="117"/>
      <c r="G104" s="117"/>
      <c r="H104" s="119"/>
      <c r="I104" s="33" t="s">
        <v>114</v>
      </c>
      <c r="J104" s="39">
        <f ca="1">(IF(B98&gt;1,(H98/(B98+2)+J103),H98/4+J103))</f>
        <v>11</v>
      </c>
    </row>
    <row r="105" spans="1:10" ht="15.75" customHeight="1" x14ac:dyDescent="0.25">
      <c r="A105" s="114" t="s">
        <v>150</v>
      </c>
      <c r="B105" s="115" t="s">
        <v>143</v>
      </c>
      <c r="C105" s="55">
        <v>22</v>
      </c>
      <c r="D105" s="61">
        <f ca="1">((100/H98)*C105)/100</f>
        <v>1.0000000000000002</v>
      </c>
      <c r="E105" s="117"/>
      <c r="F105" s="117"/>
      <c r="G105" s="117"/>
      <c r="H105" s="119"/>
      <c r="I105" s="33" t="s">
        <v>159</v>
      </c>
      <c r="J105" s="39">
        <f>(IF(B98&gt;1,(H98/(B98+2)+J104),0))</f>
        <v>0</v>
      </c>
    </row>
    <row r="106" spans="1:10" ht="15" customHeight="1" x14ac:dyDescent="0.25">
      <c r="A106" s="114" t="s">
        <v>148</v>
      </c>
      <c r="B106" s="115" t="s">
        <v>145</v>
      </c>
      <c r="C106" s="55">
        <v>22</v>
      </c>
      <c r="D106" s="61">
        <f ca="1">((100/(H98))*C106)/100</f>
        <v>1.0000000000000002</v>
      </c>
      <c r="E106" s="117"/>
      <c r="F106" s="117"/>
      <c r="G106" s="117"/>
      <c r="H106" s="119"/>
      <c r="I106" s="33" t="s">
        <v>156</v>
      </c>
      <c r="J106" s="39">
        <f>(IF(B98&gt;2,(H98/(B98+2)+J105),0))</f>
        <v>0</v>
      </c>
    </row>
    <row r="107" spans="1:10" ht="15.75" customHeight="1" x14ac:dyDescent="0.25">
      <c r="A107" s="114" t="s">
        <v>144</v>
      </c>
      <c r="B107" s="115" t="s">
        <v>144</v>
      </c>
      <c r="C107" s="53">
        <v>15</v>
      </c>
      <c r="D107" s="61">
        <f ca="1">((100/H98)*C107)/100</f>
        <v>0.68181818181818188</v>
      </c>
      <c r="E107" s="117"/>
      <c r="F107" s="117"/>
      <c r="G107" s="117"/>
      <c r="H107" s="119"/>
      <c r="I107" s="33" t="s">
        <v>157</v>
      </c>
      <c r="J107" s="40">
        <f>(IF(B98&gt;3,(H98/(B98+2)+J106),0))</f>
        <v>0</v>
      </c>
    </row>
    <row r="108" spans="1:10" ht="15.75" customHeight="1" x14ac:dyDescent="0.25">
      <c r="A108" s="114" t="s">
        <v>151</v>
      </c>
      <c r="B108" s="115"/>
      <c r="C108" s="53">
        <v>9</v>
      </c>
      <c r="D108" s="61">
        <f ca="1">((100/H98)*C108)/100</f>
        <v>0.40909090909090912</v>
      </c>
      <c r="E108" s="117"/>
      <c r="F108" s="117"/>
      <c r="G108" s="117"/>
      <c r="H108" s="119"/>
      <c r="I108" s="33" t="s">
        <v>158</v>
      </c>
      <c r="J108" s="39">
        <f>(IF(B98&gt;4,(H98/(B98+2)+J107),0))</f>
        <v>0</v>
      </c>
    </row>
    <row r="109" spans="1:10" ht="15.75" customHeight="1" x14ac:dyDescent="0.25">
      <c r="A109" s="114" t="s">
        <v>146</v>
      </c>
      <c r="B109" s="115" t="s">
        <v>146</v>
      </c>
      <c r="C109" s="53">
        <v>0</v>
      </c>
      <c r="D109" s="61">
        <f ca="1">((100/(H98))*C109)/100</f>
        <v>0</v>
      </c>
      <c r="E109" s="117"/>
      <c r="F109" s="117"/>
      <c r="G109" s="117"/>
      <c r="H109" s="119"/>
      <c r="I109" s="33" t="s">
        <v>160</v>
      </c>
      <c r="J109" s="39">
        <f ca="1">(IF(B98=1,(H98/(B98+3)+J104),IF(B98=0,(H98/4+J104),IF(B98&gt;1,0))))</f>
        <v>16.5</v>
      </c>
    </row>
    <row r="110" spans="1:10" ht="16.5" thickBot="1" x14ac:dyDescent="0.3">
      <c r="A110" s="121" t="s">
        <v>147</v>
      </c>
      <c r="B110" s="122"/>
      <c r="C110" s="56">
        <v>0</v>
      </c>
      <c r="D110" s="62">
        <f ca="1">((100/(H98))*C110)/100</f>
        <v>0</v>
      </c>
      <c r="E110" s="118"/>
      <c r="F110" s="118"/>
      <c r="G110" s="118"/>
      <c r="H110" s="120"/>
      <c r="I110" s="38" t="s">
        <v>115</v>
      </c>
      <c r="J110" s="41">
        <f ca="1">(IF(B98&gt;1.5,(H98/(B98+2)+J104+MAX(0,J105-J104)+MAX(0,J106-J105)+MAX(0,J107-J106)+MAX(0,J108-J107)+MAX(0,J109-J108)),IF(B98=1,(H98/(B98+3)+J109),IF(B98=0,H98/4+J109))))</f>
        <v>22</v>
      </c>
    </row>
    <row r="111" spans="1:10" ht="15.75" customHeight="1" x14ac:dyDescent="0.25">
      <c r="A111" s="105" t="s">
        <v>153</v>
      </c>
      <c r="B111" s="106"/>
      <c r="C111" s="107" t="str">
        <f>D60</f>
        <v>Wing D (Lilac) = G/St + 1st to 22nd Upper Floor</v>
      </c>
      <c r="D111" s="108"/>
      <c r="E111" s="108"/>
      <c r="F111" s="108"/>
      <c r="G111" s="108"/>
      <c r="H111" s="109"/>
      <c r="I111" s="37" t="str">
        <f ca="1">(IF(E115&gt;99%,"All work completed. Please provide OC.",IF(E115&gt;89.8%,"Plinth, RCC, Brick, Plaster, Flooring, Painting work Completed. Finishing work is in process.",IF(E115&lt;94%,(IF(C115=0,"Work not yet Started.",IF(D115=25%,"Piling work in process",IF(D115=50%,"Excavation work in process",IF(D115=100%,"Excavation work Completed. ","0")))&amp;(IF(C116=0%,"",IF(C116=J117,"Footing work is process",IF(C116=J118,"Footing work Completed",IF(C116=J119,"1st Basement Completed",IF(C116=J120,"1st &amp; 2nd Basement Completed",IF(C116=J121,"1st to 3rd Basement Completed",IF(C116=J122,"1st to 4th Basement Completed",IF(C116=J123,"Plinth work is process",IF(C116=J124,"Plinth work completed","0")))))))))))&amp;(IF(C117=(D112+F112+H112),", RCC Slab",IF(C117&gt;0,", RCC upto "&amp;C117&amp;" Slab",""))&amp;(IF(C118=H112,", Brickwork",IF(C118&gt;0,", Brickwork upto "&amp;C118&amp;" Floor",""))&amp;(IF(C119=H112,", Internal Plaster",IF(C119&gt;0,", Internal Plaster upto "&amp;C119&amp;" Floor",""))&amp;(IF(C120=H112,", External Plaster",IF(C120&gt;0,", External Plaster upto "&amp;C120&amp;" Floor",""))&amp;(IF(C121=H112,", Flooring",IF(C121&gt;0,", Flooring upto "&amp;C121&amp;" Floor",""))&amp;(IF(C122=H112,", Painting",IF(C122&gt;0,", Painting upto "&amp;C122&amp;" Floor",""))&amp;(IF(C123&gt;0,", Finishing upto "&amp;C123&amp;" Floor","")&amp;(IF(C117&gt;0.5," Completed",""))))))))))))))</f>
        <v>Excavation work Completed. Plinth work completed, RCC Slab, Brickwork, Internal Plaster upto 18.7 Floor, External Plaster upto 16.5 Floor, Flooring upto 8 Floor Completed</v>
      </c>
      <c r="J111" s="15"/>
    </row>
    <row r="112" spans="1:10" x14ac:dyDescent="0.25">
      <c r="A112" s="42" t="s">
        <v>155</v>
      </c>
      <c r="B112" s="69">
        <v>0</v>
      </c>
      <c r="C112" s="69" t="s">
        <v>76</v>
      </c>
      <c r="D112" s="69">
        <v>1</v>
      </c>
      <c r="E112" s="69" t="s">
        <v>75</v>
      </c>
      <c r="F112" s="69">
        <v>0</v>
      </c>
      <c r="G112" s="69" t="s">
        <v>88</v>
      </c>
      <c r="H112" s="44">
        <f ca="1">--TRIM(RIGHT(SUBSTITUTE(LEFT(C111,_xlfn.AGGREGATE(16,6,FIND({0,1,2,3,4,5,6,7,8,9},C111,ROW(INDIRECT("1:"&amp;LEN(C111)))),1))," ",REPT(" ",LEN(C111))),LEN(C111)))</f>
        <v>22</v>
      </c>
      <c r="I112" s="13"/>
      <c r="J112" s="16"/>
    </row>
    <row r="113" spans="1:10" ht="47.1" customHeight="1" x14ac:dyDescent="0.25">
      <c r="A113" s="110" t="s">
        <v>98</v>
      </c>
      <c r="B113" s="111"/>
      <c r="C113" s="112" t="str">
        <f ca="1">I111</f>
        <v>Excavation work Completed. Plinth work completed, RCC Slab, Brickwork, Internal Plaster upto 18.7 Floor, External Plaster upto 16.5 Floor, Flooring upto 8 Floor Completed</v>
      </c>
      <c r="D113" s="112"/>
      <c r="E113" s="112"/>
      <c r="F113" s="112"/>
      <c r="G113" s="112"/>
      <c r="H113" s="113"/>
      <c r="I113" s="13" t="s">
        <v>116</v>
      </c>
      <c r="J113" s="16"/>
    </row>
    <row r="114" spans="1:10" ht="15.75" customHeight="1" x14ac:dyDescent="0.25">
      <c r="A114" s="114" t="s">
        <v>51</v>
      </c>
      <c r="B114" s="115"/>
      <c r="C114" s="68" t="s">
        <v>152</v>
      </c>
      <c r="D114" s="68" t="s">
        <v>91</v>
      </c>
      <c r="E114" s="115" t="s">
        <v>93</v>
      </c>
      <c r="F114" s="115"/>
      <c r="G114" s="115" t="s">
        <v>92</v>
      </c>
      <c r="H114" s="116"/>
      <c r="I114" s="33" t="s">
        <v>154</v>
      </c>
      <c r="J114" s="17">
        <f ca="1">H112*25%</f>
        <v>5.5</v>
      </c>
    </row>
    <row r="115" spans="1:10" x14ac:dyDescent="0.25">
      <c r="A115" s="114" t="s">
        <v>141</v>
      </c>
      <c r="B115" s="115"/>
      <c r="C115" s="53">
        <v>22</v>
      </c>
      <c r="D115" s="70">
        <f ca="1">((100/H112)*C115)/100</f>
        <v>1.0000000000000002</v>
      </c>
      <c r="E115" s="117">
        <f ca="1">(((C116/H112*10)+(40/(D112+F112+H112)*C117)+(7.5/(H112)*C118)+(7.5/(H112)*C119)+(10/H112*C120)+(10/H112*C121)+(5/H112*C122)+(5/H112*C123)+(5/H112*C124))/100)</f>
        <v>0.75011363636363637</v>
      </c>
      <c r="F115" s="117"/>
      <c r="G115" s="117">
        <f ca="1">((((C115/H112)*20)+((C116/H112)*25)+(30/(H112+F112+D112)*C117)+(5/H112*C118)+(5/H112*C119)+(5/H112*C120)+(5/H112*C121)+(0/H112*C122)+(0/H112*C123)+(5/H112*C124))/100)</f>
        <v>0.89818181818181808</v>
      </c>
      <c r="H115" s="119"/>
      <c r="I115" s="33" t="s">
        <v>111</v>
      </c>
      <c r="J115" s="36">
        <f ca="1">H112*50%</f>
        <v>11</v>
      </c>
    </row>
    <row r="116" spans="1:10" x14ac:dyDescent="0.25">
      <c r="A116" s="114" t="s">
        <v>52</v>
      </c>
      <c r="B116" s="115"/>
      <c r="C116" s="55">
        <f ca="1">J124</f>
        <v>22</v>
      </c>
      <c r="D116" s="70">
        <f ca="1">((100/H112)*C116)/100</f>
        <v>1.0000000000000002</v>
      </c>
      <c r="E116" s="117"/>
      <c r="F116" s="117"/>
      <c r="G116" s="117"/>
      <c r="H116" s="119"/>
      <c r="I116" s="33" t="s">
        <v>112</v>
      </c>
      <c r="J116" s="36">
        <f ca="1">H112</f>
        <v>22</v>
      </c>
    </row>
    <row r="117" spans="1:10" ht="15.75" customHeight="1" x14ac:dyDescent="0.25">
      <c r="A117" s="114" t="s">
        <v>142</v>
      </c>
      <c r="B117" s="115"/>
      <c r="C117" s="55">
        <v>23</v>
      </c>
      <c r="D117" s="70">
        <f ca="1">((100/(D112+F112+H112))*C117)/100</f>
        <v>1</v>
      </c>
      <c r="E117" s="117"/>
      <c r="F117" s="117"/>
      <c r="G117" s="117"/>
      <c r="H117" s="119"/>
      <c r="I117" s="33" t="s">
        <v>113</v>
      </c>
      <c r="J117" s="39">
        <f ca="1">(IF(B112&gt;1,(H112/(B112+2)),H112/4))</f>
        <v>5.5</v>
      </c>
    </row>
    <row r="118" spans="1:10" ht="15.75" customHeight="1" x14ac:dyDescent="0.25">
      <c r="A118" s="114" t="s">
        <v>149</v>
      </c>
      <c r="B118" s="115" t="s">
        <v>143</v>
      </c>
      <c r="C118" s="55">
        <f>C117-1</f>
        <v>22</v>
      </c>
      <c r="D118" s="70">
        <f ca="1">((100/H112)*C118)/100</f>
        <v>1.0000000000000002</v>
      </c>
      <c r="E118" s="117"/>
      <c r="F118" s="117"/>
      <c r="G118" s="117"/>
      <c r="H118" s="119"/>
      <c r="I118" s="33" t="s">
        <v>114</v>
      </c>
      <c r="J118" s="39">
        <f ca="1">(IF(B112&gt;1,(H112/(B112+2)+J117),H112/4+J117))</f>
        <v>11</v>
      </c>
    </row>
    <row r="119" spans="1:10" ht="15.75" customHeight="1" x14ac:dyDescent="0.25">
      <c r="A119" s="114" t="s">
        <v>150</v>
      </c>
      <c r="B119" s="115" t="s">
        <v>143</v>
      </c>
      <c r="C119" s="55">
        <f>C118*0.85</f>
        <v>18.7</v>
      </c>
      <c r="D119" s="70">
        <f ca="1">((100/H112)*C119)/100</f>
        <v>0.85</v>
      </c>
      <c r="E119" s="117"/>
      <c r="F119" s="117"/>
      <c r="G119" s="117"/>
      <c r="H119" s="119"/>
      <c r="I119" s="33" t="s">
        <v>159</v>
      </c>
      <c r="J119" s="39">
        <f>(IF(B112&gt;1,(H112/(B112+2)+J118),0))</f>
        <v>0</v>
      </c>
    </row>
    <row r="120" spans="1:10" ht="15" customHeight="1" x14ac:dyDescent="0.25">
      <c r="A120" s="114" t="s">
        <v>148</v>
      </c>
      <c r="B120" s="115" t="s">
        <v>145</v>
      </c>
      <c r="C120" s="55">
        <f>C118*0.75</f>
        <v>16.5</v>
      </c>
      <c r="D120" s="70">
        <f ca="1">((100/(H112))*C120)/100</f>
        <v>0.75</v>
      </c>
      <c r="E120" s="117"/>
      <c r="F120" s="117"/>
      <c r="G120" s="117"/>
      <c r="H120" s="119"/>
      <c r="I120" s="33" t="s">
        <v>156</v>
      </c>
      <c r="J120" s="39">
        <f>(IF(B112&gt;2,(H112/(B112+2)+J119),0))</f>
        <v>0</v>
      </c>
    </row>
    <row r="121" spans="1:10" ht="15.75" customHeight="1" x14ac:dyDescent="0.25">
      <c r="A121" s="114" t="s">
        <v>144</v>
      </c>
      <c r="B121" s="115" t="s">
        <v>144</v>
      </c>
      <c r="C121" s="53">
        <v>8</v>
      </c>
      <c r="D121" s="70">
        <f ca="1">((100/H112)*C121)/100</f>
        <v>0.36363636363636365</v>
      </c>
      <c r="E121" s="117"/>
      <c r="F121" s="117"/>
      <c r="G121" s="117"/>
      <c r="H121" s="119"/>
      <c r="I121" s="33" t="s">
        <v>157</v>
      </c>
      <c r="J121" s="40">
        <f>(IF(B112&gt;3,(H112/(B112+2)+J120),0))</f>
        <v>0</v>
      </c>
    </row>
    <row r="122" spans="1:10" ht="15.75" customHeight="1" x14ac:dyDescent="0.25">
      <c r="A122" s="114" t="s">
        <v>151</v>
      </c>
      <c r="B122" s="115"/>
      <c r="C122" s="53">
        <v>0</v>
      </c>
      <c r="D122" s="70">
        <f ca="1">((100/H112)*C122)/100</f>
        <v>0</v>
      </c>
      <c r="E122" s="117"/>
      <c r="F122" s="117"/>
      <c r="G122" s="117"/>
      <c r="H122" s="119"/>
      <c r="I122" s="33" t="s">
        <v>158</v>
      </c>
      <c r="J122" s="39">
        <f>(IF(B112&gt;4,(H112/(B112+2)+J121),0))</f>
        <v>0</v>
      </c>
    </row>
    <row r="123" spans="1:10" ht="15.75" customHeight="1" x14ac:dyDescent="0.25">
      <c r="A123" s="114" t="s">
        <v>146</v>
      </c>
      <c r="B123" s="115" t="s">
        <v>146</v>
      </c>
      <c r="C123" s="53">
        <v>0</v>
      </c>
      <c r="D123" s="70">
        <f ca="1">((100/(H112))*C123)/100</f>
        <v>0</v>
      </c>
      <c r="E123" s="117"/>
      <c r="F123" s="117"/>
      <c r="G123" s="117"/>
      <c r="H123" s="119"/>
      <c r="I123" s="33" t="s">
        <v>160</v>
      </c>
      <c r="J123" s="39">
        <f ca="1">(IF(B112=1,(H112/(B112+3)+J118),IF(B112=0,(H112/4+J118),IF(B112&gt;1,0))))</f>
        <v>16.5</v>
      </c>
    </row>
    <row r="124" spans="1:10" ht="16.5" thickBot="1" x14ac:dyDescent="0.3">
      <c r="A124" s="121" t="s">
        <v>147</v>
      </c>
      <c r="B124" s="122"/>
      <c r="C124" s="56">
        <v>0</v>
      </c>
      <c r="D124" s="71">
        <f ca="1">((100/(H112))*C124)/100</f>
        <v>0</v>
      </c>
      <c r="E124" s="118"/>
      <c r="F124" s="118"/>
      <c r="G124" s="118"/>
      <c r="H124" s="120"/>
      <c r="I124" s="38" t="s">
        <v>115</v>
      </c>
      <c r="J124" s="41">
        <f ca="1">(IF(B112&gt;1.5,(H112/(B112+2)+J118+MAX(0,J119-J118)+MAX(0,J120-J119)+MAX(0,J121-J120)+MAX(0,J122-J121)+MAX(0,J123-J122)),IF(B112=1,(H112/(B112+3)+J123),IF(B112=0,H112/4+J123))))</f>
        <v>22</v>
      </c>
    </row>
    <row r="125" spans="1:10" ht="15.75" customHeight="1" x14ac:dyDescent="0.25">
      <c r="A125" s="105" t="s">
        <v>153</v>
      </c>
      <c r="B125" s="106"/>
      <c r="C125" s="107" t="str">
        <f>D61</f>
        <v>Wing E (Marigold) = G/St + 1st to 22nd Upper Floor</v>
      </c>
      <c r="D125" s="108"/>
      <c r="E125" s="108"/>
      <c r="F125" s="108"/>
      <c r="G125" s="108"/>
      <c r="H125" s="109"/>
      <c r="I125" s="37" t="str">
        <f ca="1">(IF(E129&gt;99%,"All work completed. Please provide OC.",IF(E129&gt;89.8%,"Plinth, RCC, Brick, Plaster, Flooring, Painting work Completed. Finishing work is in process.",IF(E129&lt;94%,(IF(C129=0,"Work not yet Started.",IF(D129=25%,"Piling work in process",IF(D129=50%,"Excavation work in process",IF(D129=100%,"Excavation work Completed. ","0")))&amp;(IF(C130=0%,"",IF(C130=J131,"Footing work is process",IF(C130=J132,"Footing work Completed",IF(C130=J133,"1st Basement Completed",IF(C130=J134,"1st &amp; 2nd Basement Completed",IF(C130=J135,"1st to 3rd Basement Completed",IF(C130=J136,"1st to 4th Basement Completed",IF(C130=J137,"Plinth work is process",IF(C130=J138,"Plinth work completed","0")))))))))))&amp;(IF(C131=(D126+F126+H126),", RCC Slab",IF(C131&gt;0,", RCC upto "&amp;C131&amp;" Slab",""))&amp;(IF(C132=H126,", Brickwork",IF(C132&gt;0,", Brickwork upto "&amp;C132&amp;" Floor",""))&amp;(IF(C133=H126,", Internal Plaster",IF(C133&gt;0,", Internal Plaster upto "&amp;C133&amp;" Floor",""))&amp;(IF(C134=H126,", External Plaster",IF(C134&gt;0,", External Plaster upto "&amp;C134&amp;" Floor",""))&amp;(IF(C135=H126,", Flooring",IF(C135&gt;0,", Flooring upto "&amp;C135&amp;" Floor",""))&amp;(IF(C136=H126,", Painting",IF(C136&gt;0,", Painting upto "&amp;C136&amp;" Floor",""))&amp;(IF(C137&gt;0,", Finishing upto "&amp;C137&amp;" Floor","")&amp;(IF(C131&gt;0.5," Completed",""))))))))))))))</f>
        <v>Excavation work Completed. Plinth work completed</v>
      </c>
      <c r="J125" s="15"/>
    </row>
    <row r="126" spans="1:10" x14ac:dyDescent="0.25">
      <c r="A126" s="42" t="s">
        <v>155</v>
      </c>
      <c r="B126" s="69">
        <v>0</v>
      </c>
      <c r="C126" s="69" t="s">
        <v>76</v>
      </c>
      <c r="D126" s="69">
        <v>1</v>
      </c>
      <c r="E126" s="69" t="s">
        <v>75</v>
      </c>
      <c r="F126" s="69">
        <v>0</v>
      </c>
      <c r="G126" s="69" t="s">
        <v>88</v>
      </c>
      <c r="H126" s="44">
        <f ca="1">--TRIM(RIGHT(SUBSTITUTE(LEFT(C125,_xlfn.AGGREGATE(16,6,FIND({0,1,2,3,4,5,6,7,8,9},C125,ROW(INDIRECT("1:"&amp;LEN(C125)))),1))," ",REPT(" ",LEN(C125))),LEN(C125)))</f>
        <v>22</v>
      </c>
      <c r="I126" s="13"/>
      <c r="J126" s="16"/>
    </row>
    <row r="127" spans="1:10" x14ac:dyDescent="0.25">
      <c r="A127" s="110" t="s">
        <v>98</v>
      </c>
      <c r="B127" s="111"/>
      <c r="C127" s="112" t="str">
        <f ca="1">I125</f>
        <v>Excavation work Completed. Plinth work completed</v>
      </c>
      <c r="D127" s="112"/>
      <c r="E127" s="112"/>
      <c r="F127" s="112"/>
      <c r="G127" s="112"/>
      <c r="H127" s="113"/>
      <c r="I127" s="13" t="s">
        <v>116</v>
      </c>
      <c r="J127" s="16"/>
    </row>
    <row r="128" spans="1:10" ht="15.75" customHeight="1" x14ac:dyDescent="0.25">
      <c r="A128" s="114" t="s">
        <v>51</v>
      </c>
      <c r="B128" s="115"/>
      <c r="C128" s="68" t="s">
        <v>152</v>
      </c>
      <c r="D128" s="68" t="s">
        <v>91</v>
      </c>
      <c r="E128" s="115" t="s">
        <v>93</v>
      </c>
      <c r="F128" s="115"/>
      <c r="G128" s="115" t="s">
        <v>92</v>
      </c>
      <c r="H128" s="116"/>
      <c r="I128" s="33" t="s">
        <v>154</v>
      </c>
      <c r="J128" s="17">
        <f ca="1">H126*25%</f>
        <v>5.5</v>
      </c>
    </row>
    <row r="129" spans="1:11" x14ac:dyDescent="0.25">
      <c r="A129" s="114" t="s">
        <v>141</v>
      </c>
      <c r="B129" s="115"/>
      <c r="C129" s="53">
        <v>22</v>
      </c>
      <c r="D129" s="70">
        <f ca="1">((100/H126)*C129)/100</f>
        <v>1.0000000000000002</v>
      </c>
      <c r="E129" s="117">
        <f ca="1">(((C130/H126*10)+(40/(D126+F126+H126)*C131)+(7.5/(H126)*C132)+(7.5/(H126)*C133)+(10/H126*C134)+(10/H126*C135)+(5/H126*C136)+(5/H126*C137)+(5/H126*C138))/100)</f>
        <v>0.1</v>
      </c>
      <c r="F129" s="117"/>
      <c r="G129" s="117">
        <f ca="1">((((C129/H126)*20)+((C130/H126)*25)+(30/(H126+F126+D126)*C131)+(5/H126*C132)+(5/H126*C133)+(5/H126*C134)+(5/H126*C135)+(0/H126*C136)+(0/H126*C137)+(5/H126*C138))/100)</f>
        <v>0.45</v>
      </c>
      <c r="H129" s="119"/>
      <c r="I129" s="33" t="s">
        <v>111</v>
      </c>
      <c r="J129" s="36">
        <f ca="1">H126*50%</f>
        <v>11</v>
      </c>
    </row>
    <row r="130" spans="1:11" x14ac:dyDescent="0.25">
      <c r="A130" s="114" t="s">
        <v>52</v>
      </c>
      <c r="B130" s="115"/>
      <c r="C130" s="55">
        <f ca="1">J138</f>
        <v>22</v>
      </c>
      <c r="D130" s="70">
        <f ca="1">((100/H126)*C130)/100</f>
        <v>1.0000000000000002</v>
      </c>
      <c r="E130" s="117"/>
      <c r="F130" s="117"/>
      <c r="G130" s="117"/>
      <c r="H130" s="119"/>
      <c r="I130" s="33" t="s">
        <v>112</v>
      </c>
      <c r="J130" s="36">
        <f ca="1">H126</f>
        <v>22</v>
      </c>
    </row>
    <row r="131" spans="1:11" ht="15.75" customHeight="1" x14ac:dyDescent="0.25">
      <c r="A131" s="114" t="s">
        <v>142</v>
      </c>
      <c r="B131" s="115"/>
      <c r="C131" s="55">
        <v>0</v>
      </c>
      <c r="D131" s="70">
        <f ca="1">((100/(D126+F126+H126))*C131)/100</f>
        <v>0</v>
      </c>
      <c r="E131" s="117"/>
      <c r="F131" s="117"/>
      <c r="G131" s="117"/>
      <c r="H131" s="119"/>
      <c r="I131" s="33" t="s">
        <v>113</v>
      </c>
      <c r="J131" s="39">
        <f ca="1">(IF(B126&gt;1,(H126/(B126+2)),H126/4))</f>
        <v>5.5</v>
      </c>
    </row>
    <row r="132" spans="1:11" ht="15.75" customHeight="1" x14ac:dyDescent="0.25">
      <c r="A132" s="114" t="s">
        <v>149</v>
      </c>
      <c r="B132" s="115" t="s">
        <v>143</v>
      </c>
      <c r="C132" s="55">
        <v>0</v>
      </c>
      <c r="D132" s="70">
        <f ca="1">((100/H126)*C132)/100</f>
        <v>0</v>
      </c>
      <c r="E132" s="117"/>
      <c r="F132" s="117"/>
      <c r="G132" s="117"/>
      <c r="H132" s="119"/>
      <c r="I132" s="33" t="s">
        <v>114</v>
      </c>
      <c r="J132" s="39">
        <f ca="1">(IF(B126&gt;1,(H126/(B126+2)+J131),H126/4+J131))</f>
        <v>11</v>
      </c>
    </row>
    <row r="133" spans="1:11" ht="15.75" customHeight="1" x14ac:dyDescent="0.25">
      <c r="A133" s="114" t="s">
        <v>150</v>
      </c>
      <c r="B133" s="115" t="s">
        <v>143</v>
      </c>
      <c r="C133" s="53">
        <v>0</v>
      </c>
      <c r="D133" s="70">
        <f ca="1">((100/H126)*C133)/100</f>
        <v>0</v>
      </c>
      <c r="E133" s="117"/>
      <c r="F133" s="117"/>
      <c r="G133" s="117"/>
      <c r="H133" s="119"/>
      <c r="I133" s="33" t="s">
        <v>159</v>
      </c>
      <c r="J133" s="39">
        <f>(IF(B126&gt;1,(H126/(B126+2)+J132),0))</f>
        <v>0</v>
      </c>
    </row>
    <row r="134" spans="1:11" ht="15" customHeight="1" x14ac:dyDescent="0.25">
      <c r="A134" s="114" t="s">
        <v>148</v>
      </c>
      <c r="B134" s="115" t="s">
        <v>145</v>
      </c>
      <c r="C134" s="53">
        <f>C133</f>
        <v>0</v>
      </c>
      <c r="D134" s="70">
        <f ca="1">((100/(H126))*C134)/100</f>
        <v>0</v>
      </c>
      <c r="E134" s="117"/>
      <c r="F134" s="117"/>
      <c r="G134" s="117"/>
      <c r="H134" s="119"/>
      <c r="I134" s="33" t="s">
        <v>156</v>
      </c>
      <c r="J134" s="39">
        <f>(IF(B126&gt;2,(H126/(B126+2)+J133),0))</f>
        <v>0</v>
      </c>
    </row>
    <row r="135" spans="1:11" ht="15.75" customHeight="1" x14ac:dyDescent="0.25">
      <c r="A135" s="114" t="s">
        <v>144</v>
      </c>
      <c r="B135" s="115" t="s">
        <v>144</v>
      </c>
      <c r="C135" s="53">
        <v>0</v>
      </c>
      <c r="D135" s="70">
        <f ca="1">((100/H126)*C135)/100</f>
        <v>0</v>
      </c>
      <c r="E135" s="117"/>
      <c r="F135" s="117"/>
      <c r="G135" s="117"/>
      <c r="H135" s="119"/>
      <c r="I135" s="33" t="s">
        <v>157</v>
      </c>
      <c r="J135" s="40">
        <f>(IF(B126&gt;3,(H126/(B126+2)+J134),0))</f>
        <v>0</v>
      </c>
    </row>
    <row r="136" spans="1:11" ht="15.75" customHeight="1" x14ac:dyDescent="0.25">
      <c r="A136" s="114" t="s">
        <v>151</v>
      </c>
      <c r="B136" s="115"/>
      <c r="C136" s="53">
        <v>0</v>
      </c>
      <c r="D136" s="70">
        <f ca="1">((100/H126)*C136)/100</f>
        <v>0</v>
      </c>
      <c r="E136" s="117"/>
      <c r="F136" s="117"/>
      <c r="G136" s="117"/>
      <c r="H136" s="119"/>
      <c r="I136" s="33" t="s">
        <v>158</v>
      </c>
      <c r="J136" s="39">
        <f>(IF(B126&gt;4,(H126/(B126+2)+J135),0))</f>
        <v>0</v>
      </c>
    </row>
    <row r="137" spans="1:11" ht="15.75" customHeight="1" x14ac:dyDescent="0.25">
      <c r="A137" s="114" t="s">
        <v>146</v>
      </c>
      <c r="B137" s="115" t="s">
        <v>146</v>
      </c>
      <c r="C137" s="53">
        <v>0</v>
      </c>
      <c r="D137" s="70">
        <f ca="1">((100/(H126))*C137)/100</f>
        <v>0</v>
      </c>
      <c r="E137" s="117"/>
      <c r="F137" s="117"/>
      <c r="G137" s="117"/>
      <c r="H137" s="119"/>
      <c r="I137" s="33" t="s">
        <v>160</v>
      </c>
      <c r="J137" s="39">
        <f ca="1">(IF(B126=1,(H126/(B126+3)+J132),IF(B126=0,(H126/4+J132),IF(B126&gt;1,0))))</f>
        <v>16.5</v>
      </c>
    </row>
    <row r="138" spans="1:11" ht="16.5" thickBot="1" x14ac:dyDescent="0.3">
      <c r="A138" s="121" t="s">
        <v>147</v>
      </c>
      <c r="B138" s="122"/>
      <c r="C138" s="56">
        <v>0</v>
      </c>
      <c r="D138" s="71">
        <f ca="1">((100/(H126))*C138)/100</f>
        <v>0</v>
      </c>
      <c r="E138" s="118"/>
      <c r="F138" s="118"/>
      <c r="G138" s="118"/>
      <c r="H138" s="120"/>
      <c r="I138" s="38" t="s">
        <v>115</v>
      </c>
      <c r="J138" s="41">
        <f ca="1">(IF(B126&gt;1.5,(H126/(B126+2)+J132+MAX(0,J133-J132)+MAX(0,J134-J133)+MAX(0,J135-J134)+MAX(0,J136-J135)+MAX(0,J137-J136)),IF(B126=1,(H126/(B126+3)+J137),IF(B126=0,H126/4+J137))))</f>
        <v>22</v>
      </c>
    </row>
    <row r="139" spans="1:11" x14ac:dyDescent="0.25">
      <c r="A139" s="153" t="s">
        <v>53</v>
      </c>
      <c r="B139" s="153"/>
      <c r="C139" s="153"/>
      <c r="D139" s="153"/>
      <c r="E139" s="153"/>
      <c r="F139" s="153"/>
      <c r="G139" s="153"/>
      <c r="H139" s="153"/>
      <c r="I139" s="3" t="s">
        <v>214</v>
      </c>
      <c r="J139" s="34">
        <v>45290</v>
      </c>
      <c r="K139" s="3" t="s">
        <v>215</v>
      </c>
    </row>
    <row r="140" spans="1:11" x14ac:dyDescent="0.25">
      <c r="A140" s="124" t="s">
        <v>80</v>
      </c>
      <c r="B140" s="124"/>
      <c r="C140" s="124"/>
      <c r="D140" s="124"/>
      <c r="E140" s="124"/>
      <c r="F140" s="136">
        <v>8600</v>
      </c>
      <c r="G140" s="136"/>
      <c r="H140" s="136"/>
      <c r="I140" s="3" t="s">
        <v>255</v>
      </c>
    </row>
    <row r="141" spans="1:11" x14ac:dyDescent="0.25">
      <c r="A141" s="124" t="s">
        <v>86</v>
      </c>
      <c r="B141" s="124"/>
      <c r="C141" s="124"/>
      <c r="D141" s="124"/>
      <c r="E141" s="124"/>
      <c r="F141" s="136">
        <v>12000</v>
      </c>
      <c r="G141" s="136"/>
      <c r="H141" s="136"/>
    </row>
    <row r="142" spans="1:11" hidden="1" x14ac:dyDescent="0.25">
      <c r="A142" s="124" t="s">
        <v>87</v>
      </c>
      <c r="B142" s="124"/>
      <c r="C142" s="124"/>
      <c r="D142" s="124"/>
      <c r="E142" s="124"/>
      <c r="F142" s="136"/>
      <c r="G142" s="136"/>
      <c r="H142" s="136"/>
    </row>
    <row r="143" spans="1:11" s="7" customFormat="1" x14ac:dyDescent="0.25">
      <c r="A143" s="124" t="s">
        <v>103</v>
      </c>
      <c r="B143" s="124"/>
      <c r="C143" s="124"/>
      <c r="D143" s="124"/>
      <c r="E143" s="124"/>
      <c r="F143" s="136" t="s">
        <v>198</v>
      </c>
      <c r="G143" s="136"/>
      <c r="H143" s="136"/>
    </row>
    <row r="144" spans="1:11" s="7" customFormat="1" hidden="1" x14ac:dyDescent="0.25">
      <c r="A144" s="124" t="s">
        <v>104</v>
      </c>
      <c r="B144" s="124"/>
      <c r="C144" s="124"/>
      <c r="D144" s="124"/>
      <c r="E144" s="124"/>
      <c r="F144" s="136" t="s">
        <v>30</v>
      </c>
      <c r="G144" s="136"/>
      <c r="H144" s="136"/>
    </row>
    <row r="145" spans="1:8" s="7" customFormat="1" hidden="1" x14ac:dyDescent="0.25">
      <c r="A145" s="124" t="s">
        <v>105</v>
      </c>
      <c r="B145" s="124"/>
      <c r="C145" s="124"/>
      <c r="D145" s="124"/>
      <c r="E145" s="124"/>
      <c r="F145" s="136" t="s">
        <v>30</v>
      </c>
      <c r="G145" s="136"/>
      <c r="H145" s="136"/>
    </row>
    <row r="146" spans="1:8" s="7" customFormat="1" hidden="1" x14ac:dyDescent="0.25">
      <c r="A146" s="124" t="s">
        <v>106</v>
      </c>
      <c r="B146" s="124"/>
      <c r="C146" s="124"/>
      <c r="D146" s="124"/>
      <c r="E146" s="124"/>
      <c r="F146" s="136" t="s">
        <v>30</v>
      </c>
      <c r="G146" s="136"/>
      <c r="H146" s="136"/>
    </row>
    <row r="147" spans="1:8" s="7" customFormat="1" hidden="1" x14ac:dyDescent="0.25">
      <c r="A147" s="124" t="s">
        <v>107</v>
      </c>
      <c r="B147" s="124"/>
      <c r="C147" s="124"/>
      <c r="D147" s="124"/>
      <c r="E147" s="124"/>
      <c r="F147" s="136" t="s">
        <v>30</v>
      </c>
      <c r="G147" s="136"/>
      <c r="H147" s="136"/>
    </row>
    <row r="148" spans="1:8" s="7" customFormat="1" hidden="1" x14ac:dyDescent="0.25">
      <c r="A148" s="134" t="s">
        <v>108</v>
      </c>
      <c r="B148" s="134"/>
      <c r="C148" s="134"/>
      <c r="D148" s="134"/>
      <c r="E148" s="134"/>
      <c r="F148" s="136" t="s">
        <v>30</v>
      </c>
      <c r="G148" s="136"/>
      <c r="H148" s="136"/>
    </row>
    <row r="149" spans="1:8" s="7" customFormat="1" hidden="1" x14ac:dyDescent="0.25">
      <c r="A149" s="134" t="s">
        <v>109</v>
      </c>
      <c r="B149" s="134"/>
      <c r="C149" s="134"/>
      <c r="D149" s="134"/>
      <c r="E149" s="134"/>
      <c r="F149" s="136" t="s">
        <v>30</v>
      </c>
      <c r="G149" s="136"/>
      <c r="H149" s="136"/>
    </row>
    <row r="150" spans="1:8" s="7" customFormat="1" hidden="1" x14ac:dyDescent="0.25">
      <c r="A150" s="134" t="s">
        <v>110</v>
      </c>
      <c r="B150" s="134"/>
      <c r="C150" s="134"/>
      <c r="D150" s="134"/>
      <c r="E150" s="134"/>
      <c r="F150" s="136" t="s">
        <v>30</v>
      </c>
      <c r="G150" s="136"/>
      <c r="H150" s="136"/>
    </row>
    <row r="151" spans="1:8" x14ac:dyDescent="0.25">
      <c r="A151" s="134" t="s">
        <v>54</v>
      </c>
      <c r="B151" s="134"/>
      <c r="C151" s="134"/>
      <c r="D151" s="134"/>
      <c r="E151" s="134"/>
      <c r="F151" s="135" t="s">
        <v>197</v>
      </c>
      <c r="G151" s="135"/>
      <c r="H151" s="135"/>
    </row>
    <row r="152" spans="1:8" s="4" customFormat="1" x14ac:dyDescent="0.25">
      <c r="A152" s="174" t="s">
        <v>55</v>
      </c>
      <c r="B152" s="174"/>
      <c r="C152" s="174"/>
      <c r="D152" s="174"/>
      <c r="E152" s="174"/>
      <c r="F152" s="136">
        <f>F140*0.8</f>
        <v>6880</v>
      </c>
      <c r="G152" s="136"/>
      <c r="H152" s="136"/>
    </row>
    <row r="153" spans="1:8" s="1" customFormat="1" ht="15.75" customHeight="1" x14ac:dyDescent="0.25">
      <c r="A153" s="167" t="s">
        <v>81</v>
      </c>
      <c r="B153" s="167"/>
      <c r="C153" s="167"/>
      <c r="D153" s="167"/>
      <c r="E153" s="167"/>
      <c r="F153" s="167"/>
      <c r="G153" s="167"/>
      <c r="H153" s="167"/>
    </row>
    <row r="154" spans="1:8" s="1" customFormat="1" ht="15.75" customHeight="1" x14ac:dyDescent="0.25">
      <c r="A154" s="182" t="s">
        <v>56</v>
      </c>
      <c r="B154" s="183"/>
      <c r="C154" s="184"/>
      <c r="D154" s="47" t="s">
        <v>84</v>
      </c>
      <c r="E154" s="157" t="s">
        <v>57</v>
      </c>
      <c r="F154" s="157"/>
      <c r="G154" s="164" t="s">
        <v>58</v>
      </c>
      <c r="H154" s="164"/>
    </row>
    <row r="155" spans="1:8" s="1" customFormat="1" x14ac:dyDescent="0.25">
      <c r="A155" s="101" t="s">
        <v>167</v>
      </c>
      <c r="B155" s="102"/>
      <c r="C155" s="103"/>
      <c r="D155" s="50">
        <f>COUNT(D171:D182)</f>
        <v>12</v>
      </c>
      <c r="E155" s="154">
        <f>SUM(D171:D182)</f>
        <v>3880.5296399999993</v>
      </c>
      <c r="F155" s="155"/>
      <c r="G155" s="154">
        <f>SUM(F171:F182)</f>
        <v>6208.8474239999987</v>
      </c>
      <c r="H155" s="155"/>
    </row>
    <row r="156" spans="1:8" s="1" customFormat="1" x14ac:dyDescent="0.25">
      <c r="A156" s="167" t="s">
        <v>74</v>
      </c>
      <c r="B156" s="167"/>
      <c r="C156" s="167"/>
      <c r="D156" s="167"/>
      <c r="E156" s="167"/>
      <c r="F156" s="167"/>
      <c r="G156" s="167"/>
      <c r="H156" s="167"/>
    </row>
    <row r="157" spans="1:8" s="1" customFormat="1" ht="15.75" customHeight="1" x14ac:dyDescent="0.25">
      <c r="A157" s="164" t="s">
        <v>56</v>
      </c>
      <c r="B157" s="164"/>
      <c r="C157" s="164"/>
      <c r="D157" s="47" t="s">
        <v>84</v>
      </c>
      <c r="E157" s="157" t="s">
        <v>57</v>
      </c>
      <c r="F157" s="157"/>
      <c r="G157" s="164" t="s">
        <v>58</v>
      </c>
      <c r="H157" s="164"/>
    </row>
    <row r="158" spans="1:8" s="1" customFormat="1" ht="15.75" customHeight="1" x14ac:dyDescent="0.25">
      <c r="A158" s="185" t="s">
        <v>172</v>
      </c>
      <c r="B158" s="185"/>
      <c r="C158" s="185"/>
      <c r="D158" s="46">
        <f>COUNT(D188:D191)*2+COUNT(D195:D198)+COUNT(D202:D207)*21+COUNT(D209,D211:D214)*5</f>
        <v>163</v>
      </c>
      <c r="E158" s="154">
        <f>SUM(D188:D191)*2+SUM(D195:D198)+SUM(D202:D207)*21+SUM(D209:D214)*5</f>
        <v>100613.07243000001</v>
      </c>
      <c r="F158" s="154"/>
      <c r="G158" s="154">
        <f>SUM(F188:F191)*2+SUM(F195:F198)+SUM(F202:F207)*21+SUM(F209:F214)*5</f>
        <v>150919.608645</v>
      </c>
      <c r="H158" s="154"/>
    </row>
    <row r="159" spans="1:8" s="1" customFormat="1" ht="15.75" customHeight="1" x14ac:dyDescent="0.25">
      <c r="A159" s="185" t="s">
        <v>177</v>
      </c>
      <c r="B159" s="185"/>
      <c r="C159" s="185"/>
      <c r="D159" s="46">
        <f>COUNT(D220:D223)*3+COUNT(D226:D233)*16+COUNT(D235:D238,D240:D242)*3</f>
        <v>161</v>
      </c>
      <c r="E159" s="154">
        <f>SUM(D220:D223)*3+SUM(D226:D233)*16+SUM(D235:D242)*3</f>
        <v>78166.919376000005</v>
      </c>
      <c r="F159" s="154"/>
      <c r="G159" s="154">
        <f>SUM(F220:F223)*3+SUM(F226:F233)*16+SUM(F235:F242)*3</f>
        <v>117250.37906399999</v>
      </c>
      <c r="H159" s="154"/>
    </row>
    <row r="160" spans="1:8" s="1" customFormat="1" ht="15.75" customHeight="1" x14ac:dyDescent="0.25">
      <c r="A160" s="185" t="s">
        <v>202</v>
      </c>
      <c r="B160" s="185"/>
      <c r="C160" s="185"/>
      <c r="D160" s="46">
        <f>COUNT(D249:D252)*3+COUNT(D255:D262)*16+COUNT(D264:D267,D269:D271)*3</f>
        <v>161</v>
      </c>
      <c r="E160" s="154">
        <f t="shared" ref="E160" si="0">SUM(D249:D252)*3+SUM(D255:D262)*16+SUM(D264:D271)*3</f>
        <v>78166.919376000005</v>
      </c>
      <c r="F160" s="154"/>
      <c r="G160" s="154">
        <f>SUM(F249:F252)*3+SUM(F255:F262)*16+SUM(F264:F271)*3</f>
        <v>117250.37906399999</v>
      </c>
      <c r="H160" s="154"/>
    </row>
    <row r="161" spans="1:14" s="1" customFormat="1" ht="15.75" customHeight="1" x14ac:dyDescent="0.25">
      <c r="A161" s="185" t="s">
        <v>221</v>
      </c>
      <c r="B161" s="185"/>
      <c r="C161" s="185"/>
      <c r="D161" s="50">
        <f>COUNT(D278:D281)*2+COUNT(D287:D290)+COUNT(D293:D300)*16+COUNT(D302:D305,D307:D309)*3</f>
        <v>161</v>
      </c>
      <c r="E161" s="154">
        <f>SUM(D278:D281)*2+SUM(D287:D290)+SUM(D293:D300)*16+SUM(D302:D305,D307:D309)*3</f>
        <v>78166.919376000005</v>
      </c>
      <c r="F161" s="154"/>
      <c r="G161" s="154">
        <f>SUM(F278:F281)*2+SUM(F287:F290)+SUM(F293:F300)*16+SUM(F302:F305,F307:F309)*3</f>
        <v>117250.37906399999</v>
      </c>
      <c r="H161" s="154"/>
    </row>
    <row r="162" spans="1:14" s="1" customFormat="1" ht="15.75" customHeight="1" x14ac:dyDescent="0.25">
      <c r="A162" s="185" t="s">
        <v>222</v>
      </c>
      <c r="B162" s="185"/>
      <c r="C162" s="185"/>
      <c r="D162" s="46">
        <f>COUNT(D316:D319)*3+COUNT(D322:D329)*16+COUNT(D331:D334,D336:D338)*3</f>
        <v>161</v>
      </c>
      <c r="E162" s="154">
        <f>SUM(D316:D319)*3+SUM(D322:D329)*16+SUM(D331:D334,D336:D338)*3</f>
        <v>78166.919376000005</v>
      </c>
      <c r="F162" s="154"/>
      <c r="G162" s="154">
        <f>SUM(F316:F319)*3+SUM(F322:F329)*16+SUM(F331:F334,F336:F338)*3</f>
        <v>117250.37906399999</v>
      </c>
      <c r="H162" s="154"/>
    </row>
    <row r="163" spans="1:14" s="1" customFormat="1" x14ac:dyDescent="0.25">
      <c r="A163" s="167" t="s">
        <v>163</v>
      </c>
      <c r="B163" s="167"/>
      <c r="C163" s="167"/>
      <c r="D163" s="47">
        <f>SUM(D158:D162)</f>
        <v>807</v>
      </c>
      <c r="E163" s="156">
        <f>SUM(E158:F162)</f>
        <v>413280.74993400002</v>
      </c>
      <c r="F163" s="157"/>
      <c r="G163" s="164">
        <f>SUM(G158:H162)</f>
        <v>619921.12490099994</v>
      </c>
      <c r="H163" s="164"/>
    </row>
    <row r="164" spans="1:14" s="1" customFormat="1" x14ac:dyDescent="0.25">
      <c r="A164" s="167" t="s">
        <v>232</v>
      </c>
      <c r="B164" s="167"/>
      <c r="C164" s="167"/>
      <c r="D164" s="73">
        <f>D155+D163</f>
        <v>819</v>
      </c>
      <c r="E164" s="156">
        <f>E155+E163</f>
        <v>417161.27957400004</v>
      </c>
      <c r="F164" s="157"/>
      <c r="G164" s="164">
        <f>G155+G163</f>
        <v>626129.97232499998</v>
      </c>
      <c r="H164" s="164"/>
    </row>
    <row r="165" spans="1:14" s="4" customFormat="1" x14ac:dyDescent="0.25">
      <c r="A165" s="104" t="s">
        <v>59</v>
      </c>
      <c r="B165" s="104"/>
      <c r="C165" s="104"/>
      <c r="D165" s="104"/>
      <c r="E165" s="104"/>
      <c r="F165" s="104"/>
      <c r="G165" s="104"/>
      <c r="H165" s="104"/>
    </row>
    <row r="166" spans="1:14" x14ac:dyDescent="0.25">
      <c r="A166" s="104" t="s">
        <v>60</v>
      </c>
      <c r="B166" s="104"/>
      <c r="C166" s="104"/>
      <c r="D166" s="104"/>
      <c r="E166" s="104"/>
      <c r="F166" s="104"/>
      <c r="G166" s="104"/>
      <c r="H166" s="104"/>
    </row>
    <row r="167" spans="1:14" ht="47.25" customHeight="1" x14ac:dyDescent="0.25">
      <c r="A167" s="149" t="s">
        <v>131</v>
      </c>
      <c r="B167" s="150"/>
      <c r="C167" s="145" t="s">
        <v>61</v>
      </c>
      <c r="D167" s="145" t="s">
        <v>62</v>
      </c>
      <c r="E167" s="147" t="s">
        <v>63</v>
      </c>
      <c r="F167" s="30" t="s">
        <v>162</v>
      </c>
      <c r="G167" s="149" t="s">
        <v>64</v>
      </c>
      <c r="H167" s="150"/>
    </row>
    <row r="168" spans="1:14" s="2" customFormat="1" x14ac:dyDescent="0.25">
      <c r="A168" s="151"/>
      <c r="B168" s="152"/>
      <c r="C168" s="146"/>
      <c r="D168" s="146"/>
      <c r="E168" s="148"/>
      <c r="F168" s="31">
        <v>0.6</v>
      </c>
      <c r="G168" s="151"/>
      <c r="H168" s="152"/>
    </row>
    <row r="169" spans="1:14" x14ac:dyDescent="0.25">
      <c r="A169" s="104" t="s">
        <v>167</v>
      </c>
      <c r="B169" s="104"/>
      <c r="C169" s="104"/>
      <c r="D169" s="104"/>
      <c r="E169" s="104"/>
      <c r="F169" s="104"/>
      <c r="G169" s="104"/>
      <c r="H169" s="104"/>
    </row>
    <row r="170" spans="1:14" s="2" customFormat="1" x14ac:dyDescent="0.25">
      <c r="A170" s="98" t="s">
        <v>166</v>
      </c>
      <c r="B170" s="99"/>
      <c r="C170" s="99"/>
      <c r="D170" s="99"/>
      <c r="E170" s="99"/>
      <c r="F170" s="99"/>
      <c r="G170" s="99"/>
      <c r="H170" s="100"/>
      <c r="J170" s="32"/>
    </row>
    <row r="171" spans="1:14" s="2" customFormat="1" ht="15.75" customHeight="1" x14ac:dyDescent="0.25">
      <c r="A171" s="79">
        <v>1</v>
      </c>
      <c r="B171" s="80"/>
      <c r="C171" s="14" t="s">
        <v>168</v>
      </c>
      <c r="D171" s="14">
        <f>(3.05*9.85)*10.764</f>
        <v>323.37746999999996</v>
      </c>
      <c r="E171" s="14">
        <v>0</v>
      </c>
      <c r="F171" s="14">
        <f>D171*(($F$168)+1)+(IF(E171&lt;101,E171,IF(E171&lt;201,E171/2,IF(E171&lt;=301,E171/3,E171/4))))</f>
        <v>517.403952</v>
      </c>
      <c r="G171" s="81" t="str">
        <f>A170</f>
        <v>Ground Floor for Commercial &amp; Parking</v>
      </c>
      <c r="H171" s="83"/>
      <c r="I171" s="32"/>
      <c r="L171" s="92"/>
      <c r="M171" s="92"/>
      <c r="N171" s="32"/>
    </row>
    <row r="172" spans="1:14" s="2" customFormat="1" ht="15.75" customHeight="1" x14ac:dyDescent="0.25">
      <c r="A172" s="79">
        <f t="shared" ref="A172:A182" si="1">A171+1</f>
        <v>2</v>
      </c>
      <c r="B172" s="80"/>
      <c r="C172" s="14" t="s">
        <v>168</v>
      </c>
      <c r="D172" s="14">
        <f t="shared" ref="D172:D182" si="2">(3.05*9.85)*10.764</f>
        <v>323.37746999999996</v>
      </c>
      <c r="E172" s="14">
        <v>0</v>
      </c>
      <c r="F172" s="14">
        <f t="shared" ref="F172:F177" si="3">D172*(($F$168)+1)+(IF(E172&lt;101,E172,IF(E172&lt;201,E172/2,IF(E172&lt;=301,E172/3,E172/4))))</f>
        <v>517.403952</v>
      </c>
      <c r="G172" s="84"/>
      <c r="H172" s="86"/>
      <c r="I172" s="32"/>
      <c r="L172" s="92"/>
      <c r="M172" s="92"/>
      <c r="N172" s="32"/>
    </row>
    <row r="173" spans="1:14" s="2" customFormat="1" ht="15.75" customHeight="1" x14ac:dyDescent="0.25">
      <c r="A173" s="79">
        <f t="shared" si="1"/>
        <v>3</v>
      </c>
      <c r="B173" s="80"/>
      <c r="C173" s="14" t="s">
        <v>168</v>
      </c>
      <c r="D173" s="14">
        <f t="shared" si="2"/>
        <v>323.37746999999996</v>
      </c>
      <c r="E173" s="14">
        <v>0</v>
      </c>
      <c r="F173" s="14">
        <f t="shared" si="3"/>
        <v>517.403952</v>
      </c>
      <c r="G173" s="84"/>
      <c r="H173" s="86"/>
      <c r="I173" s="32"/>
      <c r="L173" s="92"/>
      <c r="M173" s="92"/>
      <c r="N173" s="32"/>
    </row>
    <row r="174" spans="1:14" s="2" customFormat="1" ht="15.75" customHeight="1" x14ac:dyDescent="0.25">
      <c r="A174" s="79">
        <f t="shared" si="1"/>
        <v>4</v>
      </c>
      <c r="B174" s="80"/>
      <c r="C174" s="14" t="s">
        <v>168</v>
      </c>
      <c r="D174" s="14">
        <f t="shared" si="2"/>
        <v>323.37746999999996</v>
      </c>
      <c r="E174" s="14">
        <v>0</v>
      </c>
      <c r="F174" s="14">
        <f t="shared" si="3"/>
        <v>517.403952</v>
      </c>
      <c r="G174" s="84"/>
      <c r="H174" s="86"/>
      <c r="I174" s="32"/>
      <c r="L174" s="92"/>
      <c r="M174" s="92"/>
      <c r="N174" s="32"/>
    </row>
    <row r="175" spans="1:14" s="2" customFormat="1" ht="15.75" customHeight="1" x14ac:dyDescent="0.25">
      <c r="A175" s="79">
        <f t="shared" si="1"/>
        <v>5</v>
      </c>
      <c r="B175" s="80"/>
      <c r="C175" s="14" t="s">
        <v>168</v>
      </c>
      <c r="D175" s="14">
        <f t="shared" si="2"/>
        <v>323.37746999999996</v>
      </c>
      <c r="E175" s="14">
        <v>0</v>
      </c>
      <c r="F175" s="14">
        <f t="shared" si="3"/>
        <v>517.403952</v>
      </c>
      <c r="G175" s="84"/>
      <c r="H175" s="86"/>
      <c r="I175" s="32"/>
      <c r="L175" s="92"/>
      <c r="M175" s="92"/>
      <c r="N175" s="32"/>
    </row>
    <row r="176" spans="1:14" s="2" customFormat="1" ht="15.75" customHeight="1" x14ac:dyDescent="0.25">
      <c r="A176" s="79">
        <f t="shared" si="1"/>
        <v>6</v>
      </c>
      <c r="B176" s="80"/>
      <c r="C176" s="14" t="s">
        <v>168</v>
      </c>
      <c r="D176" s="14">
        <f t="shared" si="2"/>
        <v>323.37746999999996</v>
      </c>
      <c r="E176" s="14">
        <v>0</v>
      </c>
      <c r="F176" s="14">
        <f t="shared" si="3"/>
        <v>517.403952</v>
      </c>
      <c r="G176" s="84"/>
      <c r="H176" s="86"/>
      <c r="I176" s="32"/>
      <c r="L176" s="92"/>
      <c r="M176" s="92"/>
      <c r="N176" s="32"/>
    </row>
    <row r="177" spans="1:16" s="2" customFormat="1" ht="15.75" customHeight="1" x14ac:dyDescent="0.25">
      <c r="A177" s="79">
        <f t="shared" si="1"/>
        <v>7</v>
      </c>
      <c r="B177" s="80"/>
      <c r="C177" s="14" t="s">
        <v>168</v>
      </c>
      <c r="D177" s="14">
        <f t="shared" si="2"/>
        <v>323.37746999999996</v>
      </c>
      <c r="E177" s="14">
        <v>0</v>
      </c>
      <c r="F177" s="14">
        <f t="shared" si="3"/>
        <v>517.403952</v>
      </c>
      <c r="G177" s="84"/>
      <c r="H177" s="86"/>
      <c r="I177" s="32"/>
      <c r="L177" s="92"/>
      <c r="M177" s="92"/>
      <c r="N177" s="32"/>
    </row>
    <row r="178" spans="1:16" s="2" customFormat="1" ht="15.75" customHeight="1" x14ac:dyDescent="0.25">
      <c r="A178" s="79">
        <f t="shared" si="1"/>
        <v>8</v>
      </c>
      <c r="B178" s="80"/>
      <c r="C178" s="14" t="s">
        <v>168</v>
      </c>
      <c r="D178" s="14">
        <f t="shared" si="2"/>
        <v>323.37746999999996</v>
      </c>
      <c r="E178" s="14">
        <v>0</v>
      </c>
      <c r="F178" s="14">
        <f t="shared" ref="F178:F182" si="4">D178*(($F$168)+1)+(IF(E178&lt;101,E178,IF(E178&lt;201,E178/2,IF(E178&lt;=301,E178/3,E178/4))))</f>
        <v>517.403952</v>
      </c>
      <c r="G178" s="84"/>
      <c r="H178" s="86"/>
      <c r="I178" s="32"/>
      <c r="L178" s="92"/>
      <c r="M178" s="92"/>
      <c r="N178" s="32"/>
    </row>
    <row r="179" spans="1:16" s="2" customFormat="1" ht="15.75" customHeight="1" x14ac:dyDescent="0.25">
      <c r="A179" s="79">
        <f t="shared" si="1"/>
        <v>9</v>
      </c>
      <c r="B179" s="80"/>
      <c r="C179" s="14" t="s">
        <v>168</v>
      </c>
      <c r="D179" s="14">
        <f t="shared" si="2"/>
        <v>323.37746999999996</v>
      </c>
      <c r="E179" s="14">
        <v>0</v>
      </c>
      <c r="F179" s="14">
        <f t="shared" si="4"/>
        <v>517.403952</v>
      </c>
      <c r="G179" s="84"/>
      <c r="H179" s="86"/>
      <c r="I179" s="32"/>
      <c r="L179" s="92"/>
      <c r="M179" s="92"/>
      <c r="N179" s="32"/>
    </row>
    <row r="180" spans="1:16" s="2" customFormat="1" ht="15.75" customHeight="1" x14ac:dyDescent="0.25">
      <c r="A180" s="79">
        <f t="shared" si="1"/>
        <v>10</v>
      </c>
      <c r="B180" s="80"/>
      <c r="C180" s="14" t="s">
        <v>168</v>
      </c>
      <c r="D180" s="14">
        <f t="shared" si="2"/>
        <v>323.37746999999996</v>
      </c>
      <c r="E180" s="14">
        <v>0</v>
      </c>
      <c r="F180" s="14">
        <f t="shared" si="4"/>
        <v>517.403952</v>
      </c>
      <c r="G180" s="84"/>
      <c r="H180" s="86"/>
      <c r="I180" s="32"/>
      <c r="L180" s="92"/>
      <c r="M180" s="92"/>
      <c r="N180" s="32"/>
    </row>
    <row r="181" spans="1:16" s="2" customFormat="1" ht="15.75" customHeight="1" x14ac:dyDescent="0.25">
      <c r="A181" s="79">
        <f t="shared" si="1"/>
        <v>11</v>
      </c>
      <c r="B181" s="80"/>
      <c r="C181" s="14" t="s">
        <v>168</v>
      </c>
      <c r="D181" s="14">
        <f t="shared" si="2"/>
        <v>323.37746999999996</v>
      </c>
      <c r="E181" s="14">
        <v>0</v>
      </c>
      <c r="F181" s="14">
        <f t="shared" si="4"/>
        <v>517.403952</v>
      </c>
      <c r="G181" s="84"/>
      <c r="H181" s="86"/>
      <c r="I181" s="32"/>
      <c r="L181" s="92"/>
      <c r="M181" s="92"/>
      <c r="N181" s="32"/>
    </row>
    <row r="182" spans="1:16" s="2" customFormat="1" ht="15.75" customHeight="1" x14ac:dyDescent="0.25">
      <c r="A182" s="79">
        <f t="shared" si="1"/>
        <v>12</v>
      </c>
      <c r="B182" s="80"/>
      <c r="C182" s="14" t="s">
        <v>168</v>
      </c>
      <c r="D182" s="14">
        <f t="shared" si="2"/>
        <v>323.37746999999996</v>
      </c>
      <c r="E182" s="14">
        <v>0</v>
      </c>
      <c r="F182" s="14">
        <f t="shared" si="4"/>
        <v>517.403952</v>
      </c>
      <c r="G182" s="87"/>
      <c r="H182" s="89"/>
      <c r="I182" s="32"/>
      <c r="L182" s="92"/>
      <c r="M182" s="92"/>
      <c r="N182" s="32"/>
    </row>
    <row r="183" spans="1:16" s="2" customFormat="1" x14ac:dyDescent="0.25">
      <c r="A183" s="79"/>
      <c r="B183" s="90"/>
      <c r="C183" s="90"/>
      <c r="D183" s="90"/>
      <c r="E183" s="90"/>
      <c r="F183" s="90"/>
      <c r="G183" s="90"/>
      <c r="H183" s="80"/>
      <c r="I183" s="32"/>
      <c r="N183" s="32"/>
    </row>
    <row r="184" spans="1:16" ht="47.25" customHeight="1" x14ac:dyDescent="0.25">
      <c r="A184" s="149" t="s">
        <v>132</v>
      </c>
      <c r="B184" s="149" t="s">
        <v>133</v>
      </c>
      <c r="C184" s="145" t="s">
        <v>61</v>
      </c>
      <c r="D184" s="145" t="s">
        <v>62</v>
      </c>
      <c r="E184" s="147" t="s">
        <v>63</v>
      </c>
      <c r="F184" s="30" t="s">
        <v>162</v>
      </c>
      <c r="G184" s="149" t="s">
        <v>64</v>
      </c>
      <c r="H184" s="150"/>
      <c r="I184" s="32"/>
    </row>
    <row r="185" spans="1:16" s="2" customFormat="1" x14ac:dyDescent="0.25">
      <c r="A185" s="151"/>
      <c r="B185" s="151"/>
      <c r="C185" s="146"/>
      <c r="D185" s="146"/>
      <c r="E185" s="148"/>
      <c r="F185" s="31">
        <v>0.5</v>
      </c>
      <c r="G185" s="151"/>
      <c r="H185" s="152"/>
      <c r="I185" s="32"/>
    </row>
    <row r="186" spans="1:16" x14ac:dyDescent="0.25">
      <c r="A186" s="104" t="s">
        <v>172</v>
      </c>
      <c r="B186" s="104"/>
      <c r="C186" s="104"/>
      <c r="D186" s="104"/>
      <c r="E186" s="104"/>
      <c r="F186" s="104"/>
      <c r="G186" s="104"/>
      <c r="H186" s="104"/>
    </row>
    <row r="187" spans="1:16" s="2" customFormat="1" x14ac:dyDescent="0.25">
      <c r="A187" s="98" t="s">
        <v>169</v>
      </c>
      <c r="B187" s="99"/>
      <c r="C187" s="99"/>
      <c r="D187" s="99"/>
      <c r="E187" s="99"/>
      <c r="F187" s="99"/>
      <c r="G187" s="99"/>
      <c r="H187" s="100"/>
      <c r="I187" s="32">
        <f>6*29</f>
        <v>174</v>
      </c>
      <c r="J187" s="32">
        <f>I187-11</f>
        <v>163</v>
      </c>
    </row>
    <row r="188" spans="1:16" s="2" customFormat="1" ht="15.75" customHeight="1" x14ac:dyDescent="0.25">
      <c r="A188" s="79">
        <v>1</v>
      </c>
      <c r="B188" s="80"/>
      <c r="C188" s="14" t="s">
        <v>170</v>
      </c>
      <c r="D188" s="14">
        <f>(4.75*3.1+2.4*1.2+2.1*3.65+2.75*3.65+3.4*3.1+1.2*2.1+2.1*1.2+1.2*0.9+1.1*1.1)*10.764</f>
        <v>572.40260999999998</v>
      </c>
      <c r="E188" s="14">
        <v>0</v>
      </c>
      <c r="F188" s="14">
        <f t="shared" ref="F188:F191" si="5">D188*(($F$185)+1)+(IF(E188&lt;101,E188,IF(E188&lt;201,E188/2,IF(E188&lt;=301,E188/3,E188/4))))</f>
        <v>858.60391499999992</v>
      </c>
      <c r="G188" s="81" t="str">
        <f>A187</f>
        <v>1st &amp; 2nd Floor for Residential &amp; Parking</v>
      </c>
      <c r="H188" s="83"/>
      <c r="I188" s="32"/>
      <c r="N188" s="2" t="str">
        <f t="shared" ref="N188:N191" ca="1" si="6">O188&amp;""&amp;" &amp; "&amp;""&amp;P188</f>
        <v>101 &amp; 201</v>
      </c>
      <c r="O188" s="2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10^ROW(INDIRECT("1:"&amp;LEN((LEFT(A187,SUM(LEN(A187)-LEN(SUBSTITUTE(A187,{"0","1","2"},""))))))))/10))*100+1</f>
        <v>101</v>
      </c>
      <c r="P188" s="2">
        <f ca="1">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",LEN(A187))),LEN(A187)))))))/10))*100+1</f>
        <v>201</v>
      </c>
    </row>
    <row r="189" spans="1:16" s="2" customFormat="1" ht="15.75" customHeight="1" x14ac:dyDescent="0.25">
      <c r="A189" s="79">
        <v>2</v>
      </c>
      <c r="B189" s="80"/>
      <c r="C189" s="14" t="s">
        <v>170</v>
      </c>
      <c r="D189" s="14">
        <f>(4.75*3.1+2.4*1.2+2.1*3.65+2.75*3.65+3.4*3.1+1.2*2.1+2.1*1.2+1.2*0.9+1.1*1.1)*10.764</f>
        <v>572.40260999999998</v>
      </c>
      <c r="E189" s="14">
        <v>0</v>
      </c>
      <c r="F189" s="14">
        <f t="shared" si="5"/>
        <v>858.60391499999992</v>
      </c>
      <c r="G189" s="84"/>
      <c r="H189" s="86"/>
      <c r="I189" s="32"/>
      <c r="N189" s="2" t="str">
        <f t="shared" ca="1" si="6"/>
        <v>102 &amp; 202</v>
      </c>
      <c r="O189" s="2">
        <f t="shared" ref="O189:P189" ca="1" si="7">O188+1</f>
        <v>102</v>
      </c>
      <c r="P189" s="2">
        <f t="shared" ca="1" si="7"/>
        <v>202</v>
      </c>
    </row>
    <row r="190" spans="1:16" s="2" customFormat="1" ht="15.75" customHeight="1" x14ac:dyDescent="0.25">
      <c r="A190" s="79">
        <v>3</v>
      </c>
      <c r="B190" s="80"/>
      <c r="C190" s="14" t="s">
        <v>171</v>
      </c>
      <c r="D190" s="14">
        <f>(3.1*4.6+2.6*2.1+3.65*2.25+3.65*3+2.75*3.65+2.1*1.2+2.7*1.2+2.05*1.05+2.1*1.2)*10.764</f>
        <v>638.8703099999999</v>
      </c>
      <c r="E190" s="14">
        <v>0</v>
      </c>
      <c r="F190" s="14">
        <f t="shared" si="5"/>
        <v>958.30546499999991</v>
      </c>
      <c r="G190" s="84"/>
      <c r="H190" s="86"/>
      <c r="I190" s="32"/>
      <c r="N190" s="2" t="str">
        <f t="shared" ca="1" si="6"/>
        <v>103 &amp; 203</v>
      </c>
      <c r="O190" s="2">
        <f t="shared" ref="O190:P190" ca="1" si="8">O189+1</f>
        <v>103</v>
      </c>
      <c r="P190" s="2">
        <f t="shared" ca="1" si="8"/>
        <v>203</v>
      </c>
    </row>
    <row r="191" spans="1:16" s="2" customFormat="1" ht="15.75" customHeight="1" x14ac:dyDescent="0.25">
      <c r="A191" s="79">
        <v>4</v>
      </c>
      <c r="B191" s="80"/>
      <c r="C191" s="14" t="s">
        <v>171</v>
      </c>
      <c r="D191" s="14">
        <f>(3.1*4.6+2.6*2.1+3.65*2.25+3.65*3+2.75*3.65+2.1*1.2+2.7*1.2+2.05*1.05+2.1*1.2)*10.764</f>
        <v>638.8703099999999</v>
      </c>
      <c r="E191" s="14">
        <v>0</v>
      </c>
      <c r="F191" s="14">
        <f t="shared" si="5"/>
        <v>958.30546499999991</v>
      </c>
      <c r="G191" s="84"/>
      <c r="H191" s="86"/>
      <c r="I191" s="32"/>
      <c r="N191" s="2" t="str">
        <f t="shared" ca="1" si="6"/>
        <v>104 &amp; 204</v>
      </c>
      <c r="O191" s="2">
        <f t="shared" ref="O191:P191" ca="1" si="9">O190+1</f>
        <v>104</v>
      </c>
      <c r="P191" s="2">
        <f t="shared" ca="1" si="9"/>
        <v>204</v>
      </c>
    </row>
    <row r="192" spans="1:16" s="72" customFormat="1" x14ac:dyDescent="0.25">
      <c r="A192" s="78" t="s">
        <v>223</v>
      </c>
      <c r="B192" s="78"/>
      <c r="C192" s="81" t="s">
        <v>224</v>
      </c>
      <c r="D192" s="82"/>
      <c r="E192" s="82"/>
      <c r="F192" s="83"/>
      <c r="G192" s="84"/>
      <c r="H192" s="86"/>
      <c r="I192" s="32"/>
      <c r="N192" s="32"/>
    </row>
    <row r="193" spans="1:16" s="72" customFormat="1" x14ac:dyDescent="0.25">
      <c r="A193" s="78" t="s">
        <v>223</v>
      </c>
      <c r="B193" s="78"/>
      <c r="C193" s="87"/>
      <c r="D193" s="88"/>
      <c r="E193" s="88"/>
      <c r="F193" s="89"/>
      <c r="G193" s="87"/>
      <c r="H193" s="89"/>
      <c r="I193" s="32"/>
      <c r="N193" s="32"/>
    </row>
    <row r="194" spans="1:16" s="2" customFormat="1" x14ac:dyDescent="0.25">
      <c r="A194" s="91" t="s">
        <v>229</v>
      </c>
      <c r="B194" s="91"/>
      <c r="C194" s="91"/>
      <c r="D194" s="91"/>
      <c r="E194" s="91"/>
      <c r="F194" s="91"/>
      <c r="G194" s="91"/>
      <c r="H194" s="91"/>
      <c r="I194" s="32"/>
      <c r="L194" s="92"/>
      <c r="M194" s="92"/>
    </row>
    <row r="195" spans="1:16" s="2" customFormat="1" x14ac:dyDescent="0.25">
      <c r="A195" s="78">
        <v>1</v>
      </c>
      <c r="B195" s="78"/>
      <c r="C195" s="14" t="s">
        <v>170</v>
      </c>
      <c r="D195" s="14">
        <f>(4.75*3.1+2.4*1.2+2.1*3.65+2.75*3.65+3.4*3.1+1.2*2.1+2.1*1.2+1.2*0.9+1.1*1.1)*10.764</f>
        <v>572.40260999999998</v>
      </c>
      <c r="E195" s="14">
        <v>0</v>
      </c>
      <c r="F195" s="14">
        <f t="shared" ref="F195:F196" si="10">D195*(($F$185)+1)+(IF(E195&lt;101,E195,IF(E195&lt;201,E195/2,IF(E195&lt;=301,E195/3,E195/4))))</f>
        <v>858.60391499999992</v>
      </c>
      <c r="G195" s="81" t="str">
        <f>A194</f>
        <v>3rd Floor For Residential, Society Office, Creche &amp; Amenities</v>
      </c>
      <c r="H195" s="83"/>
      <c r="I195" s="32"/>
      <c r="N195" s="32"/>
    </row>
    <row r="196" spans="1:16" s="2" customFormat="1" x14ac:dyDescent="0.25">
      <c r="A196" s="78">
        <f>A195+1</f>
        <v>2</v>
      </c>
      <c r="B196" s="78"/>
      <c r="C196" s="14" t="s">
        <v>170</v>
      </c>
      <c r="D196" s="14">
        <f>(4.75*3.1+2.4*1.2+2.1*3.65+2.75*3.65+3.4*3.1+1.2*2.1+2.1*1.2+1.2*0.9+1.1*1.1)*10.764</f>
        <v>572.40260999999998</v>
      </c>
      <c r="E196" s="14">
        <v>0</v>
      </c>
      <c r="F196" s="14">
        <f t="shared" si="10"/>
        <v>858.60391499999992</v>
      </c>
      <c r="G196" s="84"/>
      <c r="H196" s="86"/>
      <c r="I196" s="32"/>
      <c r="N196" s="32"/>
    </row>
    <row r="197" spans="1:16" s="2" customFormat="1" x14ac:dyDescent="0.25">
      <c r="A197" s="78">
        <f>A196+1</f>
        <v>3</v>
      </c>
      <c r="B197" s="78"/>
      <c r="C197" s="14" t="s">
        <v>171</v>
      </c>
      <c r="D197" s="14">
        <f>(3.1*4.6+2.6*2.1+3.65*2.25+3.65*3+2.75*3.65+2.1*1.2+2.7*1.2+2.05*1.05+2.1*1.2)*10.764</f>
        <v>638.8703099999999</v>
      </c>
      <c r="E197" s="14">
        <v>0</v>
      </c>
      <c r="F197" s="14">
        <f>D197*(($F$185)+1)+(IF(E197&lt;101,E197,IF(E197&lt;201,E197/2,IF(E197&lt;=301,E197/3,E197/4))))</f>
        <v>958.30546499999991</v>
      </c>
      <c r="G197" s="84"/>
      <c r="H197" s="86"/>
      <c r="I197" s="32"/>
      <c r="N197" s="32"/>
    </row>
    <row r="198" spans="1:16" s="2" customFormat="1" x14ac:dyDescent="0.25">
      <c r="A198" s="78">
        <f>A197+1</f>
        <v>4</v>
      </c>
      <c r="B198" s="78"/>
      <c r="C198" s="14" t="s">
        <v>171</v>
      </c>
      <c r="D198" s="14">
        <f>(3.1*4.6+2.6*2.1+3.65*2.25+3.65*3+2.75*3.65+2.1*1.2+2.7*1.2+2.05*1.05+2.1*1.2)*10.764</f>
        <v>638.8703099999999</v>
      </c>
      <c r="E198" s="14">
        <v>0</v>
      </c>
      <c r="F198" s="14">
        <f>D198*(($F$185)+1)+(IF(E198&lt;101,E198,IF(E198&lt;201,E198/2,IF(E198&lt;=301,E198/3,E198/4))))</f>
        <v>958.30546499999991</v>
      </c>
      <c r="G198" s="84"/>
      <c r="H198" s="86"/>
      <c r="I198" s="32"/>
      <c r="N198" s="32"/>
    </row>
    <row r="199" spans="1:16" s="2" customFormat="1" x14ac:dyDescent="0.25">
      <c r="A199" s="78">
        <f>A198+1</f>
        <v>5</v>
      </c>
      <c r="B199" s="78"/>
      <c r="C199" s="79" t="s">
        <v>173</v>
      </c>
      <c r="D199" s="90"/>
      <c r="E199" s="90"/>
      <c r="F199" s="80"/>
      <c r="G199" s="84"/>
      <c r="H199" s="86"/>
      <c r="I199" s="32"/>
      <c r="N199" s="32"/>
    </row>
    <row r="200" spans="1:16" s="2" customFormat="1" x14ac:dyDescent="0.25">
      <c r="A200" s="78">
        <f>A199+1</f>
        <v>6</v>
      </c>
      <c r="B200" s="78"/>
      <c r="C200" s="79" t="s">
        <v>174</v>
      </c>
      <c r="D200" s="90"/>
      <c r="E200" s="90"/>
      <c r="F200" s="80"/>
      <c r="G200" s="87"/>
      <c r="H200" s="89"/>
      <c r="I200" s="32"/>
      <c r="N200" s="32"/>
    </row>
    <row r="201" spans="1:16" s="2" customFormat="1" ht="15.75" customHeight="1" x14ac:dyDescent="0.25">
      <c r="A201" s="91" t="s">
        <v>175</v>
      </c>
      <c r="B201" s="91"/>
      <c r="C201" s="91"/>
      <c r="D201" s="91"/>
      <c r="E201" s="91"/>
      <c r="F201" s="91"/>
      <c r="G201" s="91"/>
      <c r="H201" s="91"/>
      <c r="I201" s="32"/>
    </row>
    <row r="202" spans="1:16" s="2" customFormat="1" ht="15.75" customHeight="1" x14ac:dyDescent="0.25">
      <c r="A202" s="78">
        <v>1</v>
      </c>
      <c r="B202" s="78"/>
      <c r="C202" s="76" t="s">
        <v>170</v>
      </c>
      <c r="D202" s="76">
        <f>(4.75*3.1+2.4*1.2+2.1*3.65+2.75*3.65+3.4*3.1+2.1*1.2+1.2*2.1+1.1*1.1+1.2*0.9)*10.764</f>
        <v>572.40260999999998</v>
      </c>
      <c r="E202" s="76">
        <v>0</v>
      </c>
      <c r="F202" s="76">
        <f t="shared" ref="F202:F207" si="11">D202*(($F$185)+1)+(IF(E202&lt;101,E202,IF(E202&lt;201,E202/2,IF(E202&lt;=301,E202/3,E202/4))))</f>
        <v>858.60391499999992</v>
      </c>
      <c r="G202" s="78" t="str">
        <f>A201</f>
        <v>4th to 7th, 9th to 12th, 14th to 17th, 19th to 22nd, 24th to 27th &amp; 29th Floor</v>
      </c>
      <c r="H202" s="78"/>
      <c r="I202" s="32"/>
      <c r="N202" s="2" t="str">
        <f t="shared" ref="N202:N207" ca="1" si="12">O202&amp;""&amp;",..,"&amp;""&amp;P202</f>
        <v>4701,..,2901</v>
      </c>
      <c r="O202" s="2">
        <f ca="1">(SUMPRODUCT(MID(0&amp;(LEFT(A201,SUM(LEN(A201)-LEN(SUBSTITUTE(A201,{0,1,2},""))))), LARGE(INDEX(ISNUMBER(--MID((LEFT(A201,SUM(LEN(A201)-LEN(SUBSTITUTE(A201,{0,1,2},""))))), ROW(INDIRECT("1:"&amp;LEN((LEFT(A201,SUM(LEN(A201)-LEN(SUBSTITUTE(A201,{0,1,2},"")))))))), 1)) * ROW(INDIRECT("1:"&amp;LEN((LEFT(A201,SUM(LEN(A201)-LEN(SUBSTITUTE(A201,{0,1,2},"")))))))), 0), ROW(INDIRECT("1:"&amp;LEN((LEFT(A201,SUM(LEN(A201)-LEN(SUBSTITUTE(A201,{0,1,2},"")))))))))+1, 1) * 10^ROW(INDIRECT("1:"&amp;LEN((LEFT(A201,SUM(LEN(A201)-LEN(SUBSTITUTE(A201,{0,1,2},""))))))))/10))*100+1</f>
        <v>4701</v>
      </c>
      <c r="P202" s="2">
        <f ca="1">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2901</v>
      </c>
    </row>
    <row r="203" spans="1:16" s="2" customFormat="1" ht="15.75" customHeight="1" x14ac:dyDescent="0.25">
      <c r="A203" s="78">
        <v>2</v>
      </c>
      <c r="B203" s="78"/>
      <c r="C203" s="76" t="s">
        <v>170</v>
      </c>
      <c r="D203" s="76">
        <f>(4.75*3.1+2.4*1.2+2.1*3.65+2.75*3.65+3.4*3.1+2.1*1.2+1.2*2.1+1.1*1.1+1.2*0.9)*10.764</f>
        <v>572.40260999999998</v>
      </c>
      <c r="E203" s="76">
        <v>0</v>
      </c>
      <c r="F203" s="76">
        <f t="shared" si="11"/>
        <v>858.60391499999992</v>
      </c>
      <c r="G203" s="78"/>
      <c r="H203" s="78"/>
      <c r="I203" s="32">
        <v>6857000</v>
      </c>
      <c r="J203" s="59">
        <f>I203/F203</f>
        <v>7986.2202817931484</v>
      </c>
      <c r="N203" s="2" t="str">
        <f t="shared" ca="1" si="12"/>
        <v>4702,..,2902</v>
      </c>
      <c r="O203" s="2">
        <f t="shared" ref="O203:P206" ca="1" si="13">O202+1</f>
        <v>4702</v>
      </c>
      <c r="P203" s="2">
        <f t="shared" ca="1" si="13"/>
        <v>2902</v>
      </c>
    </row>
    <row r="204" spans="1:16" s="2" customFormat="1" ht="15.75" customHeight="1" x14ac:dyDescent="0.25">
      <c r="A204" s="78">
        <v>3</v>
      </c>
      <c r="B204" s="78"/>
      <c r="C204" s="76" t="s">
        <v>171</v>
      </c>
      <c r="D204" s="76">
        <f>(3.1*4.6+2.6*2.1+3.65*2.25+3.65*3+2.75*3.65+2.1*1.2+2.1*1.2+2.7*1.2+2.05*1.05)*10.764</f>
        <v>638.87031000000002</v>
      </c>
      <c r="E204" s="76">
        <v>0</v>
      </c>
      <c r="F204" s="76">
        <f t="shared" si="11"/>
        <v>958.30546500000003</v>
      </c>
      <c r="G204" s="78"/>
      <c r="H204" s="78"/>
      <c r="I204" s="32">
        <f>8200000</f>
        <v>8200000</v>
      </c>
      <c r="J204" s="59">
        <f>I204/F204</f>
        <v>8556.7705700186107</v>
      </c>
      <c r="L204" s="32"/>
    </row>
    <row r="205" spans="1:16" s="2" customFormat="1" ht="15.75" customHeight="1" x14ac:dyDescent="0.25">
      <c r="A205" s="78">
        <v>4</v>
      </c>
      <c r="B205" s="78"/>
      <c r="C205" s="76" t="s">
        <v>171</v>
      </c>
      <c r="D205" s="76">
        <f>(3.1*4.6+2.6*2.1+3.65*2.25+3.65*3+2.75*3.65+2.1*1.2+2.1*1.2+2.7*1.2+2.05*1.05)*10.764</f>
        <v>638.87031000000002</v>
      </c>
      <c r="E205" s="76">
        <v>0</v>
      </c>
      <c r="F205" s="76">
        <f t="shared" si="11"/>
        <v>958.30546500000003</v>
      </c>
      <c r="G205" s="78"/>
      <c r="H205" s="78"/>
      <c r="I205" s="32"/>
    </row>
    <row r="206" spans="1:16" s="2" customFormat="1" ht="15.75" customHeight="1" x14ac:dyDescent="0.25">
      <c r="A206" s="78">
        <v>5</v>
      </c>
      <c r="B206" s="78"/>
      <c r="C206" s="76" t="s">
        <v>171</v>
      </c>
      <c r="D206" s="76">
        <f>(3.1*4.6+2.6*2.1+3.65*2.25+3.65*3+2.75*3.65+2.1*1.2+2.1*1.2+2.7*1.2+2.05*1.05)*10.764</f>
        <v>638.87031000000002</v>
      </c>
      <c r="E206" s="76">
        <v>0</v>
      </c>
      <c r="F206" s="76">
        <f t="shared" si="11"/>
        <v>958.30546500000003</v>
      </c>
      <c r="G206" s="78"/>
      <c r="H206" s="78"/>
      <c r="I206" s="32"/>
      <c r="N206" s="2" t="str">
        <f t="shared" si="12"/>
        <v>1,..,1</v>
      </c>
      <c r="O206" s="2">
        <f t="shared" si="13"/>
        <v>1</v>
      </c>
      <c r="P206" s="2">
        <f t="shared" si="13"/>
        <v>1</v>
      </c>
    </row>
    <row r="207" spans="1:16" s="2" customFormat="1" ht="15.75" customHeight="1" x14ac:dyDescent="0.25">
      <c r="A207" s="78">
        <v>6</v>
      </c>
      <c r="B207" s="78"/>
      <c r="C207" s="76" t="s">
        <v>171</v>
      </c>
      <c r="D207" s="76">
        <f>(3.1*4.6+2.6*2.1+3.65*2.25+3.65*3+2.75*3.65+2.1*1.2+2.1*1.2+2.7*1.2+2.05*1.05)*10.764</f>
        <v>638.87031000000002</v>
      </c>
      <c r="E207" s="76">
        <v>0</v>
      </c>
      <c r="F207" s="76">
        <f t="shared" si="11"/>
        <v>958.30546500000003</v>
      </c>
      <c r="G207" s="78"/>
      <c r="H207" s="78"/>
      <c r="I207" s="32"/>
      <c r="N207" s="2" t="str">
        <f t="shared" si="12"/>
        <v>2,..,2</v>
      </c>
      <c r="O207" s="2">
        <f>O206+1</f>
        <v>2</v>
      </c>
      <c r="P207" s="2">
        <f>P206+1</f>
        <v>2</v>
      </c>
    </row>
    <row r="208" spans="1:16" s="2" customFormat="1" ht="15.75" customHeight="1" x14ac:dyDescent="0.25">
      <c r="A208" s="98" t="s">
        <v>176</v>
      </c>
      <c r="B208" s="99"/>
      <c r="C208" s="99"/>
      <c r="D208" s="99"/>
      <c r="E208" s="99"/>
      <c r="F208" s="99"/>
      <c r="G208" s="99"/>
      <c r="H208" s="100"/>
      <c r="I208" s="32"/>
    </row>
    <row r="209" spans="1:16" s="2" customFormat="1" ht="15.75" customHeight="1" x14ac:dyDescent="0.25">
      <c r="A209" s="79">
        <v>1</v>
      </c>
      <c r="B209" s="80"/>
      <c r="C209" s="14" t="s">
        <v>170</v>
      </c>
      <c r="D209" s="14">
        <f>(4.75*3.1+2.4*1.2+2.1*3.65+2.75*3.65+3.4*3.1+2.1*1.2+1.2*2.1+1.1*1.1+1.2*0.9)*10.764</f>
        <v>572.40260999999998</v>
      </c>
      <c r="E209" s="14">
        <v>0</v>
      </c>
      <c r="F209" s="14">
        <f>D209*(($F$185)+1)+(IF(E209&lt;101,E209,IF(E209&lt;201,E209/2,IF(E209&lt;=301,E209/3,E209/4))))</f>
        <v>858.60391499999992</v>
      </c>
      <c r="G209" s="81" t="str">
        <f>A208</f>
        <v>8th, 13th, 18th, 23rd &amp; 28th Floor (Part Refuge Area)</v>
      </c>
      <c r="H209" s="83"/>
      <c r="I209" s="32"/>
      <c r="N209" s="2" t="str">
        <f t="shared" ref="N209:N214" ca="1" si="14">O209&amp;""&amp;",..,"&amp;""&amp;P209</f>
        <v>801,..,2801</v>
      </c>
      <c r="O209" s="2">
        <f ca="1">(SUMPRODUCT(MID(0&amp;(LEFT(A208,SUM(LEN(A208)-LEN(SUBSTITUTE(A208,{0,1,2},""))))), LARGE(INDEX(ISNUMBER(--MID((LEFT(A208,SUM(LEN(A208)-LEN(SUBSTITUTE(A208,{0,1,2},""))))), ROW(INDIRECT("1:"&amp;LEN((LEFT(A208,SUM(LEN(A208)-LEN(SUBSTITUTE(A208,{0,1,2},"")))))))), 1)) * ROW(INDIRECT("1:"&amp;LEN((LEFT(A208,SUM(LEN(A208)-LEN(SUBSTITUTE(A208,{0,1,2},"")))))))), 0), ROW(INDIRECT("1:"&amp;LEN((LEFT(A208,SUM(LEN(A208)-LEN(SUBSTITUTE(A208,{0,1,2},"")))))))))+1, 1) * 10^ROW(INDIRECT("1:"&amp;LEN((LEFT(A208,SUM(LEN(A208)-LEN(SUBSTITUTE(A208,{0,1,2},""))))))))/10))*100+1</f>
        <v>801</v>
      </c>
      <c r="P209" s="2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2801</v>
      </c>
    </row>
    <row r="210" spans="1:16" s="72" customFormat="1" ht="15.75" customHeight="1" x14ac:dyDescent="0.25">
      <c r="A210" s="79" t="s">
        <v>223</v>
      </c>
      <c r="B210" s="80"/>
      <c r="C210" s="79" t="s">
        <v>227</v>
      </c>
      <c r="D210" s="90"/>
      <c r="E210" s="90"/>
      <c r="F210" s="80"/>
      <c r="G210" s="84"/>
      <c r="H210" s="86"/>
      <c r="I210" s="32"/>
      <c r="N210" s="72" t="e">
        <f t="shared" ref="N210" si="15">O210&amp;""&amp;" &amp; "&amp;""&amp;P210</f>
        <v>#REF!</v>
      </c>
      <c r="O210" s="72" t="e">
        <f>#REF!+1</f>
        <v>#REF!</v>
      </c>
      <c r="P210" s="72" t="e">
        <f>#REF!+1</f>
        <v>#REF!</v>
      </c>
    </row>
    <row r="211" spans="1:16" s="2" customFormat="1" ht="15.75" customHeight="1" x14ac:dyDescent="0.25">
      <c r="A211" s="79">
        <v>2</v>
      </c>
      <c r="B211" s="80"/>
      <c r="C211" s="14" t="s">
        <v>171</v>
      </c>
      <c r="D211" s="14">
        <f>(3.1*4.6+2.6*2.1+3.65*2.25+3.65*3+2.75*3.65+2.1*1.2+2.1*1.2+2.7*1.2+2.05*1.05)*10.764</f>
        <v>638.87031000000002</v>
      </c>
      <c r="E211" s="14">
        <v>0</v>
      </c>
      <c r="F211" s="14">
        <f>D211*(($F$185)+1)+(IF(E211&lt;101,E211,IF(E211&lt;201,E211/2,IF(E211&lt;=301,E211/3,E211/4))))</f>
        <v>958.30546500000003</v>
      </c>
      <c r="G211" s="84"/>
      <c r="H211" s="86"/>
      <c r="I211" s="32"/>
      <c r="N211" s="2" t="e">
        <f t="shared" si="14"/>
        <v>#REF!</v>
      </c>
      <c r="O211" s="2" t="e">
        <f>#REF!+1</f>
        <v>#REF!</v>
      </c>
      <c r="P211" s="2" t="e">
        <f>#REF!+1</f>
        <v>#REF!</v>
      </c>
    </row>
    <row r="212" spans="1:16" s="2" customFormat="1" ht="15.75" customHeight="1" x14ac:dyDescent="0.25">
      <c r="A212" s="79">
        <v>3</v>
      </c>
      <c r="B212" s="80"/>
      <c r="C212" s="14" t="s">
        <v>171</v>
      </c>
      <c r="D212" s="14">
        <f>(3.1*4.6+2.6*2.1+3.65*2.25+3.65*3+2.75*3.65+2.1*1.2+2.1*1.2+2.7*1.2+2.05*1.05)*10.764</f>
        <v>638.87031000000002</v>
      </c>
      <c r="E212" s="14">
        <v>0</v>
      </c>
      <c r="F212" s="14">
        <f>D212*(($F$185)+1)+(IF(E212&lt;101,E212,IF(E212&lt;201,E212/2,IF(E212&lt;=301,E212/3,E212/4))))</f>
        <v>958.30546500000003</v>
      </c>
      <c r="G212" s="84"/>
      <c r="H212" s="86"/>
      <c r="I212" s="32"/>
      <c r="N212" s="2" t="e">
        <f t="shared" si="14"/>
        <v>#REF!</v>
      </c>
      <c r="O212" s="2" t="e">
        <f t="shared" ref="O212:P212" si="16">O211+1</f>
        <v>#REF!</v>
      </c>
      <c r="P212" s="2" t="e">
        <f t="shared" si="16"/>
        <v>#REF!</v>
      </c>
    </row>
    <row r="213" spans="1:16" s="2" customFormat="1" ht="15.75" customHeight="1" x14ac:dyDescent="0.25">
      <c r="A213" s="79">
        <v>4</v>
      </c>
      <c r="B213" s="80"/>
      <c r="C213" s="14" t="s">
        <v>171</v>
      </c>
      <c r="D213" s="14">
        <f>(3.1*4.6+2.6*2.1+3.65*2.25+3.65*3+2.75*3.65+2.1*1.2+2.1*1.2+2.7*1.2+2.05*1.05)*10.764</f>
        <v>638.87031000000002</v>
      </c>
      <c r="E213" s="14">
        <v>0</v>
      </c>
      <c r="F213" s="14">
        <f>D213*(($F$185)+1)+(IF(E213&lt;101,E213,IF(E213&lt;201,E213/2,IF(E213&lt;=301,E213/3,E213/4))))</f>
        <v>958.30546500000003</v>
      </c>
      <c r="G213" s="84"/>
      <c r="H213" s="86"/>
      <c r="I213" s="32"/>
      <c r="N213" s="2" t="e">
        <f t="shared" si="14"/>
        <v>#REF!</v>
      </c>
      <c r="O213" s="2" t="e">
        <f t="shared" ref="O213:P213" si="17">O212+1</f>
        <v>#REF!</v>
      </c>
      <c r="P213" s="2" t="e">
        <f t="shared" si="17"/>
        <v>#REF!</v>
      </c>
    </row>
    <row r="214" spans="1:16" s="2" customFormat="1" ht="15.75" customHeight="1" x14ac:dyDescent="0.25">
      <c r="A214" s="79">
        <v>5</v>
      </c>
      <c r="B214" s="80"/>
      <c r="C214" s="14" t="s">
        <v>171</v>
      </c>
      <c r="D214" s="14">
        <f>(3.1*4.6+2.6*2.1+3.65*2.25+3.65*3+2.75*3.65+2.1*1.2+2.1*1.2+2.7*1.2+2.05*1.05)*10.764</f>
        <v>638.87031000000002</v>
      </c>
      <c r="E214" s="14">
        <v>0</v>
      </c>
      <c r="F214" s="14">
        <f>D214*(($F$185)+1)+(IF(E214&lt;101,E214,IF(E214&lt;201,E214/2,IF(E214&lt;=301,E214/3,E214/4))))</f>
        <v>958.30546500000003</v>
      </c>
      <c r="G214" s="87"/>
      <c r="H214" s="89"/>
      <c r="I214" s="32"/>
      <c r="N214" s="2" t="e">
        <f t="shared" si="14"/>
        <v>#REF!</v>
      </c>
      <c r="O214" s="2" t="e">
        <f>O213+1</f>
        <v>#REF!</v>
      </c>
      <c r="P214" s="2" t="e">
        <f>P213+1</f>
        <v>#REF!</v>
      </c>
    </row>
    <row r="215" spans="1:16" x14ac:dyDescent="0.25">
      <c r="A215" s="104" t="s">
        <v>177</v>
      </c>
      <c r="B215" s="104"/>
      <c r="C215" s="104"/>
      <c r="D215" s="104"/>
      <c r="E215" s="104"/>
      <c r="F215" s="104"/>
      <c r="G215" s="104"/>
      <c r="H215" s="104"/>
    </row>
    <row r="216" spans="1:16" s="2" customFormat="1" x14ac:dyDescent="0.25">
      <c r="A216" s="98" t="s">
        <v>178</v>
      </c>
      <c r="B216" s="99"/>
      <c r="C216" s="99"/>
      <c r="D216" s="99"/>
      <c r="E216" s="99"/>
      <c r="F216" s="99"/>
      <c r="G216" s="99"/>
      <c r="H216" s="100"/>
      <c r="I216" s="32"/>
    </row>
    <row r="217" spans="1:16" s="72" customFormat="1" ht="15.75" customHeight="1" x14ac:dyDescent="0.25">
      <c r="A217" s="75" t="s">
        <v>223</v>
      </c>
      <c r="B217" s="75"/>
      <c r="C217" s="81" t="s">
        <v>224</v>
      </c>
      <c r="D217" s="82"/>
      <c r="E217" s="82"/>
      <c r="F217" s="83"/>
      <c r="G217" s="81" t="str">
        <f>A216</f>
        <v>1st, 2nd &amp; 3rd Floor for Residential &amp; Parking</v>
      </c>
      <c r="H217" s="83"/>
      <c r="I217" s="32"/>
      <c r="N217" s="72" t="e">
        <f t="shared" ref="N217:N219" ca="1" si="18">O217&amp;""&amp;" to "&amp;""&amp;P217</f>
        <v>#REF!</v>
      </c>
      <c r="O217" s="72" t="e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10^ROW(INDIRECT("1:"&amp;LEN((LEFT(A213,SUM(LEN(A213)-LEN(SUBSTITUTE(A213,{"0","1","2"},""))))))))/10))*100+1</f>
        <v>#REF!</v>
      </c>
      <c r="P217" s="72">
        <f ca="1">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",LEN(A213))),LEN(A213)))))))/10))*100+1</f>
        <v>401</v>
      </c>
    </row>
    <row r="218" spans="1:16" s="72" customFormat="1" ht="15.75" customHeight="1" x14ac:dyDescent="0.25">
      <c r="A218" s="75" t="s">
        <v>223</v>
      </c>
      <c r="B218" s="75"/>
      <c r="C218" s="84"/>
      <c r="D218" s="85"/>
      <c r="E218" s="85"/>
      <c r="F218" s="86"/>
      <c r="G218" s="84"/>
      <c r="H218" s="86"/>
      <c r="I218" s="32"/>
      <c r="N218" s="72" t="e">
        <f t="shared" ca="1" si="18"/>
        <v>#REF!</v>
      </c>
      <c r="O218" s="72" t="e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10^ROW(INDIRECT("1:"&amp;LEN((LEFT(A214,SUM(LEN(A214)-LEN(SUBSTITUTE(A214,{"0","1","2"},""))))))))/10))*100+1</f>
        <v>#REF!</v>
      </c>
      <c r="P218" s="72">
        <f ca="1">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",LEN(A214))),LEN(A214)))))))/10))*100+1</f>
        <v>501</v>
      </c>
    </row>
    <row r="219" spans="1:16" s="72" customFormat="1" ht="15.75" customHeight="1" x14ac:dyDescent="0.25">
      <c r="A219" s="75" t="s">
        <v>223</v>
      </c>
      <c r="B219" s="75"/>
      <c r="C219" s="87"/>
      <c r="D219" s="88"/>
      <c r="E219" s="88"/>
      <c r="F219" s="89"/>
      <c r="G219" s="84"/>
      <c r="H219" s="86"/>
      <c r="I219" s="32"/>
      <c r="N219" s="72" t="e">
        <f t="shared" ca="1" si="18"/>
        <v>#REF!</v>
      </c>
      <c r="O219" s="72" t="e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10^ROW(INDIRECT("1:"&amp;LEN((LEFT(A215,SUM(LEN(A215)-LEN(SUBSTITUTE(A215,{"0","1","2"},""))))))))/10))*100+1</f>
        <v>#REF!</v>
      </c>
      <c r="P219" s="72" t="e">
        <f ca="1">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",LEN(A215))),LEN(A215)))))))/10))*100+1</f>
        <v>#NUM!</v>
      </c>
    </row>
    <row r="220" spans="1:16" s="2" customFormat="1" ht="15.75" customHeight="1" x14ac:dyDescent="0.25">
      <c r="A220" s="75">
        <v>1</v>
      </c>
      <c r="B220" s="75">
        <v>4</v>
      </c>
      <c r="C220" s="14" t="s">
        <v>170</v>
      </c>
      <c r="D220" s="14">
        <f>(4.7*3.1+2.4*1.2+2.1*3.65+2.75*3.65+3.4*3.1+2.1*1.52+1.2*2.1+1.2*0.9)*10.764</f>
        <v>564.94315799999993</v>
      </c>
      <c r="E220" s="14">
        <v>0</v>
      </c>
      <c r="F220" s="14">
        <f>D220*(($F$185)+1)+(IF(E220&lt;101,E220,IF(E220&lt;201,E220/2,IF(E220&lt;=301,E220/3,E220/4))))</f>
        <v>847.41473699999983</v>
      </c>
      <c r="G220" s="84"/>
      <c r="H220" s="86"/>
      <c r="I220" s="32">
        <f>3*4+16*8+3*7</f>
        <v>161</v>
      </c>
      <c r="N220" s="2" t="str">
        <f t="shared" ref="N220:N224" ca="1" si="19">O220&amp;""&amp;" to "&amp;""&amp;P220</f>
        <v>101 to 301</v>
      </c>
      <c r="O220" s="2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</f>
        <v>101</v>
      </c>
      <c r="P220" s="2">
        <f ca="1">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301</v>
      </c>
    </row>
    <row r="221" spans="1:16" s="2" customFormat="1" ht="15.75" customHeight="1" x14ac:dyDescent="0.25">
      <c r="A221" s="75">
        <v>2</v>
      </c>
      <c r="B221" s="75">
        <v>5</v>
      </c>
      <c r="C221" s="14" t="s">
        <v>179</v>
      </c>
      <c r="D221" s="14">
        <f>(4.35*3.1+2.1*3.35+3.1*3.35+2.1*1.2+1.2*2.45+1.2*0.9)*10.764</f>
        <v>403.05797999999999</v>
      </c>
      <c r="E221" s="14">
        <v>0</v>
      </c>
      <c r="F221" s="14">
        <f>D221*(($F$185)+1)+(IF(E221&lt;101,E221,IF(E221&lt;201,E221/2,IF(E221&lt;=301,E221/3,E221/4))))</f>
        <v>604.58696999999995</v>
      </c>
      <c r="G221" s="84"/>
      <c r="H221" s="86"/>
      <c r="I221" s="32"/>
      <c r="N221" s="2" t="str">
        <f t="shared" ca="1" si="19"/>
        <v>102 to 302</v>
      </c>
      <c r="O221" s="2">
        <f t="shared" ref="O221:P224" ca="1" si="20">O220+1</f>
        <v>102</v>
      </c>
      <c r="P221" s="2">
        <f t="shared" ca="1" si="20"/>
        <v>302</v>
      </c>
    </row>
    <row r="222" spans="1:16" s="2" customFormat="1" ht="15.75" customHeight="1" x14ac:dyDescent="0.25">
      <c r="A222" s="75">
        <v>3</v>
      </c>
      <c r="B222" s="75">
        <v>6</v>
      </c>
      <c r="C222" s="14" t="s">
        <v>179</v>
      </c>
      <c r="D222" s="14">
        <f>(4.35*3.1+2.1*3.35+3.1*3.35+2.1*1.2+1.2*2.45+1.2*0.9)*10.764</f>
        <v>403.05797999999999</v>
      </c>
      <c r="E222" s="14">
        <v>0</v>
      </c>
      <c r="F222" s="14">
        <f>D222*(($F$185)+1)+(IF(E222&lt;101,E222,IF(E222&lt;201,E222/2,IF(E222&lt;=301,E222/3,E222/4))))</f>
        <v>604.58696999999995</v>
      </c>
      <c r="G222" s="84"/>
      <c r="H222" s="86"/>
      <c r="I222" s="32"/>
      <c r="N222" s="2" t="str">
        <f t="shared" ca="1" si="19"/>
        <v>103 to 303</v>
      </c>
      <c r="O222" s="2">
        <f t="shared" ca="1" si="20"/>
        <v>103</v>
      </c>
      <c r="P222" s="2">
        <f t="shared" ca="1" si="20"/>
        <v>303</v>
      </c>
    </row>
    <row r="223" spans="1:16" s="2" customFormat="1" ht="15.75" customHeight="1" x14ac:dyDescent="0.25">
      <c r="A223" s="75">
        <v>4</v>
      </c>
      <c r="B223" s="75">
        <v>7</v>
      </c>
      <c r="C223" s="14" t="s">
        <v>170</v>
      </c>
      <c r="D223" s="14">
        <f>(4.7*3.1+2.4*1.2+2.1*3.65+2.75*3.65+3.4*3.1+2.1*1.52+1.2*2.1+1.2*0.9)*10.764</f>
        <v>564.94315799999993</v>
      </c>
      <c r="E223" s="14">
        <v>0</v>
      </c>
      <c r="F223" s="14">
        <f>D223*(($F$185)+1)+(IF(E223&lt;101,E223,IF(E223&lt;201,E223/2,IF(E223&lt;=301,E223/3,E223/4))))</f>
        <v>847.41473699999983</v>
      </c>
      <c r="G223" s="84"/>
      <c r="H223" s="86"/>
      <c r="I223" s="32"/>
      <c r="N223" s="2" t="str">
        <f t="shared" ca="1" si="19"/>
        <v>104 to 304</v>
      </c>
      <c r="O223" s="2">
        <f t="shared" ca="1" si="20"/>
        <v>104</v>
      </c>
      <c r="P223" s="2">
        <f t="shared" ca="1" si="20"/>
        <v>304</v>
      </c>
    </row>
    <row r="224" spans="1:16" s="72" customFormat="1" ht="15.75" customHeight="1" x14ac:dyDescent="0.25">
      <c r="A224" s="79" t="s">
        <v>223</v>
      </c>
      <c r="B224" s="80"/>
      <c r="C224" s="79" t="s">
        <v>224</v>
      </c>
      <c r="D224" s="90"/>
      <c r="E224" s="90"/>
      <c r="F224" s="80"/>
      <c r="G224" s="87"/>
      <c r="H224" s="89"/>
      <c r="I224" s="32"/>
      <c r="N224" s="72" t="str">
        <f t="shared" ca="1" si="19"/>
        <v>105 to 305</v>
      </c>
      <c r="O224" s="72">
        <f t="shared" ca="1" si="20"/>
        <v>105</v>
      </c>
      <c r="P224" s="72">
        <f t="shared" ca="1" si="20"/>
        <v>305</v>
      </c>
    </row>
    <row r="225" spans="1:16" s="2" customFormat="1" x14ac:dyDescent="0.25">
      <c r="A225" s="98" t="s">
        <v>180</v>
      </c>
      <c r="B225" s="99"/>
      <c r="C225" s="99"/>
      <c r="D225" s="99"/>
      <c r="E225" s="99"/>
      <c r="F225" s="99"/>
      <c r="G225" s="99"/>
      <c r="H225" s="100"/>
      <c r="I225" s="32"/>
    </row>
    <row r="226" spans="1:16" s="2" customFormat="1" ht="15.75" customHeight="1" x14ac:dyDescent="0.25">
      <c r="A226" s="79">
        <v>1</v>
      </c>
      <c r="B226" s="80"/>
      <c r="C226" s="14" t="s">
        <v>179</v>
      </c>
      <c r="D226" s="14">
        <f>(4.35*3.1+2.1*3.35+3.1*3.35+2.1*1.2+1.2*2.45+1.2*0.9)*10.764</f>
        <v>403.05797999999999</v>
      </c>
      <c r="E226" s="14">
        <v>0</v>
      </c>
      <c r="F226" s="14">
        <f t="shared" ref="F226:F231" si="21">D226*(($F$185)+1)+(IF(E226&lt;101,E226,IF(E226&lt;201,E226/2,IF(E226&lt;=301,E226/3,E226/4))))</f>
        <v>604.58696999999995</v>
      </c>
      <c r="G226" s="81" t="str">
        <f>A225</f>
        <v>4th to 7th, 9th to 12th, 14th to 17th &amp; 19th to 22nd Floor</v>
      </c>
      <c r="H226" s="83"/>
      <c r="I226" s="32">
        <v>4600000</v>
      </c>
      <c r="J226" s="59">
        <f>I226/F226</f>
        <v>7608.500064101614</v>
      </c>
      <c r="N226" s="2" t="str">
        <f t="shared" ref="N226:N231" ca="1" si="22">O226&amp;""&amp;" &amp; "&amp;""&amp;P226</f>
        <v>401 &amp; 2201</v>
      </c>
      <c r="O226" s="2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10^ROW(INDIRECT("1:"&amp;LEN((LEFT(A225,SUM(LEN(A225)-LEN(SUBSTITUTE(A225,{"0","1","2"},""))))))))/10))*100+1</f>
        <v>401</v>
      </c>
      <c r="P226" s="2">
        <f ca="1">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",LEN(A225))),LEN(A225)))))))/10))*100+1</f>
        <v>2201</v>
      </c>
    </row>
    <row r="227" spans="1:16" s="2" customFormat="1" ht="15.75" customHeight="1" x14ac:dyDescent="0.25">
      <c r="A227" s="79">
        <v>2</v>
      </c>
      <c r="B227" s="80"/>
      <c r="C227" s="14" t="s">
        <v>179</v>
      </c>
      <c r="D227" s="14">
        <f>(4.35*3.1+2.1*3.35+3.1*3.35+2.1*1.2+1.2*2.45+1.2*0.9)*10.764</f>
        <v>403.05797999999999</v>
      </c>
      <c r="E227" s="14">
        <v>0</v>
      </c>
      <c r="F227" s="14">
        <f t="shared" si="21"/>
        <v>604.58696999999995</v>
      </c>
      <c r="G227" s="84"/>
      <c r="H227" s="86"/>
      <c r="I227" s="32"/>
      <c r="N227" s="2" t="str">
        <f t="shared" ca="1" si="22"/>
        <v>402 &amp; 2202</v>
      </c>
      <c r="O227" s="2">
        <f t="shared" ref="O227:P231" ca="1" si="23">O226+1</f>
        <v>402</v>
      </c>
      <c r="P227" s="2">
        <f t="shared" ca="1" si="23"/>
        <v>2202</v>
      </c>
    </row>
    <row r="228" spans="1:16" s="2" customFormat="1" ht="15.75" customHeight="1" x14ac:dyDescent="0.25">
      <c r="A228" s="79">
        <v>3</v>
      </c>
      <c r="B228" s="80"/>
      <c r="C228" s="14" t="s">
        <v>170</v>
      </c>
      <c r="D228" s="14">
        <f>(4.7*3.1+2.4*1.2+2.1*3.65+2.75*3.65+3.4*3.1+1.2*2.1+2.1*1.52+1.2*0.9)*10.764</f>
        <v>564.94315799999993</v>
      </c>
      <c r="E228" s="14">
        <v>0</v>
      </c>
      <c r="F228" s="14">
        <f t="shared" si="21"/>
        <v>847.41473699999983</v>
      </c>
      <c r="G228" s="84"/>
      <c r="H228" s="86"/>
      <c r="I228" s="32"/>
      <c r="N228" s="2" t="str">
        <f t="shared" ca="1" si="22"/>
        <v>403 &amp; 2203</v>
      </c>
      <c r="O228" s="2">
        <f t="shared" ca="1" si="23"/>
        <v>403</v>
      </c>
      <c r="P228" s="2">
        <f t="shared" ca="1" si="23"/>
        <v>2203</v>
      </c>
    </row>
    <row r="229" spans="1:16" s="2" customFormat="1" ht="15.75" customHeight="1" x14ac:dyDescent="0.25">
      <c r="A229" s="79">
        <v>4</v>
      </c>
      <c r="B229" s="80"/>
      <c r="C229" s="14" t="s">
        <v>170</v>
      </c>
      <c r="D229" s="14">
        <f>(4.7*3.1+2.4*1.2+2.1*3.65+2.75*3.65+3.4*3.1+1.2*2.1+2.1*1.52+1.2*0.9)*10.764</f>
        <v>564.94315799999993</v>
      </c>
      <c r="E229" s="14">
        <v>0</v>
      </c>
      <c r="F229" s="14">
        <f t="shared" si="21"/>
        <v>847.41473699999983</v>
      </c>
      <c r="G229" s="84"/>
      <c r="H229" s="86"/>
      <c r="I229" s="32">
        <f>6500000/F229</f>
        <v>7670.3882009547842</v>
      </c>
      <c r="N229" s="2" t="str">
        <f t="shared" ca="1" si="22"/>
        <v>404 &amp; 2204</v>
      </c>
      <c r="O229" s="2">
        <f t="shared" ca="1" si="23"/>
        <v>404</v>
      </c>
      <c r="P229" s="2">
        <f t="shared" ca="1" si="23"/>
        <v>2204</v>
      </c>
    </row>
    <row r="230" spans="1:16" s="2" customFormat="1" ht="15.75" customHeight="1" x14ac:dyDescent="0.25">
      <c r="A230" s="79">
        <v>5</v>
      </c>
      <c r="B230" s="80"/>
      <c r="C230" s="14" t="s">
        <v>179</v>
      </c>
      <c r="D230" s="14">
        <f>(4.35*3.1+2.1*3.35+3.1*3.35+2.1*1.2+1.2*2.45+1.2*0.9)*10.764</f>
        <v>403.05797999999999</v>
      </c>
      <c r="E230" s="14">
        <v>0</v>
      </c>
      <c r="F230" s="14">
        <f t="shared" si="21"/>
        <v>604.58696999999995</v>
      </c>
      <c r="G230" s="84"/>
      <c r="H230" s="86"/>
      <c r="I230" s="32">
        <f>4550000/F230</f>
        <v>7525.7989764483355</v>
      </c>
      <c r="N230" s="2" t="str">
        <f t="shared" ca="1" si="22"/>
        <v>405 &amp; 2205</v>
      </c>
      <c r="O230" s="2">
        <f t="shared" ca="1" si="23"/>
        <v>405</v>
      </c>
      <c r="P230" s="2">
        <f t="shared" ca="1" si="23"/>
        <v>2205</v>
      </c>
    </row>
    <row r="231" spans="1:16" s="2" customFormat="1" ht="15.75" customHeight="1" x14ac:dyDescent="0.25">
      <c r="A231" s="79">
        <v>6</v>
      </c>
      <c r="B231" s="80"/>
      <c r="C231" s="14" t="s">
        <v>179</v>
      </c>
      <c r="D231" s="14">
        <f>(4.35*3.1+2.1*3.35+3.1*3.35+2.1*1.2+1.2*2.45+1.2*0.9)*10.764</f>
        <v>403.05797999999999</v>
      </c>
      <c r="E231" s="14">
        <v>0</v>
      </c>
      <c r="F231" s="14">
        <f t="shared" si="21"/>
        <v>604.58696999999995</v>
      </c>
      <c r="G231" s="84"/>
      <c r="H231" s="86"/>
      <c r="I231" s="32"/>
      <c r="N231" s="2" t="str">
        <f t="shared" ca="1" si="22"/>
        <v>406 &amp; 2206</v>
      </c>
      <c r="O231" s="2">
        <f t="shared" ca="1" si="23"/>
        <v>406</v>
      </c>
      <c r="P231" s="2">
        <f t="shared" ca="1" si="23"/>
        <v>2206</v>
      </c>
    </row>
    <row r="232" spans="1:16" s="2" customFormat="1" ht="15.75" customHeight="1" x14ac:dyDescent="0.25">
      <c r="A232" s="79">
        <v>7</v>
      </c>
      <c r="B232" s="80"/>
      <c r="C232" s="14" t="s">
        <v>170</v>
      </c>
      <c r="D232" s="14">
        <f>(4.7*3.1+2.4*1.2+2.1*3.65+2.75*3.65+3.4*3.1+1.2*2.1+2.1*1.52+1.2*0.9)*10.764</f>
        <v>564.94315799999993</v>
      </c>
      <c r="E232" s="14">
        <v>0</v>
      </c>
      <c r="F232" s="14">
        <f t="shared" ref="F232:F233" si="24">D232*(($F$185)+1)+(IF(E232&lt;101,E232,IF(E232&lt;201,E232/2,IF(E232&lt;=301,E232/3,E232/4))))</f>
        <v>847.41473699999983</v>
      </c>
      <c r="G232" s="84"/>
      <c r="H232" s="86"/>
      <c r="I232" s="32"/>
      <c r="N232" s="2" t="str">
        <f t="shared" ref="N232:N233" ca="1" si="25">O232&amp;""&amp;" &amp; "&amp;""&amp;P232</f>
        <v>407 &amp; 2207</v>
      </c>
      <c r="O232" s="2">
        <f t="shared" ref="O232:P232" ca="1" si="26">O231+1</f>
        <v>407</v>
      </c>
      <c r="P232" s="2">
        <f t="shared" ca="1" si="26"/>
        <v>2207</v>
      </c>
    </row>
    <row r="233" spans="1:16" s="2" customFormat="1" ht="15.75" customHeight="1" x14ac:dyDescent="0.25">
      <c r="A233" s="79">
        <v>8</v>
      </c>
      <c r="B233" s="80"/>
      <c r="C233" s="14" t="s">
        <v>170</v>
      </c>
      <c r="D233" s="14">
        <f>(4.7*3.1+2.4*1.2+2.1*3.65+2.75*3.65+3.4*3.1+1.2*2.1+2.1*1.52+1.2*0.9)*10.764</f>
        <v>564.94315799999993</v>
      </c>
      <c r="E233" s="14">
        <v>0</v>
      </c>
      <c r="F233" s="14">
        <f t="shared" si="24"/>
        <v>847.41473699999983</v>
      </c>
      <c r="G233" s="87"/>
      <c r="H233" s="89"/>
      <c r="I233" s="32"/>
      <c r="N233" s="2" t="str">
        <f t="shared" ca="1" si="25"/>
        <v>408 &amp; 2208</v>
      </c>
      <c r="O233" s="2">
        <f t="shared" ref="O233:P233" ca="1" si="27">O232+1</f>
        <v>408</v>
      </c>
      <c r="P233" s="2">
        <f t="shared" ca="1" si="27"/>
        <v>2208</v>
      </c>
    </row>
    <row r="234" spans="1:16" s="2" customFormat="1" x14ac:dyDescent="0.25">
      <c r="A234" s="98" t="s">
        <v>181</v>
      </c>
      <c r="B234" s="99"/>
      <c r="C234" s="99"/>
      <c r="D234" s="99"/>
      <c r="E234" s="99"/>
      <c r="F234" s="99"/>
      <c r="G234" s="99"/>
      <c r="H234" s="100"/>
      <c r="I234" s="32"/>
    </row>
    <row r="235" spans="1:16" s="2" customFormat="1" ht="15.75" customHeight="1" x14ac:dyDescent="0.25">
      <c r="A235" s="79">
        <v>1</v>
      </c>
      <c r="B235" s="80"/>
      <c r="C235" s="14" t="s">
        <v>179</v>
      </c>
      <c r="D235" s="14">
        <f>(4.35*3.1+2.1*3.35+3.1*3.35+2.1*1.2+1.2*2.45+1.2*0.9)*10.764</f>
        <v>403.05797999999999</v>
      </c>
      <c r="E235" s="14">
        <v>0</v>
      </c>
      <c r="F235" s="14">
        <f t="shared" ref="F235:F242" si="28">D235*(($F$185)+1)+(IF(E235&lt;101,E235,IF(E235&lt;201,E235/2,IF(E235&lt;=301,E235/3,E235/4))))</f>
        <v>604.58696999999995</v>
      </c>
      <c r="G235" s="81" t="str">
        <f>A234</f>
        <v>8th, 13th &amp; 18th Floor (Part Refuge Area)</v>
      </c>
      <c r="H235" s="83"/>
      <c r="I235" s="32"/>
      <c r="N235" s="2" t="str">
        <f t="shared" ref="N235:N242" ca="1" si="29">O235&amp;""&amp;" &amp; "&amp;""&amp;P235</f>
        <v>801 &amp; 1801</v>
      </c>
      <c r="O235" s="2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10^ROW(INDIRECT("1:"&amp;LEN((LEFT(A234,SUM(LEN(A234)-LEN(SUBSTITUTE(A234,{"0","1","2"},""))))))))/10))*100+1</f>
        <v>801</v>
      </c>
      <c r="P235" s="2">
        <f ca="1">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",LEN(A234))),LEN(A234)))))))/10))*100+1</f>
        <v>1801</v>
      </c>
    </row>
    <row r="236" spans="1:16" s="2" customFormat="1" ht="15.75" customHeight="1" x14ac:dyDescent="0.25">
      <c r="A236" s="79">
        <v>2</v>
      </c>
      <c r="B236" s="80"/>
      <c r="C236" s="14" t="s">
        <v>179</v>
      </c>
      <c r="D236" s="14">
        <f>(4.35*3.1+2.1*3.35+3.1*3.35+2.1*1.2+1.2*2.45+1.2*0.9)*10.764</f>
        <v>403.05797999999999</v>
      </c>
      <c r="E236" s="14">
        <v>0</v>
      </c>
      <c r="F236" s="14">
        <f t="shared" si="28"/>
        <v>604.58696999999995</v>
      </c>
      <c r="G236" s="84"/>
      <c r="H236" s="86"/>
      <c r="I236" s="32"/>
      <c r="N236" s="2" t="str">
        <f t="shared" ca="1" si="29"/>
        <v>802 &amp; 1802</v>
      </c>
      <c r="O236" s="2">
        <f t="shared" ref="O236:P236" ca="1" si="30">O235+1</f>
        <v>802</v>
      </c>
      <c r="P236" s="2">
        <f t="shared" ca="1" si="30"/>
        <v>1802</v>
      </c>
    </row>
    <row r="237" spans="1:16" s="2" customFormat="1" ht="15.75" customHeight="1" x14ac:dyDescent="0.25">
      <c r="A237" s="79">
        <v>3</v>
      </c>
      <c r="B237" s="80"/>
      <c r="C237" s="14" t="s">
        <v>170</v>
      </c>
      <c r="D237" s="14">
        <f>(4.7*3.1+2.4*1.2+2.1*3.65+2.75*3.65+3.4*3.1+1.2*2.1+2.1*1.52+1.2*0.9)*10.764</f>
        <v>564.94315799999993</v>
      </c>
      <c r="E237" s="14">
        <v>0</v>
      </c>
      <c r="F237" s="14">
        <f t="shared" si="28"/>
        <v>847.41473699999983</v>
      </c>
      <c r="G237" s="84"/>
      <c r="H237" s="86"/>
      <c r="I237" s="32"/>
      <c r="N237" s="2" t="str">
        <f t="shared" ca="1" si="29"/>
        <v>803 &amp; 1803</v>
      </c>
      <c r="O237" s="2">
        <f t="shared" ref="O237:P237" ca="1" si="31">O236+1</f>
        <v>803</v>
      </c>
      <c r="P237" s="2">
        <f t="shared" ca="1" si="31"/>
        <v>1803</v>
      </c>
    </row>
    <row r="238" spans="1:16" s="2" customFormat="1" ht="15.75" customHeight="1" x14ac:dyDescent="0.25">
      <c r="A238" s="79">
        <v>4</v>
      </c>
      <c r="B238" s="80"/>
      <c r="C238" s="14" t="s">
        <v>170</v>
      </c>
      <c r="D238" s="14">
        <f>(4.7*3.1+2.4*1.2+2.1*3.65+2.75*3.65+3.4*3.1+1.2*2.1+2.1*1.52+1.2*0.9)*10.764</f>
        <v>564.94315799999993</v>
      </c>
      <c r="E238" s="14">
        <v>0</v>
      </c>
      <c r="F238" s="14">
        <f t="shared" si="28"/>
        <v>847.41473699999983</v>
      </c>
      <c r="G238" s="84"/>
      <c r="H238" s="86"/>
      <c r="I238" s="32"/>
      <c r="N238" s="2" t="str">
        <f t="shared" ca="1" si="29"/>
        <v>804 &amp; 1804</v>
      </c>
      <c r="O238" s="2">
        <f t="shared" ref="O238:P238" ca="1" si="32">O237+1</f>
        <v>804</v>
      </c>
      <c r="P238" s="2">
        <f t="shared" ca="1" si="32"/>
        <v>1804</v>
      </c>
    </row>
    <row r="239" spans="1:16" s="72" customFormat="1" ht="15.75" customHeight="1" x14ac:dyDescent="0.25">
      <c r="A239" s="79" t="s">
        <v>223</v>
      </c>
      <c r="B239" s="80"/>
      <c r="C239" s="79" t="s">
        <v>227</v>
      </c>
      <c r="D239" s="90"/>
      <c r="E239" s="90"/>
      <c r="F239" s="80"/>
      <c r="G239" s="84"/>
      <c r="H239" s="86"/>
      <c r="I239" s="32"/>
      <c r="N239" s="72" t="e">
        <f t="shared" si="29"/>
        <v>#REF!</v>
      </c>
      <c r="O239" s="72" t="e">
        <f>#REF!+1</f>
        <v>#REF!</v>
      </c>
      <c r="P239" s="72" t="e">
        <f>#REF!+1</f>
        <v>#REF!</v>
      </c>
    </row>
    <row r="240" spans="1:16" s="2" customFormat="1" ht="15.75" customHeight="1" x14ac:dyDescent="0.25">
      <c r="A240" s="79">
        <v>5</v>
      </c>
      <c r="B240" s="80"/>
      <c r="C240" s="14" t="s">
        <v>179</v>
      </c>
      <c r="D240" s="14">
        <f>(4.35*3.1+2.1*3.35+3.1*3.35+2.1*1.2+1.2*2.45+1.2*0.9)*10.764</f>
        <v>403.05797999999999</v>
      </c>
      <c r="E240" s="14">
        <v>0</v>
      </c>
      <c r="F240" s="14">
        <f t="shared" si="28"/>
        <v>604.58696999999995</v>
      </c>
      <c r="G240" s="84"/>
      <c r="H240" s="86"/>
      <c r="I240" s="32"/>
      <c r="N240" s="2" t="e">
        <f t="shared" si="29"/>
        <v>#REF!</v>
      </c>
      <c r="O240" s="2" t="e">
        <f>#REF!+1</f>
        <v>#REF!</v>
      </c>
      <c r="P240" s="2" t="e">
        <f>#REF!+1</f>
        <v>#REF!</v>
      </c>
    </row>
    <row r="241" spans="1:16" s="2" customFormat="1" ht="15.75" customHeight="1" x14ac:dyDescent="0.25">
      <c r="A241" s="79">
        <v>6</v>
      </c>
      <c r="B241" s="80"/>
      <c r="C241" s="14" t="s">
        <v>170</v>
      </c>
      <c r="D241" s="14">
        <f>(4.7*3.1+2.4*1.2+2.1*3.65+2.75*3.65+3.4*3.1+1.2*2.1+2.1*1.52+1.2*0.9)*10.764</f>
        <v>564.94315799999993</v>
      </c>
      <c r="E241" s="14">
        <v>0</v>
      </c>
      <c r="F241" s="14">
        <f t="shared" si="28"/>
        <v>847.41473699999983</v>
      </c>
      <c r="G241" s="84"/>
      <c r="H241" s="86"/>
      <c r="I241" s="32"/>
      <c r="N241" s="2" t="e">
        <f t="shared" si="29"/>
        <v>#REF!</v>
      </c>
      <c r="O241" s="2" t="e">
        <f t="shared" ref="O241:P241" si="33">O240+1</f>
        <v>#REF!</v>
      </c>
      <c r="P241" s="2" t="e">
        <f t="shared" si="33"/>
        <v>#REF!</v>
      </c>
    </row>
    <row r="242" spans="1:16" s="2" customFormat="1" ht="15.75" customHeight="1" x14ac:dyDescent="0.25">
      <c r="A242" s="79">
        <v>7</v>
      </c>
      <c r="B242" s="80"/>
      <c r="C242" s="14" t="s">
        <v>170</v>
      </c>
      <c r="D242" s="14">
        <f>(4.7*3.1+2.4*1.2+2.1*3.65+2.75*3.65+3.4*3.1+1.2*2.1+2.1*1.52+1.2*0.9)*10.764</f>
        <v>564.94315799999993</v>
      </c>
      <c r="E242" s="14">
        <v>0</v>
      </c>
      <c r="F242" s="14">
        <f t="shared" si="28"/>
        <v>847.41473699999983</v>
      </c>
      <c r="G242" s="87"/>
      <c r="H242" s="89"/>
      <c r="I242" s="32"/>
      <c r="N242" s="2" t="e">
        <f t="shared" si="29"/>
        <v>#REF!</v>
      </c>
      <c r="O242" s="2" t="e">
        <f t="shared" ref="O242:P242" si="34">O241+1</f>
        <v>#REF!</v>
      </c>
      <c r="P242" s="2" t="e">
        <f t="shared" si="34"/>
        <v>#REF!</v>
      </c>
    </row>
    <row r="243" spans="1:16" x14ac:dyDescent="0.25">
      <c r="A243" s="104" t="s">
        <v>202</v>
      </c>
      <c r="B243" s="104"/>
      <c r="C243" s="104"/>
      <c r="D243" s="104"/>
      <c r="E243" s="104"/>
      <c r="F243" s="104"/>
      <c r="G243" s="104"/>
      <c r="H243" s="104"/>
    </row>
    <row r="244" spans="1:16" s="60" customFormat="1" x14ac:dyDescent="0.25">
      <c r="A244" s="91" t="s">
        <v>203</v>
      </c>
      <c r="B244" s="91"/>
      <c r="C244" s="91"/>
      <c r="D244" s="91"/>
      <c r="E244" s="91"/>
      <c r="F244" s="91"/>
      <c r="G244" s="91"/>
      <c r="H244" s="91"/>
      <c r="I244" s="32"/>
    </row>
    <row r="245" spans="1:16" s="60" customFormat="1" x14ac:dyDescent="0.25">
      <c r="A245" s="91" t="s">
        <v>178</v>
      </c>
      <c r="B245" s="91"/>
      <c r="C245" s="91"/>
      <c r="D245" s="91"/>
      <c r="E245" s="91"/>
      <c r="F245" s="91"/>
      <c r="G245" s="91"/>
      <c r="H245" s="91"/>
      <c r="I245" s="32"/>
    </row>
    <row r="246" spans="1:16" s="72" customFormat="1" ht="15.75" customHeight="1" x14ac:dyDescent="0.25">
      <c r="A246" s="76" t="s">
        <v>223</v>
      </c>
      <c r="B246" s="76"/>
      <c r="C246" s="78" t="s">
        <v>224</v>
      </c>
      <c r="D246" s="78"/>
      <c r="E246" s="78"/>
      <c r="F246" s="78"/>
      <c r="G246" s="78" t="str">
        <f>A245</f>
        <v>1st, 2nd &amp; 3rd Floor for Residential &amp; Parking</v>
      </c>
      <c r="H246" s="78"/>
      <c r="I246" s="32"/>
      <c r="N246" s="72" t="e">
        <f t="shared" ref="N246:N248" ca="1" si="35">O246&amp;""&amp;" to "&amp;""&amp;P246</f>
        <v>#REF!</v>
      </c>
      <c r="O246" s="72" t="e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10^ROW(INDIRECT("1:"&amp;LEN((LEFT(A242,SUM(LEN(A242)-LEN(SUBSTITUTE(A242,{"0","1","2"},""))))))))/10))*100+1</f>
        <v>#REF!</v>
      </c>
      <c r="P246" s="72">
        <f ca="1">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",LEN(A242))),LEN(A242)))))))/10))*100+1</f>
        <v>701</v>
      </c>
    </row>
    <row r="247" spans="1:16" s="72" customFormat="1" ht="15.75" customHeight="1" x14ac:dyDescent="0.25">
      <c r="A247" s="76" t="s">
        <v>223</v>
      </c>
      <c r="B247" s="76"/>
      <c r="C247" s="78"/>
      <c r="D247" s="78"/>
      <c r="E247" s="78"/>
      <c r="F247" s="78"/>
      <c r="G247" s="78"/>
      <c r="H247" s="78"/>
      <c r="I247" s="32"/>
      <c r="N247" s="72" t="e">
        <f t="shared" ca="1" si="35"/>
        <v>#REF!</v>
      </c>
      <c r="O247" s="72" t="e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10^ROW(INDIRECT("1:"&amp;LEN((LEFT(A243,SUM(LEN(A243)-LEN(SUBSTITUTE(A243,{"0","1","2"},""))))))))/10))*100+1</f>
        <v>#REF!</v>
      </c>
      <c r="P247" s="72" t="e">
        <f ca="1">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",LEN(A243))),LEN(A243)))))))/10))*100+1</f>
        <v>#NUM!</v>
      </c>
    </row>
    <row r="248" spans="1:16" s="72" customFormat="1" ht="15.75" customHeight="1" x14ac:dyDescent="0.25">
      <c r="A248" s="76" t="s">
        <v>223</v>
      </c>
      <c r="B248" s="76"/>
      <c r="C248" s="78"/>
      <c r="D248" s="78"/>
      <c r="E248" s="78"/>
      <c r="F248" s="78"/>
      <c r="G248" s="78"/>
      <c r="H248" s="78"/>
      <c r="I248" s="32"/>
      <c r="N248" s="72" t="e">
        <f t="shared" ca="1" si="35"/>
        <v>#REF!</v>
      </c>
      <c r="O248" s="72" t="e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10^ROW(INDIRECT("1:"&amp;LEN((LEFT(A244,SUM(LEN(A244)-LEN(SUBSTITUTE(A244,{"0","1","2"},""))))))))/10))*100+1</f>
        <v>#REF!</v>
      </c>
      <c r="P248" s="72" t="e">
        <f ca="1">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",LEN(A244))),LEN(A244)))))))/10))*100+1</f>
        <v>#NUM!</v>
      </c>
    </row>
    <row r="249" spans="1:16" s="60" customFormat="1" ht="15.75" customHeight="1" x14ac:dyDescent="0.25">
      <c r="A249" s="76">
        <v>1</v>
      </c>
      <c r="B249" s="76">
        <v>4</v>
      </c>
      <c r="C249" s="76" t="s">
        <v>170</v>
      </c>
      <c r="D249" s="76">
        <f>(4.7*3.1+2.4*1.2+2.1*3.65+2.75*3.65+3.4*3.1+2.1*1.52+1.2*2.1+1.2*0.9)*10.764</f>
        <v>564.94315799999993</v>
      </c>
      <c r="E249" s="76">
        <v>0</v>
      </c>
      <c r="F249" s="76">
        <f>D249*(($F$185)+1)+(IF(E249&lt;101,E249,IF(E249&lt;201,E249/2,IF(E249&lt;=301,E249/3,E249/4))))</f>
        <v>847.41473699999983</v>
      </c>
      <c r="G249" s="78"/>
      <c r="H249" s="78"/>
      <c r="I249" s="32"/>
      <c r="N249" s="60" t="str">
        <f t="shared" ref="N249:N253" ca="1" si="36">O249&amp;""&amp;" to "&amp;""&amp;P249</f>
        <v>101 to 301</v>
      </c>
      <c r="O249" s="60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10^ROW(INDIRECT("1:"&amp;LEN((LEFT(A245,SUM(LEN(A245)-LEN(SUBSTITUTE(A245,{"0","1","2"},""))))))))/10))*100+1</f>
        <v>101</v>
      </c>
      <c r="P249" s="60">
        <f ca="1">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",LEN(A245))),LEN(A245)))))))/10))*100+1</f>
        <v>301</v>
      </c>
    </row>
    <row r="250" spans="1:16" s="60" customFormat="1" ht="15.75" customHeight="1" x14ac:dyDescent="0.25">
      <c r="A250" s="76">
        <v>2</v>
      </c>
      <c r="B250" s="76">
        <v>5</v>
      </c>
      <c r="C250" s="76" t="s">
        <v>179</v>
      </c>
      <c r="D250" s="76">
        <f>(4.35*3.1+2.1*3.35+3.1*3.35+2.1*1.2+1.2*2.45+1.2*0.9)*10.764</f>
        <v>403.05797999999999</v>
      </c>
      <c r="E250" s="76">
        <v>0</v>
      </c>
      <c r="F250" s="76">
        <f>D250*(($F$185)+1)+(IF(E250&lt;101,E250,IF(E250&lt;201,E250/2,IF(E250&lt;=301,E250/3,E250/4))))</f>
        <v>604.58696999999995</v>
      </c>
      <c r="G250" s="78"/>
      <c r="H250" s="78"/>
      <c r="I250" s="32"/>
      <c r="N250" s="60" t="str">
        <f t="shared" ca="1" si="36"/>
        <v>102 to 302</v>
      </c>
      <c r="O250" s="60">
        <f t="shared" ref="O250:P250" ca="1" si="37">O249+1</f>
        <v>102</v>
      </c>
      <c r="P250" s="60">
        <f t="shared" ca="1" si="37"/>
        <v>302</v>
      </c>
    </row>
    <row r="251" spans="1:16" s="60" customFormat="1" ht="15.75" customHeight="1" x14ac:dyDescent="0.25">
      <c r="A251" s="76">
        <v>3</v>
      </c>
      <c r="B251" s="76">
        <v>6</v>
      </c>
      <c r="C251" s="76" t="s">
        <v>179</v>
      </c>
      <c r="D251" s="76">
        <f>(4.35*3.1+2.1*3.35+3.1*3.35+2.1*1.2+1.2*2.45+1.2*0.9)*10.764</f>
        <v>403.05797999999999</v>
      </c>
      <c r="E251" s="76">
        <v>0</v>
      </c>
      <c r="F251" s="76">
        <f>D251*(($F$185)+1)+(IF(E251&lt;101,E251,IF(E251&lt;201,E251/2,IF(E251&lt;=301,E251/3,E251/4))))</f>
        <v>604.58696999999995</v>
      </c>
      <c r="G251" s="78"/>
      <c r="H251" s="78"/>
      <c r="I251" s="32"/>
      <c r="N251" s="60" t="str">
        <f t="shared" ca="1" si="36"/>
        <v>103 to 303</v>
      </c>
      <c r="O251" s="60">
        <f t="shared" ref="O251:P251" ca="1" si="38">O250+1</f>
        <v>103</v>
      </c>
      <c r="P251" s="60">
        <f t="shared" ca="1" si="38"/>
        <v>303</v>
      </c>
    </row>
    <row r="252" spans="1:16" s="60" customFormat="1" ht="15.75" customHeight="1" x14ac:dyDescent="0.25">
      <c r="A252" s="76">
        <v>4</v>
      </c>
      <c r="B252" s="76">
        <v>7</v>
      </c>
      <c r="C252" s="76" t="s">
        <v>170</v>
      </c>
      <c r="D252" s="76">
        <f>(4.7*3.1+2.4*1.2+2.1*3.65+2.75*3.65+3.4*3.1+2.1*1.52+1.2*2.1+1.2*0.9)*10.764</f>
        <v>564.94315799999993</v>
      </c>
      <c r="E252" s="76">
        <v>0</v>
      </c>
      <c r="F252" s="76">
        <f>D252*(($F$185)+1)+(IF(E252&lt;101,E252,IF(E252&lt;201,E252/2,IF(E252&lt;=301,E252/3,E252/4))))</f>
        <v>847.41473699999983</v>
      </c>
      <c r="G252" s="78"/>
      <c r="H252" s="78"/>
      <c r="I252" s="32"/>
      <c r="N252" s="60" t="str">
        <f t="shared" ca="1" si="36"/>
        <v>104 to 304</v>
      </c>
      <c r="O252" s="60">
        <f t="shared" ref="O252:P253" ca="1" si="39">O251+1</f>
        <v>104</v>
      </c>
      <c r="P252" s="60">
        <f t="shared" ca="1" si="39"/>
        <v>304</v>
      </c>
    </row>
    <row r="253" spans="1:16" s="72" customFormat="1" ht="15.75" customHeight="1" x14ac:dyDescent="0.25">
      <c r="A253" s="78" t="s">
        <v>223</v>
      </c>
      <c r="B253" s="78"/>
      <c r="C253" s="78" t="s">
        <v>224</v>
      </c>
      <c r="D253" s="78"/>
      <c r="E253" s="78"/>
      <c r="F253" s="78"/>
      <c r="G253" s="78"/>
      <c r="H253" s="78"/>
      <c r="I253" s="32"/>
      <c r="N253" s="72" t="str">
        <f t="shared" ca="1" si="36"/>
        <v>105 to 305</v>
      </c>
      <c r="O253" s="72">
        <f t="shared" ca="1" si="39"/>
        <v>105</v>
      </c>
      <c r="P253" s="72">
        <f t="shared" ca="1" si="39"/>
        <v>305</v>
      </c>
    </row>
    <row r="254" spans="1:16" s="60" customFormat="1" x14ac:dyDescent="0.25">
      <c r="A254" s="98" t="s">
        <v>180</v>
      </c>
      <c r="B254" s="99"/>
      <c r="C254" s="99"/>
      <c r="D254" s="99"/>
      <c r="E254" s="99"/>
      <c r="F254" s="99"/>
      <c r="G254" s="99"/>
      <c r="H254" s="100"/>
      <c r="I254" s="32"/>
    </row>
    <row r="255" spans="1:16" s="60" customFormat="1" ht="15.75" customHeight="1" x14ac:dyDescent="0.25">
      <c r="A255" s="79">
        <v>1</v>
      </c>
      <c r="B255" s="80"/>
      <c r="C255" s="64" t="s">
        <v>179</v>
      </c>
      <c r="D255" s="66">
        <f>(4.35*3.1+2.1*3.35+3.1*3.35+2.1*1.2+1.2*2.45+1.2*0.9)*10.764</f>
        <v>403.05797999999999</v>
      </c>
      <c r="E255" s="64">
        <v>0</v>
      </c>
      <c r="F255" s="64">
        <f t="shared" ref="F255:F262" si="40">D255*(($F$185)+1)+(IF(E255&lt;101,E255,IF(E255&lt;201,E255/2,IF(E255&lt;=301,E255/3,E255/4))))</f>
        <v>604.58696999999995</v>
      </c>
      <c r="G255" s="81" t="str">
        <f>A254</f>
        <v>4th to 7th, 9th to 12th, 14th to 17th &amp; 19th to 22nd Floor</v>
      </c>
      <c r="H255" s="83"/>
      <c r="I255" s="32">
        <v>4600000</v>
      </c>
      <c r="J255" s="59">
        <f>I255/F255</f>
        <v>7608.500064101614</v>
      </c>
      <c r="N255" s="60" t="str">
        <f t="shared" ref="N255:N262" ca="1" si="41">O255&amp;""&amp;" &amp; "&amp;""&amp;P255</f>
        <v>401 &amp; 2201</v>
      </c>
      <c r="O255" s="60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10^ROW(INDIRECT("1:"&amp;LEN((LEFT(A254,SUM(LEN(A254)-LEN(SUBSTITUTE(A254,{"0","1","2"},""))))))))/10))*100+1</f>
        <v>401</v>
      </c>
      <c r="P255" s="60">
        <f ca="1">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",LEN(A254))),LEN(A254)))))))/10))*100+1</f>
        <v>2201</v>
      </c>
    </row>
    <row r="256" spans="1:16" s="60" customFormat="1" ht="15.75" customHeight="1" x14ac:dyDescent="0.25">
      <c r="A256" s="79">
        <v>2</v>
      </c>
      <c r="B256" s="80"/>
      <c r="C256" s="64" t="s">
        <v>179</v>
      </c>
      <c r="D256" s="66">
        <f>(4.35*3.1+2.1*3.35+3.1*3.35+2.1*1.2+1.2*2.45+1.2*0.9)*10.764</f>
        <v>403.05797999999999</v>
      </c>
      <c r="E256" s="64">
        <v>0</v>
      </c>
      <c r="F256" s="64">
        <f t="shared" si="40"/>
        <v>604.58696999999995</v>
      </c>
      <c r="G256" s="84"/>
      <c r="H256" s="86"/>
      <c r="I256" s="32"/>
      <c r="N256" s="60" t="str">
        <f t="shared" ca="1" si="41"/>
        <v>402 &amp; 2202</v>
      </c>
      <c r="O256" s="60">
        <f t="shared" ref="O256:P256" ca="1" si="42">O255+1</f>
        <v>402</v>
      </c>
      <c r="P256" s="60">
        <f t="shared" ca="1" si="42"/>
        <v>2202</v>
      </c>
    </row>
    <row r="257" spans="1:16" s="60" customFormat="1" ht="15.75" customHeight="1" x14ac:dyDescent="0.25">
      <c r="A257" s="79">
        <v>3</v>
      </c>
      <c r="B257" s="80"/>
      <c r="C257" s="64" t="s">
        <v>170</v>
      </c>
      <c r="D257" s="66">
        <f>(4.7*3.1+2.4*1.2+2.1*3.65+2.75*3.65+3.4*3.1+1.2*2.1+2.1*1.52+1.2*0.9)*10.764</f>
        <v>564.94315799999993</v>
      </c>
      <c r="E257" s="64">
        <v>0</v>
      </c>
      <c r="F257" s="64">
        <f t="shared" si="40"/>
        <v>847.41473699999983</v>
      </c>
      <c r="G257" s="84"/>
      <c r="H257" s="86"/>
      <c r="I257" s="32"/>
      <c r="N257" s="60" t="str">
        <f t="shared" ca="1" si="41"/>
        <v>403 &amp; 2203</v>
      </c>
      <c r="O257" s="60">
        <f t="shared" ref="O257:P257" ca="1" si="43">O256+1</f>
        <v>403</v>
      </c>
      <c r="P257" s="60">
        <f t="shared" ca="1" si="43"/>
        <v>2203</v>
      </c>
    </row>
    <row r="258" spans="1:16" s="60" customFormat="1" ht="15.75" customHeight="1" x14ac:dyDescent="0.25">
      <c r="A258" s="79">
        <v>4</v>
      </c>
      <c r="B258" s="80"/>
      <c r="C258" s="64" t="s">
        <v>170</v>
      </c>
      <c r="D258" s="66">
        <f>(4.7*3.1+2.4*1.2+2.1*3.65+2.75*3.65+3.4*3.1+1.2*2.1+2.1*1.52+1.2*0.9)*10.764</f>
        <v>564.94315799999993</v>
      </c>
      <c r="E258" s="64">
        <v>0</v>
      </c>
      <c r="F258" s="64">
        <f t="shared" si="40"/>
        <v>847.41473699999983</v>
      </c>
      <c r="G258" s="84"/>
      <c r="H258" s="86"/>
      <c r="I258" s="32"/>
      <c r="N258" s="60" t="str">
        <f t="shared" ca="1" si="41"/>
        <v>404 &amp; 2204</v>
      </c>
      <c r="O258" s="60">
        <f t="shared" ref="O258:P258" ca="1" si="44">O257+1</f>
        <v>404</v>
      </c>
      <c r="P258" s="60">
        <f t="shared" ca="1" si="44"/>
        <v>2204</v>
      </c>
    </row>
    <row r="259" spans="1:16" s="60" customFormat="1" ht="15.75" customHeight="1" x14ac:dyDescent="0.25">
      <c r="A259" s="79">
        <v>5</v>
      </c>
      <c r="B259" s="80"/>
      <c r="C259" s="64" t="s">
        <v>179</v>
      </c>
      <c r="D259" s="66">
        <f>(4.35*3.1+2.1*3.35+3.1*3.35+2.1*1.2+1.2*2.45+1.2*0.9)*10.764</f>
        <v>403.05797999999999</v>
      </c>
      <c r="E259" s="64">
        <v>0</v>
      </c>
      <c r="F259" s="64">
        <f t="shared" si="40"/>
        <v>604.58696999999995</v>
      </c>
      <c r="G259" s="84"/>
      <c r="H259" s="86"/>
      <c r="I259" s="32"/>
      <c r="N259" s="60" t="str">
        <f t="shared" ca="1" si="41"/>
        <v>405 &amp; 2205</v>
      </c>
      <c r="O259" s="60">
        <f t="shared" ref="O259:P259" ca="1" si="45">O258+1</f>
        <v>405</v>
      </c>
      <c r="P259" s="60">
        <f t="shared" ca="1" si="45"/>
        <v>2205</v>
      </c>
    </row>
    <row r="260" spans="1:16" s="60" customFormat="1" ht="15.75" customHeight="1" x14ac:dyDescent="0.25">
      <c r="A260" s="79">
        <v>6</v>
      </c>
      <c r="B260" s="80"/>
      <c r="C260" s="64" t="s">
        <v>179</v>
      </c>
      <c r="D260" s="66">
        <f>(4.35*3.1+2.1*3.35+3.1*3.35+2.1*1.2+1.2*2.45+1.2*0.9)*10.764</f>
        <v>403.05797999999999</v>
      </c>
      <c r="E260" s="64">
        <v>0</v>
      </c>
      <c r="F260" s="64">
        <f t="shared" si="40"/>
        <v>604.58696999999995</v>
      </c>
      <c r="G260" s="84"/>
      <c r="H260" s="86"/>
      <c r="I260" s="32"/>
      <c r="N260" s="60" t="str">
        <f t="shared" ca="1" si="41"/>
        <v>406 &amp; 2206</v>
      </c>
      <c r="O260" s="60">
        <f t="shared" ref="O260:P260" ca="1" si="46">O259+1</f>
        <v>406</v>
      </c>
      <c r="P260" s="60">
        <f t="shared" ca="1" si="46"/>
        <v>2206</v>
      </c>
    </row>
    <row r="261" spans="1:16" s="60" customFormat="1" ht="15.75" customHeight="1" x14ac:dyDescent="0.25">
      <c r="A261" s="79">
        <v>7</v>
      </c>
      <c r="B261" s="80"/>
      <c r="C261" s="64" t="s">
        <v>170</v>
      </c>
      <c r="D261" s="66">
        <f>(4.7*3.1+2.4*1.2+2.1*3.65+2.75*3.65+3.4*3.1+1.2*2.1+2.1*1.52+1.2*0.9)*10.764</f>
        <v>564.94315799999993</v>
      </c>
      <c r="E261" s="64">
        <v>0</v>
      </c>
      <c r="F261" s="64">
        <f t="shared" si="40"/>
        <v>847.41473699999983</v>
      </c>
      <c r="G261" s="84"/>
      <c r="H261" s="86"/>
      <c r="I261" s="32"/>
      <c r="N261" s="60" t="str">
        <f t="shared" ca="1" si="41"/>
        <v>407 &amp; 2207</v>
      </c>
      <c r="O261" s="60">
        <f t="shared" ref="O261:P261" ca="1" si="47">O260+1</f>
        <v>407</v>
      </c>
      <c r="P261" s="60">
        <f t="shared" ca="1" si="47"/>
        <v>2207</v>
      </c>
    </row>
    <row r="262" spans="1:16" s="60" customFormat="1" ht="15.75" customHeight="1" x14ac:dyDescent="0.25">
      <c r="A262" s="79">
        <v>8</v>
      </c>
      <c r="B262" s="80"/>
      <c r="C262" s="64" t="s">
        <v>170</v>
      </c>
      <c r="D262" s="66">
        <f>(4.7*3.1+2.4*1.2+2.1*3.65+2.75*3.65+3.4*3.1+1.2*2.1+2.1*1.52+1.2*0.9)*10.764</f>
        <v>564.94315799999993</v>
      </c>
      <c r="E262" s="64">
        <v>0</v>
      </c>
      <c r="F262" s="64">
        <f t="shared" si="40"/>
        <v>847.41473699999983</v>
      </c>
      <c r="G262" s="87"/>
      <c r="H262" s="89"/>
      <c r="I262" s="32"/>
      <c r="N262" s="60" t="str">
        <f t="shared" ca="1" si="41"/>
        <v>408 &amp; 2208</v>
      </c>
      <c r="O262" s="60">
        <f t="shared" ref="O262:P262" ca="1" si="48">O261+1</f>
        <v>408</v>
      </c>
      <c r="P262" s="60">
        <f t="shared" ca="1" si="48"/>
        <v>2208</v>
      </c>
    </row>
    <row r="263" spans="1:16" s="60" customFormat="1" x14ac:dyDescent="0.25">
      <c r="A263" s="98" t="s">
        <v>181</v>
      </c>
      <c r="B263" s="99"/>
      <c r="C263" s="99"/>
      <c r="D263" s="99"/>
      <c r="E263" s="99"/>
      <c r="F263" s="99"/>
      <c r="G263" s="99"/>
      <c r="H263" s="100"/>
      <c r="I263" s="32"/>
    </row>
    <row r="264" spans="1:16" s="60" customFormat="1" ht="15.75" customHeight="1" x14ac:dyDescent="0.25">
      <c r="A264" s="79">
        <v>1</v>
      </c>
      <c r="B264" s="80"/>
      <c r="C264" s="64" t="s">
        <v>179</v>
      </c>
      <c r="D264" s="66">
        <f>(4.35*3.1+2.1*3.35+3.1*3.35+2.1*1.2+1.2*2.45+1.2*0.9)*10.764</f>
        <v>403.05797999999999</v>
      </c>
      <c r="E264" s="64">
        <v>0</v>
      </c>
      <c r="F264" s="64">
        <f t="shared" ref="F264:F271" si="49">D264*(($F$185)+1)+(IF(E264&lt;101,E264,IF(E264&lt;201,E264/2,IF(E264&lt;=301,E264/3,E264/4))))</f>
        <v>604.58696999999995</v>
      </c>
      <c r="G264" s="81" t="str">
        <f>A263</f>
        <v>8th, 13th &amp; 18th Floor (Part Refuge Area)</v>
      </c>
      <c r="H264" s="83"/>
      <c r="I264" s="32"/>
      <c r="N264" s="60" t="str">
        <f t="shared" ref="N264:N271" ca="1" si="50">O264&amp;""&amp;" &amp; "&amp;""&amp;P264</f>
        <v>801 &amp; 1801</v>
      </c>
      <c r="O264" s="60">
        <f ca="1">(SUMPRODUCT(MID(0&amp;(LEFT(A263,SUM(LEN(A263)-LEN(SUBSTITUTE(A263,{"0","1","2"},""))))), LARGE(INDEX(ISNUMBER(--MID((LEFT(A263,SUM(LEN(A263)-LEN(SUBSTITUTE(A263,{"0","1","2"},""))))), ROW(INDIRECT("1:"&amp;LEN((LEFT(A263,SUM(LEN(A263)-LEN(SUBSTITUTE(A263,{"0","1","2"},"")))))))), 1)) * ROW(INDIRECT("1:"&amp;LEN((LEFT(A263,SUM(LEN(A263)-LEN(SUBSTITUTE(A263,{"0","1","2"},"")))))))), 0), ROW(INDIRECT("1:"&amp;LEN((LEFT(A263,SUM(LEN(A263)-LEN(SUBSTITUTE(A263,{"0","1","2"},"")))))))))+1, 1) * 10^ROW(INDIRECT("1:"&amp;LEN((LEFT(A263,SUM(LEN(A263)-LEN(SUBSTITUTE(A263,{"0","1","2"},""))))))))/10))*100+1</f>
        <v>801</v>
      </c>
      <c r="P264" s="60">
        <f ca="1">(SUMPRODUCT(MID(0&amp;(--TRIM(RIGHT(SUBSTITUTE(LEFT(A263,_xlfn.AGGREGATE(16,6,FIND({0,1,2,3,4,5,6,7,8,9},A263,ROW(INDIRECT("1:"&amp;LEN(A263)))),1))," ",REPT(" ",LEN(A263))),LEN(A263)))), LARGE(INDEX(ISNUMBER(--MID((--TRIM(RIGHT(SUBSTITUTE(LEFT(A263,_xlfn.AGGREGATE(16,6,FIND({0,1,2,3,4,5,6,7,8,9},A263,ROW(INDIRECT("1:"&amp;LEN(A263)))),1))," ",REPT(" ",LEN(A263))),LEN(A263)))), ROW(INDIRECT("1:"&amp;LEN((--TRIM(RIGHT(SUBSTITUTE(LEFT(A263,_xlfn.AGGREGATE(16,6,FIND({0,1,2,3,4,5,6,7,8,9},A263,ROW(INDIRECT("1:"&amp;LEN(A263)))),1))," ",REPT(" ",LEN(A263))),LEN(A263))))))), 1)) * ROW(INDIRECT("1:"&amp;LEN((--TRIM(RIGHT(SUBSTITUTE(LEFT(A263,_xlfn.AGGREGATE(16,6,FIND({0,1,2,3,4,5,6,7,8,9},A263,ROW(INDIRECT("1:"&amp;LEN(A263)))),1))," ",REPT(" ",LEN(A263))),LEN(A263))))))), 0), ROW(INDIRECT("1:"&amp;LEN((--TRIM(RIGHT(SUBSTITUTE(LEFT(A263,_xlfn.AGGREGATE(16,6,FIND({0,1,2,3,4,5,6,7,8,9},A263,ROW(INDIRECT("1:"&amp;LEN(A263)))),1))," ",REPT(" ",LEN(A263))),LEN(A263))))))))+1, 1) * 10^ROW(INDIRECT("1:"&amp;LEN((--TRIM(RIGHT(SUBSTITUTE(LEFT(A263,_xlfn.AGGREGATE(16,6,FIND({0,1,2,3,4,5,6,7,8,9},A263,ROW(INDIRECT("1:"&amp;LEN(A263)))),1))," ",REPT(" ",LEN(A263))),LEN(A263)))))))/10))*100+1</f>
        <v>1801</v>
      </c>
    </row>
    <row r="265" spans="1:16" s="60" customFormat="1" ht="15.75" customHeight="1" x14ac:dyDescent="0.25">
      <c r="A265" s="79">
        <v>2</v>
      </c>
      <c r="B265" s="80"/>
      <c r="C265" s="64" t="s">
        <v>179</v>
      </c>
      <c r="D265" s="66">
        <f>(4.35*3.1+2.1*3.35+3.1*3.35+2.1*1.2+1.2*2.45+1.2*0.9)*10.764</f>
        <v>403.05797999999999</v>
      </c>
      <c r="E265" s="64">
        <v>0</v>
      </c>
      <c r="F265" s="64">
        <f t="shared" si="49"/>
        <v>604.58696999999995</v>
      </c>
      <c r="G265" s="84"/>
      <c r="H265" s="86"/>
      <c r="I265" s="32"/>
      <c r="N265" s="60" t="str">
        <f t="shared" ca="1" si="50"/>
        <v>802 &amp; 1802</v>
      </c>
      <c r="O265" s="60">
        <f t="shared" ref="O265:P265" ca="1" si="51">O264+1</f>
        <v>802</v>
      </c>
      <c r="P265" s="60">
        <f t="shared" ca="1" si="51"/>
        <v>1802</v>
      </c>
    </row>
    <row r="266" spans="1:16" s="60" customFormat="1" ht="15.75" customHeight="1" x14ac:dyDescent="0.25">
      <c r="A266" s="79">
        <v>3</v>
      </c>
      <c r="B266" s="80"/>
      <c r="C266" s="64" t="s">
        <v>170</v>
      </c>
      <c r="D266" s="66">
        <f>(4.7*3.1+2.4*1.2+2.1*3.65+2.75*3.65+3.4*3.1+1.2*2.1+2.1*1.52+1.2*0.9)*10.764</f>
        <v>564.94315799999993</v>
      </c>
      <c r="E266" s="64">
        <v>0</v>
      </c>
      <c r="F266" s="64">
        <f t="shared" si="49"/>
        <v>847.41473699999983</v>
      </c>
      <c r="G266" s="84"/>
      <c r="H266" s="86"/>
      <c r="I266" s="32"/>
      <c r="N266" s="60" t="str">
        <f t="shared" ca="1" si="50"/>
        <v>803 &amp; 1803</v>
      </c>
      <c r="O266" s="60">
        <f t="shared" ref="O266:P266" ca="1" si="52">O265+1</f>
        <v>803</v>
      </c>
      <c r="P266" s="60">
        <f t="shared" ca="1" si="52"/>
        <v>1803</v>
      </c>
    </row>
    <row r="267" spans="1:16" s="60" customFormat="1" ht="15.75" customHeight="1" x14ac:dyDescent="0.25">
      <c r="A267" s="79">
        <v>4</v>
      </c>
      <c r="B267" s="80"/>
      <c r="C267" s="64" t="s">
        <v>170</v>
      </c>
      <c r="D267" s="66">
        <f>(4.7*3.1+2.4*1.2+2.1*3.65+2.75*3.65+3.4*3.1+1.2*2.1+2.1*1.52+1.2*0.9)*10.764</f>
        <v>564.94315799999993</v>
      </c>
      <c r="E267" s="64">
        <v>0</v>
      </c>
      <c r="F267" s="64">
        <f t="shared" si="49"/>
        <v>847.41473699999983</v>
      </c>
      <c r="G267" s="84"/>
      <c r="H267" s="86"/>
      <c r="I267" s="32"/>
      <c r="N267" s="60" t="str">
        <f t="shared" ca="1" si="50"/>
        <v>804 &amp; 1804</v>
      </c>
      <c r="O267" s="60">
        <f t="shared" ref="O267:P267" ca="1" si="53">O266+1</f>
        <v>804</v>
      </c>
      <c r="P267" s="60">
        <f t="shared" ca="1" si="53"/>
        <v>1804</v>
      </c>
    </row>
    <row r="268" spans="1:16" s="72" customFormat="1" ht="15.75" customHeight="1" x14ac:dyDescent="0.25">
      <c r="A268" s="79" t="s">
        <v>223</v>
      </c>
      <c r="B268" s="80"/>
      <c r="C268" s="79" t="s">
        <v>227</v>
      </c>
      <c r="D268" s="90"/>
      <c r="E268" s="90"/>
      <c r="F268" s="80"/>
      <c r="G268" s="84"/>
      <c r="H268" s="86"/>
      <c r="I268" s="32"/>
      <c r="N268" s="72" t="e">
        <f t="shared" si="50"/>
        <v>#REF!</v>
      </c>
      <c r="O268" s="72" t="e">
        <f>#REF!+1</f>
        <v>#REF!</v>
      </c>
      <c r="P268" s="72" t="e">
        <f>#REF!+1</f>
        <v>#REF!</v>
      </c>
    </row>
    <row r="269" spans="1:16" s="60" customFormat="1" ht="15.75" customHeight="1" x14ac:dyDescent="0.25">
      <c r="A269" s="79">
        <v>5</v>
      </c>
      <c r="B269" s="80"/>
      <c r="C269" s="64" t="s">
        <v>179</v>
      </c>
      <c r="D269" s="66">
        <f>(4.35*3.1+2.1*3.35+3.1*3.35+2.1*1.2+1.2*2.45+1.2*0.9)*10.764</f>
        <v>403.05797999999999</v>
      </c>
      <c r="E269" s="64">
        <v>0</v>
      </c>
      <c r="F269" s="64">
        <f t="shared" si="49"/>
        <v>604.58696999999995</v>
      </c>
      <c r="G269" s="84"/>
      <c r="H269" s="86"/>
      <c r="I269" s="32"/>
      <c r="N269" s="60" t="e">
        <f t="shared" si="50"/>
        <v>#REF!</v>
      </c>
      <c r="O269" s="60" t="e">
        <f>#REF!+1</f>
        <v>#REF!</v>
      </c>
      <c r="P269" s="60" t="e">
        <f>#REF!+1</f>
        <v>#REF!</v>
      </c>
    </row>
    <row r="270" spans="1:16" s="60" customFormat="1" ht="15.75" customHeight="1" x14ac:dyDescent="0.25">
      <c r="A270" s="79">
        <v>6</v>
      </c>
      <c r="B270" s="80"/>
      <c r="C270" s="64" t="s">
        <v>170</v>
      </c>
      <c r="D270" s="66">
        <f>(4.7*3.1+2.4*1.2+2.1*3.65+2.75*3.65+3.4*3.1+1.2*2.1+2.1*1.52+1.2*0.9)*10.764</f>
        <v>564.94315799999993</v>
      </c>
      <c r="E270" s="64">
        <v>0</v>
      </c>
      <c r="F270" s="64">
        <f t="shared" si="49"/>
        <v>847.41473699999983</v>
      </c>
      <c r="G270" s="84"/>
      <c r="H270" s="86"/>
      <c r="I270" s="32"/>
      <c r="N270" s="60" t="e">
        <f t="shared" si="50"/>
        <v>#REF!</v>
      </c>
      <c r="O270" s="60" t="e">
        <f t="shared" ref="O270:P270" si="54">O269+1</f>
        <v>#REF!</v>
      </c>
      <c r="P270" s="60" t="e">
        <f t="shared" si="54"/>
        <v>#REF!</v>
      </c>
    </row>
    <row r="271" spans="1:16" s="60" customFormat="1" ht="15.75" customHeight="1" x14ac:dyDescent="0.25">
      <c r="A271" s="79">
        <v>7</v>
      </c>
      <c r="B271" s="80"/>
      <c r="C271" s="64" t="s">
        <v>170</v>
      </c>
      <c r="D271" s="66">
        <f>(4.7*3.1+2.4*1.2+2.1*3.65+2.75*3.65+3.4*3.1+1.2*2.1+2.1*1.52+1.2*0.9)*10.764</f>
        <v>564.94315799999993</v>
      </c>
      <c r="E271" s="64">
        <v>0</v>
      </c>
      <c r="F271" s="64">
        <f t="shared" si="49"/>
        <v>847.41473699999983</v>
      </c>
      <c r="G271" s="87"/>
      <c r="H271" s="89"/>
      <c r="I271" s="32"/>
      <c r="N271" s="60" t="e">
        <f t="shared" si="50"/>
        <v>#REF!</v>
      </c>
      <c r="O271" s="60" t="e">
        <f t="shared" ref="O271:P271" si="55">O270+1</f>
        <v>#REF!</v>
      </c>
      <c r="P271" s="60" t="e">
        <f t="shared" si="55"/>
        <v>#REF!</v>
      </c>
    </row>
    <row r="272" spans="1:16" x14ac:dyDescent="0.25">
      <c r="A272" s="104" t="s">
        <v>221</v>
      </c>
      <c r="B272" s="104"/>
      <c r="C272" s="104"/>
      <c r="D272" s="104"/>
      <c r="E272" s="104"/>
      <c r="F272" s="104"/>
      <c r="G272" s="104"/>
      <c r="H272" s="104"/>
    </row>
    <row r="273" spans="1:16" s="72" customFormat="1" x14ac:dyDescent="0.25">
      <c r="A273" s="98" t="s">
        <v>203</v>
      </c>
      <c r="B273" s="99"/>
      <c r="C273" s="99"/>
      <c r="D273" s="99"/>
      <c r="E273" s="99"/>
      <c r="F273" s="99"/>
      <c r="G273" s="99"/>
      <c r="H273" s="100"/>
      <c r="I273" s="32"/>
    </row>
    <row r="274" spans="1:16" s="72" customFormat="1" x14ac:dyDescent="0.25">
      <c r="A274" s="98" t="s">
        <v>225</v>
      </c>
      <c r="B274" s="99"/>
      <c r="C274" s="99"/>
      <c r="D274" s="99"/>
      <c r="E274" s="99"/>
      <c r="F274" s="99"/>
      <c r="G274" s="99"/>
      <c r="H274" s="100"/>
      <c r="I274" s="32"/>
    </row>
    <row r="275" spans="1:16" s="72" customFormat="1" ht="15.75" customHeight="1" x14ac:dyDescent="0.25">
      <c r="A275" s="79" t="s">
        <v>223</v>
      </c>
      <c r="B275" s="80"/>
      <c r="C275" s="81" t="s">
        <v>224</v>
      </c>
      <c r="D275" s="82"/>
      <c r="E275" s="82"/>
      <c r="F275" s="83"/>
      <c r="G275" s="81" t="str">
        <f>A274</f>
        <v>1st, 2nd Floor for Residential &amp; Parking</v>
      </c>
      <c r="H275" s="83"/>
      <c r="I275" s="32"/>
      <c r="N275" s="72" t="e">
        <f t="shared" ref="N275:N277" ca="1" si="56">O275&amp;""&amp;" to "&amp;""&amp;P275</f>
        <v>#REF!</v>
      </c>
      <c r="O275" s="72" t="e">
        <f ca="1">(SUMPRODUCT(MID(0&amp;(LEFT(A271,SUM(LEN(A271)-LEN(SUBSTITUTE(A271,{"0","1","2"},""))))), LARGE(INDEX(ISNUMBER(--MID((LEFT(A271,SUM(LEN(A271)-LEN(SUBSTITUTE(A271,{"0","1","2"},""))))), ROW(INDIRECT("1:"&amp;LEN((LEFT(A271,SUM(LEN(A271)-LEN(SUBSTITUTE(A271,{"0","1","2"},"")))))))), 1)) * ROW(INDIRECT("1:"&amp;LEN((LEFT(A271,SUM(LEN(A271)-LEN(SUBSTITUTE(A271,{"0","1","2"},"")))))))), 0), ROW(INDIRECT("1:"&amp;LEN((LEFT(A271,SUM(LEN(A271)-LEN(SUBSTITUTE(A271,{"0","1","2"},"")))))))))+1, 1) * 10^ROW(INDIRECT("1:"&amp;LEN((LEFT(A271,SUM(LEN(A271)-LEN(SUBSTITUTE(A271,{"0","1","2"},""))))))))/10))*100+1</f>
        <v>#REF!</v>
      </c>
      <c r="P275" s="72">
        <f ca="1">(SUMPRODUCT(MID(0&amp;(--TRIM(RIGHT(SUBSTITUTE(LEFT(A271,_xlfn.AGGREGATE(16,6,FIND({0,1,2,3,4,5,6,7,8,9},A271,ROW(INDIRECT("1:"&amp;LEN(A271)))),1))," ",REPT(" ",LEN(A271))),LEN(A271)))), LARGE(INDEX(ISNUMBER(--MID((--TRIM(RIGHT(SUBSTITUTE(LEFT(A271,_xlfn.AGGREGATE(16,6,FIND({0,1,2,3,4,5,6,7,8,9},A271,ROW(INDIRECT("1:"&amp;LEN(A271)))),1))," ",REPT(" ",LEN(A271))),LEN(A271)))), ROW(INDIRECT("1:"&amp;LEN((--TRIM(RIGHT(SUBSTITUTE(LEFT(A271,_xlfn.AGGREGATE(16,6,FIND({0,1,2,3,4,5,6,7,8,9},A271,ROW(INDIRECT("1:"&amp;LEN(A271)))),1))," ",REPT(" ",LEN(A271))),LEN(A271))))))), 1)) * ROW(INDIRECT("1:"&amp;LEN((--TRIM(RIGHT(SUBSTITUTE(LEFT(A271,_xlfn.AGGREGATE(16,6,FIND({0,1,2,3,4,5,6,7,8,9},A271,ROW(INDIRECT("1:"&amp;LEN(A271)))),1))," ",REPT(" ",LEN(A271))),LEN(A271))))))), 0), ROW(INDIRECT("1:"&amp;LEN((--TRIM(RIGHT(SUBSTITUTE(LEFT(A271,_xlfn.AGGREGATE(16,6,FIND({0,1,2,3,4,5,6,7,8,9},A271,ROW(INDIRECT("1:"&amp;LEN(A271)))),1))," ",REPT(" ",LEN(A271))),LEN(A271))))))))+1, 1) * 10^ROW(INDIRECT("1:"&amp;LEN((--TRIM(RIGHT(SUBSTITUTE(LEFT(A271,_xlfn.AGGREGATE(16,6,FIND({0,1,2,3,4,5,6,7,8,9},A271,ROW(INDIRECT("1:"&amp;LEN(A271)))),1))," ",REPT(" ",LEN(A271))),LEN(A271)))))))/10))*100+1</f>
        <v>701</v>
      </c>
    </row>
    <row r="276" spans="1:16" s="72" customFormat="1" ht="15.75" customHeight="1" x14ac:dyDescent="0.25">
      <c r="A276" s="79" t="s">
        <v>223</v>
      </c>
      <c r="B276" s="80"/>
      <c r="C276" s="84"/>
      <c r="D276" s="85"/>
      <c r="E276" s="85"/>
      <c r="F276" s="86"/>
      <c r="G276" s="84"/>
      <c r="H276" s="86"/>
      <c r="I276" s="32"/>
      <c r="N276" s="72" t="e">
        <f t="shared" ca="1" si="56"/>
        <v>#REF!</v>
      </c>
      <c r="O276" s="72" t="e">
        <f ca="1">(SUMPRODUCT(MID(0&amp;(LEFT(A272,SUM(LEN(A272)-LEN(SUBSTITUTE(A272,{"0","1","2"},""))))), LARGE(INDEX(ISNUMBER(--MID((LEFT(A272,SUM(LEN(A272)-LEN(SUBSTITUTE(A272,{"0","1","2"},""))))), ROW(INDIRECT("1:"&amp;LEN((LEFT(A272,SUM(LEN(A272)-LEN(SUBSTITUTE(A272,{"0","1","2"},"")))))))), 1)) * ROW(INDIRECT("1:"&amp;LEN((LEFT(A272,SUM(LEN(A272)-LEN(SUBSTITUTE(A272,{"0","1","2"},"")))))))), 0), ROW(INDIRECT("1:"&amp;LEN((LEFT(A272,SUM(LEN(A272)-LEN(SUBSTITUTE(A272,{"0","1","2"},"")))))))))+1, 1) * 10^ROW(INDIRECT("1:"&amp;LEN((LEFT(A272,SUM(LEN(A272)-LEN(SUBSTITUTE(A272,{"0","1","2"},""))))))))/10))*100+1</f>
        <v>#REF!</v>
      </c>
      <c r="P276" s="72" t="e">
        <f ca="1">(SUMPRODUCT(MID(0&amp;(--TRIM(RIGHT(SUBSTITUTE(LEFT(A272,_xlfn.AGGREGATE(16,6,FIND({0,1,2,3,4,5,6,7,8,9},A272,ROW(INDIRECT("1:"&amp;LEN(A272)))),1))," ",REPT(" ",LEN(A272))),LEN(A272)))), LARGE(INDEX(ISNUMBER(--MID((--TRIM(RIGHT(SUBSTITUTE(LEFT(A272,_xlfn.AGGREGATE(16,6,FIND({0,1,2,3,4,5,6,7,8,9},A272,ROW(INDIRECT("1:"&amp;LEN(A272)))),1))," ",REPT(" ",LEN(A272))),LEN(A272)))), ROW(INDIRECT("1:"&amp;LEN((--TRIM(RIGHT(SUBSTITUTE(LEFT(A272,_xlfn.AGGREGATE(16,6,FIND({0,1,2,3,4,5,6,7,8,9},A272,ROW(INDIRECT("1:"&amp;LEN(A272)))),1))," ",REPT(" ",LEN(A272))),LEN(A272))))))), 1)) * ROW(INDIRECT("1:"&amp;LEN((--TRIM(RIGHT(SUBSTITUTE(LEFT(A272,_xlfn.AGGREGATE(16,6,FIND({0,1,2,3,4,5,6,7,8,9},A272,ROW(INDIRECT("1:"&amp;LEN(A272)))),1))," ",REPT(" ",LEN(A272))),LEN(A272))))))), 0), ROW(INDIRECT("1:"&amp;LEN((--TRIM(RIGHT(SUBSTITUTE(LEFT(A272,_xlfn.AGGREGATE(16,6,FIND({0,1,2,3,4,5,6,7,8,9},A272,ROW(INDIRECT("1:"&amp;LEN(A272)))),1))," ",REPT(" ",LEN(A272))),LEN(A272))))))))+1, 1) * 10^ROW(INDIRECT("1:"&amp;LEN((--TRIM(RIGHT(SUBSTITUTE(LEFT(A272,_xlfn.AGGREGATE(16,6,FIND({0,1,2,3,4,5,6,7,8,9},A272,ROW(INDIRECT("1:"&amp;LEN(A272)))),1))," ",REPT(" ",LEN(A272))),LEN(A272)))))))/10))*100+1</f>
        <v>#NUM!</v>
      </c>
    </row>
    <row r="277" spans="1:16" s="72" customFormat="1" ht="15.75" customHeight="1" x14ac:dyDescent="0.25">
      <c r="A277" s="79" t="s">
        <v>223</v>
      </c>
      <c r="B277" s="80"/>
      <c r="C277" s="87"/>
      <c r="D277" s="88"/>
      <c r="E277" s="88"/>
      <c r="F277" s="89"/>
      <c r="G277" s="84"/>
      <c r="H277" s="86"/>
      <c r="I277" s="32"/>
      <c r="N277" s="72" t="e">
        <f t="shared" ca="1" si="56"/>
        <v>#REF!</v>
      </c>
      <c r="O277" s="72" t="e">
        <f ca="1">(SUMPRODUCT(MID(0&amp;(LEFT(A273,SUM(LEN(A273)-LEN(SUBSTITUTE(A273,{"0","1","2"},""))))), LARGE(INDEX(ISNUMBER(--MID((LEFT(A273,SUM(LEN(A273)-LEN(SUBSTITUTE(A273,{"0","1","2"},""))))), ROW(INDIRECT("1:"&amp;LEN((LEFT(A273,SUM(LEN(A273)-LEN(SUBSTITUTE(A273,{"0","1","2"},"")))))))), 1)) * ROW(INDIRECT("1:"&amp;LEN((LEFT(A273,SUM(LEN(A273)-LEN(SUBSTITUTE(A273,{"0","1","2"},"")))))))), 0), ROW(INDIRECT("1:"&amp;LEN((LEFT(A273,SUM(LEN(A273)-LEN(SUBSTITUTE(A273,{"0","1","2"},"")))))))))+1, 1) * 10^ROW(INDIRECT("1:"&amp;LEN((LEFT(A273,SUM(LEN(A273)-LEN(SUBSTITUTE(A273,{"0","1","2"},""))))))))/10))*100+1</f>
        <v>#REF!</v>
      </c>
      <c r="P277" s="72" t="e">
        <f ca="1">(SUMPRODUCT(MID(0&amp;(--TRIM(RIGHT(SUBSTITUTE(LEFT(A273,_xlfn.AGGREGATE(16,6,FIND({0,1,2,3,4,5,6,7,8,9},A273,ROW(INDIRECT("1:"&amp;LEN(A273)))),1))," ",REPT(" ",LEN(A273))),LEN(A273)))), LARGE(INDEX(ISNUMBER(--MID((--TRIM(RIGHT(SUBSTITUTE(LEFT(A273,_xlfn.AGGREGATE(16,6,FIND({0,1,2,3,4,5,6,7,8,9},A273,ROW(INDIRECT("1:"&amp;LEN(A273)))),1))," ",REPT(" ",LEN(A273))),LEN(A273)))), ROW(INDIRECT("1:"&amp;LEN((--TRIM(RIGHT(SUBSTITUTE(LEFT(A273,_xlfn.AGGREGATE(16,6,FIND({0,1,2,3,4,5,6,7,8,9},A273,ROW(INDIRECT("1:"&amp;LEN(A273)))),1))," ",REPT(" ",LEN(A273))),LEN(A273))))))), 1)) * ROW(INDIRECT("1:"&amp;LEN((--TRIM(RIGHT(SUBSTITUTE(LEFT(A273,_xlfn.AGGREGATE(16,6,FIND({0,1,2,3,4,5,6,7,8,9},A273,ROW(INDIRECT("1:"&amp;LEN(A273)))),1))," ",REPT(" ",LEN(A273))),LEN(A273))))))), 0), ROW(INDIRECT("1:"&amp;LEN((--TRIM(RIGHT(SUBSTITUTE(LEFT(A273,_xlfn.AGGREGATE(16,6,FIND({0,1,2,3,4,5,6,7,8,9},A273,ROW(INDIRECT("1:"&amp;LEN(A273)))),1))," ",REPT(" ",LEN(A273))),LEN(A273))))))))+1, 1) * 10^ROW(INDIRECT("1:"&amp;LEN((--TRIM(RIGHT(SUBSTITUTE(LEFT(A273,_xlfn.AGGREGATE(16,6,FIND({0,1,2,3,4,5,6,7,8,9},A273,ROW(INDIRECT("1:"&amp;LEN(A273)))),1))," ",REPT(" ",LEN(A273))),LEN(A273)))))))/10))*100+1</f>
        <v>#NUM!</v>
      </c>
    </row>
    <row r="278" spans="1:16" s="72" customFormat="1" ht="15.75" customHeight="1" x14ac:dyDescent="0.25">
      <c r="A278" s="79">
        <v>1</v>
      </c>
      <c r="B278" s="80"/>
      <c r="C278" s="67" t="s">
        <v>170</v>
      </c>
      <c r="D278" s="67">
        <f>(4.7*3.1+2.4*1.2+2.1*3.65+2.75*3.65+3.4*3.1+1.2*2.1+2.1*1.52+1.2*0.9)*10.764</f>
        <v>564.94315799999993</v>
      </c>
      <c r="E278" s="67">
        <v>0</v>
      </c>
      <c r="F278" s="67">
        <f>D278*(($F$185)+1)+(IF(E278&lt;101,E278,IF(E278&lt;201,E278/2,IF(E278&lt;=301,E278/3,E278/4))))</f>
        <v>847.41473699999983</v>
      </c>
      <c r="G278" s="84"/>
      <c r="H278" s="86"/>
      <c r="I278" s="32"/>
      <c r="N278" s="72" t="str">
        <f t="shared" ref="N278:N281" ca="1" si="57">O278&amp;""&amp;" to "&amp;""&amp;P278</f>
        <v>101 to 201</v>
      </c>
      <c r="O278" s="72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10^ROW(INDIRECT("1:"&amp;LEN((LEFT(A274,SUM(LEN(A274)-LEN(SUBSTITUTE(A274,{"0","1","2"},""))))))))/10))*100+1</f>
        <v>101</v>
      </c>
      <c r="P278" s="72">
        <f ca="1">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",LEN(A274))),LEN(A274)))))))/10))*100+1</f>
        <v>201</v>
      </c>
    </row>
    <row r="279" spans="1:16" s="72" customFormat="1" ht="15.75" customHeight="1" x14ac:dyDescent="0.25">
      <c r="A279" s="79">
        <v>2</v>
      </c>
      <c r="B279" s="80"/>
      <c r="C279" s="67" t="s">
        <v>179</v>
      </c>
      <c r="D279" s="67">
        <f>(4.35*3.1+2.1*3.35+3.1*3.35+2.1*1.2+1.2*2.45+1.2*0.9)*10.764</f>
        <v>403.05797999999999</v>
      </c>
      <c r="E279" s="67">
        <v>0</v>
      </c>
      <c r="F279" s="67">
        <f>D279*(($F$185)+1)+(IF(E279&lt;101,E279,IF(E279&lt;201,E279/2,IF(E279&lt;=301,E279/3,E279/4))))</f>
        <v>604.58696999999995</v>
      </c>
      <c r="G279" s="84"/>
      <c r="H279" s="86"/>
      <c r="I279" s="32"/>
      <c r="N279" s="72" t="str">
        <f t="shared" ca="1" si="57"/>
        <v>102 to 202</v>
      </c>
      <c r="O279" s="72">
        <f t="shared" ref="O279:P279" ca="1" si="58">O278+1</f>
        <v>102</v>
      </c>
      <c r="P279" s="72">
        <f t="shared" ca="1" si="58"/>
        <v>202</v>
      </c>
    </row>
    <row r="280" spans="1:16" s="72" customFormat="1" ht="15.75" customHeight="1" x14ac:dyDescent="0.25">
      <c r="A280" s="79">
        <v>3</v>
      </c>
      <c r="B280" s="80"/>
      <c r="C280" s="67" t="s">
        <v>179</v>
      </c>
      <c r="D280" s="67">
        <f>(4.35*3.1+2.1*3.35+3.1*3.35+2.1*1.2+1.2*2.45+1.2*0.9)*10.764</f>
        <v>403.05797999999999</v>
      </c>
      <c r="E280" s="67">
        <v>0</v>
      </c>
      <c r="F280" s="67">
        <f>D280*(($F$185)+1)+(IF(E280&lt;101,E280,IF(E280&lt;201,E280/2,IF(E280&lt;=301,E280/3,E280/4))))</f>
        <v>604.58696999999995</v>
      </c>
      <c r="G280" s="84"/>
      <c r="H280" s="86"/>
      <c r="I280" s="32"/>
      <c r="N280" s="72" t="str">
        <f t="shared" ca="1" si="57"/>
        <v>103 to 203</v>
      </c>
      <c r="O280" s="72">
        <f t="shared" ref="O280:P280" ca="1" si="59">O279+1</f>
        <v>103</v>
      </c>
      <c r="P280" s="72">
        <f t="shared" ca="1" si="59"/>
        <v>203</v>
      </c>
    </row>
    <row r="281" spans="1:16" s="72" customFormat="1" ht="15.75" customHeight="1" x14ac:dyDescent="0.25">
      <c r="A281" s="79">
        <v>4</v>
      </c>
      <c r="B281" s="80"/>
      <c r="C281" s="67" t="s">
        <v>170</v>
      </c>
      <c r="D281" s="67">
        <f>(4.7*3.1+2.4*1.2+2.1*3.65+2.75*3.65+3.4*3.1+1.2*2.1+2.1*1.52+1.2*0.9)*10.764</f>
        <v>564.94315799999993</v>
      </c>
      <c r="E281" s="67">
        <v>0</v>
      </c>
      <c r="F281" s="67">
        <f>D281*(($F$185)+1)+(IF(E281&lt;101,E281,IF(E281&lt;201,E281/2,IF(E281&lt;=301,E281/3,E281/4))))</f>
        <v>847.41473699999983</v>
      </c>
      <c r="G281" s="84"/>
      <c r="H281" s="86"/>
      <c r="I281" s="32"/>
      <c r="N281" s="72" t="str">
        <f t="shared" ca="1" si="57"/>
        <v>104 to 204</v>
      </c>
      <c r="O281" s="72">
        <f t="shared" ref="O281:P282" ca="1" si="60">O280+1</f>
        <v>104</v>
      </c>
      <c r="P281" s="72">
        <f t="shared" ca="1" si="60"/>
        <v>204</v>
      </c>
    </row>
    <row r="282" spans="1:16" s="72" customFormat="1" ht="15.75" customHeight="1" x14ac:dyDescent="0.25">
      <c r="A282" s="79" t="s">
        <v>223</v>
      </c>
      <c r="B282" s="80"/>
      <c r="C282" s="79" t="s">
        <v>224</v>
      </c>
      <c r="D282" s="90"/>
      <c r="E282" s="90"/>
      <c r="F282" s="80"/>
      <c r="G282" s="87"/>
      <c r="H282" s="89"/>
      <c r="I282" s="32"/>
      <c r="N282" s="72" t="str">
        <f t="shared" ref="N282" ca="1" si="61">O282&amp;""&amp;" to "&amp;""&amp;P282</f>
        <v>105 to 205</v>
      </c>
      <c r="O282" s="72">
        <f t="shared" ca="1" si="60"/>
        <v>105</v>
      </c>
      <c r="P282" s="72">
        <f t="shared" ca="1" si="60"/>
        <v>205</v>
      </c>
    </row>
    <row r="283" spans="1:16" s="72" customFormat="1" x14ac:dyDescent="0.25">
      <c r="A283" s="91" t="s">
        <v>229</v>
      </c>
      <c r="B283" s="91"/>
      <c r="C283" s="91"/>
      <c r="D283" s="91"/>
      <c r="E283" s="91"/>
      <c r="F283" s="91"/>
      <c r="G283" s="91"/>
      <c r="H283" s="91"/>
      <c r="I283" s="32"/>
      <c r="L283" s="92"/>
      <c r="M283" s="92"/>
    </row>
    <row r="284" spans="1:16" s="72" customFormat="1" ht="15.75" customHeight="1" x14ac:dyDescent="0.25">
      <c r="A284" s="78" t="s">
        <v>223</v>
      </c>
      <c r="B284" s="78"/>
      <c r="C284" s="81" t="s">
        <v>230</v>
      </c>
      <c r="D284" s="82"/>
      <c r="E284" s="82"/>
      <c r="F284" s="83"/>
      <c r="G284" s="81" t="str">
        <f>A283</f>
        <v>3rd Floor For Residential, Society Office, Creche &amp; Amenities</v>
      </c>
      <c r="H284" s="83"/>
      <c r="I284" s="32"/>
      <c r="N284" s="32"/>
    </row>
    <row r="285" spans="1:16" s="72" customFormat="1" x14ac:dyDescent="0.25">
      <c r="A285" s="78" t="s">
        <v>223</v>
      </c>
      <c r="B285" s="78"/>
      <c r="C285" s="87"/>
      <c r="D285" s="88"/>
      <c r="E285" s="88"/>
      <c r="F285" s="89"/>
      <c r="G285" s="84"/>
      <c r="H285" s="86"/>
      <c r="I285" s="32"/>
      <c r="N285" s="32"/>
    </row>
    <row r="286" spans="1:16" s="72" customFormat="1" x14ac:dyDescent="0.25">
      <c r="A286" s="78" t="s">
        <v>223</v>
      </c>
      <c r="B286" s="78"/>
      <c r="C286" s="79" t="s">
        <v>174</v>
      </c>
      <c r="D286" s="90"/>
      <c r="E286" s="90"/>
      <c r="F286" s="80"/>
      <c r="G286" s="84"/>
      <c r="H286" s="86"/>
      <c r="I286" s="32"/>
      <c r="N286" s="32"/>
    </row>
    <row r="287" spans="1:16" s="72" customFormat="1" ht="15.75" customHeight="1" x14ac:dyDescent="0.25">
      <c r="A287" s="78">
        <v>1</v>
      </c>
      <c r="B287" s="78"/>
      <c r="C287" s="67" t="s">
        <v>170</v>
      </c>
      <c r="D287" s="67">
        <f>(4.7*3.1+2.4*1.2+2.1*3.65+2.75*3.65+3.4*3.1+1.2*2.1+2.1*1.52+1.2*0.9)*10.764</f>
        <v>564.94315799999993</v>
      </c>
      <c r="E287" s="67">
        <v>0</v>
      </c>
      <c r="F287" s="67">
        <f t="shared" ref="F287:F288" si="62">D287*(($F$185)+1)+(IF(E287&lt;101,E287,IF(E287&lt;201,E287/2,IF(E287&lt;=301,E287/3,E287/4))))</f>
        <v>847.41473699999983</v>
      </c>
      <c r="G287" s="84"/>
      <c r="H287" s="86"/>
      <c r="I287" s="32"/>
      <c r="N287" s="32"/>
    </row>
    <row r="288" spans="1:16" s="72" customFormat="1" x14ac:dyDescent="0.25">
      <c r="A288" s="78">
        <f>A287+1</f>
        <v>2</v>
      </c>
      <c r="B288" s="78"/>
      <c r="C288" s="67" t="s">
        <v>179</v>
      </c>
      <c r="D288" s="67">
        <f>(4.35*3.1+2.1*3.35+3.1*3.35+2.1*1.2+1.2*2.45+1.2*0.9)*10.764</f>
        <v>403.05797999999999</v>
      </c>
      <c r="E288" s="67">
        <v>0</v>
      </c>
      <c r="F288" s="67">
        <f t="shared" si="62"/>
        <v>604.58696999999995</v>
      </c>
      <c r="G288" s="84"/>
      <c r="H288" s="86"/>
      <c r="I288" s="32"/>
      <c r="N288" s="32"/>
    </row>
    <row r="289" spans="1:16" s="72" customFormat="1" x14ac:dyDescent="0.25">
      <c r="A289" s="78">
        <f>A288+1</f>
        <v>3</v>
      </c>
      <c r="B289" s="78"/>
      <c r="C289" s="67" t="s">
        <v>179</v>
      </c>
      <c r="D289" s="67">
        <f>(4.35*3.1+2.1*3.35+3.1*3.35+2.1*1.2+1.2*2.45+1.2*0.9)*10.764</f>
        <v>403.05797999999999</v>
      </c>
      <c r="E289" s="67">
        <v>0</v>
      </c>
      <c r="F289" s="67">
        <f>D289*(($F$185)+1)+(IF(E289&lt;101,E289,IF(E289&lt;201,E289/2,IF(E289&lt;=301,E289/3,E289/4))))</f>
        <v>604.58696999999995</v>
      </c>
      <c r="G289" s="84"/>
      <c r="H289" s="86"/>
      <c r="I289" s="32"/>
      <c r="N289" s="32"/>
    </row>
    <row r="290" spans="1:16" s="72" customFormat="1" x14ac:dyDescent="0.25">
      <c r="A290" s="78">
        <f>A289+1</f>
        <v>4</v>
      </c>
      <c r="B290" s="78"/>
      <c r="C290" s="67" t="s">
        <v>170</v>
      </c>
      <c r="D290" s="67">
        <f>(4.7*3.1+2.4*1.2+2.1*3.65+2.75*3.65+3.4*3.1+1.2*2.1+2.1*1.52+1.2*0.9)*10.764</f>
        <v>564.94315799999993</v>
      </c>
      <c r="E290" s="67">
        <v>0</v>
      </c>
      <c r="F290" s="67">
        <f>D290*(($F$185)+1)+(IF(E290&lt;101,E290,IF(E290&lt;201,E290/2,IF(E290&lt;=301,E290/3,E290/4))))</f>
        <v>847.41473699999983</v>
      </c>
      <c r="G290" s="84"/>
      <c r="H290" s="86"/>
      <c r="I290" s="32"/>
      <c r="N290" s="32"/>
    </row>
    <row r="291" spans="1:16" s="72" customFormat="1" x14ac:dyDescent="0.25">
      <c r="A291" s="78" t="s">
        <v>223</v>
      </c>
      <c r="B291" s="78"/>
      <c r="C291" s="79" t="s">
        <v>173</v>
      </c>
      <c r="D291" s="90"/>
      <c r="E291" s="90"/>
      <c r="F291" s="80"/>
      <c r="G291" s="87"/>
      <c r="H291" s="89"/>
      <c r="I291" s="32"/>
      <c r="N291" s="32"/>
    </row>
    <row r="292" spans="1:16" s="72" customFormat="1" x14ac:dyDescent="0.25">
      <c r="A292" s="91" t="s">
        <v>180</v>
      </c>
      <c r="B292" s="91"/>
      <c r="C292" s="91"/>
      <c r="D292" s="91"/>
      <c r="E292" s="91"/>
      <c r="F292" s="91"/>
      <c r="G292" s="91"/>
      <c r="H292" s="91"/>
      <c r="I292" s="32"/>
    </row>
    <row r="293" spans="1:16" s="72" customFormat="1" ht="15.75" customHeight="1" x14ac:dyDescent="0.25">
      <c r="A293" s="78">
        <v>1</v>
      </c>
      <c r="B293" s="78"/>
      <c r="C293" s="76" t="s">
        <v>179</v>
      </c>
      <c r="D293" s="76">
        <f>(4.35*3.1+2.1*3.35+3.1*3.35+2.1*1.2+1.2*2.45+1.2*0.9)*10.764</f>
        <v>403.05797999999999</v>
      </c>
      <c r="E293" s="76">
        <v>0</v>
      </c>
      <c r="F293" s="76">
        <f t="shared" ref="F293:F300" si="63">D293*(($F$185)+1)+(IF(E293&lt;101,E293,IF(E293&lt;201,E293/2,IF(E293&lt;=301,E293/3,E293/4))))</f>
        <v>604.58696999999995</v>
      </c>
      <c r="G293" s="78" t="str">
        <f>A292</f>
        <v>4th to 7th, 9th to 12th, 14th to 17th &amp; 19th to 22nd Floor</v>
      </c>
      <c r="H293" s="78"/>
      <c r="I293" s="32">
        <v>4600000</v>
      </c>
      <c r="J293" s="59">
        <f>I293/F293</f>
        <v>7608.500064101614</v>
      </c>
      <c r="N293" s="72" t="str">
        <f t="shared" ref="N293:N300" ca="1" si="64">O293&amp;""&amp;" &amp; "&amp;""&amp;P293</f>
        <v>401 &amp; 2201</v>
      </c>
      <c r="O293" s="72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10^ROW(INDIRECT("1:"&amp;LEN((LEFT(A292,SUM(LEN(A292)-LEN(SUBSTITUTE(A292,{"0","1","2"},""))))))))/10))*100+1</f>
        <v>401</v>
      </c>
      <c r="P293" s="72">
        <f ca="1">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",LEN(A292))),LEN(A292)))))))/10))*100+1</f>
        <v>2201</v>
      </c>
    </row>
    <row r="294" spans="1:16" s="72" customFormat="1" ht="15.75" customHeight="1" x14ac:dyDescent="0.25">
      <c r="A294" s="78">
        <v>2</v>
      </c>
      <c r="B294" s="78"/>
      <c r="C294" s="76" t="s">
        <v>179</v>
      </c>
      <c r="D294" s="76">
        <f>(4.35*3.1+2.1*3.35+3.1*3.35+2.1*1.2+1.2*2.45+1.2*0.9)*10.764</f>
        <v>403.05797999999999</v>
      </c>
      <c r="E294" s="76">
        <v>0</v>
      </c>
      <c r="F294" s="76">
        <f t="shared" si="63"/>
        <v>604.58696999999995</v>
      </c>
      <c r="G294" s="78"/>
      <c r="H294" s="78"/>
      <c r="I294" s="32"/>
      <c r="N294" s="72" t="str">
        <f t="shared" ca="1" si="64"/>
        <v>402 &amp; 2202</v>
      </c>
      <c r="O294" s="72">
        <f t="shared" ref="O294:P294" ca="1" si="65">O293+1</f>
        <v>402</v>
      </c>
      <c r="P294" s="72">
        <f t="shared" ca="1" si="65"/>
        <v>2202</v>
      </c>
    </row>
    <row r="295" spans="1:16" s="72" customFormat="1" ht="15.75" customHeight="1" x14ac:dyDescent="0.25">
      <c r="A295" s="78">
        <v>3</v>
      </c>
      <c r="B295" s="78"/>
      <c r="C295" s="76" t="s">
        <v>170</v>
      </c>
      <c r="D295" s="76">
        <f>(4.7*3.1+2.4*1.2+2.1*3.65+2.75*3.65+3.4*3.1+1.2*2.1+2.1*1.52+1.2*0.9)*10.764</f>
        <v>564.94315799999993</v>
      </c>
      <c r="E295" s="76">
        <v>0</v>
      </c>
      <c r="F295" s="76">
        <f t="shared" si="63"/>
        <v>847.41473699999983</v>
      </c>
      <c r="G295" s="78"/>
      <c r="H295" s="78"/>
      <c r="I295" s="32"/>
      <c r="N295" s="72" t="str">
        <f t="shared" ca="1" si="64"/>
        <v>403 &amp; 2203</v>
      </c>
      <c r="O295" s="72">
        <f t="shared" ref="O295:P295" ca="1" si="66">O294+1</f>
        <v>403</v>
      </c>
      <c r="P295" s="72">
        <f t="shared" ca="1" si="66"/>
        <v>2203</v>
      </c>
    </row>
    <row r="296" spans="1:16" s="72" customFormat="1" ht="15.75" customHeight="1" x14ac:dyDescent="0.25">
      <c r="A296" s="78">
        <v>4</v>
      </c>
      <c r="B296" s="78"/>
      <c r="C296" s="76" t="s">
        <v>170</v>
      </c>
      <c r="D296" s="76">
        <f>(4.7*3.1+2.4*1.2+2.1*3.65+2.75*3.65+3.4*3.1+1.2*2.1+2.1*1.52+1.2*0.9)*10.764</f>
        <v>564.94315799999993</v>
      </c>
      <c r="E296" s="76">
        <v>0</v>
      </c>
      <c r="F296" s="76">
        <f t="shared" si="63"/>
        <v>847.41473699999983</v>
      </c>
      <c r="G296" s="78"/>
      <c r="H296" s="78"/>
      <c r="I296" s="32"/>
      <c r="N296" s="72" t="str">
        <f t="shared" ca="1" si="64"/>
        <v>404 &amp; 2204</v>
      </c>
      <c r="O296" s="72">
        <f t="shared" ref="O296:P296" ca="1" si="67">O295+1</f>
        <v>404</v>
      </c>
      <c r="P296" s="72">
        <f t="shared" ca="1" si="67"/>
        <v>2204</v>
      </c>
    </row>
    <row r="297" spans="1:16" s="72" customFormat="1" ht="15.75" customHeight="1" x14ac:dyDescent="0.25">
      <c r="A297" s="78">
        <v>5</v>
      </c>
      <c r="B297" s="78"/>
      <c r="C297" s="76" t="s">
        <v>179</v>
      </c>
      <c r="D297" s="76">
        <f>(4.35*3.1+2.1*3.35+3.1*3.35+2.1*1.2+1.2*2.45+1.2*0.9)*10.764</f>
        <v>403.05797999999999</v>
      </c>
      <c r="E297" s="76">
        <v>0</v>
      </c>
      <c r="F297" s="76">
        <f t="shared" si="63"/>
        <v>604.58696999999995</v>
      </c>
      <c r="G297" s="78"/>
      <c r="H297" s="78"/>
      <c r="I297" s="32"/>
      <c r="N297" s="72" t="str">
        <f t="shared" ca="1" si="64"/>
        <v>405 &amp; 2205</v>
      </c>
      <c r="O297" s="72">
        <f t="shared" ref="O297:P297" ca="1" si="68">O296+1</f>
        <v>405</v>
      </c>
      <c r="P297" s="72">
        <f t="shared" ca="1" si="68"/>
        <v>2205</v>
      </c>
    </row>
    <row r="298" spans="1:16" s="72" customFormat="1" ht="15.75" customHeight="1" x14ac:dyDescent="0.25">
      <c r="A298" s="78">
        <v>6</v>
      </c>
      <c r="B298" s="78"/>
      <c r="C298" s="76" t="s">
        <v>179</v>
      </c>
      <c r="D298" s="76">
        <f>(4.35*3.1+2.1*3.35+3.1*3.35+2.1*1.2+1.2*2.45+1.2*0.9)*10.764</f>
        <v>403.05797999999999</v>
      </c>
      <c r="E298" s="76">
        <v>0</v>
      </c>
      <c r="F298" s="76">
        <f t="shared" si="63"/>
        <v>604.58696999999995</v>
      </c>
      <c r="G298" s="78"/>
      <c r="H298" s="78"/>
      <c r="I298" s="32"/>
      <c r="N298" s="72" t="str">
        <f t="shared" ca="1" si="64"/>
        <v>406 &amp; 2206</v>
      </c>
      <c r="O298" s="72">
        <f t="shared" ref="O298:P298" ca="1" si="69">O297+1</f>
        <v>406</v>
      </c>
      <c r="P298" s="72">
        <f t="shared" ca="1" si="69"/>
        <v>2206</v>
      </c>
    </row>
    <row r="299" spans="1:16" s="72" customFormat="1" ht="15.75" customHeight="1" x14ac:dyDescent="0.25">
      <c r="A299" s="78">
        <v>7</v>
      </c>
      <c r="B299" s="78"/>
      <c r="C299" s="76" t="s">
        <v>170</v>
      </c>
      <c r="D299" s="76">
        <f>(4.7*3.1+2.4*1.2+2.1*3.65+2.75*3.65+3.4*3.1+1.2*2.1+2.1*1.52+1.2*0.9)*10.764</f>
        <v>564.94315799999993</v>
      </c>
      <c r="E299" s="76">
        <v>0</v>
      </c>
      <c r="F299" s="76">
        <f t="shared" si="63"/>
        <v>847.41473699999983</v>
      </c>
      <c r="G299" s="78"/>
      <c r="H299" s="78"/>
      <c r="I299" s="32"/>
      <c r="N299" s="72" t="str">
        <f t="shared" ca="1" si="64"/>
        <v>407 &amp; 2207</v>
      </c>
      <c r="O299" s="72">
        <f t="shared" ref="O299:P299" ca="1" si="70">O298+1</f>
        <v>407</v>
      </c>
      <c r="P299" s="72">
        <f t="shared" ca="1" si="70"/>
        <v>2207</v>
      </c>
    </row>
    <row r="300" spans="1:16" s="72" customFormat="1" ht="15.75" customHeight="1" x14ac:dyDescent="0.25">
      <c r="A300" s="78">
        <v>8</v>
      </c>
      <c r="B300" s="78"/>
      <c r="C300" s="76" t="s">
        <v>170</v>
      </c>
      <c r="D300" s="76">
        <f>(4.7*3.1+2.4*1.2+2.1*3.65+2.75*3.65+3.4*3.1+1.2*2.1+2.1*1.52+1.2*0.9)*10.764</f>
        <v>564.94315799999993</v>
      </c>
      <c r="E300" s="76">
        <v>0</v>
      </c>
      <c r="F300" s="76">
        <f t="shared" si="63"/>
        <v>847.41473699999983</v>
      </c>
      <c r="G300" s="78"/>
      <c r="H300" s="78"/>
      <c r="I300" s="32"/>
      <c r="N300" s="72" t="str">
        <f t="shared" ca="1" si="64"/>
        <v>408 &amp; 2208</v>
      </c>
      <c r="O300" s="72">
        <f t="shared" ref="O300:P300" ca="1" si="71">O299+1</f>
        <v>408</v>
      </c>
      <c r="P300" s="72">
        <f t="shared" ca="1" si="71"/>
        <v>2208</v>
      </c>
    </row>
    <row r="301" spans="1:16" s="72" customFormat="1" x14ac:dyDescent="0.25">
      <c r="A301" s="98" t="s">
        <v>181</v>
      </c>
      <c r="B301" s="99"/>
      <c r="C301" s="99"/>
      <c r="D301" s="99"/>
      <c r="E301" s="99"/>
      <c r="F301" s="99"/>
      <c r="G301" s="99"/>
      <c r="H301" s="100"/>
      <c r="I301" s="32"/>
    </row>
    <row r="302" spans="1:16" s="72" customFormat="1" ht="15.75" customHeight="1" x14ac:dyDescent="0.25">
      <c r="A302" s="79">
        <v>1</v>
      </c>
      <c r="B302" s="80"/>
      <c r="C302" s="67" t="s">
        <v>179</v>
      </c>
      <c r="D302" s="67">
        <f>(4.35*3.1+2.1*3.35+3.1*3.35+2.1*1.2+1.2*2.45+1.2*0.9)*10.764</f>
        <v>403.05797999999999</v>
      </c>
      <c r="E302" s="67">
        <v>0</v>
      </c>
      <c r="F302" s="67">
        <f t="shared" ref="F302:F309" si="72">D302*(($F$185)+1)+(IF(E302&lt;101,E302,IF(E302&lt;201,E302/2,IF(E302&lt;=301,E302/3,E302/4))))</f>
        <v>604.58696999999995</v>
      </c>
      <c r="G302" s="81" t="str">
        <f>A301</f>
        <v>8th, 13th &amp; 18th Floor (Part Refuge Area)</v>
      </c>
      <c r="H302" s="83"/>
      <c r="I302" s="32"/>
      <c r="N302" s="72" t="str">
        <f t="shared" ref="N302:N309" ca="1" si="73">O302&amp;""&amp;" &amp; "&amp;""&amp;P302</f>
        <v>801 &amp; 1801</v>
      </c>
      <c r="O302" s="72">
        <f ca="1">(SUMPRODUCT(MID(0&amp;(LEFT(A301,SUM(LEN(A301)-LEN(SUBSTITUTE(A301,{"0","1","2"},""))))), LARGE(INDEX(ISNUMBER(--MID((LEFT(A301,SUM(LEN(A301)-LEN(SUBSTITUTE(A301,{"0","1","2"},""))))), ROW(INDIRECT("1:"&amp;LEN((LEFT(A301,SUM(LEN(A301)-LEN(SUBSTITUTE(A301,{"0","1","2"},"")))))))), 1)) * ROW(INDIRECT("1:"&amp;LEN((LEFT(A301,SUM(LEN(A301)-LEN(SUBSTITUTE(A301,{"0","1","2"},"")))))))), 0), ROW(INDIRECT("1:"&amp;LEN((LEFT(A301,SUM(LEN(A301)-LEN(SUBSTITUTE(A301,{"0","1","2"},"")))))))))+1, 1) * 10^ROW(INDIRECT("1:"&amp;LEN((LEFT(A301,SUM(LEN(A301)-LEN(SUBSTITUTE(A301,{"0","1","2"},""))))))))/10))*100+1</f>
        <v>801</v>
      </c>
      <c r="P302" s="72">
        <f ca="1">(SUMPRODUCT(MID(0&amp;(--TRIM(RIGHT(SUBSTITUTE(LEFT(A301,_xlfn.AGGREGATE(16,6,FIND({0,1,2,3,4,5,6,7,8,9},A301,ROW(INDIRECT("1:"&amp;LEN(A301)))),1))," ",REPT(" ",LEN(A301))),LEN(A301)))), LARGE(INDEX(ISNUMBER(--MID((--TRIM(RIGHT(SUBSTITUTE(LEFT(A301,_xlfn.AGGREGATE(16,6,FIND({0,1,2,3,4,5,6,7,8,9},A301,ROW(INDIRECT("1:"&amp;LEN(A301)))),1))," ",REPT(" ",LEN(A301))),LEN(A301)))), ROW(INDIRECT("1:"&amp;LEN((--TRIM(RIGHT(SUBSTITUTE(LEFT(A301,_xlfn.AGGREGATE(16,6,FIND({0,1,2,3,4,5,6,7,8,9},A301,ROW(INDIRECT("1:"&amp;LEN(A301)))),1))," ",REPT(" ",LEN(A301))),LEN(A301))))))), 1)) * ROW(INDIRECT("1:"&amp;LEN((--TRIM(RIGHT(SUBSTITUTE(LEFT(A301,_xlfn.AGGREGATE(16,6,FIND({0,1,2,3,4,5,6,7,8,9},A301,ROW(INDIRECT("1:"&amp;LEN(A301)))),1))," ",REPT(" ",LEN(A301))),LEN(A301))))))), 0), ROW(INDIRECT("1:"&amp;LEN((--TRIM(RIGHT(SUBSTITUTE(LEFT(A301,_xlfn.AGGREGATE(16,6,FIND({0,1,2,3,4,5,6,7,8,9},A301,ROW(INDIRECT("1:"&amp;LEN(A301)))),1))," ",REPT(" ",LEN(A301))),LEN(A301))))))))+1, 1) * 10^ROW(INDIRECT("1:"&amp;LEN((--TRIM(RIGHT(SUBSTITUTE(LEFT(A301,_xlfn.AGGREGATE(16,6,FIND({0,1,2,3,4,5,6,7,8,9},A301,ROW(INDIRECT("1:"&amp;LEN(A301)))),1))," ",REPT(" ",LEN(A301))),LEN(A301)))))))/10))*100+1</f>
        <v>1801</v>
      </c>
    </row>
    <row r="303" spans="1:16" s="72" customFormat="1" ht="15.75" customHeight="1" x14ac:dyDescent="0.25">
      <c r="A303" s="79">
        <v>2</v>
      </c>
      <c r="B303" s="80"/>
      <c r="C303" s="67" t="s">
        <v>179</v>
      </c>
      <c r="D303" s="67">
        <f>(4.35*3.1+2.1*3.35+3.1*3.35+2.1*1.2+1.2*2.45+1.2*0.9)*10.764</f>
        <v>403.05797999999999</v>
      </c>
      <c r="E303" s="67">
        <v>0</v>
      </c>
      <c r="F303" s="67">
        <f t="shared" si="72"/>
        <v>604.58696999999995</v>
      </c>
      <c r="G303" s="84"/>
      <c r="H303" s="86"/>
      <c r="I303" s="32"/>
      <c r="N303" s="72" t="str">
        <f t="shared" ca="1" si="73"/>
        <v>802 &amp; 1802</v>
      </c>
      <c r="O303" s="72">
        <f t="shared" ref="O303:P303" ca="1" si="74">O302+1</f>
        <v>802</v>
      </c>
      <c r="P303" s="72">
        <f t="shared" ca="1" si="74"/>
        <v>1802</v>
      </c>
    </row>
    <row r="304" spans="1:16" s="72" customFormat="1" ht="15.75" customHeight="1" x14ac:dyDescent="0.25">
      <c r="A304" s="79">
        <v>3</v>
      </c>
      <c r="B304" s="80"/>
      <c r="C304" s="67" t="s">
        <v>170</v>
      </c>
      <c r="D304" s="67">
        <f>(4.7*3.1+2.4*1.2+2.1*3.65+2.75*3.65+3.4*3.1+1.2*2.1+2.1*1.52+1.2*0.9)*10.764</f>
        <v>564.94315799999993</v>
      </c>
      <c r="E304" s="67">
        <v>0</v>
      </c>
      <c r="F304" s="67">
        <f t="shared" si="72"/>
        <v>847.41473699999983</v>
      </c>
      <c r="G304" s="84"/>
      <c r="H304" s="86"/>
      <c r="I304" s="32"/>
      <c r="N304" s="72" t="str">
        <f t="shared" ca="1" si="73"/>
        <v>803 &amp; 1803</v>
      </c>
      <c r="O304" s="72">
        <f t="shared" ref="O304:P304" ca="1" si="75">O303+1</f>
        <v>803</v>
      </c>
      <c r="P304" s="72">
        <f t="shared" ca="1" si="75"/>
        <v>1803</v>
      </c>
    </row>
    <row r="305" spans="1:16" s="72" customFormat="1" ht="15.75" customHeight="1" x14ac:dyDescent="0.25">
      <c r="A305" s="79">
        <v>4</v>
      </c>
      <c r="B305" s="80"/>
      <c r="C305" s="67" t="s">
        <v>170</v>
      </c>
      <c r="D305" s="67">
        <f>(4.7*3.1+2.4*1.2+2.1*3.65+2.75*3.65+3.4*3.1+1.2*2.1+2.1*1.52+1.2*0.9)*10.764</f>
        <v>564.94315799999993</v>
      </c>
      <c r="E305" s="67">
        <v>0</v>
      </c>
      <c r="F305" s="67">
        <f t="shared" si="72"/>
        <v>847.41473699999983</v>
      </c>
      <c r="G305" s="84"/>
      <c r="H305" s="86"/>
      <c r="I305" s="32"/>
      <c r="N305" s="72" t="str">
        <f t="shared" ca="1" si="73"/>
        <v>804 &amp; 1804</v>
      </c>
      <c r="O305" s="72">
        <f t="shared" ref="O305:P305" ca="1" si="76">O304+1</f>
        <v>804</v>
      </c>
      <c r="P305" s="72">
        <f t="shared" ca="1" si="76"/>
        <v>1804</v>
      </c>
    </row>
    <row r="306" spans="1:16" s="72" customFormat="1" ht="15.75" customHeight="1" x14ac:dyDescent="0.25">
      <c r="A306" s="79" t="s">
        <v>223</v>
      </c>
      <c r="B306" s="80"/>
      <c r="C306" s="79" t="s">
        <v>227</v>
      </c>
      <c r="D306" s="90"/>
      <c r="E306" s="90"/>
      <c r="F306" s="80"/>
      <c r="G306" s="84"/>
      <c r="H306" s="86"/>
      <c r="I306" s="32"/>
      <c r="N306" s="72" t="e">
        <f t="shared" si="73"/>
        <v>#REF!</v>
      </c>
      <c r="O306" s="72" t="e">
        <f>#REF!+1</f>
        <v>#REF!</v>
      </c>
      <c r="P306" s="72" t="e">
        <f>#REF!+1</f>
        <v>#REF!</v>
      </c>
    </row>
    <row r="307" spans="1:16" s="72" customFormat="1" ht="15.75" customHeight="1" x14ac:dyDescent="0.25">
      <c r="A307" s="79">
        <v>5</v>
      </c>
      <c r="B307" s="80"/>
      <c r="C307" s="67" t="s">
        <v>179</v>
      </c>
      <c r="D307" s="67">
        <f>(4.35*3.1+2.1*3.35+3.1*3.35+2.1*1.2+1.2*2.45+1.2*0.9)*10.764</f>
        <v>403.05797999999999</v>
      </c>
      <c r="E307" s="67">
        <v>0</v>
      </c>
      <c r="F307" s="67">
        <f t="shared" si="72"/>
        <v>604.58696999999995</v>
      </c>
      <c r="G307" s="84"/>
      <c r="H307" s="86"/>
      <c r="I307" s="32"/>
      <c r="N307" s="72" t="e">
        <f t="shared" si="73"/>
        <v>#REF!</v>
      </c>
      <c r="O307" s="72" t="e">
        <f>#REF!+1</f>
        <v>#REF!</v>
      </c>
      <c r="P307" s="72" t="e">
        <f>#REF!+1</f>
        <v>#REF!</v>
      </c>
    </row>
    <row r="308" spans="1:16" s="72" customFormat="1" ht="15.75" customHeight="1" x14ac:dyDescent="0.25">
      <c r="A308" s="79">
        <v>6</v>
      </c>
      <c r="B308" s="80"/>
      <c r="C308" s="67" t="s">
        <v>170</v>
      </c>
      <c r="D308" s="67">
        <f>(4.7*3.1+2.4*1.2+2.1*3.65+2.75*3.65+3.4*3.1+1.2*2.1+2.1*1.52+1.2*0.9)*10.764</f>
        <v>564.94315799999993</v>
      </c>
      <c r="E308" s="67">
        <v>0</v>
      </c>
      <c r="F308" s="67">
        <f t="shared" si="72"/>
        <v>847.41473699999983</v>
      </c>
      <c r="G308" s="84"/>
      <c r="H308" s="86"/>
      <c r="I308" s="32"/>
      <c r="N308" s="72" t="e">
        <f t="shared" si="73"/>
        <v>#REF!</v>
      </c>
      <c r="O308" s="72" t="e">
        <f t="shared" ref="O308:P308" si="77">O307+1</f>
        <v>#REF!</v>
      </c>
      <c r="P308" s="72" t="e">
        <f t="shared" si="77"/>
        <v>#REF!</v>
      </c>
    </row>
    <row r="309" spans="1:16" s="72" customFormat="1" ht="15.75" customHeight="1" x14ac:dyDescent="0.25">
      <c r="A309" s="79">
        <v>7</v>
      </c>
      <c r="B309" s="80"/>
      <c r="C309" s="67" t="s">
        <v>170</v>
      </c>
      <c r="D309" s="67">
        <f>(4.7*3.1+2.4*1.2+2.1*3.65+2.75*3.65+3.4*3.1+1.2*2.1+2.1*1.52+1.2*0.9)*10.764</f>
        <v>564.94315799999993</v>
      </c>
      <c r="E309" s="67">
        <v>0</v>
      </c>
      <c r="F309" s="67">
        <f t="shared" si="72"/>
        <v>847.41473699999983</v>
      </c>
      <c r="G309" s="87"/>
      <c r="H309" s="89"/>
      <c r="I309" s="32"/>
      <c r="N309" s="72" t="e">
        <f t="shared" si="73"/>
        <v>#REF!</v>
      </c>
      <c r="O309" s="72" t="e">
        <f t="shared" ref="O309:P309" si="78">O308+1</f>
        <v>#REF!</v>
      </c>
      <c r="P309" s="72" t="e">
        <f t="shared" si="78"/>
        <v>#REF!</v>
      </c>
    </row>
    <row r="310" spans="1:16" x14ac:dyDescent="0.25">
      <c r="A310" s="97" t="s">
        <v>222</v>
      </c>
      <c r="B310" s="97"/>
      <c r="C310" s="97"/>
      <c r="D310" s="97"/>
      <c r="E310" s="97"/>
      <c r="F310" s="97"/>
      <c r="G310" s="97"/>
      <c r="H310" s="97"/>
    </row>
    <row r="311" spans="1:16" s="72" customFormat="1" x14ac:dyDescent="0.25">
      <c r="A311" s="98" t="s">
        <v>203</v>
      </c>
      <c r="B311" s="99"/>
      <c r="C311" s="99"/>
      <c r="D311" s="99"/>
      <c r="E311" s="99"/>
      <c r="F311" s="99"/>
      <c r="G311" s="99"/>
      <c r="H311" s="100"/>
      <c r="I311" s="32"/>
    </row>
    <row r="312" spans="1:16" s="72" customFormat="1" x14ac:dyDescent="0.25">
      <c r="A312" s="98" t="s">
        <v>178</v>
      </c>
      <c r="B312" s="99"/>
      <c r="C312" s="99"/>
      <c r="D312" s="99"/>
      <c r="E312" s="99"/>
      <c r="F312" s="99"/>
      <c r="G312" s="99"/>
      <c r="H312" s="100"/>
      <c r="I312" s="32"/>
    </row>
    <row r="313" spans="1:16" s="72" customFormat="1" ht="15.75" customHeight="1" x14ac:dyDescent="0.25">
      <c r="A313" s="75" t="s">
        <v>223</v>
      </c>
      <c r="B313" s="75"/>
      <c r="C313" s="81" t="s">
        <v>224</v>
      </c>
      <c r="D313" s="82"/>
      <c r="E313" s="82"/>
      <c r="F313" s="83"/>
      <c r="G313" s="81" t="str">
        <f>A312</f>
        <v>1st, 2nd &amp; 3rd Floor for Residential &amp; Parking</v>
      </c>
      <c r="H313" s="83"/>
      <c r="I313" s="32"/>
      <c r="N313" s="72" t="e">
        <f t="shared" ref="N313:N315" ca="1" si="79">O313&amp;""&amp;" to "&amp;""&amp;P313</f>
        <v>#REF!</v>
      </c>
      <c r="O313" s="72" t="e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10^ROW(INDIRECT("1:"&amp;LEN((LEFT(A309,SUM(LEN(A309)-LEN(SUBSTITUTE(A309,{"0","1","2"},""))))))))/10))*100+1</f>
        <v>#REF!</v>
      </c>
      <c r="P313" s="72">
        <f ca="1">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",LEN(A309))),LEN(A309)))))))/10))*100+1</f>
        <v>701</v>
      </c>
    </row>
    <row r="314" spans="1:16" s="72" customFormat="1" ht="15.75" customHeight="1" x14ac:dyDescent="0.25">
      <c r="A314" s="75" t="s">
        <v>223</v>
      </c>
      <c r="B314" s="75"/>
      <c r="C314" s="84"/>
      <c r="D314" s="85"/>
      <c r="E314" s="85"/>
      <c r="F314" s="86"/>
      <c r="G314" s="84"/>
      <c r="H314" s="86"/>
      <c r="I314" s="32"/>
      <c r="N314" s="72" t="e">
        <f t="shared" ca="1" si="79"/>
        <v>#REF!</v>
      </c>
      <c r="O314" s="72" t="e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10^ROW(INDIRECT("1:"&amp;LEN((LEFT(A310,SUM(LEN(A310)-LEN(SUBSTITUTE(A310,{"0","1","2"},""))))))))/10))*100+1</f>
        <v>#REF!</v>
      </c>
      <c r="P314" s="72" t="e">
        <f ca="1">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",LEN(A310))),LEN(A310)))))))/10))*100+1</f>
        <v>#NUM!</v>
      </c>
    </row>
    <row r="315" spans="1:16" s="72" customFormat="1" ht="15.75" customHeight="1" x14ac:dyDescent="0.25">
      <c r="A315" s="75" t="s">
        <v>223</v>
      </c>
      <c r="B315" s="75"/>
      <c r="C315" s="87"/>
      <c r="D315" s="88"/>
      <c r="E315" s="88"/>
      <c r="F315" s="89"/>
      <c r="G315" s="84"/>
      <c r="H315" s="86"/>
      <c r="I315" s="32"/>
      <c r="N315" s="72" t="e">
        <f t="shared" ca="1" si="79"/>
        <v>#REF!</v>
      </c>
      <c r="O315" s="72" t="e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10^ROW(INDIRECT("1:"&amp;LEN((LEFT(A311,SUM(LEN(A311)-LEN(SUBSTITUTE(A311,{"0","1","2"},""))))))))/10))*100+1</f>
        <v>#REF!</v>
      </c>
      <c r="P315" s="72" t="e">
        <f ca="1">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",LEN(A311))),LEN(A311)))))))/10))*100+1</f>
        <v>#NUM!</v>
      </c>
    </row>
    <row r="316" spans="1:16" s="72" customFormat="1" ht="15.75" customHeight="1" x14ac:dyDescent="0.25">
      <c r="A316" s="75">
        <v>1</v>
      </c>
      <c r="B316" s="75">
        <v>4</v>
      </c>
      <c r="C316" s="67" t="s">
        <v>170</v>
      </c>
      <c r="D316" s="67">
        <f>(4.7*3.1+2.4*1.2+2.1*3.65+2.75*3.65+3.4*3.1+2.1*1.52+1.2*2.1+1.2*0.9)*10.764</f>
        <v>564.94315799999993</v>
      </c>
      <c r="E316" s="67">
        <v>0</v>
      </c>
      <c r="F316" s="67">
        <f>D316*(($F$185)+1)+(IF(E316&lt;101,E316,IF(E316&lt;201,E316/2,IF(E316&lt;=301,E316/3,E316/4))))</f>
        <v>847.41473699999983</v>
      </c>
      <c r="G316" s="84"/>
      <c r="H316" s="86"/>
      <c r="I316" s="32"/>
      <c r="N316" s="72" t="str">
        <f t="shared" ref="N316:N319" ca="1" si="80">O316&amp;""&amp;" to "&amp;""&amp;P316</f>
        <v>101 to 301</v>
      </c>
      <c r="O316" s="72">
        <f ca="1">(SUMPRODUCT(MID(0&amp;(LEFT(A312,SUM(LEN(A312)-LEN(SUBSTITUTE(A312,{"0","1","2"},""))))), LARGE(INDEX(ISNUMBER(--MID((LEFT(A312,SUM(LEN(A312)-LEN(SUBSTITUTE(A312,{"0","1","2"},""))))), ROW(INDIRECT("1:"&amp;LEN((LEFT(A312,SUM(LEN(A312)-LEN(SUBSTITUTE(A312,{"0","1","2"},"")))))))), 1)) * ROW(INDIRECT("1:"&amp;LEN((LEFT(A312,SUM(LEN(A312)-LEN(SUBSTITUTE(A312,{"0","1","2"},"")))))))), 0), ROW(INDIRECT("1:"&amp;LEN((LEFT(A312,SUM(LEN(A312)-LEN(SUBSTITUTE(A312,{"0","1","2"},"")))))))))+1, 1) * 10^ROW(INDIRECT("1:"&amp;LEN((LEFT(A312,SUM(LEN(A312)-LEN(SUBSTITUTE(A312,{"0","1","2"},""))))))))/10))*100+1</f>
        <v>101</v>
      </c>
      <c r="P316" s="72">
        <f ca="1">(SUMPRODUCT(MID(0&amp;(--TRIM(RIGHT(SUBSTITUTE(LEFT(A312,_xlfn.AGGREGATE(16,6,FIND({0,1,2,3,4,5,6,7,8,9},A312,ROW(INDIRECT("1:"&amp;LEN(A312)))),1))," ",REPT(" ",LEN(A312))),LEN(A312)))), LARGE(INDEX(ISNUMBER(--MID((--TRIM(RIGHT(SUBSTITUTE(LEFT(A312,_xlfn.AGGREGATE(16,6,FIND({0,1,2,3,4,5,6,7,8,9},A312,ROW(INDIRECT("1:"&amp;LEN(A312)))),1))," ",REPT(" ",LEN(A312))),LEN(A312)))), ROW(INDIRECT("1:"&amp;LEN((--TRIM(RIGHT(SUBSTITUTE(LEFT(A312,_xlfn.AGGREGATE(16,6,FIND({0,1,2,3,4,5,6,7,8,9},A312,ROW(INDIRECT("1:"&amp;LEN(A312)))),1))," ",REPT(" ",LEN(A312))),LEN(A312))))))), 1)) * ROW(INDIRECT("1:"&amp;LEN((--TRIM(RIGHT(SUBSTITUTE(LEFT(A312,_xlfn.AGGREGATE(16,6,FIND({0,1,2,3,4,5,6,7,8,9},A312,ROW(INDIRECT("1:"&amp;LEN(A312)))),1))," ",REPT(" ",LEN(A312))),LEN(A312))))))), 0), ROW(INDIRECT("1:"&amp;LEN((--TRIM(RIGHT(SUBSTITUTE(LEFT(A312,_xlfn.AGGREGATE(16,6,FIND({0,1,2,3,4,5,6,7,8,9},A312,ROW(INDIRECT("1:"&amp;LEN(A312)))),1))," ",REPT(" ",LEN(A312))),LEN(A312))))))))+1, 1) * 10^ROW(INDIRECT("1:"&amp;LEN((--TRIM(RIGHT(SUBSTITUTE(LEFT(A312,_xlfn.AGGREGATE(16,6,FIND({0,1,2,3,4,5,6,7,8,9},A312,ROW(INDIRECT("1:"&amp;LEN(A312)))),1))," ",REPT(" ",LEN(A312))),LEN(A312)))))))/10))*100+1</f>
        <v>301</v>
      </c>
    </row>
    <row r="317" spans="1:16" s="72" customFormat="1" ht="15.75" customHeight="1" x14ac:dyDescent="0.25">
      <c r="A317" s="75">
        <v>2</v>
      </c>
      <c r="B317" s="75">
        <v>5</v>
      </c>
      <c r="C317" s="67" t="s">
        <v>179</v>
      </c>
      <c r="D317" s="67">
        <f>(4.35*3.1+2.1*3.35+3.1*3.35+2.1*1.2+1.2*2.45+1.2*0.9)*10.764</f>
        <v>403.05797999999999</v>
      </c>
      <c r="E317" s="67">
        <v>0</v>
      </c>
      <c r="F317" s="67">
        <f>D317*(($F$185)+1)+(IF(E317&lt;101,E317,IF(E317&lt;201,E317/2,IF(E317&lt;=301,E317/3,E317/4))))</f>
        <v>604.58696999999995</v>
      </c>
      <c r="G317" s="84"/>
      <c r="H317" s="86"/>
      <c r="I317" s="32"/>
      <c r="N317" s="72" t="str">
        <f t="shared" ca="1" si="80"/>
        <v>102 to 302</v>
      </c>
      <c r="O317" s="72">
        <f t="shared" ref="O317:P317" ca="1" si="81">O316+1</f>
        <v>102</v>
      </c>
      <c r="P317" s="72">
        <f t="shared" ca="1" si="81"/>
        <v>302</v>
      </c>
    </row>
    <row r="318" spans="1:16" s="72" customFormat="1" ht="15.75" customHeight="1" x14ac:dyDescent="0.25">
      <c r="A318" s="75">
        <v>3</v>
      </c>
      <c r="B318" s="75">
        <v>6</v>
      </c>
      <c r="C318" s="67" t="s">
        <v>179</v>
      </c>
      <c r="D318" s="67">
        <f>(4.35*3.1+2.1*3.35+3.1*3.35+2.1*1.2+1.2*2.45+1.2*0.9)*10.764</f>
        <v>403.05797999999999</v>
      </c>
      <c r="E318" s="67">
        <v>0</v>
      </c>
      <c r="F318" s="67">
        <f>D318*(($F$185)+1)+(IF(E318&lt;101,E318,IF(E318&lt;201,E318/2,IF(E318&lt;=301,E318/3,E318/4))))</f>
        <v>604.58696999999995</v>
      </c>
      <c r="G318" s="84"/>
      <c r="H318" s="86"/>
      <c r="I318" s="32"/>
      <c r="N318" s="72" t="str">
        <f t="shared" ca="1" si="80"/>
        <v>103 to 303</v>
      </c>
      <c r="O318" s="72">
        <f t="shared" ref="O318:P318" ca="1" si="82">O317+1</f>
        <v>103</v>
      </c>
      <c r="P318" s="72">
        <f t="shared" ca="1" si="82"/>
        <v>303</v>
      </c>
    </row>
    <row r="319" spans="1:16" s="72" customFormat="1" ht="15.75" customHeight="1" x14ac:dyDescent="0.25">
      <c r="A319" s="75">
        <v>4</v>
      </c>
      <c r="B319" s="75">
        <v>7</v>
      </c>
      <c r="C319" s="67" t="s">
        <v>170</v>
      </c>
      <c r="D319" s="67">
        <f>(4.7*3.1+2.4*1.2+2.1*3.65+2.75*3.65+3.4*3.1+2.1*1.52+1.2*2.1+1.2*0.9)*10.764</f>
        <v>564.94315799999993</v>
      </c>
      <c r="E319" s="67">
        <v>0</v>
      </c>
      <c r="F319" s="67">
        <f>D319*(($F$185)+1)+(IF(E319&lt;101,E319,IF(E319&lt;201,E319/2,IF(E319&lt;=301,E319/3,E319/4))))</f>
        <v>847.41473699999983</v>
      </c>
      <c r="G319" s="84"/>
      <c r="H319" s="86"/>
      <c r="I319" s="32"/>
      <c r="N319" s="72" t="str">
        <f t="shared" ca="1" si="80"/>
        <v>104 to 304</v>
      </c>
      <c r="O319" s="72">
        <f t="shared" ref="O319:P320" ca="1" si="83">O318+1</f>
        <v>104</v>
      </c>
      <c r="P319" s="72">
        <f t="shared" ca="1" si="83"/>
        <v>304</v>
      </c>
    </row>
    <row r="320" spans="1:16" s="72" customFormat="1" ht="15.75" customHeight="1" x14ac:dyDescent="0.25">
      <c r="A320" s="79" t="s">
        <v>223</v>
      </c>
      <c r="B320" s="80"/>
      <c r="C320" s="79" t="s">
        <v>224</v>
      </c>
      <c r="D320" s="90"/>
      <c r="E320" s="90"/>
      <c r="F320" s="80"/>
      <c r="G320" s="87"/>
      <c r="H320" s="89"/>
      <c r="I320" s="32"/>
      <c r="N320" s="72" t="str">
        <f t="shared" ref="N320" ca="1" si="84">O320&amp;""&amp;" to "&amp;""&amp;P320</f>
        <v>105 to 305</v>
      </c>
      <c r="O320" s="72">
        <f t="shared" ca="1" si="83"/>
        <v>105</v>
      </c>
      <c r="P320" s="72">
        <f t="shared" ca="1" si="83"/>
        <v>305</v>
      </c>
    </row>
    <row r="321" spans="1:16" s="72" customFormat="1" x14ac:dyDescent="0.25">
      <c r="A321" s="98" t="s">
        <v>180</v>
      </c>
      <c r="B321" s="99"/>
      <c r="C321" s="99"/>
      <c r="D321" s="99"/>
      <c r="E321" s="99"/>
      <c r="F321" s="99"/>
      <c r="G321" s="99"/>
      <c r="H321" s="100"/>
      <c r="I321" s="32"/>
    </row>
    <row r="322" spans="1:16" s="72" customFormat="1" ht="15.75" customHeight="1" x14ac:dyDescent="0.25">
      <c r="A322" s="79">
        <v>1</v>
      </c>
      <c r="B322" s="80"/>
      <c r="C322" s="67" t="s">
        <v>179</v>
      </c>
      <c r="D322" s="67">
        <f>(4.35*3.1+2.1*3.35+3.1*3.35+2.1*1.2+1.2*2.45+1.2*0.9)*10.764</f>
        <v>403.05797999999999</v>
      </c>
      <c r="E322" s="67">
        <v>0</v>
      </c>
      <c r="F322" s="67">
        <f t="shared" ref="F322:F329" si="85">D322*(($F$185)+1)+(IF(E322&lt;101,E322,IF(E322&lt;201,E322/2,IF(E322&lt;=301,E322/3,E322/4))))</f>
        <v>604.58696999999995</v>
      </c>
      <c r="G322" s="81" t="str">
        <f>A321</f>
        <v>4th to 7th, 9th to 12th, 14th to 17th &amp; 19th to 22nd Floor</v>
      </c>
      <c r="H322" s="83"/>
      <c r="I322" s="32">
        <v>4600000</v>
      </c>
      <c r="J322" s="59">
        <f>I322/F322</f>
        <v>7608.500064101614</v>
      </c>
      <c r="N322" s="72" t="str">
        <f t="shared" ref="N322:N329" ca="1" si="86">O322&amp;""&amp;" &amp; "&amp;""&amp;P322</f>
        <v>401 &amp; 2201</v>
      </c>
      <c r="O322" s="72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10^ROW(INDIRECT("1:"&amp;LEN((LEFT(A321,SUM(LEN(A321)-LEN(SUBSTITUTE(A321,{"0","1","2"},""))))))))/10))*100+1</f>
        <v>401</v>
      </c>
      <c r="P322" s="72">
        <f ca="1">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",LEN(A321))),LEN(A321)))))))/10))*100+1</f>
        <v>2201</v>
      </c>
    </row>
    <row r="323" spans="1:16" s="72" customFormat="1" ht="15.75" customHeight="1" x14ac:dyDescent="0.25">
      <c r="A323" s="79">
        <v>2</v>
      </c>
      <c r="B323" s="80"/>
      <c r="C323" s="67" t="s">
        <v>179</v>
      </c>
      <c r="D323" s="67">
        <f>(4.35*3.1+2.1*3.35+3.1*3.35+2.1*1.2+1.2*2.45+1.2*0.9)*10.764</f>
        <v>403.05797999999999</v>
      </c>
      <c r="E323" s="67">
        <v>0</v>
      </c>
      <c r="F323" s="67">
        <f t="shared" si="85"/>
        <v>604.58696999999995</v>
      </c>
      <c r="G323" s="84"/>
      <c r="H323" s="86"/>
      <c r="I323" s="32"/>
      <c r="N323" s="72" t="str">
        <f t="shared" ca="1" si="86"/>
        <v>402 &amp; 2202</v>
      </c>
      <c r="O323" s="72">
        <f t="shared" ref="O323:P323" ca="1" si="87">O322+1</f>
        <v>402</v>
      </c>
      <c r="P323" s="72">
        <f t="shared" ca="1" si="87"/>
        <v>2202</v>
      </c>
    </row>
    <row r="324" spans="1:16" s="72" customFormat="1" ht="15.75" customHeight="1" x14ac:dyDescent="0.25">
      <c r="A324" s="79">
        <v>3</v>
      </c>
      <c r="B324" s="80"/>
      <c r="C324" s="67" t="s">
        <v>170</v>
      </c>
      <c r="D324" s="67">
        <f>(4.7*3.1+2.4*1.2+2.1*3.65+2.75*3.65+3.4*3.1+1.2*2.1+2.1*1.52+1.2*0.9)*10.764</f>
        <v>564.94315799999993</v>
      </c>
      <c r="E324" s="67">
        <v>0</v>
      </c>
      <c r="F324" s="67">
        <f t="shared" si="85"/>
        <v>847.41473699999983</v>
      </c>
      <c r="G324" s="84"/>
      <c r="H324" s="86"/>
      <c r="I324" s="32"/>
      <c r="N324" s="72" t="str">
        <f t="shared" ca="1" si="86"/>
        <v>403 &amp; 2203</v>
      </c>
      <c r="O324" s="72">
        <f t="shared" ref="O324:P324" ca="1" si="88">O323+1</f>
        <v>403</v>
      </c>
      <c r="P324" s="72">
        <f t="shared" ca="1" si="88"/>
        <v>2203</v>
      </c>
    </row>
    <row r="325" spans="1:16" s="72" customFormat="1" ht="15.75" customHeight="1" x14ac:dyDescent="0.25">
      <c r="A325" s="79">
        <v>4</v>
      </c>
      <c r="B325" s="80"/>
      <c r="C325" s="67" t="s">
        <v>170</v>
      </c>
      <c r="D325" s="67">
        <f>(4.7*3.1+2.4*1.2+2.1*3.65+2.75*3.65+3.4*3.1+1.2*2.1+2.1*1.52+1.2*0.9)*10.764</f>
        <v>564.94315799999993</v>
      </c>
      <c r="E325" s="67">
        <v>0</v>
      </c>
      <c r="F325" s="67">
        <f t="shared" si="85"/>
        <v>847.41473699999983</v>
      </c>
      <c r="G325" s="84"/>
      <c r="H325" s="86"/>
      <c r="I325" s="32"/>
      <c r="N325" s="72" t="str">
        <f t="shared" ca="1" si="86"/>
        <v>404 &amp; 2204</v>
      </c>
      <c r="O325" s="72">
        <f t="shared" ref="O325:P325" ca="1" si="89">O324+1</f>
        <v>404</v>
      </c>
      <c r="P325" s="72">
        <f t="shared" ca="1" si="89"/>
        <v>2204</v>
      </c>
    </row>
    <row r="326" spans="1:16" s="72" customFormat="1" ht="15.75" customHeight="1" x14ac:dyDescent="0.25">
      <c r="A326" s="79">
        <v>5</v>
      </c>
      <c r="B326" s="80"/>
      <c r="C326" s="67" t="s">
        <v>179</v>
      </c>
      <c r="D326" s="67">
        <f>(4.35*3.1+2.1*3.35+3.1*3.35+2.1*1.2+1.2*2.45+1.2*0.9)*10.764</f>
        <v>403.05797999999999</v>
      </c>
      <c r="E326" s="67">
        <v>0</v>
      </c>
      <c r="F326" s="67">
        <f t="shared" si="85"/>
        <v>604.58696999999995</v>
      </c>
      <c r="G326" s="84"/>
      <c r="H326" s="86"/>
      <c r="I326" s="32"/>
      <c r="N326" s="72" t="str">
        <f t="shared" ca="1" si="86"/>
        <v>405 &amp; 2205</v>
      </c>
      <c r="O326" s="72">
        <f t="shared" ref="O326:P326" ca="1" si="90">O325+1</f>
        <v>405</v>
      </c>
      <c r="P326" s="72">
        <f t="shared" ca="1" si="90"/>
        <v>2205</v>
      </c>
    </row>
    <row r="327" spans="1:16" s="72" customFormat="1" ht="15.75" customHeight="1" x14ac:dyDescent="0.25">
      <c r="A327" s="79">
        <v>6</v>
      </c>
      <c r="B327" s="80"/>
      <c r="C327" s="67" t="s">
        <v>179</v>
      </c>
      <c r="D327" s="67">
        <f>(4.35*3.1+2.1*3.35+3.1*3.35+2.1*1.2+1.2*2.45+1.2*0.9)*10.764</f>
        <v>403.05797999999999</v>
      </c>
      <c r="E327" s="67">
        <v>0</v>
      </c>
      <c r="F327" s="67">
        <f t="shared" si="85"/>
        <v>604.58696999999995</v>
      </c>
      <c r="G327" s="84"/>
      <c r="H327" s="86"/>
      <c r="I327" s="32"/>
      <c r="N327" s="72" t="str">
        <f t="shared" ca="1" si="86"/>
        <v>406 &amp; 2206</v>
      </c>
      <c r="O327" s="72">
        <f t="shared" ref="O327:P327" ca="1" si="91">O326+1</f>
        <v>406</v>
      </c>
      <c r="P327" s="72">
        <f t="shared" ca="1" si="91"/>
        <v>2206</v>
      </c>
    </row>
    <row r="328" spans="1:16" s="72" customFormat="1" ht="15.75" customHeight="1" x14ac:dyDescent="0.25">
      <c r="A328" s="79">
        <v>7</v>
      </c>
      <c r="B328" s="80"/>
      <c r="C328" s="67" t="s">
        <v>170</v>
      </c>
      <c r="D328" s="67">
        <f>(4.7*3.1+2.4*1.2+2.1*3.65+2.75*3.65+3.4*3.1+1.2*2.1+2.1*1.52+1.2*0.9)*10.764</f>
        <v>564.94315799999993</v>
      </c>
      <c r="E328" s="67">
        <v>0</v>
      </c>
      <c r="F328" s="67">
        <f t="shared" si="85"/>
        <v>847.41473699999983</v>
      </c>
      <c r="G328" s="84"/>
      <c r="H328" s="86"/>
      <c r="I328" s="32"/>
      <c r="N328" s="72" t="str">
        <f t="shared" ca="1" si="86"/>
        <v>407 &amp; 2207</v>
      </c>
      <c r="O328" s="72">
        <f t="shared" ref="O328:P328" ca="1" si="92">O327+1</f>
        <v>407</v>
      </c>
      <c r="P328" s="72">
        <f t="shared" ca="1" si="92"/>
        <v>2207</v>
      </c>
    </row>
    <row r="329" spans="1:16" s="72" customFormat="1" ht="15.75" customHeight="1" x14ac:dyDescent="0.25">
      <c r="A329" s="79">
        <v>8</v>
      </c>
      <c r="B329" s="80"/>
      <c r="C329" s="67" t="s">
        <v>170</v>
      </c>
      <c r="D329" s="67">
        <f>(4.7*3.1+2.4*1.2+2.1*3.65+2.75*3.65+3.4*3.1+1.2*2.1+2.1*1.52+1.2*0.9)*10.764</f>
        <v>564.94315799999993</v>
      </c>
      <c r="E329" s="67">
        <v>0</v>
      </c>
      <c r="F329" s="67">
        <f t="shared" si="85"/>
        <v>847.41473699999983</v>
      </c>
      <c r="G329" s="87"/>
      <c r="H329" s="89"/>
      <c r="I329" s="32"/>
      <c r="N329" s="72" t="str">
        <f t="shared" ca="1" si="86"/>
        <v>408 &amp; 2208</v>
      </c>
      <c r="O329" s="72">
        <f t="shared" ref="O329:P329" ca="1" si="93">O328+1</f>
        <v>408</v>
      </c>
      <c r="P329" s="72">
        <f t="shared" ca="1" si="93"/>
        <v>2208</v>
      </c>
    </row>
    <row r="330" spans="1:16" s="72" customFormat="1" x14ac:dyDescent="0.25">
      <c r="A330" s="91" t="s">
        <v>181</v>
      </c>
      <c r="B330" s="91"/>
      <c r="C330" s="91"/>
      <c r="D330" s="91"/>
      <c r="E330" s="91"/>
      <c r="F330" s="91"/>
      <c r="G330" s="91"/>
      <c r="H330" s="91"/>
      <c r="I330" s="32"/>
    </row>
    <row r="331" spans="1:16" s="72" customFormat="1" ht="15.75" customHeight="1" x14ac:dyDescent="0.25">
      <c r="A331" s="78">
        <v>1</v>
      </c>
      <c r="B331" s="78"/>
      <c r="C331" s="76" t="s">
        <v>179</v>
      </c>
      <c r="D331" s="76">
        <f>(4.35*3.1+2.1*3.35+3.1*3.35+2.1*1.2+1.2*2.45+1.2*0.9)*10.764</f>
        <v>403.05797999999999</v>
      </c>
      <c r="E331" s="76">
        <v>0</v>
      </c>
      <c r="F331" s="76">
        <f t="shared" ref="F331:F338" si="94">D331*(($F$185)+1)+(IF(E331&lt;101,E331,IF(E331&lt;201,E331/2,IF(E331&lt;=301,E331/3,E331/4))))</f>
        <v>604.58696999999995</v>
      </c>
      <c r="G331" s="78" t="str">
        <f>A330</f>
        <v>8th, 13th &amp; 18th Floor (Part Refuge Area)</v>
      </c>
      <c r="H331" s="78"/>
      <c r="I331" s="32"/>
      <c r="N331" s="72" t="str">
        <f t="shared" ref="N331:N338" ca="1" si="95">O331&amp;""&amp;" &amp; "&amp;""&amp;P331</f>
        <v>801 &amp; 1801</v>
      </c>
      <c r="O331" s="72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10^ROW(INDIRECT("1:"&amp;LEN((LEFT(A330,SUM(LEN(A330)-LEN(SUBSTITUTE(A330,{"0","1","2"},""))))))))/10))*100+1</f>
        <v>801</v>
      </c>
      <c r="P331" s="72">
        <f ca="1">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",LEN(A330))),LEN(A330)))))))/10))*100+1</f>
        <v>1801</v>
      </c>
    </row>
    <row r="332" spans="1:16" s="72" customFormat="1" ht="15.75" customHeight="1" x14ac:dyDescent="0.25">
      <c r="A332" s="78">
        <v>2</v>
      </c>
      <c r="B332" s="78"/>
      <c r="C332" s="76" t="s">
        <v>179</v>
      </c>
      <c r="D332" s="76">
        <f>(4.35*3.1+2.1*3.35+3.1*3.35+2.1*1.2+1.2*2.45+1.2*0.9)*10.764</f>
        <v>403.05797999999999</v>
      </c>
      <c r="E332" s="76">
        <v>0</v>
      </c>
      <c r="F332" s="76">
        <f t="shared" si="94"/>
        <v>604.58696999999995</v>
      </c>
      <c r="G332" s="78"/>
      <c r="H332" s="78"/>
      <c r="I332" s="32"/>
      <c r="N332" s="72" t="str">
        <f t="shared" ca="1" si="95"/>
        <v>802 &amp; 1802</v>
      </c>
      <c r="O332" s="72">
        <f t="shared" ref="O332:P332" ca="1" si="96">O331+1</f>
        <v>802</v>
      </c>
      <c r="P332" s="72">
        <f t="shared" ca="1" si="96"/>
        <v>1802</v>
      </c>
    </row>
    <row r="333" spans="1:16" s="72" customFormat="1" ht="15.75" customHeight="1" x14ac:dyDescent="0.25">
      <c r="A333" s="78">
        <v>3</v>
      </c>
      <c r="B333" s="78"/>
      <c r="C333" s="76" t="s">
        <v>170</v>
      </c>
      <c r="D333" s="76">
        <f>(4.7*3.1+2.4*1.2+2.1*3.65+2.75*3.65+3.4*3.1+1.2*2.1+2.1*1.52+1.2*0.9)*10.764</f>
        <v>564.94315799999993</v>
      </c>
      <c r="E333" s="76">
        <v>0</v>
      </c>
      <c r="F333" s="76">
        <f t="shared" si="94"/>
        <v>847.41473699999983</v>
      </c>
      <c r="G333" s="78"/>
      <c r="H333" s="78"/>
      <c r="I333" s="32"/>
      <c r="N333" s="72" t="str">
        <f t="shared" ca="1" si="95"/>
        <v>803 &amp; 1803</v>
      </c>
      <c r="O333" s="72">
        <f t="shared" ref="O333:P333" ca="1" si="97">O332+1</f>
        <v>803</v>
      </c>
      <c r="P333" s="72">
        <f t="shared" ca="1" si="97"/>
        <v>1803</v>
      </c>
    </row>
    <row r="334" spans="1:16" s="72" customFormat="1" ht="15.75" customHeight="1" x14ac:dyDescent="0.25">
      <c r="A334" s="78">
        <v>4</v>
      </c>
      <c r="B334" s="78"/>
      <c r="C334" s="76" t="s">
        <v>170</v>
      </c>
      <c r="D334" s="76">
        <f>(4.7*3.1+2.4*1.2+2.1*3.65+2.75*3.65+3.4*3.1+1.2*2.1+2.1*1.52+1.2*0.9)*10.764</f>
        <v>564.94315799999993</v>
      </c>
      <c r="E334" s="76">
        <v>0</v>
      </c>
      <c r="F334" s="76">
        <f t="shared" si="94"/>
        <v>847.41473699999983</v>
      </c>
      <c r="G334" s="78"/>
      <c r="H334" s="78"/>
      <c r="I334" s="32"/>
      <c r="N334" s="72" t="str">
        <f t="shared" ca="1" si="95"/>
        <v>804 &amp; 1804</v>
      </c>
      <c r="O334" s="72">
        <f t="shared" ref="O334:P334" ca="1" si="98">O333+1</f>
        <v>804</v>
      </c>
      <c r="P334" s="72">
        <f t="shared" ca="1" si="98"/>
        <v>1804</v>
      </c>
    </row>
    <row r="335" spans="1:16" s="72" customFormat="1" ht="15.75" customHeight="1" x14ac:dyDescent="0.25">
      <c r="A335" s="78" t="s">
        <v>223</v>
      </c>
      <c r="B335" s="78"/>
      <c r="C335" s="78" t="s">
        <v>227</v>
      </c>
      <c r="D335" s="78"/>
      <c r="E335" s="78"/>
      <c r="F335" s="78"/>
      <c r="G335" s="78"/>
      <c r="H335" s="78"/>
      <c r="I335" s="32"/>
      <c r="N335" s="72" t="e">
        <f t="shared" ref="N335" si="99">O335&amp;""&amp;" &amp; "&amp;""&amp;P335</f>
        <v>#REF!</v>
      </c>
      <c r="O335" s="72" t="e">
        <f>#REF!+1</f>
        <v>#REF!</v>
      </c>
      <c r="P335" s="72" t="e">
        <f>#REF!+1</f>
        <v>#REF!</v>
      </c>
    </row>
    <row r="336" spans="1:16" s="72" customFormat="1" ht="15.75" customHeight="1" x14ac:dyDescent="0.25">
      <c r="A336" s="78">
        <v>5</v>
      </c>
      <c r="B336" s="78"/>
      <c r="C336" s="76" t="s">
        <v>179</v>
      </c>
      <c r="D336" s="76">
        <f>(4.35*3.1+2.1*3.35+3.1*3.35+2.1*1.2+1.2*2.45+1.2*0.9)*10.764</f>
        <v>403.05797999999999</v>
      </c>
      <c r="E336" s="76">
        <v>0</v>
      </c>
      <c r="F336" s="76">
        <f t="shared" si="94"/>
        <v>604.58696999999995</v>
      </c>
      <c r="G336" s="78"/>
      <c r="H336" s="78"/>
      <c r="I336" s="32"/>
      <c r="N336" s="72" t="e">
        <f t="shared" si="95"/>
        <v>#REF!</v>
      </c>
      <c r="O336" s="72" t="e">
        <f>#REF!+1</f>
        <v>#REF!</v>
      </c>
      <c r="P336" s="72" t="e">
        <f>#REF!+1</f>
        <v>#REF!</v>
      </c>
    </row>
    <row r="337" spans="1:16" s="72" customFormat="1" ht="15.75" customHeight="1" x14ac:dyDescent="0.25">
      <c r="A337" s="78">
        <v>6</v>
      </c>
      <c r="B337" s="78"/>
      <c r="C337" s="76" t="s">
        <v>170</v>
      </c>
      <c r="D337" s="76">
        <f>(4.7*3.1+2.4*1.2+2.1*3.65+2.75*3.65+3.4*3.1+1.2*2.1+2.1*1.52+1.2*0.9)*10.764</f>
        <v>564.94315799999993</v>
      </c>
      <c r="E337" s="76">
        <v>0</v>
      </c>
      <c r="F337" s="76">
        <f t="shared" si="94"/>
        <v>847.41473699999983</v>
      </c>
      <c r="G337" s="78"/>
      <c r="H337" s="78"/>
      <c r="I337" s="32"/>
      <c r="N337" s="72" t="e">
        <f t="shared" si="95"/>
        <v>#REF!</v>
      </c>
      <c r="O337" s="72" t="e">
        <f t="shared" ref="O337:P337" si="100">O336+1</f>
        <v>#REF!</v>
      </c>
      <c r="P337" s="72" t="e">
        <f t="shared" si="100"/>
        <v>#REF!</v>
      </c>
    </row>
    <row r="338" spans="1:16" s="72" customFormat="1" ht="15.75" customHeight="1" x14ac:dyDescent="0.25">
      <c r="A338" s="78">
        <v>7</v>
      </c>
      <c r="B338" s="78"/>
      <c r="C338" s="76" t="s">
        <v>170</v>
      </c>
      <c r="D338" s="76">
        <f>(4.7*3.1+2.4*1.2+2.1*3.65+2.75*3.65+3.4*3.1+1.2*2.1+2.1*1.52+1.2*0.9)*10.764</f>
        <v>564.94315799999993</v>
      </c>
      <c r="E338" s="76">
        <v>0</v>
      </c>
      <c r="F338" s="76">
        <f t="shared" si="94"/>
        <v>847.41473699999983</v>
      </c>
      <c r="G338" s="78"/>
      <c r="H338" s="78"/>
      <c r="I338" s="32"/>
      <c r="N338" s="72" t="e">
        <f t="shared" si="95"/>
        <v>#REF!</v>
      </c>
      <c r="O338" s="72" t="e">
        <f t="shared" ref="O338:P338" si="101">O337+1</f>
        <v>#REF!</v>
      </c>
      <c r="P338" s="72" t="e">
        <f t="shared" si="101"/>
        <v>#REF!</v>
      </c>
    </row>
    <row r="339" spans="1:16" hidden="1" x14ac:dyDescent="0.25">
      <c r="A339" s="96" t="s">
        <v>228</v>
      </c>
      <c r="B339" s="96"/>
      <c r="C339" s="96"/>
      <c r="D339" s="96"/>
      <c r="E339" s="96"/>
      <c r="F339" s="96"/>
      <c r="G339" s="96"/>
      <c r="H339" s="96"/>
    </row>
    <row r="340" spans="1:16" s="72" customFormat="1" hidden="1" x14ac:dyDescent="0.25">
      <c r="A340" s="91" t="s">
        <v>203</v>
      </c>
      <c r="B340" s="91"/>
      <c r="C340" s="91"/>
      <c r="D340" s="91"/>
      <c r="E340" s="91"/>
      <c r="F340" s="91"/>
      <c r="G340" s="91"/>
      <c r="H340" s="91"/>
      <c r="I340" s="32"/>
    </row>
    <row r="341" spans="1:16" s="72" customFormat="1" hidden="1" x14ac:dyDescent="0.25">
      <c r="A341" s="91" t="s">
        <v>225</v>
      </c>
      <c r="B341" s="91"/>
      <c r="C341" s="91"/>
      <c r="D341" s="91"/>
      <c r="E341" s="91"/>
      <c r="F341" s="91"/>
      <c r="G341" s="91"/>
      <c r="H341" s="91"/>
      <c r="I341" s="32"/>
    </row>
    <row r="342" spans="1:16" s="72" customFormat="1" ht="15.75" hidden="1" customHeight="1" x14ac:dyDescent="0.25">
      <c r="A342" s="78">
        <v>1</v>
      </c>
      <c r="B342" s="78"/>
      <c r="C342" s="76" t="s">
        <v>170</v>
      </c>
      <c r="D342" s="76">
        <f>(4.7*3.1+2.4*1.2+2.1*3.65+2.75*3.65+3.4*3.1+1.2*2.1+2.1*1.52+1.2*0.9)*10.764</f>
        <v>564.94315799999993</v>
      </c>
      <c r="E342" s="76">
        <v>0</v>
      </c>
      <c r="F342" s="76">
        <f>D342*(($F$185)+1)+(IF(E342&lt;101,E342,IF(E342&lt;201,E342/2,IF(E342&lt;=301,E342/3,E342/4))))</f>
        <v>847.41473699999983</v>
      </c>
      <c r="G342" s="78" t="str">
        <f>A341</f>
        <v>1st, 2nd Floor for Residential &amp; Parking</v>
      </c>
      <c r="H342" s="78"/>
      <c r="I342" s="32"/>
      <c r="N342" s="72" t="str">
        <f t="shared" ref="N342:N345" ca="1" si="102">O342&amp;""&amp;" to "&amp;""&amp;P342</f>
        <v>101 to 201</v>
      </c>
      <c r="O342" s="72">
        <f ca="1">(SUMPRODUCT(MID(0&amp;(LEFT(A341,SUM(LEN(A341)-LEN(SUBSTITUTE(A341,{"0","1","2"},""))))), LARGE(INDEX(ISNUMBER(--MID((LEFT(A341,SUM(LEN(A341)-LEN(SUBSTITUTE(A341,{"0","1","2"},""))))), ROW(INDIRECT("1:"&amp;LEN((LEFT(A341,SUM(LEN(A341)-LEN(SUBSTITUTE(A341,{"0","1","2"},"")))))))), 1)) * ROW(INDIRECT("1:"&amp;LEN((LEFT(A341,SUM(LEN(A341)-LEN(SUBSTITUTE(A341,{"0","1","2"},"")))))))), 0), ROW(INDIRECT("1:"&amp;LEN((LEFT(A341,SUM(LEN(A341)-LEN(SUBSTITUTE(A341,{"0","1","2"},"")))))))))+1, 1) * 10^ROW(INDIRECT("1:"&amp;LEN((LEFT(A341,SUM(LEN(A341)-LEN(SUBSTITUTE(A341,{"0","1","2"},""))))))))/10))*100+1</f>
        <v>101</v>
      </c>
      <c r="P342" s="72">
        <f ca="1">(SUMPRODUCT(MID(0&amp;(--TRIM(RIGHT(SUBSTITUTE(LEFT(A341,_xlfn.AGGREGATE(16,6,FIND({0,1,2,3,4,5,6,7,8,9},A341,ROW(INDIRECT("1:"&amp;LEN(A341)))),1))," ",REPT(" ",LEN(A341))),LEN(A341)))), LARGE(INDEX(ISNUMBER(--MID((--TRIM(RIGHT(SUBSTITUTE(LEFT(A341,_xlfn.AGGREGATE(16,6,FIND({0,1,2,3,4,5,6,7,8,9},A341,ROW(INDIRECT("1:"&amp;LEN(A341)))),1))," ",REPT(" ",LEN(A341))),LEN(A341)))), ROW(INDIRECT("1:"&amp;LEN((--TRIM(RIGHT(SUBSTITUTE(LEFT(A341,_xlfn.AGGREGATE(16,6,FIND({0,1,2,3,4,5,6,7,8,9},A341,ROW(INDIRECT("1:"&amp;LEN(A341)))),1))," ",REPT(" ",LEN(A341))),LEN(A341))))))), 1)) * ROW(INDIRECT("1:"&amp;LEN((--TRIM(RIGHT(SUBSTITUTE(LEFT(A341,_xlfn.AGGREGATE(16,6,FIND({0,1,2,3,4,5,6,7,8,9},A341,ROW(INDIRECT("1:"&amp;LEN(A341)))),1))," ",REPT(" ",LEN(A341))),LEN(A341))))))), 0), ROW(INDIRECT("1:"&amp;LEN((--TRIM(RIGHT(SUBSTITUTE(LEFT(A341,_xlfn.AGGREGATE(16,6,FIND({0,1,2,3,4,5,6,7,8,9},A341,ROW(INDIRECT("1:"&amp;LEN(A341)))),1))," ",REPT(" ",LEN(A341))),LEN(A341))))))))+1, 1) * 10^ROW(INDIRECT("1:"&amp;LEN((--TRIM(RIGHT(SUBSTITUTE(LEFT(A341,_xlfn.AGGREGATE(16,6,FIND({0,1,2,3,4,5,6,7,8,9},A341,ROW(INDIRECT("1:"&amp;LEN(A341)))),1))," ",REPT(" ",LEN(A341))),LEN(A341)))))))/10))*100+1</f>
        <v>201</v>
      </c>
    </row>
    <row r="343" spans="1:16" s="72" customFormat="1" ht="15.75" hidden="1" customHeight="1" x14ac:dyDescent="0.25">
      <c r="A343" s="78">
        <v>2</v>
      </c>
      <c r="B343" s="78"/>
      <c r="C343" s="76" t="s">
        <v>179</v>
      </c>
      <c r="D343" s="76">
        <f>(4.35*3.1+2.1*3.35+3.1*3.35+2.1*1.2+1.2*2.45+1.2*0.9)*10.764</f>
        <v>403.05797999999999</v>
      </c>
      <c r="E343" s="76">
        <v>0</v>
      </c>
      <c r="F343" s="76">
        <f>D343*(($F$185)+1)+(IF(E343&lt;101,E343,IF(E343&lt;201,E343/2,IF(E343&lt;=301,E343/3,E343/4))))</f>
        <v>604.58696999999995</v>
      </c>
      <c r="G343" s="78"/>
      <c r="H343" s="78"/>
      <c r="I343" s="32"/>
      <c r="N343" s="72" t="str">
        <f t="shared" ca="1" si="102"/>
        <v>102 to 202</v>
      </c>
      <c r="O343" s="72">
        <f t="shared" ref="O343:P343" ca="1" si="103">O342+1</f>
        <v>102</v>
      </c>
      <c r="P343" s="72">
        <f t="shared" ca="1" si="103"/>
        <v>202</v>
      </c>
    </row>
    <row r="344" spans="1:16" s="72" customFormat="1" ht="15.75" hidden="1" customHeight="1" x14ac:dyDescent="0.25">
      <c r="A344" s="78">
        <v>3</v>
      </c>
      <c r="B344" s="78"/>
      <c r="C344" s="76" t="s">
        <v>179</v>
      </c>
      <c r="D344" s="76">
        <f>(4.35*3.1+2.1*3.35+3.1*3.35+2.1*1.2+1.2*2.45+1.2*0.9)*10.764</f>
        <v>403.05797999999999</v>
      </c>
      <c r="E344" s="76">
        <v>0</v>
      </c>
      <c r="F344" s="76">
        <f>D344*(($F$185)+1)+(IF(E344&lt;101,E344,IF(E344&lt;201,E344/2,IF(E344&lt;=301,E344/3,E344/4))))</f>
        <v>604.58696999999995</v>
      </c>
      <c r="G344" s="78"/>
      <c r="H344" s="78"/>
      <c r="I344" s="32"/>
      <c r="N344" s="72" t="str">
        <f t="shared" ca="1" si="102"/>
        <v>103 to 203</v>
      </c>
      <c r="O344" s="72">
        <f t="shared" ref="O344:P344" ca="1" si="104">O343+1</f>
        <v>103</v>
      </c>
      <c r="P344" s="72">
        <f t="shared" ca="1" si="104"/>
        <v>203</v>
      </c>
    </row>
    <row r="345" spans="1:16" s="72" customFormat="1" ht="15.75" hidden="1" customHeight="1" x14ac:dyDescent="0.25">
      <c r="A345" s="78">
        <v>4</v>
      </c>
      <c r="B345" s="78"/>
      <c r="C345" s="76" t="s">
        <v>170</v>
      </c>
      <c r="D345" s="76">
        <f>(4.7*3.1+2.4*1.2+2.1*3.65+2.75*3.65+3.4*3.1+1.2*2.1+2.1*1.52+1.2*0.9)*10.764</f>
        <v>564.94315799999993</v>
      </c>
      <c r="E345" s="76">
        <v>0</v>
      </c>
      <c r="F345" s="76">
        <f>D345*(($F$185)+1)+(IF(E345&lt;101,E345,IF(E345&lt;201,E345/2,IF(E345&lt;=301,E345/3,E345/4))))</f>
        <v>847.41473699999983</v>
      </c>
      <c r="G345" s="78"/>
      <c r="H345" s="78"/>
      <c r="I345" s="32"/>
      <c r="N345" s="72" t="str">
        <f t="shared" ca="1" si="102"/>
        <v>104 to 204</v>
      </c>
      <c r="O345" s="72">
        <f t="shared" ref="O345:P345" ca="1" si="105">O344+1</f>
        <v>104</v>
      </c>
      <c r="P345" s="72">
        <f t="shared" ca="1" si="105"/>
        <v>204</v>
      </c>
    </row>
    <row r="346" spans="1:16" s="72" customFormat="1" hidden="1" x14ac:dyDescent="0.25">
      <c r="A346" s="91" t="s">
        <v>226</v>
      </c>
      <c r="B346" s="91"/>
      <c r="C346" s="91"/>
      <c r="D346" s="91"/>
      <c r="E346" s="91"/>
      <c r="F346" s="91"/>
      <c r="G346" s="91"/>
      <c r="H346" s="91"/>
      <c r="I346" s="32"/>
      <c r="L346" s="92"/>
      <c r="M346" s="92"/>
    </row>
    <row r="347" spans="1:16" s="72" customFormat="1" ht="15.75" hidden="1" customHeight="1" x14ac:dyDescent="0.25">
      <c r="A347" s="78" t="s">
        <v>223</v>
      </c>
      <c r="B347" s="78"/>
      <c r="C347" s="78" t="s">
        <v>224</v>
      </c>
      <c r="D347" s="78"/>
      <c r="E347" s="78"/>
      <c r="F347" s="78"/>
      <c r="G347" s="78" t="str">
        <f>A346</f>
        <v>3rd Floor For Residential, Society Office &amp; Creche &amp; Parking</v>
      </c>
      <c r="H347" s="78"/>
      <c r="I347" s="32"/>
      <c r="N347" s="32"/>
    </row>
    <row r="348" spans="1:16" s="72" customFormat="1" hidden="1" x14ac:dyDescent="0.25">
      <c r="A348" s="78" t="s">
        <v>223</v>
      </c>
      <c r="B348" s="78"/>
      <c r="C348" s="78"/>
      <c r="D348" s="78"/>
      <c r="E348" s="78"/>
      <c r="F348" s="78"/>
      <c r="G348" s="78"/>
      <c r="H348" s="78"/>
      <c r="I348" s="32"/>
      <c r="N348" s="32"/>
    </row>
    <row r="349" spans="1:16" s="72" customFormat="1" hidden="1" x14ac:dyDescent="0.25">
      <c r="A349" s="78" t="s">
        <v>223</v>
      </c>
      <c r="B349" s="78"/>
      <c r="C349" s="78" t="s">
        <v>174</v>
      </c>
      <c r="D349" s="78"/>
      <c r="E349" s="78"/>
      <c r="F349" s="78"/>
      <c r="G349" s="78"/>
      <c r="H349" s="78"/>
      <c r="I349" s="32"/>
      <c r="N349" s="32"/>
    </row>
    <row r="350" spans="1:16" s="72" customFormat="1" ht="15.75" hidden="1" customHeight="1" x14ac:dyDescent="0.25">
      <c r="A350" s="78">
        <v>1</v>
      </c>
      <c r="B350" s="78"/>
      <c r="C350" s="76" t="s">
        <v>170</v>
      </c>
      <c r="D350" s="76">
        <f>(4.7*3.1+2.4*1.2+2.1*3.65+2.75*3.65+3.4*3.1+1.2*2.1+2.1*1.52+1.2*0.9)*10.764</f>
        <v>564.94315799999993</v>
      </c>
      <c r="E350" s="76">
        <v>0</v>
      </c>
      <c r="F350" s="76">
        <f t="shared" ref="F350:F351" si="106">D350*(($F$185)+1)+(IF(E350&lt;101,E350,IF(E350&lt;201,E350/2,IF(E350&lt;=301,E350/3,E350/4))))</f>
        <v>847.41473699999983</v>
      </c>
      <c r="G350" s="78"/>
      <c r="H350" s="78"/>
      <c r="I350" s="32"/>
      <c r="N350" s="32"/>
    </row>
    <row r="351" spans="1:16" s="72" customFormat="1" hidden="1" x14ac:dyDescent="0.25">
      <c r="A351" s="78">
        <f>A350+1</f>
        <v>2</v>
      </c>
      <c r="B351" s="78"/>
      <c r="C351" s="76" t="s">
        <v>179</v>
      </c>
      <c r="D351" s="76">
        <f>(4.35*3.1+2.1*3.35+3.1*3.35+2.1*1.2+1.2*2.45+1.2*0.9)*10.764</f>
        <v>403.05797999999999</v>
      </c>
      <c r="E351" s="76">
        <v>0</v>
      </c>
      <c r="F351" s="76">
        <f t="shared" si="106"/>
        <v>604.58696999999995</v>
      </c>
      <c r="G351" s="78"/>
      <c r="H351" s="78"/>
      <c r="I351" s="32"/>
      <c r="N351" s="32"/>
    </row>
    <row r="352" spans="1:16" s="72" customFormat="1" hidden="1" x14ac:dyDescent="0.25">
      <c r="A352" s="78">
        <f>A351+1</f>
        <v>3</v>
      </c>
      <c r="B352" s="78"/>
      <c r="C352" s="76" t="s">
        <v>179</v>
      </c>
      <c r="D352" s="76">
        <f>(4.35*3.1+2.1*3.35+3.1*3.35+2.1*1.2+1.2*2.45+1.2*0.9)*10.764</f>
        <v>403.05797999999999</v>
      </c>
      <c r="E352" s="76">
        <v>0</v>
      </c>
      <c r="F352" s="76">
        <f>D352*(($F$185)+1)+(IF(E352&lt;101,E352,IF(E352&lt;201,E352/2,IF(E352&lt;=301,E352/3,E352/4))))</f>
        <v>604.58696999999995</v>
      </c>
      <c r="G352" s="78"/>
      <c r="H352" s="78"/>
      <c r="I352" s="32"/>
      <c r="N352" s="32"/>
    </row>
    <row r="353" spans="1:16" s="72" customFormat="1" hidden="1" x14ac:dyDescent="0.25">
      <c r="A353" s="78">
        <f>A352+1</f>
        <v>4</v>
      </c>
      <c r="B353" s="78"/>
      <c r="C353" s="76" t="s">
        <v>170</v>
      </c>
      <c r="D353" s="76">
        <f>(4.7*3.1+2.4*1.2+2.1*3.65+2.75*3.65+3.4*3.1+1.2*2.1+2.1*1.52+1.2*0.9)*10.764</f>
        <v>564.94315799999993</v>
      </c>
      <c r="E353" s="76">
        <v>0</v>
      </c>
      <c r="F353" s="76">
        <f>D353*(($F$185)+1)+(IF(E353&lt;101,E353,IF(E353&lt;201,E353/2,IF(E353&lt;=301,E353/3,E353/4))))</f>
        <v>847.41473699999983</v>
      </c>
      <c r="G353" s="78"/>
      <c r="H353" s="78"/>
      <c r="I353" s="32"/>
      <c r="N353" s="32"/>
    </row>
    <row r="354" spans="1:16" s="72" customFormat="1" hidden="1" x14ac:dyDescent="0.25">
      <c r="A354" s="78" t="s">
        <v>223</v>
      </c>
      <c r="B354" s="78"/>
      <c r="C354" s="78" t="s">
        <v>173</v>
      </c>
      <c r="D354" s="78"/>
      <c r="E354" s="78"/>
      <c r="F354" s="78"/>
      <c r="G354" s="78"/>
      <c r="H354" s="78"/>
      <c r="I354" s="32"/>
      <c r="N354" s="32"/>
    </row>
    <row r="355" spans="1:16" s="72" customFormat="1" hidden="1" x14ac:dyDescent="0.25">
      <c r="A355" s="91" t="s">
        <v>180</v>
      </c>
      <c r="B355" s="91"/>
      <c r="C355" s="91"/>
      <c r="D355" s="91"/>
      <c r="E355" s="91"/>
      <c r="F355" s="91"/>
      <c r="G355" s="91"/>
      <c r="H355" s="91"/>
      <c r="I355" s="32"/>
    </row>
    <row r="356" spans="1:16" s="72" customFormat="1" ht="15.75" hidden="1" customHeight="1" x14ac:dyDescent="0.25">
      <c r="A356" s="78">
        <v>1</v>
      </c>
      <c r="B356" s="78"/>
      <c r="C356" s="76" t="s">
        <v>179</v>
      </c>
      <c r="D356" s="76">
        <f>(4.35*3.1+2.1*3.35+3.1*3.35+2.1*1.2+1.2*2.45+1.2*0.9)*10.764</f>
        <v>403.05797999999999</v>
      </c>
      <c r="E356" s="76">
        <v>0</v>
      </c>
      <c r="F356" s="76">
        <f t="shared" ref="F356:F363" si="107">D356*(($F$185)+1)+(IF(E356&lt;101,E356,IF(E356&lt;201,E356/2,IF(E356&lt;=301,E356/3,E356/4))))</f>
        <v>604.58696999999995</v>
      </c>
      <c r="G356" s="78" t="str">
        <f>A355</f>
        <v>4th to 7th, 9th to 12th, 14th to 17th &amp; 19th to 22nd Floor</v>
      </c>
      <c r="H356" s="78"/>
      <c r="I356" s="32">
        <v>4600000</v>
      </c>
      <c r="J356" s="59">
        <f>I356/F356</f>
        <v>7608.500064101614</v>
      </c>
      <c r="N356" s="72" t="str">
        <f t="shared" ref="N356:N363" ca="1" si="108">O356&amp;""&amp;" &amp; "&amp;""&amp;P356</f>
        <v>401 &amp; 2201</v>
      </c>
      <c r="O356" s="72">
        <f ca="1">(SUMPRODUCT(MID(0&amp;(LEFT(A355,SUM(LEN(A355)-LEN(SUBSTITUTE(A355,{"0","1","2"},""))))), LARGE(INDEX(ISNUMBER(--MID((LEFT(A355,SUM(LEN(A355)-LEN(SUBSTITUTE(A355,{"0","1","2"},""))))), ROW(INDIRECT("1:"&amp;LEN((LEFT(A355,SUM(LEN(A355)-LEN(SUBSTITUTE(A355,{"0","1","2"},"")))))))), 1)) * ROW(INDIRECT("1:"&amp;LEN((LEFT(A355,SUM(LEN(A355)-LEN(SUBSTITUTE(A355,{"0","1","2"},"")))))))), 0), ROW(INDIRECT("1:"&amp;LEN((LEFT(A355,SUM(LEN(A355)-LEN(SUBSTITUTE(A355,{"0","1","2"},"")))))))))+1, 1) * 10^ROW(INDIRECT("1:"&amp;LEN((LEFT(A355,SUM(LEN(A355)-LEN(SUBSTITUTE(A355,{"0","1","2"},""))))))))/10))*100+1</f>
        <v>401</v>
      </c>
      <c r="P356" s="72">
        <f ca="1">(SUMPRODUCT(MID(0&amp;(--TRIM(RIGHT(SUBSTITUTE(LEFT(A355,_xlfn.AGGREGATE(16,6,FIND({0,1,2,3,4,5,6,7,8,9},A355,ROW(INDIRECT("1:"&amp;LEN(A355)))),1))," ",REPT(" ",LEN(A355))),LEN(A355)))), LARGE(INDEX(ISNUMBER(--MID((--TRIM(RIGHT(SUBSTITUTE(LEFT(A355,_xlfn.AGGREGATE(16,6,FIND({0,1,2,3,4,5,6,7,8,9},A355,ROW(INDIRECT("1:"&amp;LEN(A355)))),1))," ",REPT(" ",LEN(A355))),LEN(A355)))), ROW(INDIRECT("1:"&amp;LEN((--TRIM(RIGHT(SUBSTITUTE(LEFT(A355,_xlfn.AGGREGATE(16,6,FIND({0,1,2,3,4,5,6,7,8,9},A355,ROW(INDIRECT("1:"&amp;LEN(A355)))),1))," ",REPT(" ",LEN(A355))),LEN(A355))))))), 1)) * ROW(INDIRECT("1:"&amp;LEN((--TRIM(RIGHT(SUBSTITUTE(LEFT(A355,_xlfn.AGGREGATE(16,6,FIND({0,1,2,3,4,5,6,7,8,9},A355,ROW(INDIRECT("1:"&amp;LEN(A355)))),1))," ",REPT(" ",LEN(A355))),LEN(A355))))))), 0), ROW(INDIRECT("1:"&amp;LEN((--TRIM(RIGHT(SUBSTITUTE(LEFT(A355,_xlfn.AGGREGATE(16,6,FIND({0,1,2,3,4,5,6,7,8,9},A355,ROW(INDIRECT("1:"&amp;LEN(A355)))),1))," ",REPT(" ",LEN(A355))),LEN(A355))))))))+1, 1) * 10^ROW(INDIRECT("1:"&amp;LEN((--TRIM(RIGHT(SUBSTITUTE(LEFT(A355,_xlfn.AGGREGATE(16,6,FIND({0,1,2,3,4,5,6,7,8,9},A355,ROW(INDIRECT("1:"&amp;LEN(A355)))),1))," ",REPT(" ",LEN(A355))),LEN(A355)))))))/10))*100+1</f>
        <v>2201</v>
      </c>
    </row>
    <row r="357" spans="1:16" s="72" customFormat="1" ht="15.75" hidden="1" customHeight="1" x14ac:dyDescent="0.25">
      <c r="A357" s="78">
        <v>2</v>
      </c>
      <c r="B357" s="78"/>
      <c r="C357" s="76" t="s">
        <v>179</v>
      </c>
      <c r="D357" s="76">
        <f>(4.35*3.1+2.1*3.35+3.1*3.35+2.1*1.2+1.2*2.45+1.2*0.9)*10.764</f>
        <v>403.05797999999999</v>
      </c>
      <c r="E357" s="76">
        <v>0</v>
      </c>
      <c r="F357" s="76">
        <f t="shared" si="107"/>
        <v>604.58696999999995</v>
      </c>
      <c r="G357" s="78"/>
      <c r="H357" s="78"/>
      <c r="I357" s="32"/>
      <c r="N357" s="72" t="str">
        <f t="shared" ca="1" si="108"/>
        <v>402 &amp; 2202</v>
      </c>
      <c r="O357" s="72">
        <f t="shared" ref="O357:P357" ca="1" si="109">O356+1</f>
        <v>402</v>
      </c>
      <c r="P357" s="72">
        <f t="shared" ca="1" si="109"/>
        <v>2202</v>
      </c>
    </row>
    <row r="358" spans="1:16" s="72" customFormat="1" ht="15.75" hidden="1" customHeight="1" x14ac:dyDescent="0.25">
      <c r="A358" s="78">
        <v>3</v>
      </c>
      <c r="B358" s="78"/>
      <c r="C358" s="76" t="s">
        <v>170</v>
      </c>
      <c r="D358" s="76">
        <f>(4.7*3.1+2.4*1.2+2.1*3.65+2.75*3.65+3.4*3.1+1.2*2.1+2.1*1.52+1.2*0.9)*10.764</f>
        <v>564.94315799999993</v>
      </c>
      <c r="E358" s="76">
        <v>0</v>
      </c>
      <c r="F358" s="76">
        <f t="shared" si="107"/>
        <v>847.41473699999983</v>
      </c>
      <c r="G358" s="78"/>
      <c r="H358" s="78"/>
      <c r="I358" s="32"/>
      <c r="N358" s="72" t="str">
        <f t="shared" ca="1" si="108"/>
        <v>403 &amp; 2203</v>
      </c>
      <c r="O358" s="72">
        <f t="shared" ref="O358:P358" ca="1" si="110">O357+1</f>
        <v>403</v>
      </c>
      <c r="P358" s="72">
        <f t="shared" ca="1" si="110"/>
        <v>2203</v>
      </c>
    </row>
    <row r="359" spans="1:16" s="72" customFormat="1" ht="15.75" hidden="1" customHeight="1" x14ac:dyDescent="0.25">
      <c r="A359" s="78">
        <v>4</v>
      </c>
      <c r="B359" s="78"/>
      <c r="C359" s="76" t="s">
        <v>170</v>
      </c>
      <c r="D359" s="76">
        <f>(4.7*3.1+2.4*1.2+2.1*3.65+2.75*3.65+3.4*3.1+1.2*2.1+2.1*1.52+1.2*0.9)*10.764</f>
        <v>564.94315799999993</v>
      </c>
      <c r="E359" s="76">
        <v>0</v>
      </c>
      <c r="F359" s="76">
        <f t="shared" si="107"/>
        <v>847.41473699999983</v>
      </c>
      <c r="G359" s="78"/>
      <c r="H359" s="78"/>
      <c r="I359" s="32"/>
      <c r="N359" s="72" t="str">
        <f t="shared" ca="1" si="108"/>
        <v>404 &amp; 2204</v>
      </c>
      <c r="O359" s="72">
        <f t="shared" ref="O359:P359" ca="1" si="111">O358+1</f>
        <v>404</v>
      </c>
      <c r="P359" s="72">
        <f t="shared" ca="1" si="111"/>
        <v>2204</v>
      </c>
    </row>
    <row r="360" spans="1:16" s="72" customFormat="1" ht="15.75" hidden="1" customHeight="1" x14ac:dyDescent="0.25">
      <c r="A360" s="78">
        <v>5</v>
      </c>
      <c r="B360" s="78"/>
      <c r="C360" s="76" t="s">
        <v>179</v>
      </c>
      <c r="D360" s="76">
        <f>(4.35*3.1+2.1*3.35+3.1*3.35+2.1*1.2+1.2*2.45+1.2*0.9)*10.764</f>
        <v>403.05797999999999</v>
      </c>
      <c r="E360" s="76">
        <v>0</v>
      </c>
      <c r="F360" s="76">
        <f t="shared" si="107"/>
        <v>604.58696999999995</v>
      </c>
      <c r="G360" s="78"/>
      <c r="H360" s="78"/>
      <c r="I360" s="32"/>
      <c r="N360" s="72" t="str">
        <f t="shared" ca="1" si="108"/>
        <v>405 &amp; 2205</v>
      </c>
      <c r="O360" s="72">
        <f t="shared" ref="O360:P360" ca="1" si="112">O359+1</f>
        <v>405</v>
      </c>
      <c r="P360" s="72">
        <f t="shared" ca="1" si="112"/>
        <v>2205</v>
      </c>
    </row>
    <row r="361" spans="1:16" s="72" customFormat="1" ht="15.75" hidden="1" customHeight="1" x14ac:dyDescent="0.25">
      <c r="A361" s="78">
        <v>6</v>
      </c>
      <c r="B361" s="78"/>
      <c r="C361" s="76" t="s">
        <v>179</v>
      </c>
      <c r="D361" s="76">
        <f>(4.35*3.1+2.1*3.35+3.1*3.35+2.1*1.2+1.2*2.45+1.2*0.9)*10.764</f>
        <v>403.05797999999999</v>
      </c>
      <c r="E361" s="76">
        <v>0</v>
      </c>
      <c r="F361" s="76">
        <f t="shared" si="107"/>
        <v>604.58696999999995</v>
      </c>
      <c r="G361" s="78"/>
      <c r="H361" s="78"/>
      <c r="I361" s="32"/>
      <c r="N361" s="72" t="str">
        <f t="shared" ca="1" si="108"/>
        <v>406 &amp; 2206</v>
      </c>
      <c r="O361" s="72">
        <f t="shared" ref="O361:P361" ca="1" si="113">O360+1</f>
        <v>406</v>
      </c>
      <c r="P361" s="72">
        <f t="shared" ca="1" si="113"/>
        <v>2206</v>
      </c>
    </row>
    <row r="362" spans="1:16" s="72" customFormat="1" ht="15.75" hidden="1" customHeight="1" x14ac:dyDescent="0.25">
      <c r="A362" s="78">
        <v>7</v>
      </c>
      <c r="B362" s="78"/>
      <c r="C362" s="76" t="s">
        <v>170</v>
      </c>
      <c r="D362" s="76">
        <f>(4.7*3.1+2.4*1.2+2.1*3.65+2.75*3.65+3.4*3.1+1.2*2.1+2.1*1.52+1.2*0.9)*10.764</f>
        <v>564.94315799999993</v>
      </c>
      <c r="E362" s="76">
        <v>0</v>
      </c>
      <c r="F362" s="76">
        <f t="shared" si="107"/>
        <v>847.41473699999983</v>
      </c>
      <c r="G362" s="78"/>
      <c r="H362" s="78"/>
      <c r="I362" s="32"/>
      <c r="N362" s="72" t="str">
        <f t="shared" ca="1" si="108"/>
        <v>407 &amp; 2207</v>
      </c>
      <c r="O362" s="72">
        <f t="shared" ref="O362:P362" ca="1" si="114">O361+1</f>
        <v>407</v>
      </c>
      <c r="P362" s="72">
        <f t="shared" ca="1" si="114"/>
        <v>2207</v>
      </c>
    </row>
    <row r="363" spans="1:16" s="72" customFormat="1" ht="15.75" hidden="1" customHeight="1" x14ac:dyDescent="0.25">
      <c r="A363" s="78">
        <v>8</v>
      </c>
      <c r="B363" s="78"/>
      <c r="C363" s="76" t="s">
        <v>170</v>
      </c>
      <c r="D363" s="76">
        <f>(4.7*3.1+2.4*1.2+2.1*3.65+2.75*3.65+3.4*3.1+1.2*2.1+2.1*1.52+1.2*0.9)*10.764</f>
        <v>564.94315799999993</v>
      </c>
      <c r="E363" s="76">
        <v>0</v>
      </c>
      <c r="F363" s="76">
        <f t="shared" si="107"/>
        <v>847.41473699999983</v>
      </c>
      <c r="G363" s="78"/>
      <c r="H363" s="78"/>
      <c r="I363" s="32"/>
      <c r="N363" s="72" t="str">
        <f t="shared" ca="1" si="108"/>
        <v>408 &amp; 2208</v>
      </c>
      <c r="O363" s="72">
        <f t="shared" ref="O363:P363" ca="1" si="115">O362+1</f>
        <v>408</v>
      </c>
      <c r="P363" s="72">
        <f t="shared" ca="1" si="115"/>
        <v>2208</v>
      </c>
    </row>
    <row r="364" spans="1:16" s="72" customFormat="1" hidden="1" x14ac:dyDescent="0.25">
      <c r="A364" s="91" t="s">
        <v>181</v>
      </c>
      <c r="B364" s="91"/>
      <c r="C364" s="91"/>
      <c r="D364" s="91"/>
      <c r="E364" s="91"/>
      <c r="F364" s="91"/>
      <c r="G364" s="91"/>
      <c r="H364" s="91"/>
      <c r="I364" s="32"/>
    </row>
    <row r="365" spans="1:16" s="72" customFormat="1" ht="15.75" hidden="1" customHeight="1" x14ac:dyDescent="0.25">
      <c r="A365" s="78">
        <v>1</v>
      </c>
      <c r="B365" s="78"/>
      <c r="C365" s="76" t="s">
        <v>179</v>
      </c>
      <c r="D365" s="76">
        <f>(4.35*3.1+2.1*3.35+3.1*3.35+2.1*1.2+1.2*2.45+1.2*0.9)*10.764</f>
        <v>403.05797999999999</v>
      </c>
      <c r="E365" s="76">
        <v>0</v>
      </c>
      <c r="F365" s="76">
        <f t="shared" ref="F365:F368" si="116">D365*(($F$185)+1)+(IF(E365&lt;101,E365,IF(E365&lt;201,E365/2,IF(E365&lt;=301,E365/3,E365/4))))</f>
        <v>604.58696999999995</v>
      </c>
      <c r="G365" s="78" t="str">
        <f>A364</f>
        <v>8th, 13th &amp; 18th Floor (Part Refuge Area)</v>
      </c>
      <c r="H365" s="78"/>
      <c r="I365" s="32"/>
      <c r="N365" s="72" t="str">
        <f t="shared" ref="N365:N372" ca="1" si="117">O365&amp;""&amp;" &amp; "&amp;""&amp;P365</f>
        <v>801 &amp; 1801</v>
      </c>
      <c r="O365" s="72">
        <f ca="1">(SUMPRODUCT(MID(0&amp;(LEFT(A364,SUM(LEN(A364)-LEN(SUBSTITUTE(A364,{"0","1","2"},""))))), LARGE(INDEX(ISNUMBER(--MID((LEFT(A364,SUM(LEN(A364)-LEN(SUBSTITUTE(A364,{"0","1","2"},""))))), ROW(INDIRECT("1:"&amp;LEN((LEFT(A364,SUM(LEN(A364)-LEN(SUBSTITUTE(A364,{"0","1","2"},"")))))))), 1)) * ROW(INDIRECT("1:"&amp;LEN((LEFT(A364,SUM(LEN(A364)-LEN(SUBSTITUTE(A364,{"0","1","2"},"")))))))), 0), ROW(INDIRECT("1:"&amp;LEN((LEFT(A364,SUM(LEN(A364)-LEN(SUBSTITUTE(A364,{"0","1","2"},"")))))))))+1, 1) * 10^ROW(INDIRECT("1:"&amp;LEN((LEFT(A364,SUM(LEN(A364)-LEN(SUBSTITUTE(A364,{"0","1","2"},""))))))))/10))*100+1</f>
        <v>801</v>
      </c>
      <c r="P365" s="72">
        <f ca="1">(SUMPRODUCT(MID(0&amp;(--TRIM(RIGHT(SUBSTITUTE(LEFT(A364,_xlfn.AGGREGATE(16,6,FIND({0,1,2,3,4,5,6,7,8,9},A364,ROW(INDIRECT("1:"&amp;LEN(A364)))),1))," ",REPT(" ",LEN(A364))),LEN(A364)))), LARGE(INDEX(ISNUMBER(--MID((--TRIM(RIGHT(SUBSTITUTE(LEFT(A364,_xlfn.AGGREGATE(16,6,FIND({0,1,2,3,4,5,6,7,8,9},A364,ROW(INDIRECT("1:"&amp;LEN(A364)))),1))," ",REPT(" ",LEN(A364))),LEN(A364)))), ROW(INDIRECT("1:"&amp;LEN((--TRIM(RIGHT(SUBSTITUTE(LEFT(A364,_xlfn.AGGREGATE(16,6,FIND({0,1,2,3,4,5,6,7,8,9},A364,ROW(INDIRECT("1:"&amp;LEN(A364)))),1))," ",REPT(" ",LEN(A364))),LEN(A364))))))), 1)) * ROW(INDIRECT("1:"&amp;LEN((--TRIM(RIGHT(SUBSTITUTE(LEFT(A364,_xlfn.AGGREGATE(16,6,FIND({0,1,2,3,4,5,6,7,8,9},A364,ROW(INDIRECT("1:"&amp;LEN(A364)))),1))," ",REPT(" ",LEN(A364))),LEN(A364))))))), 0), ROW(INDIRECT("1:"&amp;LEN((--TRIM(RIGHT(SUBSTITUTE(LEFT(A364,_xlfn.AGGREGATE(16,6,FIND({0,1,2,3,4,5,6,7,8,9},A364,ROW(INDIRECT("1:"&amp;LEN(A364)))),1))," ",REPT(" ",LEN(A364))),LEN(A364))))))))+1, 1) * 10^ROW(INDIRECT("1:"&amp;LEN((--TRIM(RIGHT(SUBSTITUTE(LEFT(A364,_xlfn.AGGREGATE(16,6,FIND({0,1,2,3,4,5,6,7,8,9},A364,ROW(INDIRECT("1:"&amp;LEN(A364)))),1))," ",REPT(" ",LEN(A364))),LEN(A364)))))))/10))*100+1</f>
        <v>1801</v>
      </c>
    </row>
    <row r="366" spans="1:16" s="72" customFormat="1" ht="15.75" hidden="1" customHeight="1" x14ac:dyDescent="0.25">
      <c r="A366" s="78">
        <v>2</v>
      </c>
      <c r="B366" s="78"/>
      <c r="C366" s="76" t="s">
        <v>179</v>
      </c>
      <c r="D366" s="76">
        <f>(4.35*3.1+2.1*3.35+3.1*3.35+2.1*1.2+1.2*2.45+1.2*0.9)*10.764</f>
        <v>403.05797999999999</v>
      </c>
      <c r="E366" s="76">
        <v>0</v>
      </c>
      <c r="F366" s="76">
        <f t="shared" si="116"/>
        <v>604.58696999999995</v>
      </c>
      <c r="G366" s="78"/>
      <c r="H366" s="78"/>
      <c r="I366" s="32"/>
      <c r="N366" s="72" t="str">
        <f t="shared" ca="1" si="117"/>
        <v>802 &amp; 1802</v>
      </c>
      <c r="O366" s="72">
        <f t="shared" ref="O366:P366" ca="1" si="118">O365+1</f>
        <v>802</v>
      </c>
      <c r="P366" s="72">
        <f t="shared" ca="1" si="118"/>
        <v>1802</v>
      </c>
    </row>
    <row r="367" spans="1:16" s="72" customFormat="1" ht="15.75" hidden="1" customHeight="1" x14ac:dyDescent="0.25">
      <c r="A367" s="78">
        <v>3</v>
      </c>
      <c r="B367" s="78"/>
      <c r="C367" s="76" t="s">
        <v>170</v>
      </c>
      <c r="D367" s="76">
        <f>(4.7*3.1+2.4*1.2+2.1*3.65+2.75*3.65+3.4*3.1+1.2*2.1+2.1*1.52+1.2*0.9)*10.764</f>
        <v>564.94315799999993</v>
      </c>
      <c r="E367" s="76">
        <v>0</v>
      </c>
      <c r="F367" s="76">
        <f t="shared" si="116"/>
        <v>847.41473699999983</v>
      </c>
      <c r="G367" s="78"/>
      <c r="H367" s="78"/>
      <c r="I367" s="32"/>
      <c r="N367" s="72" t="str">
        <f t="shared" ca="1" si="117"/>
        <v>803 &amp; 1803</v>
      </c>
      <c r="O367" s="72">
        <f t="shared" ref="O367:P367" ca="1" si="119">O366+1</f>
        <v>803</v>
      </c>
      <c r="P367" s="72">
        <f t="shared" ca="1" si="119"/>
        <v>1803</v>
      </c>
    </row>
    <row r="368" spans="1:16" s="72" customFormat="1" ht="15.75" hidden="1" customHeight="1" x14ac:dyDescent="0.25">
      <c r="A368" s="78">
        <v>4</v>
      </c>
      <c r="B368" s="78"/>
      <c r="C368" s="76" t="s">
        <v>170</v>
      </c>
      <c r="D368" s="76">
        <f>(4.7*3.1+2.4*1.2+2.1*3.65+2.75*3.65+3.4*3.1+1.2*2.1+2.1*1.52+1.2*0.9)*10.764</f>
        <v>564.94315799999993</v>
      </c>
      <c r="E368" s="76">
        <v>0</v>
      </c>
      <c r="F368" s="76">
        <f t="shared" si="116"/>
        <v>847.41473699999983</v>
      </c>
      <c r="G368" s="78"/>
      <c r="H368" s="78"/>
      <c r="I368" s="32"/>
      <c r="N368" s="72" t="str">
        <f t="shared" ca="1" si="117"/>
        <v>804 &amp; 1804</v>
      </c>
      <c r="O368" s="72">
        <f t="shared" ref="O368:P368" ca="1" si="120">O367+1</f>
        <v>804</v>
      </c>
      <c r="P368" s="72">
        <f t="shared" ca="1" si="120"/>
        <v>1804</v>
      </c>
    </row>
    <row r="369" spans="1:16" s="72" customFormat="1" ht="15.75" hidden="1" customHeight="1" x14ac:dyDescent="0.25">
      <c r="A369" s="78" t="s">
        <v>223</v>
      </c>
      <c r="B369" s="78"/>
      <c r="C369" s="78" t="s">
        <v>227</v>
      </c>
      <c r="D369" s="78"/>
      <c r="E369" s="78"/>
      <c r="F369" s="78"/>
      <c r="G369" s="78"/>
      <c r="H369" s="78"/>
      <c r="I369" s="32"/>
      <c r="N369" s="72" t="e">
        <f t="shared" si="117"/>
        <v>#REF!</v>
      </c>
      <c r="O369" s="72" t="e">
        <f>#REF!+1</f>
        <v>#REF!</v>
      </c>
      <c r="P369" s="72" t="e">
        <f>#REF!+1</f>
        <v>#REF!</v>
      </c>
    </row>
    <row r="370" spans="1:16" s="72" customFormat="1" ht="15.75" hidden="1" customHeight="1" x14ac:dyDescent="0.25">
      <c r="A370" s="78">
        <v>5</v>
      </c>
      <c r="B370" s="78"/>
      <c r="C370" s="76" t="s">
        <v>179</v>
      </c>
      <c r="D370" s="76">
        <f>(4.35*3.1+2.1*3.35+3.1*3.35+2.1*1.2+1.2*2.45+1.2*0.9)*10.764</f>
        <v>403.05797999999999</v>
      </c>
      <c r="E370" s="76">
        <v>0</v>
      </c>
      <c r="F370" s="76">
        <f t="shared" ref="F370:F372" si="121">D370*(($F$185)+1)+(IF(E370&lt;101,E370,IF(E370&lt;201,E370/2,IF(E370&lt;=301,E370/3,E370/4))))</f>
        <v>604.58696999999995</v>
      </c>
      <c r="G370" s="78"/>
      <c r="H370" s="78"/>
      <c r="I370" s="32"/>
      <c r="N370" s="72" t="e">
        <f t="shared" si="117"/>
        <v>#REF!</v>
      </c>
      <c r="O370" s="72" t="e">
        <f>#REF!+1</f>
        <v>#REF!</v>
      </c>
      <c r="P370" s="72" t="e">
        <f>#REF!+1</f>
        <v>#REF!</v>
      </c>
    </row>
    <row r="371" spans="1:16" s="72" customFormat="1" ht="15.75" hidden="1" customHeight="1" x14ac:dyDescent="0.25">
      <c r="A371" s="78">
        <v>6</v>
      </c>
      <c r="B371" s="78"/>
      <c r="C371" s="76" t="s">
        <v>170</v>
      </c>
      <c r="D371" s="76">
        <f>(4.7*3.1+2.4*1.2+2.1*3.65+2.75*3.65+3.4*3.1+1.2*2.1+2.1*1.52+1.2*0.9)*10.764</f>
        <v>564.94315799999993</v>
      </c>
      <c r="E371" s="76">
        <v>0</v>
      </c>
      <c r="F371" s="76">
        <f t="shared" si="121"/>
        <v>847.41473699999983</v>
      </c>
      <c r="G371" s="78"/>
      <c r="H371" s="78"/>
      <c r="I371" s="32"/>
      <c r="N371" s="72" t="e">
        <f t="shared" si="117"/>
        <v>#REF!</v>
      </c>
      <c r="O371" s="72" t="e">
        <f t="shared" ref="O371:P371" si="122">O370+1</f>
        <v>#REF!</v>
      </c>
      <c r="P371" s="72" t="e">
        <f t="shared" si="122"/>
        <v>#REF!</v>
      </c>
    </row>
    <row r="372" spans="1:16" s="72" customFormat="1" ht="15.75" hidden="1" customHeight="1" x14ac:dyDescent="0.25">
      <c r="A372" s="78">
        <v>7</v>
      </c>
      <c r="B372" s="78"/>
      <c r="C372" s="76" t="s">
        <v>170</v>
      </c>
      <c r="D372" s="76">
        <f>(4.7*3.1+2.4*1.2+2.1*3.65+2.75*3.65+3.4*3.1+1.2*2.1+2.1*1.52+1.2*0.9)*10.764</f>
        <v>564.94315799999993</v>
      </c>
      <c r="E372" s="76">
        <v>0</v>
      </c>
      <c r="F372" s="76">
        <f t="shared" si="121"/>
        <v>847.41473699999983</v>
      </c>
      <c r="G372" s="78"/>
      <c r="H372" s="78"/>
      <c r="I372" s="32"/>
      <c r="N372" s="72" t="e">
        <f t="shared" si="117"/>
        <v>#REF!</v>
      </c>
      <c r="O372" s="72" t="e">
        <f t="shared" ref="O372:P372" si="123">O371+1</f>
        <v>#REF!</v>
      </c>
      <c r="P372" s="72" t="e">
        <f t="shared" si="123"/>
        <v>#REF!</v>
      </c>
    </row>
    <row r="373" spans="1:16" s="1" customFormat="1" x14ac:dyDescent="0.25">
      <c r="A373" s="171" t="s">
        <v>72</v>
      </c>
      <c r="B373" s="171"/>
      <c r="C373" s="171"/>
      <c r="D373" s="171"/>
      <c r="E373" s="171"/>
      <c r="F373" s="171"/>
      <c r="G373" s="171"/>
      <c r="H373" s="171"/>
    </row>
    <row r="374" spans="1:16" s="1" customFormat="1" ht="48.75" customHeight="1" x14ac:dyDescent="0.25">
      <c r="A374" s="58">
        <v>1</v>
      </c>
      <c r="B374" s="93" t="s">
        <v>259</v>
      </c>
      <c r="C374" s="94"/>
      <c r="D374" s="94"/>
      <c r="E374" s="94"/>
      <c r="F374" s="94"/>
      <c r="G374" s="94"/>
      <c r="H374" s="95"/>
      <c r="I374" s="197" t="s">
        <v>257</v>
      </c>
      <c r="J374" s="197"/>
      <c r="K374" s="197"/>
      <c r="L374" s="197"/>
    </row>
    <row r="375" spans="1:16" s="1" customFormat="1" x14ac:dyDescent="0.25">
      <c r="A375" s="58">
        <f t="shared" ref="A375:A382" si="124">A374+1</f>
        <v>2</v>
      </c>
      <c r="B375" s="93" t="str">
        <f>(IF(F184="Saleable area Loading :","We have considered Saleable area of Flats as per our Calculation.","We considered Saleable area of Flat as per Builder area Sheet."))</f>
        <v>We have considered Saleable area of Flats as per our Calculation.</v>
      </c>
      <c r="C375" s="94"/>
      <c r="D375" s="94"/>
      <c r="E375" s="94"/>
      <c r="F375" s="94"/>
      <c r="G375" s="94"/>
      <c r="H375" s="95"/>
    </row>
    <row r="376" spans="1:16" s="1" customFormat="1" x14ac:dyDescent="0.25">
      <c r="A376" s="43">
        <f t="shared" si="124"/>
        <v>3</v>
      </c>
      <c r="B376" s="93" t="str">
        <f>(IF(F167="Saleable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76" s="94"/>
      <c r="D376" s="94"/>
      <c r="E376" s="94"/>
      <c r="F376" s="94"/>
      <c r="G376" s="94"/>
      <c r="H376" s="95"/>
    </row>
    <row r="377" spans="1:16" s="1" customFormat="1" x14ac:dyDescent="0.25">
      <c r="A377" s="43">
        <f>A376+1</f>
        <v>4</v>
      </c>
      <c r="B377" s="168" t="s">
        <v>136</v>
      </c>
      <c r="C377" s="169"/>
      <c r="D377" s="169"/>
      <c r="E377" s="169"/>
      <c r="F377" s="169"/>
      <c r="G377" s="169"/>
      <c r="H377" s="170"/>
    </row>
    <row r="378" spans="1:16" s="1" customFormat="1" x14ac:dyDescent="0.25">
      <c r="A378" s="43">
        <f t="shared" si="124"/>
        <v>5</v>
      </c>
      <c r="B378" s="168" t="s">
        <v>165</v>
      </c>
      <c r="C378" s="169"/>
      <c r="D378" s="169"/>
      <c r="E378" s="169"/>
      <c r="F378" s="169"/>
      <c r="G378" s="169"/>
      <c r="H378" s="170"/>
    </row>
    <row r="379" spans="1:16" s="1" customFormat="1" x14ac:dyDescent="0.25">
      <c r="A379" s="43">
        <f t="shared" si="124"/>
        <v>6</v>
      </c>
      <c r="B379" s="168" t="s">
        <v>193</v>
      </c>
      <c r="C379" s="169"/>
      <c r="D379" s="169"/>
      <c r="E379" s="169"/>
      <c r="F379" s="169"/>
      <c r="G379" s="169"/>
      <c r="H379" s="170"/>
    </row>
    <row r="380" spans="1:16" s="1" customFormat="1" x14ac:dyDescent="0.25">
      <c r="A380" s="43">
        <f t="shared" si="124"/>
        <v>7</v>
      </c>
      <c r="B380" s="168" t="s">
        <v>137</v>
      </c>
      <c r="C380" s="169"/>
      <c r="D380" s="169"/>
      <c r="E380" s="169"/>
      <c r="F380" s="169"/>
      <c r="G380" s="169"/>
      <c r="H380" s="170"/>
    </row>
    <row r="381" spans="1:16" s="1" customFormat="1" x14ac:dyDescent="0.25">
      <c r="A381" s="58">
        <f t="shared" si="124"/>
        <v>8</v>
      </c>
      <c r="B381" s="93" t="s">
        <v>138</v>
      </c>
      <c r="C381" s="94"/>
      <c r="D381" s="94"/>
      <c r="E381" s="94"/>
      <c r="F381" s="94"/>
      <c r="G381" s="94"/>
      <c r="H381" s="95"/>
    </row>
    <row r="382" spans="1:16" s="1" customFormat="1" hidden="1" x14ac:dyDescent="0.25">
      <c r="A382" s="58">
        <f t="shared" si="124"/>
        <v>9</v>
      </c>
      <c r="B382" s="93" t="s">
        <v>205</v>
      </c>
      <c r="C382" s="94"/>
      <c r="D382" s="94"/>
      <c r="E382" s="94"/>
      <c r="F382" s="94"/>
      <c r="G382" s="94"/>
      <c r="H382" s="95"/>
    </row>
    <row r="383" spans="1:16" s="1" customFormat="1" x14ac:dyDescent="0.25">
      <c r="A383" s="58">
        <v>9</v>
      </c>
      <c r="B383" s="93" t="s">
        <v>204</v>
      </c>
      <c r="C383" s="94"/>
      <c r="D383" s="94"/>
      <c r="E383" s="94"/>
      <c r="F383" s="94"/>
      <c r="G383" s="94"/>
      <c r="H383" s="95"/>
    </row>
    <row r="384" spans="1:16" s="1" customFormat="1" x14ac:dyDescent="0.25">
      <c r="A384" s="58">
        <f>A382+1</f>
        <v>10</v>
      </c>
      <c r="B384" s="93" t="s">
        <v>251</v>
      </c>
      <c r="C384" s="94"/>
      <c r="D384" s="94"/>
      <c r="E384" s="94"/>
      <c r="F384" s="94"/>
      <c r="G384" s="94"/>
      <c r="H384" s="95"/>
    </row>
    <row r="385" spans="1:8" s="1" customFormat="1" x14ac:dyDescent="0.25">
      <c r="A385" s="58">
        <v>11</v>
      </c>
      <c r="B385" s="93" t="s">
        <v>256</v>
      </c>
      <c r="C385" s="94"/>
      <c r="D385" s="94"/>
      <c r="E385" s="94"/>
      <c r="F385" s="94"/>
      <c r="G385" s="94"/>
      <c r="H385" s="95"/>
    </row>
    <row r="386" spans="1:8" s="1" customFormat="1" x14ac:dyDescent="0.25">
      <c r="A386" s="58">
        <v>12</v>
      </c>
      <c r="B386" s="93" t="s">
        <v>244</v>
      </c>
      <c r="C386" s="94"/>
      <c r="D386" s="94"/>
      <c r="E386" s="94"/>
      <c r="F386" s="94"/>
      <c r="G386" s="94"/>
      <c r="H386" s="95"/>
    </row>
    <row r="387" spans="1:8" s="1" customFormat="1" ht="35.25" customHeight="1" x14ac:dyDescent="0.25">
      <c r="A387" s="58">
        <v>13</v>
      </c>
      <c r="B387" s="93" t="s">
        <v>252</v>
      </c>
      <c r="C387" s="94"/>
      <c r="D387" s="94"/>
      <c r="E387" s="94"/>
      <c r="F387" s="94"/>
      <c r="G387" s="94"/>
      <c r="H387" s="95"/>
    </row>
    <row r="388" spans="1:8" x14ac:dyDescent="0.25">
      <c r="A388" s="139" t="s">
        <v>65</v>
      </c>
      <c r="B388" s="139"/>
      <c r="C388" s="139"/>
      <c r="D388" s="139"/>
      <c r="E388" s="139"/>
      <c r="F388" s="139"/>
      <c r="G388" s="139"/>
      <c r="H388" s="139"/>
    </row>
    <row r="389" spans="1:8" x14ac:dyDescent="0.25">
      <c r="A389" s="134" t="s">
        <v>66</v>
      </c>
      <c r="B389" s="134"/>
      <c r="C389" s="134"/>
      <c r="D389" s="134"/>
      <c r="E389" s="134"/>
      <c r="F389" s="134"/>
      <c r="G389" s="134"/>
      <c r="H389" s="134"/>
    </row>
    <row r="390" spans="1:8" ht="15.75" customHeight="1" x14ac:dyDescent="0.25">
      <c r="A390" s="144" t="s">
        <v>67</v>
      </c>
      <c r="B390" s="144"/>
      <c r="C390" s="144"/>
      <c r="D390" s="144"/>
      <c r="E390" s="144"/>
      <c r="F390" s="144"/>
      <c r="G390" s="144"/>
      <c r="H390" s="144"/>
    </row>
    <row r="391" spans="1:8" x14ac:dyDescent="0.25">
      <c r="A391" s="134" t="s">
        <v>68</v>
      </c>
      <c r="B391" s="134"/>
      <c r="C391" s="134"/>
      <c r="D391" s="134"/>
      <c r="E391" s="134"/>
      <c r="F391" s="134"/>
      <c r="G391" s="134"/>
      <c r="H391" s="134"/>
    </row>
    <row r="392" spans="1:8" x14ac:dyDescent="0.25">
      <c r="A392" s="134" t="s">
        <v>69</v>
      </c>
      <c r="B392" s="134"/>
      <c r="C392" s="134"/>
      <c r="D392" s="134"/>
      <c r="E392" s="134"/>
      <c r="F392" s="134"/>
      <c r="G392" s="134"/>
      <c r="H392" s="134"/>
    </row>
    <row r="393" spans="1:8" x14ac:dyDescent="0.25">
      <c r="A393" s="134" t="s">
        <v>139</v>
      </c>
      <c r="B393" s="134"/>
      <c r="C393" s="134"/>
      <c r="D393" s="134"/>
      <c r="E393" s="134"/>
      <c r="F393" s="134"/>
      <c r="G393" s="134"/>
      <c r="H393" s="134"/>
    </row>
    <row r="394" spans="1:8" x14ac:dyDescent="0.25">
      <c r="A394" s="140" t="s">
        <v>140</v>
      </c>
      <c r="B394" s="140"/>
      <c r="C394" s="140"/>
      <c r="D394" s="140"/>
      <c r="E394" s="140"/>
      <c r="F394" s="140"/>
      <c r="G394" s="140"/>
      <c r="H394" s="140"/>
    </row>
    <row r="395" spans="1:8" x14ac:dyDescent="0.25">
      <c r="A395" s="166" t="s">
        <v>83</v>
      </c>
      <c r="B395" s="166"/>
      <c r="C395" s="166" t="s">
        <v>208</v>
      </c>
      <c r="D395" s="166"/>
      <c r="E395" s="166" t="s">
        <v>118</v>
      </c>
      <c r="F395" s="166"/>
      <c r="G395" s="166" t="s">
        <v>258</v>
      </c>
      <c r="H395" s="166"/>
    </row>
    <row r="396" spans="1:8" x14ac:dyDescent="0.25">
      <c r="A396" s="165" t="s">
        <v>85</v>
      </c>
      <c r="B396" s="165"/>
      <c r="C396" s="165"/>
      <c r="D396" s="165"/>
      <c r="E396" s="165"/>
      <c r="F396" s="165"/>
      <c r="G396" s="165"/>
      <c r="H396" s="165"/>
    </row>
    <row r="397" spans="1:8" x14ac:dyDescent="0.25">
      <c r="A397" s="165"/>
      <c r="B397" s="165"/>
      <c r="C397" s="165"/>
      <c r="D397" s="165"/>
      <c r="E397" s="165"/>
      <c r="F397" s="165"/>
      <c r="G397" s="165"/>
      <c r="H397" s="165"/>
    </row>
    <row r="398" spans="1:8" x14ac:dyDescent="0.25">
      <c r="A398" s="165"/>
      <c r="B398" s="165"/>
      <c r="C398" s="165"/>
      <c r="D398" s="165"/>
      <c r="E398" s="165"/>
      <c r="F398" s="165"/>
      <c r="G398" s="165"/>
      <c r="H398" s="165"/>
    </row>
    <row r="399" spans="1:8" x14ac:dyDescent="0.25">
      <c r="A399" s="165"/>
      <c r="B399" s="165"/>
      <c r="C399" s="165"/>
      <c r="D399" s="165"/>
      <c r="E399" s="165"/>
      <c r="F399" s="165"/>
      <c r="G399" s="165"/>
      <c r="H399" s="165"/>
    </row>
    <row r="400" spans="1:8" x14ac:dyDescent="0.25">
      <c r="A400" s="9" t="s">
        <v>70</v>
      </c>
      <c r="B400" s="10"/>
      <c r="C400" s="10"/>
      <c r="D400" s="9" t="str">
        <f>E9</f>
        <v>Mahaavir Exotique Phase I &amp; II</v>
      </c>
      <c r="F400" s="10"/>
      <c r="G400" s="10"/>
      <c r="H400" s="10"/>
    </row>
    <row r="401" spans="1:8" x14ac:dyDescent="0.25">
      <c r="A401" s="10"/>
      <c r="B401" s="10"/>
      <c r="C401" s="10"/>
      <c r="D401" s="10"/>
      <c r="E401" s="10"/>
      <c r="F401" s="10"/>
      <c r="G401" s="10"/>
      <c r="H401" s="10"/>
    </row>
    <row r="402" spans="1:8" x14ac:dyDescent="0.25">
      <c r="A402" s="10"/>
      <c r="B402" s="10"/>
      <c r="C402" s="10"/>
      <c r="D402" s="10"/>
      <c r="E402" s="10"/>
      <c r="F402" s="10"/>
      <c r="G402" s="10"/>
      <c r="H402" s="10"/>
    </row>
    <row r="403" spans="1:8" ht="15" customHeight="1" x14ac:dyDescent="0.25"/>
    <row r="433" spans="1:8" x14ac:dyDescent="0.25">
      <c r="H433"/>
    </row>
    <row r="437" spans="1:8" x14ac:dyDescent="0.25">
      <c r="A437" s="3"/>
      <c r="B437" s="3"/>
      <c r="C437" s="3"/>
      <c r="D437" s="3"/>
      <c r="F437" s="10"/>
      <c r="G437" s="10"/>
      <c r="H437" s="10"/>
    </row>
    <row r="438" spans="1:8" x14ac:dyDescent="0.25">
      <c r="A438" s="10"/>
      <c r="B438" s="10"/>
      <c r="C438" s="10"/>
      <c r="D438" s="10"/>
      <c r="E438" s="10"/>
      <c r="F438" s="10"/>
      <c r="G438" s="10"/>
      <c r="H438" s="10"/>
    </row>
    <row r="439" spans="1:8" x14ac:dyDescent="0.25">
      <c r="A439" s="10"/>
      <c r="B439" s="10"/>
      <c r="C439" s="10"/>
      <c r="D439" s="10"/>
      <c r="E439" s="10"/>
      <c r="F439" s="10"/>
      <c r="G439" s="10"/>
      <c r="H439" s="10"/>
    </row>
    <row r="440" spans="1:8" ht="15" customHeight="1" x14ac:dyDescent="0.25"/>
    <row r="445" spans="1:8" x14ac:dyDescent="0.25">
      <c r="A445" s="3"/>
      <c r="B445" s="3"/>
      <c r="C445" s="3"/>
      <c r="D445" s="3"/>
      <c r="F445" s="10"/>
      <c r="G445" s="10"/>
      <c r="H445" s="10"/>
    </row>
    <row r="446" spans="1:8" x14ac:dyDescent="0.25">
      <c r="A446" s="12" t="s">
        <v>231</v>
      </c>
    </row>
    <row r="484" spans="1:1" x14ac:dyDescent="0.25">
      <c r="A484" s="12" t="s">
        <v>71</v>
      </c>
    </row>
  </sheetData>
  <mergeCells count="576">
    <mergeCell ref="I374:L374"/>
    <mergeCell ref="B386:H386"/>
    <mergeCell ref="B385:H385"/>
    <mergeCell ref="E159:F159"/>
    <mergeCell ref="G159:H159"/>
    <mergeCell ref="A262:B262"/>
    <mergeCell ref="A263:H263"/>
    <mergeCell ref="A264:B264"/>
    <mergeCell ref="G264:H271"/>
    <mergeCell ref="A265:B265"/>
    <mergeCell ref="A266:B266"/>
    <mergeCell ref="A267:B267"/>
    <mergeCell ref="A269:B269"/>
    <mergeCell ref="A270:B270"/>
    <mergeCell ref="A271:B271"/>
    <mergeCell ref="A237:B237"/>
    <mergeCell ref="A238:B238"/>
    <mergeCell ref="A240:B240"/>
    <mergeCell ref="A241:B241"/>
    <mergeCell ref="A232:B232"/>
    <mergeCell ref="A233:B233"/>
    <mergeCell ref="A234:H234"/>
    <mergeCell ref="A235:B235"/>
    <mergeCell ref="A236:B236"/>
    <mergeCell ref="A179:B179"/>
    <mergeCell ref="A304:B304"/>
    <mergeCell ref="G86:H86"/>
    <mergeCell ref="A40:D40"/>
    <mergeCell ref="E40:H40"/>
    <mergeCell ref="A39:H39"/>
    <mergeCell ref="A62:C62"/>
    <mergeCell ref="A63:C63"/>
    <mergeCell ref="A108:B108"/>
    <mergeCell ref="A109:B109"/>
    <mergeCell ref="G101:H110"/>
    <mergeCell ref="A102:B102"/>
    <mergeCell ref="A103:B103"/>
    <mergeCell ref="A104:B104"/>
    <mergeCell ref="A105:B105"/>
    <mergeCell ref="A106:B106"/>
    <mergeCell ref="A107:B107"/>
    <mergeCell ref="E42:H42"/>
    <mergeCell ref="E43:H43"/>
    <mergeCell ref="E44:H44"/>
    <mergeCell ref="E45:H45"/>
    <mergeCell ref="A43:D43"/>
    <mergeCell ref="A44:D44"/>
    <mergeCell ref="A45:D45"/>
    <mergeCell ref="A46:H46"/>
    <mergeCell ref="A87:B87"/>
    <mergeCell ref="A38:B38"/>
    <mergeCell ref="C38:H38"/>
    <mergeCell ref="D59:H59"/>
    <mergeCell ref="A97:B97"/>
    <mergeCell ref="C97:H97"/>
    <mergeCell ref="A99:B99"/>
    <mergeCell ref="C99:H99"/>
    <mergeCell ref="A100:B100"/>
    <mergeCell ref="E100:F100"/>
    <mergeCell ref="G100:H100"/>
    <mergeCell ref="A47:B47"/>
    <mergeCell ref="C47:H47"/>
    <mergeCell ref="A80:B80"/>
    <mergeCell ref="A85:B85"/>
    <mergeCell ref="C85:H85"/>
    <mergeCell ref="A86:B86"/>
    <mergeCell ref="D62:H62"/>
    <mergeCell ref="E73:F82"/>
    <mergeCell ref="G73:H82"/>
    <mergeCell ref="A81:B81"/>
    <mergeCell ref="A82:B82"/>
    <mergeCell ref="D63:H63"/>
    <mergeCell ref="A42:D42"/>
    <mergeCell ref="E86:F86"/>
    <mergeCell ref="A90:B90"/>
    <mergeCell ref="L176:M176"/>
    <mergeCell ref="L175:M175"/>
    <mergeCell ref="L174:M174"/>
    <mergeCell ref="L173:M173"/>
    <mergeCell ref="L172:M172"/>
    <mergeCell ref="L171:M171"/>
    <mergeCell ref="E158:F158"/>
    <mergeCell ref="G158:H158"/>
    <mergeCell ref="A174:B174"/>
    <mergeCell ref="A175:B175"/>
    <mergeCell ref="A169:H169"/>
    <mergeCell ref="A167:B168"/>
    <mergeCell ref="G171:H182"/>
    <mergeCell ref="A163:C163"/>
    <mergeCell ref="A176:B176"/>
    <mergeCell ref="L177:M177"/>
    <mergeCell ref="A178:B178"/>
    <mergeCell ref="L178:M178"/>
    <mergeCell ref="A94:B94"/>
    <mergeCell ref="A95:B95"/>
    <mergeCell ref="A96:B96"/>
    <mergeCell ref="F141:H141"/>
    <mergeCell ref="A141:E141"/>
    <mergeCell ref="A198:B198"/>
    <mergeCell ref="A207:B207"/>
    <mergeCell ref="A213:B213"/>
    <mergeCell ref="A214:B214"/>
    <mergeCell ref="A215:H215"/>
    <mergeCell ref="C199:F199"/>
    <mergeCell ref="C200:F200"/>
    <mergeCell ref="A212:B212"/>
    <mergeCell ref="A206:B206"/>
    <mergeCell ref="A209:B209"/>
    <mergeCell ref="A211:B211"/>
    <mergeCell ref="G162:H162"/>
    <mergeCell ref="A158:C158"/>
    <mergeCell ref="A159:C159"/>
    <mergeCell ref="A160:C160"/>
    <mergeCell ref="A161:C161"/>
    <mergeCell ref="A162:C162"/>
    <mergeCell ref="A208:H208"/>
    <mergeCell ref="G209:H214"/>
    <mergeCell ref="G202:H207"/>
    <mergeCell ref="A164:C164"/>
    <mergeCell ref="E164:F164"/>
    <mergeCell ref="G164:H164"/>
    <mergeCell ref="C217:F219"/>
    <mergeCell ref="D167:D168"/>
    <mergeCell ref="A143:E143"/>
    <mergeCell ref="A177:B177"/>
    <mergeCell ref="A171:B171"/>
    <mergeCell ref="A172:B172"/>
    <mergeCell ref="A173:B173"/>
    <mergeCell ref="A204:B204"/>
    <mergeCell ref="E162:F162"/>
    <mergeCell ref="A110:B110"/>
    <mergeCell ref="A154:C154"/>
    <mergeCell ref="A157:C157"/>
    <mergeCell ref="A140:E140"/>
    <mergeCell ref="A170:H170"/>
    <mergeCell ref="E167:E168"/>
    <mergeCell ref="G167:H168"/>
    <mergeCell ref="F143:H143"/>
    <mergeCell ref="F149:H149"/>
    <mergeCell ref="A150:E150"/>
    <mergeCell ref="A145:E145"/>
    <mergeCell ref="F145:H145"/>
    <mergeCell ref="A146:E146"/>
    <mergeCell ref="F142:H142"/>
    <mergeCell ref="A147:E147"/>
    <mergeCell ref="A142:E142"/>
    <mergeCell ref="F146:H146"/>
    <mergeCell ref="A144:E144"/>
    <mergeCell ref="F144:H144"/>
    <mergeCell ref="A148:E148"/>
    <mergeCell ref="A151:E151"/>
    <mergeCell ref="F151:H151"/>
    <mergeCell ref="A152:E152"/>
    <mergeCell ref="F152:H152"/>
    <mergeCell ref="B379:H379"/>
    <mergeCell ref="G226:H233"/>
    <mergeCell ref="G235:H242"/>
    <mergeCell ref="A254:H254"/>
    <mergeCell ref="A255:B255"/>
    <mergeCell ref="G255:H262"/>
    <mergeCell ref="A256:B256"/>
    <mergeCell ref="A257:B257"/>
    <mergeCell ref="A258:B258"/>
    <mergeCell ref="A259:B259"/>
    <mergeCell ref="A260:B260"/>
    <mergeCell ref="A261:B261"/>
    <mergeCell ref="B378:H378"/>
    <mergeCell ref="A243:H243"/>
    <mergeCell ref="A245:H245"/>
    <mergeCell ref="A244:H244"/>
    <mergeCell ref="A242:B242"/>
    <mergeCell ref="A305:B305"/>
    <mergeCell ref="A307:B307"/>
    <mergeCell ref="A338:B338"/>
    <mergeCell ref="A335:B335"/>
    <mergeCell ref="C335:F335"/>
    <mergeCell ref="A321:H321"/>
    <mergeCell ref="A322:B322"/>
    <mergeCell ref="L194:M194"/>
    <mergeCell ref="A183:H183"/>
    <mergeCell ref="A184:A185"/>
    <mergeCell ref="A199:B199"/>
    <mergeCell ref="A196:B196"/>
    <mergeCell ref="A197:B197"/>
    <mergeCell ref="L179:M179"/>
    <mergeCell ref="A180:B180"/>
    <mergeCell ref="L180:M180"/>
    <mergeCell ref="A190:B190"/>
    <mergeCell ref="A191:B191"/>
    <mergeCell ref="L181:M181"/>
    <mergeCell ref="A182:B182"/>
    <mergeCell ref="L182:M182"/>
    <mergeCell ref="A186:H186"/>
    <mergeCell ref="A187:H187"/>
    <mergeCell ref="A188:B188"/>
    <mergeCell ref="A181:B181"/>
    <mergeCell ref="A189:B189"/>
    <mergeCell ref="G195:H200"/>
    <mergeCell ref="A193:B193"/>
    <mergeCell ref="C192:F193"/>
    <mergeCell ref="G188:H193"/>
    <mergeCell ref="A194:H194"/>
    <mergeCell ref="A101:B101"/>
    <mergeCell ref="E101:F110"/>
    <mergeCell ref="F35:H35"/>
    <mergeCell ref="A37:B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50:B51"/>
    <mergeCell ref="A79:B79"/>
    <mergeCell ref="A72:B72"/>
    <mergeCell ref="A75:B75"/>
    <mergeCell ref="A67:C67"/>
    <mergeCell ref="D67:H67"/>
    <mergeCell ref="A73:B73"/>
    <mergeCell ref="G87:H96"/>
    <mergeCell ref="A88:B88"/>
    <mergeCell ref="A89:B89"/>
    <mergeCell ref="E87:F9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F32:H32"/>
    <mergeCell ref="F33:H33"/>
    <mergeCell ref="C31:E31"/>
    <mergeCell ref="F34:H34"/>
    <mergeCell ref="A21:D22"/>
    <mergeCell ref="E21:H22"/>
    <mergeCell ref="E14:H14"/>
    <mergeCell ref="A15:B15"/>
    <mergeCell ref="C15:H15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2:D12"/>
    <mergeCell ref="E12:H12"/>
    <mergeCell ref="A6:D6"/>
    <mergeCell ref="E6:H6"/>
    <mergeCell ref="A7:D7"/>
    <mergeCell ref="E7:H7"/>
    <mergeCell ref="A8:D8"/>
    <mergeCell ref="E8:H8"/>
    <mergeCell ref="A16:B16"/>
    <mergeCell ref="A13:D13"/>
    <mergeCell ref="E13:H13"/>
    <mergeCell ref="A14:D14"/>
    <mergeCell ref="A10:D10"/>
    <mergeCell ref="E10:H10"/>
    <mergeCell ref="A1:H1"/>
    <mergeCell ref="A2:H2"/>
    <mergeCell ref="A3:D3"/>
    <mergeCell ref="E3:H3"/>
    <mergeCell ref="A5:D5"/>
    <mergeCell ref="A9:D9"/>
    <mergeCell ref="E9:H9"/>
    <mergeCell ref="A11:D11"/>
    <mergeCell ref="E11:H11"/>
    <mergeCell ref="E5:H5"/>
    <mergeCell ref="A4:D4"/>
    <mergeCell ref="E4:H4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D66:H66"/>
    <mergeCell ref="G72:H72"/>
    <mergeCell ref="A71:B71"/>
    <mergeCell ref="A69:B69"/>
    <mergeCell ref="A391:H391"/>
    <mergeCell ref="A156:H156"/>
    <mergeCell ref="A394:H394"/>
    <mergeCell ref="A392:H392"/>
    <mergeCell ref="A373:H373"/>
    <mergeCell ref="C167:C168"/>
    <mergeCell ref="B184:B185"/>
    <mergeCell ref="A205:B205"/>
    <mergeCell ref="A202:B202"/>
    <mergeCell ref="B380:H380"/>
    <mergeCell ref="A225:H225"/>
    <mergeCell ref="A226:B226"/>
    <mergeCell ref="A227:B227"/>
    <mergeCell ref="A230:B230"/>
    <mergeCell ref="A231:B231"/>
    <mergeCell ref="A229:B229"/>
    <mergeCell ref="B374:H374"/>
    <mergeCell ref="B375:H375"/>
    <mergeCell ref="B383:H383"/>
    <mergeCell ref="B376:H376"/>
    <mergeCell ref="A228:B228"/>
    <mergeCell ref="G246:H253"/>
    <mergeCell ref="E161:F161"/>
    <mergeCell ref="G161:H161"/>
    <mergeCell ref="A396:H399"/>
    <mergeCell ref="A395:B395"/>
    <mergeCell ref="E395:F395"/>
    <mergeCell ref="C395:D395"/>
    <mergeCell ref="G395:H395"/>
    <mergeCell ref="A153:H153"/>
    <mergeCell ref="B377:H377"/>
    <mergeCell ref="A292:H292"/>
    <mergeCell ref="A293:B293"/>
    <mergeCell ref="G293:H300"/>
    <mergeCell ref="A294:B294"/>
    <mergeCell ref="A295:B295"/>
    <mergeCell ref="A296:B296"/>
    <mergeCell ref="A297:B297"/>
    <mergeCell ref="A298:B298"/>
    <mergeCell ref="A299:B299"/>
    <mergeCell ref="A300:B300"/>
    <mergeCell ref="A301:H301"/>
    <mergeCell ref="A302:B302"/>
    <mergeCell ref="G302:H309"/>
    <mergeCell ref="A303:B303"/>
    <mergeCell ref="B384:H384"/>
    <mergeCell ref="A253:B253"/>
    <mergeCell ref="C253:F253"/>
    <mergeCell ref="C51:H51"/>
    <mergeCell ref="D56:H56"/>
    <mergeCell ref="A56:C56"/>
    <mergeCell ref="G49:H49"/>
    <mergeCell ref="A388:H388"/>
    <mergeCell ref="A389:H389"/>
    <mergeCell ref="E157:F157"/>
    <mergeCell ref="E154:F154"/>
    <mergeCell ref="A165:H165"/>
    <mergeCell ref="F147:H147"/>
    <mergeCell ref="F150:H150"/>
    <mergeCell ref="F148:H148"/>
    <mergeCell ref="A203:B203"/>
    <mergeCell ref="A166:H166"/>
    <mergeCell ref="G154:H154"/>
    <mergeCell ref="A149:E149"/>
    <mergeCell ref="E155:F155"/>
    <mergeCell ref="C184:C185"/>
    <mergeCell ref="B381:H381"/>
    <mergeCell ref="B382:H382"/>
    <mergeCell ref="G163:H163"/>
    <mergeCell ref="E160:F160"/>
    <mergeCell ref="G160:H160"/>
    <mergeCell ref="G157:H157"/>
    <mergeCell ref="E41:H41"/>
    <mergeCell ref="A41:D41"/>
    <mergeCell ref="A393:H393"/>
    <mergeCell ref="A200:B200"/>
    <mergeCell ref="A390:H390"/>
    <mergeCell ref="A195:B195"/>
    <mergeCell ref="D184:D185"/>
    <mergeCell ref="E184:E185"/>
    <mergeCell ref="G184:H185"/>
    <mergeCell ref="A91:B91"/>
    <mergeCell ref="A92:B92"/>
    <mergeCell ref="A93:B93"/>
    <mergeCell ref="A83:B83"/>
    <mergeCell ref="C83:H83"/>
    <mergeCell ref="A78:B78"/>
    <mergeCell ref="F140:H140"/>
    <mergeCell ref="A139:H139"/>
    <mergeCell ref="G155:H155"/>
    <mergeCell ref="A48:B48"/>
    <mergeCell ref="C48:E48"/>
    <mergeCell ref="E163:F163"/>
    <mergeCell ref="G48:H48"/>
    <mergeCell ref="G50:H50"/>
    <mergeCell ref="A115:B115"/>
    <mergeCell ref="C37:H37"/>
    <mergeCell ref="D60:H60"/>
    <mergeCell ref="D61:H61"/>
    <mergeCell ref="A57:C61"/>
    <mergeCell ref="A111:B111"/>
    <mergeCell ref="C111:H111"/>
    <mergeCell ref="A113:B113"/>
    <mergeCell ref="C113:H113"/>
    <mergeCell ref="A114:B114"/>
    <mergeCell ref="E114:F114"/>
    <mergeCell ref="G114:H114"/>
    <mergeCell ref="D54:H54"/>
    <mergeCell ref="C50:E50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E115:F124"/>
    <mergeCell ref="G115:H124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C125:H125"/>
    <mergeCell ref="A127:B127"/>
    <mergeCell ref="C127:H127"/>
    <mergeCell ref="A128:B128"/>
    <mergeCell ref="E128:F128"/>
    <mergeCell ref="G128:H128"/>
    <mergeCell ref="A129:B129"/>
    <mergeCell ref="E129:F138"/>
    <mergeCell ref="G129:H138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224:B224"/>
    <mergeCell ref="C224:F224"/>
    <mergeCell ref="G217:H224"/>
    <mergeCell ref="A192:B192"/>
    <mergeCell ref="C313:F315"/>
    <mergeCell ref="A155:C155"/>
    <mergeCell ref="A272:H272"/>
    <mergeCell ref="A273:H273"/>
    <mergeCell ref="A274:H274"/>
    <mergeCell ref="A278:B278"/>
    <mergeCell ref="A279:B279"/>
    <mergeCell ref="A280:B280"/>
    <mergeCell ref="A281:B281"/>
    <mergeCell ref="A268:B268"/>
    <mergeCell ref="C268:F268"/>
    <mergeCell ref="A239:B239"/>
    <mergeCell ref="C239:F239"/>
    <mergeCell ref="A210:B210"/>
    <mergeCell ref="C210:F210"/>
    <mergeCell ref="G275:H282"/>
    <mergeCell ref="C246:F248"/>
    <mergeCell ref="A283:H283"/>
    <mergeCell ref="A216:H216"/>
    <mergeCell ref="A201:H201"/>
    <mergeCell ref="G322:H329"/>
    <mergeCell ref="A323:B323"/>
    <mergeCell ref="A324:B324"/>
    <mergeCell ref="A325:B325"/>
    <mergeCell ref="A326:B326"/>
    <mergeCell ref="A327:B327"/>
    <mergeCell ref="A328:B328"/>
    <mergeCell ref="A329:B329"/>
    <mergeCell ref="A306:B306"/>
    <mergeCell ref="C306:F306"/>
    <mergeCell ref="A308:B308"/>
    <mergeCell ref="A309:B309"/>
    <mergeCell ref="A310:H310"/>
    <mergeCell ref="A311:H311"/>
    <mergeCell ref="A312:H312"/>
    <mergeCell ref="L283:M283"/>
    <mergeCell ref="A287:B287"/>
    <mergeCell ref="A288:B288"/>
    <mergeCell ref="A289:B289"/>
    <mergeCell ref="A290:B290"/>
    <mergeCell ref="A286:B286"/>
    <mergeCell ref="C286:F286"/>
    <mergeCell ref="A291:B291"/>
    <mergeCell ref="C291:F291"/>
    <mergeCell ref="A284:B284"/>
    <mergeCell ref="A285:B285"/>
    <mergeCell ref="C284:F285"/>
    <mergeCell ref="G284:H291"/>
    <mergeCell ref="B387:H387"/>
    <mergeCell ref="A339:H339"/>
    <mergeCell ref="A340:H340"/>
    <mergeCell ref="A341:H341"/>
    <mergeCell ref="A342:B342"/>
    <mergeCell ref="G342:H345"/>
    <mergeCell ref="A343:B343"/>
    <mergeCell ref="A344:B344"/>
    <mergeCell ref="A345:B345"/>
    <mergeCell ref="A346:H346"/>
    <mergeCell ref="A355:H355"/>
    <mergeCell ref="A356:B356"/>
    <mergeCell ref="G356:H363"/>
    <mergeCell ref="A357:B357"/>
    <mergeCell ref="A358:B358"/>
    <mergeCell ref="A359:B359"/>
    <mergeCell ref="A360:B360"/>
    <mergeCell ref="A361:B361"/>
    <mergeCell ref="A362:B362"/>
    <mergeCell ref="A363:B363"/>
    <mergeCell ref="A364:H364"/>
    <mergeCell ref="A365:B365"/>
    <mergeCell ref="G365:H372"/>
    <mergeCell ref="A366:B366"/>
    <mergeCell ref="L346:M346"/>
    <mergeCell ref="A347:B347"/>
    <mergeCell ref="C347:F348"/>
    <mergeCell ref="G347:H354"/>
    <mergeCell ref="A348:B348"/>
    <mergeCell ref="A349:B349"/>
    <mergeCell ref="C349:F349"/>
    <mergeCell ref="A350:B350"/>
    <mergeCell ref="A351:B351"/>
    <mergeCell ref="A352:B352"/>
    <mergeCell ref="A353:B353"/>
    <mergeCell ref="A354:B354"/>
    <mergeCell ref="C354:F354"/>
    <mergeCell ref="A367:B367"/>
    <mergeCell ref="A368:B368"/>
    <mergeCell ref="A369:B369"/>
    <mergeCell ref="C369:F369"/>
    <mergeCell ref="A370:B370"/>
    <mergeCell ref="A371:B371"/>
    <mergeCell ref="A372:B372"/>
    <mergeCell ref="A275:B275"/>
    <mergeCell ref="C275:F277"/>
    <mergeCell ref="A276:B276"/>
    <mergeCell ref="A277:B277"/>
    <mergeCell ref="A282:B282"/>
    <mergeCell ref="C282:F282"/>
    <mergeCell ref="A320:B320"/>
    <mergeCell ref="C320:F320"/>
    <mergeCell ref="A330:H330"/>
    <mergeCell ref="A331:B331"/>
    <mergeCell ref="G331:H338"/>
    <mergeCell ref="A332:B332"/>
    <mergeCell ref="A333:B333"/>
    <mergeCell ref="A334:B334"/>
    <mergeCell ref="A336:B336"/>
    <mergeCell ref="A337:B337"/>
    <mergeCell ref="G313:H320"/>
  </mergeCells>
  <hyperlinks>
    <hyperlink ref="C38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8" max="16383" man="1"/>
    <brk id="110" max="7" man="1"/>
    <brk id="372" max="16383" man="1"/>
    <brk id="399" max="16383" man="1"/>
    <brk id="445" max="16383" man="1"/>
    <brk id="48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3" zoomScale="85" zoomScaleNormal="85" workbookViewId="0">
      <selection activeCell="J39" sqref="J39"/>
    </sheetView>
  </sheetViews>
  <sheetFormatPr defaultColWidth="8.7109375" defaultRowHeight="15" x14ac:dyDescent="0.25"/>
  <cols>
    <col min="1" max="1" width="8.710937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710937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196" t="s">
        <v>119</v>
      </c>
      <c r="C3" s="196"/>
      <c r="D3" s="196"/>
      <c r="E3" s="196"/>
      <c r="F3" s="196"/>
      <c r="G3" s="196"/>
      <c r="H3" s="196"/>
    </row>
    <row r="4" spans="1:9" x14ac:dyDescent="0.25">
      <c r="A4" s="19"/>
      <c r="B4" s="20" t="s">
        <v>120</v>
      </c>
      <c r="C4" s="20" t="s">
        <v>121</v>
      </c>
      <c r="D4" s="20" t="s">
        <v>73</v>
      </c>
      <c r="E4" s="20" t="s">
        <v>122</v>
      </c>
      <c r="F4" s="20" t="s">
        <v>128</v>
      </c>
      <c r="G4" s="20" t="s">
        <v>129</v>
      </c>
      <c r="H4" s="20" t="s">
        <v>123</v>
      </c>
    </row>
    <row r="5" spans="1:9" ht="15" customHeight="1" x14ac:dyDescent="0.25">
      <c r="A5" s="19"/>
      <c r="B5" s="22" t="s">
        <v>124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124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124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124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124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125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25">
      <c r="A11" s="19"/>
      <c r="B11" s="22" t="s">
        <v>125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25">
      <c r="A12" s="19"/>
      <c r="B12" s="27" t="s">
        <v>126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127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2025-09-10T12:31:29Z</cp:lastPrinted>
  <dcterms:created xsi:type="dcterms:W3CDTF">2019-07-16T09:29:46Z</dcterms:created>
  <dcterms:modified xsi:type="dcterms:W3CDTF">2025-09-10T12:31:33Z</dcterms:modified>
</cp:coreProperties>
</file>