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2.09 Dump\"/>
    </mc:Choice>
  </mc:AlternateContent>
  <xr:revisionPtr revIDLastSave="0" documentId="13_ncr:1_{F9BCCE7E-21CD-478D-926C-495DDD96833F}"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6" i="1" l="1"/>
  <c r="J135" i="1"/>
  <c r="J134" i="1"/>
  <c r="C103" i="1"/>
  <c r="C89" i="1"/>
  <c r="J108" i="1"/>
  <c r="J107" i="1"/>
  <c r="J106" i="1"/>
  <c r="D70" i="1" l="1"/>
  <c r="E275" i="1"/>
  <c r="D275" i="1"/>
  <c r="F275" i="1" s="1"/>
  <c r="H275" i="1" s="1"/>
  <c r="E274" i="1"/>
  <c r="D274" i="1"/>
  <c r="E273" i="1"/>
  <c r="D273" i="1"/>
  <c r="F273" i="1" s="1"/>
  <c r="H273" i="1" s="1"/>
  <c r="E272" i="1"/>
  <c r="D272" i="1"/>
  <c r="E271" i="1"/>
  <c r="D271" i="1"/>
  <c r="E270" i="1"/>
  <c r="D270" i="1"/>
  <c r="E269" i="1"/>
  <c r="D269" i="1"/>
  <c r="E268" i="1"/>
  <c r="D268" i="1"/>
  <c r="E267" i="1"/>
  <c r="D267" i="1"/>
  <c r="F267" i="1" s="1"/>
  <c r="H267" i="1" s="1"/>
  <c r="E266" i="1"/>
  <c r="D266" i="1"/>
  <c r="F266" i="1" s="1"/>
  <c r="H266" i="1" s="1"/>
  <c r="E265" i="1"/>
  <c r="D265" i="1"/>
  <c r="F265" i="1" s="1"/>
  <c r="H265" i="1" s="1"/>
  <c r="E263" i="1"/>
  <c r="D263" i="1"/>
  <c r="E262" i="1"/>
  <c r="D262" i="1"/>
  <c r="F262" i="1" s="1"/>
  <c r="H262" i="1" s="1"/>
  <c r="E261" i="1"/>
  <c r="D261" i="1"/>
  <c r="F261" i="1" s="1"/>
  <c r="H261" i="1" s="1"/>
  <c r="E260" i="1"/>
  <c r="D260" i="1"/>
  <c r="F260" i="1" s="1"/>
  <c r="H260" i="1" s="1"/>
  <c r="E259" i="1"/>
  <c r="D259" i="1"/>
  <c r="E258" i="1"/>
  <c r="D258" i="1"/>
  <c r="F258" i="1" s="1"/>
  <c r="H258" i="1" s="1"/>
  <c r="E257" i="1"/>
  <c r="D257" i="1"/>
  <c r="E256" i="1"/>
  <c r="D256" i="1"/>
  <c r="F256" i="1" s="1"/>
  <c r="H256" i="1" s="1"/>
  <c r="E255" i="1"/>
  <c r="D255" i="1"/>
  <c r="E254" i="1"/>
  <c r="D254" i="1"/>
  <c r="F254" i="1" s="1"/>
  <c r="H254" i="1" s="1"/>
  <c r="E253" i="1"/>
  <c r="D253" i="1"/>
  <c r="F253" i="1" s="1"/>
  <c r="H253" i="1" s="1"/>
  <c r="E249" i="1"/>
  <c r="D249" i="1"/>
  <c r="F249" i="1" s="1"/>
  <c r="H249" i="1" s="1"/>
  <c r="E248" i="1"/>
  <c r="D248" i="1"/>
  <c r="E247" i="1"/>
  <c r="D247" i="1"/>
  <c r="F247" i="1" s="1"/>
  <c r="H247" i="1" s="1"/>
  <c r="E246" i="1"/>
  <c r="D246" i="1"/>
  <c r="F246" i="1" s="1"/>
  <c r="H246" i="1" s="1"/>
  <c r="E244" i="1"/>
  <c r="D244" i="1"/>
  <c r="F244" i="1" s="1"/>
  <c r="H244" i="1" s="1"/>
  <c r="E243" i="1"/>
  <c r="D243" i="1"/>
  <c r="E242" i="1"/>
  <c r="D242" i="1"/>
  <c r="F242" i="1" s="1"/>
  <c r="H242" i="1" s="1"/>
  <c r="E241" i="1"/>
  <c r="D241" i="1"/>
  <c r="F241" i="1" s="1"/>
  <c r="H241" i="1" s="1"/>
  <c r="E237" i="1"/>
  <c r="D237" i="1"/>
  <c r="F237" i="1" s="1"/>
  <c r="H237" i="1" s="1"/>
  <c r="E236" i="1"/>
  <c r="D236" i="1"/>
  <c r="E235" i="1"/>
  <c r="D235" i="1"/>
  <c r="F235" i="1" s="1"/>
  <c r="H235" i="1" s="1"/>
  <c r="E234" i="1"/>
  <c r="D234" i="1"/>
  <c r="E232" i="1"/>
  <c r="D232" i="1"/>
  <c r="F232" i="1" s="1"/>
  <c r="H232" i="1" s="1"/>
  <c r="E231" i="1"/>
  <c r="D231" i="1"/>
  <c r="E230" i="1"/>
  <c r="D230" i="1"/>
  <c r="F230" i="1" s="1"/>
  <c r="H230" i="1" s="1"/>
  <c r="E229" i="1"/>
  <c r="D229" i="1"/>
  <c r="E223" i="1"/>
  <c r="D223" i="1"/>
  <c r="F223" i="1" s="1"/>
  <c r="H223" i="1" s="1"/>
  <c r="E218" i="1"/>
  <c r="D218" i="1"/>
  <c r="E217" i="1"/>
  <c r="D217" i="1"/>
  <c r="I217" i="1"/>
  <c r="F274" i="1"/>
  <c r="H274" i="1" s="1"/>
  <c r="F271" i="1"/>
  <c r="H271" i="1" s="1"/>
  <c r="A266" i="1"/>
  <c r="A267" i="1" s="1"/>
  <c r="A268" i="1" s="1"/>
  <c r="A269" i="1" s="1"/>
  <c r="A270" i="1" s="1"/>
  <c r="A271" i="1" s="1"/>
  <c r="A272" i="1" s="1"/>
  <c r="A273" i="1" s="1"/>
  <c r="A274" i="1" s="1"/>
  <c r="A275" i="1" s="1"/>
  <c r="A242" i="1"/>
  <c r="A243" i="1" s="1"/>
  <c r="A244" i="1" s="1"/>
  <c r="A245" i="1" s="1"/>
  <c r="A246" i="1" s="1"/>
  <c r="A247" i="1" s="1"/>
  <c r="A248" i="1" s="1"/>
  <c r="A249" i="1" s="1"/>
  <c r="A250" i="1" s="1"/>
  <c r="A251" i="1" s="1"/>
  <c r="A254" i="1"/>
  <c r="A255" i="1" s="1"/>
  <c r="A256" i="1" s="1"/>
  <c r="A257" i="1" s="1"/>
  <c r="A258" i="1" s="1"/>
  <c r="A259" i="1" s="1"/>
  <c r="A260" i="1" s="1"/>
  <c r="A261" i="1" s="1"/>
  <c r="A262" i="1" s="1"/>
  <c r="A263" i="1" s="1"/>
  <c r="A230" i="1"/>
  <c r="A231" i="1" s="1"/>
  <c r="A232" i="1" s="1"/>
  <c r="A233" i="1" s="1"/>
  <c r="A234" i="1" s="1"/>
  <c r="A235" i="1" s="1"/>
  <c r="A236" i="1" s="1"/>
  <c r="A237" i="1" s="1"/>
  <c r="A238" i="1" s="1"/>
  <c r="A239" i="1" s="1"/>
  <c r="A218" i="1"/>
  <c r="A219" i="1" s="1"/>
  <c r="A220" i="1" s="1"/>
  <c r="A221" i="1" s="1"/>
  <c r="A222" i="1" s="1"/>
  <c r="A223" i="1" s="1"/>
  <c r="A224" i="1" s="1"/>
  <c r="A225" i="1" s="1"/>
  <c r="A226" i="1" s="1"/>
  <c r="A227" i="1" s="1"/>
  <c r="G57" i="1"/>
  <c r="C57" i="1"/>
  <c r="C62" i="1" s="1"/>
  <c r="F231" i="1" l="1"/>
  <c r="H231" i="1" s="1"/>
  <c r="F236" i="1"/>
  <c r="H236" i="1" s="1"/>
  <c r="F243" i="1"/>
  <c r="H243" i="1" s="1"/>
  <c r="F248" i="1"/>
  <c r="H248" i="1" s="1"/>
  <c r="F255" i="1"/>
  <c r="H255" i="1" s="1"/>
  <c r="F259" i="1"/>
  <c r="H259" i="1" s="1"/>
  <c r="F263" i="1"/>
  <c r="H263" i="1" s="1"/>
  <c r="F268" i="1"/>
  <c r="H268" i="1" s="1"/>
  <c r="F269" i="1"/>
  <c r="H269" i="1" s="1"/>
  <c r="F272" i="1"/>
  <c r="H272" i="1" s="1"/>
  <c r="F229" i="1"/>
  <c r="H229" i="1" s="1"/>
  <c r="F257" i="1"/>
  <c r="H257" i="1" s="1"/>
  <c r="F270" i="1"/>
  <c r="H270" i="1" s="1"/>
  <c r="F234" i="1"/>
  <c r="H234" i="1" s="1"/>
  <c r="F218" i="1"/>
  <c r="H218" i="1" s="1"/>
  <c r="F217" i="1"/>
  <c r="C16" i="1"/>
  <c r="H217" i="1" l="1"/>
  <c r="G162" i="1" s="1"/>
  <c r="C162" i="1"/>
  <c r="E162" i="1"/>
  <c r="J151" i="1"/>
  <c r="I180" i="1"/>
  <c r="E8" i="1" l="1"/>
  <c r="E213" i="1"/>
  <c r="D213" i="1"/>
  <c r="F213" i="1" s="1"/>
  <c r="H213" i="1" s="1"/>
  <c r="E208" i="1"/>
  <c r="D208" i="1"/>
  <c r="F208" i="1" s="1"/>
  <c r="H208" i="1" s="1"/>
  <c r="E212" i="1"/>
  <c r="D212" i="1"/>
  <c r="E211" i="1"/>
  <c r="D211" i="1"/>
  <c r="E210" i="1"/>
  <c r="D210" i="1"/>
  <c r="E207" i="1"/>
  <c r="D207" i="1"/>
  <c r="E206" i="1"/>
  <c r="D206" i="1"/>
  <c r="E205" i="1"/>
  <c r="D205" i="1"/>
  <c r="D201" i="1"/>
  <c r="E203" i="1"/>
  <c r="D203" i="1"/>
  <c r="E202" i="1"/>
  <c r="D202" i="1"/>
  <c r="E201" i="1"/>
  <c r="E197" i="1"/>
  <c r="D197" i="1"/>
  <c r="E193" i="1"/>
  <c r="D193" i="1"/>
  <c r="E192" i="1"/>
  <c r="D192" i="1"/>
  <c r="E191" i="1"/>
  <c r="D191" i="1"/>
  <c r="E190" i="1"/>
  <c r="D190" i="1"/>
  <c r="E188" i="1"/>
  <c r="D188" i="1"/>
  <c r="E187" i="1"/>
  <c r="D187" i="1"/>
  <c r="E186" i="1"/>
  <c r="D186" i="1"/>
  <c r="E185" i="1"/>
  <c r="D185" i="1"/>
  <c r="E183" i="1"/>
  <c r="D183" i="1"/>
  <c r="E180" i="1"/>
  <c r="D180" i="1"/>
  <c r="F212" i="1" l="1"/>
  <c r="H212" i="1" s="1"/>
  <c r="F211" i="1"/>
  <c r="H211" i="1" s="1"/>
  <c r="A211" i="1"/>
  <c r="A212" i="1" s="1"/>
  <c r="A213" i="1" s="1"/>
  <c r="F210" i="1"/>
  <c r="H210" i="1" s="1"/>
  <c r="F207" i="1"/>
  <c r="H207" i="1" s="1"/>
  <c r="A206" i="1"/>
  <c r="A207" i="1" s="1"/>
  <c r="A208" i="1" s="1"/>
  <c r="F201" i="1"/>
  <c r="H201" i="1" s="1"/>
  <c r="A198" i="1"/>
  <c r="A202" i="1"/>
  <c r="A203" i="1" s="1"/>
  <c r="F202" i="1"/>
  <c r="H202" i="1" s="1"/>
  <c r="F193" i="1"/>
  <c r="H193" i="1" s="1"/>
  <c r="K193" i="1" s="1"/>
  <c r="F192" i="1"/>
  <c r="H192" i="1" s="1"/>
  <c r="A191" i="1"/>
  <c r="A192" i="1" s="1"/>
  <c r="A193" i="1" s="1"/>
  <c r="F190" i="1"/>
  <c r="H190" i="1" s="1"/>
  <c r="K190" i="1" s="1"/>
  <c r="J187" i="1"/>
  <c r="F186" i="1"/>
  <c r="J180" i="1"/>
  <c r="K180" i="1" s="1"/>
  <c r="J183" i="1"/>
  <c r="I183" i="1"/>
  <c r="G52" i="1"/>
  <c r="K183" i="1" l="1"/>
  <c r="K192" i="1"/>
  <c r="J192" i="1"/>
  <c r="F191" i="1"/>
  <c r="H191" i="1" s="1"/>
  <c r="F205" i="1"/>
  <c r="H205" i="1" s="1"/>
  <c r="F188" i="1"/>
  <c r="F203" i="1"/>
  <c r="H203" i="1" s="1"/>
  <c r="F206" i="1"/>
  <c r="H206" i="1" s="1"/>
  <c r="F185" i="1"/>
  <c r="F180" i="1"/>
  <c r="J191" i="1" l="1"/>
  <c r="K151" i="1" s="1"/>
  <c r="K191" i="1"/>
  <c r="H180" i="1"/>
  <c r="F171" i="1"/>
  <c r="H171" i="1" s="1"/>
  <c r="F172" i="1"/>
  <c r="H172" i="1" s="1"/>
  <c r="F173" i="1"/>
  <c r="H173" i="1" s="1"/>
  <c r="F170" i="1"/>
  <c r="H170" i="1" s="1"/>
  <c r="B278" i="1" l="1"/>
  <c r="C53" i="1" l="1"/>
  <c r="S33" i="1" l="1"/>
  <c r="F11" i="5" l="1"/>
  <c r="G11" i="5" s="1"/>
  <c r="F10" i="5"/>
  <c r="G10" i="5" s="1"/>
  <c r="F9" i="5"/>
  <c r="G9" i="5" s="1"/>
  <c r="F8" i="5"/>
  <c r="G8" i="5" s="1"/>
  <c r="F7" i="5"/>
  <c r="G7" i="5" s="1"/>
  <c r="F6" i="5"/>
  <c r="G6" i="5" s="1"/>
  <c r="F5" i="5"/>
  <c r="G5" i="5" s="1"/>
  <c r="G12" i="5" s="1"/>
  <c r="D303" i="1"/>
  <c r="B279" i="1"/>
  <c r="F197" i="1"/>
  <c r="E161" i="1" s="1"/>
  <c r="H188" i="1"/>
  <c r="F187" i="1"/>
  <c r="H187" i="1" s="1"/>
  <c r="H186" i="1"/>
  <c r="H185" i="1"/>
  <c r="A186" i="1"/>
  <c r="A187" i="1" s="1"/>
  <c r="A188" i="1" s="1"/>
  <c r="F183" i="1"/>
  <c r="A181" i="1"/>
  <c r="A182" i="1" s="1"/>
  <c r="A183" i="1" s="1"/>
  <c r="A171" i="1"/>
  <c r="A172" i="1" s="1"/>
  <c r="A173" i="1" s="1"/>
  <c r="F152" i="1"/>
  <c r="D76" i="1"/>
  <c r="C52" i="1"/>
  <c r="E44" i="1"/>
  <c r="E45" i="1" s="1"/>
  <c r="E31" i="1"/>
  <c r="E28" i="1"/>
  <c r="E26" i="1"/>
  <c r="I15" i="1"/>
  <c r="Z13" i="1"/>
  <c r="E3" i="1"/>
  <c r="H83" i="1"/>
  <c r="H111" i="1"/>
  <c r="E160" i="1" l="1"/>
  <c r="H197" i="1"/>
  <c r="G161" i="1" s="1"/>
  <c r="C161" i="1"/>
  <c r="H183" i="1"/>
  <c r="G160" i="1" s="1"/>
  <c r="C160" i="1"/>
  <c r="J82" i="1"/>
  <c r="J84" i="1" s="1"/>
  <c r="J85" i="1"/>
  <c r="J86" i="1"/>
  <c r="J87" i="1"/>
  <c r="C86" i="1" s="1"/>
  <c r="J115" i="1"/>
  <c r="C114" i="1" s="1"/>
  <c r="D119" i="1"/>
  <c r="D121" i="1"/>
  <c r="J114" i="1"/>
  <c r="D120" i="1"/>
  <c r="J110" i="1"/>
  <c r="J112" i="1" s="1"/>
  <c r="D118" i="1"/>
  <c r="J113" i="1"/>
  <c r="D117" i="1"/>
  <c r="D123" i="1"/>
  <c r="D122" i="1"/>
  <c r="D116" i="1"/>
  <c r="D90" i="1"/>
  <c r="D92" i="1"/>
  <c r="D91" i="1"/>
  <c r="D95" i="1"/>
  <c r="D89" i="1"/>
  <c r="D94" i="1"/>
  <c r="D88" i="1"/>
  <c r="D93" i="1"/>
  <c r="J88" i="1"/>
  <c r="H125" i="1"/>
  <c r="C163" i="1" l="1"/>
  <c r="J129" i="1"/>
  <c r="C128" i="1" s="1"/>
  <c r="D128" i="1" s="1"/>
  <c r="J127" i="1"/>
  <c r="D137" i="1"/>
  <c r="D133" i="1"/>
  <c r="D131" i="1"/>
  <c r="D136" i="1"/>
  <c r="D132" i="1"/>
  <c r="J128" i="1"/>
  <c r="D135" i="1"/>
  <c r="J130" i="1"/>
  <c r="C129" i="1" s="1"/>
  <c r="E128" i="1" s="1"/>
  <c r="D134" i="1"/>
  <c r="D130" i="1"/>
  <c r="J124" i="1"/>
  <c r="J126" i="1" s="1"/>
  <c r="G163" i="1"/>
  <c r="G164" i="1" s="1"/>
  <c r="E163" i="1"/>
  <c r="E164" i="1" s="1"/>
  <c r="C164" i="1"/>
  <c r="D114" i="1"/>
  <c r="D86" i="1"/>
  <c r="J121" i="1"/>
  <c r="J120" i="1"/>
  <c r="J116" i="1"/>
  <c r="J92" i="1"/>
  <c r="J89" i="1"/>
  <c r="J94" i="1" s="1"/>
  <c r="J93" i="1"/>
  <c r="D129" i="1" l="1"/>
  <c r="I125" i="1" s="1"/>
  <c r="I126" i="1" s="1"/>
  <c r="G128" i="1"/>
  <c r="J125" i="1"/>
  <c r="J131" i="1"/>
  <c r="J117" i="1"/>
  <c r="J118" i="1" s="1"/>
  <c r="J119" i="1" s="1"/>
  <c r="J90" i="1"/>
  <c r="J91" i="1" s="1"/>
  <c r="J122" i="1"/>
  <c r="J132" i="1" l="1"/>
  <c r="J133" i="1" s="1"/>
  <c r="I124" i="1"/>
  <c r="C126" i="1" s="1"/>
  <c r="J123" i="1"/>
  <c r="J95" i="1"/>
  <c r="C87" i="1" s="1"/>
  <c r="C115" i="1" l="1"/>
  <c r="J137" i="1"/>
  <c r="J83" i="1"/>
  <c r="E86" i="1"/>
  <c r="D87" i="1"/>
  <c r="G86" i="1"/>
  <c r="D80" i="1" s="1"/>
  <c r="G114" i="1" l="1"/>
  <c r="H138" i="1" s="1"/>
  <c r="D115" i="1"/>
  <c r="I111" i="1" s="1"/>
  <c r="E114" i="1"/>
  <c r="E138" i="1" s="1"/>
  <c r="J111" i="1"/>
  <c r="I83" i="1"/>
  <c r="I84" i="1" s="1"/>
  <c r="I82" i="1" s="1"/>
  <c r="C84" i="1" s="1"/>
  <c r="F81" i="1"/>
  <c r="D81" i="1"/>
  <c r="H97" i="1"/>
  <c r="I112" i="1" l="1"/>
  <c r="I110" i="1" s="1"/>
  <c r="C112" i="1" s="1"/>
  <c r="J101" i="1"/>
  <c r="C100" i="1" s="1"/>
  <c r="D100" i="1" s="1"/>
  <c r="D109" i="1"/>
  <c r="D105" i="1"/>
  <c r="D104" i="1"/>
  <c r="J100" i="1"/>
  <c r="J102" i="1"/>
  <c r="J103" i="1" s="1"/>
  <c r="J104" i="1" s="1"/>
  <c r="D106" i="1"/>
  <c r="J96" i="1"/>
  <c r="J98" i="1" s="1"/>
  <c r="J99" i="1"/>
  <c r="D108" i="1"/>
  <c r="D107" i="1"/>
  <c r="D103" i="1"/>
  <c r="D102" i="1"/>
  <c r="J105" i="1" l="1"/>
  <c r="J109" i="1" s="1"/>
  <c r="C101" i="1" s="1"/>
  <c r="G100" i="1" s="1"/>
  <c r="J97" i="1" l="1"/>
  <c r="E100" i="1"/>
  <c r="D101" i="1"/>
  <c r="I97" i="1" s="1"/>
  <c r="I98" i="1" l="1"/>
  <c r="I96" i="1" s="1"/>
  <c r="C9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4" authorId="1" shapeId="0" xr:uid="{00000000-0006-0000-0000-000003000000}">
      <text>
        <r>
          <rPr>
            <b/>
            <sz val="9"/>
            <color indexed="81"/>
            <rFont val="Tahoma"/>
            <family val="2"/>
          </rPr>
          <t>SACHIN:</t>
        </r>
        <r>
          <rPr>
            <sz val="9"/>
            <color indexed="81"/>
            <rFont val="Tahoma"/>
            <family val="2"/>
          </rPr>
          <t xml:space="preserve">
Floor with height</t>
        </r>
      </text>
    </comment>
    <comment ref="C65" authorId="1" shapeId="0" xr:uid="{00000000-0006-0000-0000-000004000000}">
      <text>
        <r>
          <rPr>
            <b/>
            <sz val="9"/>
            <color indexed="81"/>
            <rFont val="Tahoma"/>
            <family val="2"/>
          </rPr>
          <t>SACHIN:</t>
        </r>
        <r>
          <rPr>
            <sz val="9"/>
            <color indexed="81"/>
            <rFont val="Tahoma"/>
            <family val="2"/>
          </rPr>
          <t xml:space="preserve">
Survey Nos.</t>
        </r>
      </text>
    </comment>
    <comment ref="C67" authorId="1" shapeId="0" xr:uid="{00000000-0006-0000-0000-000005000000}">
      <text>
        <r>
          <rPr>
            <b/>
            <sz val="9"/>
            <color indexed="81"/>
            <rFont val="Tahoma"/>
            <family val="2"/>
          </rPr>
          <t>SACHIN:</t>
        </r>
        <r>
          <rPr>
            <sz val="9"/>
            <color indexed="81"/>
            <rFont val="Tahoma"/>
            <family val="2"/>
          </rPr>
          <t xml:space="preserve">
Survey Nos.</t>
        </r>
      </text>
    </comment>
    <comment ref="D70"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45"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<sst xmlns="http://schemas.openxmlformats.org/spreadsheetml/2006/main" count="780" uniqueCount="383">
  <si>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</si>
  <si>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</si>
  <si>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</si>
  <si>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</si>
  <si>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</si>
  <si>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</si>
  <si>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</si>
  <si>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</si>
  <si>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</si>
  <si>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</si>
  <si>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</si>
  <si>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</si>
  <si>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</si>
  <si>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</si>
  <si>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</si>
  <si>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</si>
  <si>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</si>
  <si>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</si>
  <si>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</si>
  <si>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</si>
  <si>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</si>
  <si>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</si>
  <si>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</si>
  <si>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</si>
  <si>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</si>
  <si>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</si>
  <si>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</si>
  <si>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</si>
  <si>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</si>
  <si>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</si>
  <si>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</si>
  <si>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</si>
  <si>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</si>
  <si>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</si>
  <si>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</si>
  <si>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</si>
  <si>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</si>
  <si>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</si>
  <si>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</si>
  <si>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</si>
  <si>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</si>
  <si>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</si>
  <si>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</si>
  <si>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</si>
  <si>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</si>
  <si>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</si>
  <si>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</si>
  <si>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</si>
  <si>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</si>
  <si>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</si>
  <si>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</si>
  <si>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</si>
  <si>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</si>
  <si>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</si>
  <si>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</si>
  <si>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</si>
  <si>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</si>
  <si>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</si>
  <si>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</si>
  <si>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</si>
  <si>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</si>
  <si>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</si>
  <si>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</si>
  <si>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</si>
  <si>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</si>
  <si>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</si>
  <si>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</si>
  <si>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</si>
  <si>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</si>
  <si>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</si>
  <si>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</si>
  <si>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</si>
  <si>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</si>
  <si>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</si>
  <si>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</si>
  <si>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</si>
  <si>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</si>
  <si>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</si>
  <si>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</si>
  <si>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</si>
  <si>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</si>
  <si>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</si>
  <si>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</si>
  <si>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</si>
  <si>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</si>
  <si>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</si>
  <si>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</si>
  <si>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</si>
  <si>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</si>
  <si>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</si>
  <si>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</si>
  <si>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</si>
  <si>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</si>
  <si>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</si>
  <si>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</si>
  <si>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</si>
  <si>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</si>
  <si>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</si>
  <si>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</si>
  <si>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</si>
  <si>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</si>
  <si>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</si>
  <si>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</si>
  <si>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</si>
  <si>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</si>
  <si>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</si>
  <si>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</si>
  <si>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</si>
  <si>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</si>
  <si>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</si>
  <si>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</si>
  <si>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</si>
  <si>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</si>
  <si>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</si>
  <si>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</si>
  <si>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</si>
  <si>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</si>
  <si>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</si>
  <si>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</si>
  <si>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</si>
  <si>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</si>
  <si>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</si>
  <si>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</si>
  <si>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</si>
  <si>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</si>
  <si>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</si>
  <si>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</si>
  <si>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</si>
  <si>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</si>
  <si>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</si>
  <si>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</si>
  <si>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</si>
  <si>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</si>
  <si>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</si>
  <si>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</si>
  <si>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</si>
  <si>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</si>
  <si>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</si>
  <si>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</si>
  <si>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</si>
  <si>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</si>
  <si>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</si>
  <si>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</si>
  <si>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</si>
  <si>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</si>
  <si>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</si>
  <si>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</si>
  <si>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</si>
  <si>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</si>
  <si>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</si>
  <si>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</si>
  <si>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</si>
  <si>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</si>
  <si>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</si>
  <si>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</si>
  <si>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</si>
  <si>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</si>
  <si>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</si>
  <si>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</si>
  <si>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</si>
  <si>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</si>
  <si>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</si>
  <si>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</si>
  <si>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</si>
  <si>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</si>
  <si>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</si>
  <si>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</si>
  <si>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</si>
  <si>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</si>
  <si>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</si>
  <si>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</si>
  <si>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</si>
  <si>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</si>
  <si>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</si>
  <si>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</si>
  <si>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</si>
  <si>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</si>
  <si>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</si>
  <si>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</si>
  <si>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</si>
  <si>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</si>
  <si>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</si>
  <si>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</si>
  <si>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</si>
  <si>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</si>
  <si>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</si>
  <si>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</si>
  <si>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</si>
  <si>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</si>
  <si>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</si>
  <si>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</si>
  <si>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</si>
  <si>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</si>
  <si>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</si>
  <si>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</si>
  <si>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</si>
  <si>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</si>
  <si>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</si>
  <si>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</si>
  <si>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</si>
  <si>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</si>
  <si>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</si>
  <si>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</si>
  <si>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</si>
  <si>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</si>
  <si>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</si>
  <si>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</si>
  <si>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</si>
  <si>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</si>
  <si>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</si>
  <si>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</si>
  <si>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</si>
  <si>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</si>
  <si>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</si>
  <si>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</si>
  <si>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</si>
  <si>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</si>
  <si>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</si>
  <si>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</si>
  <si>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</si>
  <si>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</si>
  <si>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</si>
  <si>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</si>
  <si>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</si>
  <si>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</si>
  <si>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</si>
  <si>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</si>
  <si>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</si>
  <si>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</si>
  <si>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</si>
  <si>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</si>
  <si>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</si>
  <si>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</si>
  <si>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</si>
  <si>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</si>
  <si>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</si>
  <si>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</si>
  <si>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</si>
  <si>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</si>
  <si>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</si>
  <si>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</si>
  <si>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</si>
  <si>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</si>
  <si>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</si>
  <si>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</si>
  <si>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</si>
  <si>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</si>
  <si>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</si>
  <si>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</si>
  <si>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</si>
  <si>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</si>
  <si>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</si>
  <si>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</si>
  <si>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</si>
  <si>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</si>
  <si>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</si>
  <si>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</si>
  <si>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</si>
  <si>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</si>
  <si>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</si>
  <si>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</si>
  <si>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</si>
  <si>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</si>
  <si>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</si>
  <si>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</si>
  <si>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</si>
  <si>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</si>
  <si>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</si>
  <si>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</si>
  <si>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</si>
  <si>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</si>
  <si>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</si>
  <si>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</si>
  <si>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</si>
  <si>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</si>
  <si>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</si>
  <si>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</si>
  <si>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</si>
  <si>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</si>
  <si>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</si>
  <si>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</si>
  <si>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</si>
  <si>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</si>
  <si>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</si>
  <si>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</si>
  <si>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</si>
  <si>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</si>
  <si>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</si>
  <si>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</si>
  <si>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</si>
  <si>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</si>
  <si>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</si>
  <si>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</si>
  <si>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</si>
  <si>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Ecc­Konark Joint Venture</t>
  </si>
  <si>
    <t>Bapnala</t>
  </si>
  <si>
    <t>19.105917,72.869750</t>
  </si>
  <si>
    <t>https://maps.app.goo.gl/85kEnHgeytNr19S98</t>
  </si>
  <si>
    <t>4.0 KM from Andheri Railway Station</t>
  </si>
  <si>
    <t>Internal Road</t>
  </si>
  <si>
    <t>Andheri East</t>
  </si>
  <si>
    <t>House</t>
  </si>
  <si>
    <t>Other Plot</t>
  </si>
  <si>
    <t>Sale Buidling No.1 (Wing C)</t>
  </si>
  <si>
    <t>Sale Plot</t>
  </si>
  <si>
    <t>13.40 M. Wide Road</t>
  </si>
  <si>
    <t>Approved Builtup Area of Wing A &amp; Wing B (Sq.Mt)</t>
  </si>
  <si>
    <t>As per RERA - 31/12/2025</t>
  </si>
  <si>
    <r>
      <t xml:space="preserve">Proposed Amenities :                                                                                                                                                                                                                         </t>
    </r>
    <r>
      <rPr>
        <b/>
        <sz val="12"/>
        <color theme="1"/>
        <rFont val="Times New Roman"/>
        <family val="1"/>
      </rPr>
      <t xml:space="preserve">                                               </t>
    </r>
  </si>
  <si>
    <t>Fitness Center, Childern Play Area, Jogging Track, Designed Landscape Area, Mini Theatre, Senior Citizen Sitting Area, Multi-purpose Hall, Library, Indoor Games, Grand Entrance Lobby, Sewage Treatment Plant (Stp), Separate Service Elevators, Electric Car Charging Facility, Rain water harvesting Tank, Alternate Power Supply Source, Solar Panel etc.</t>
  </si>
  <si>
    <t>SRA/ENG/2949/KE/PL/AP</t>
  </si>
  <si>
    <t xml:space="preserve">Sale Building No.1 </t>
  </si>
  <si>
    <t>Wing A</t>
  </si>
  <si>
    <t>3rd to 1st Basement Floor For Parking</t>
  </si>
  <si>
    <t>Ground Floor For Residential, Entrance Lobby, Meter Room &amp; Fitness Center</t>
  </si>
  <si>
    <t>Entrance Lobby &amp; Meter Room</t>
  </si>
  <si>
    <t>Fitness Center</t>
  </si>
  <si>
    <t>3BHK</t>
  </si>
  <si>
    <t>2BHK</t>
  </si>
  <si>
    <t>1st to 7th, 9th, 11th, 13th &amp; 15th Floor</t>
  </si>
  <si>
    <t>8th, 10th, 12th, 14th &amp; 16th Floor (Part Refuge Area at Mid Landing)</t>
  </si>
  <si>
    <t>Wing B</t>
  </si>
  <si>
    <t>Entrance Lobby</t>
  </si>
  <si>
    <t xml:space="preserve">Ground Floor For Residential, Entrance Lobby &amp; Meter Room </t>
  </si>
  <si>
    <t xml:space="preserve">Meter Room </t>
  </si>
  <si>
    <t>1st &amp; 2nd Floor</t>
  </si>
  <si>
    <t>3rd to 7th, 9th, 11th, 13th &amp; 15th Floor</t>
  </si>
  <si>
    <t xml:space="preserve">Details of Residential in Building   </t>
  </si>
  <si>
    <r>
      <t xml:space="preserve">Flat No.
</t>
    </r>
    <r>
      <rPr>
        <b/>
        <sz val="11"/>
        <rFont val="Times New Roman"/>
        <family val="1"/>
      </rPr>
      <t>(Approved Plan)</t>
    </r>
  </si>
  <si>
    <t>Sale Building No.1</t>
  </si>
  <si>
    <t>Approved Plans, CC, Sale Plans, Airport Noc, EC</t>
  </si>
  <si>
    <t>Vaild up to Date</t>
  </si>
  <si>
    <t>64.58 Meter AMSL</t>
  </si>
  <si>
    <t>SIA/MH/INFRA2/404799/2022</t>
  </si>
  <si>
    <t>Blue Dart Center</t>
  </si>
  <si>
    <t>Ashok Nagar</t>
  </si>
  <si>
    <t>Office No. 1031, Wing J, Akshar Business Park, Plot No. 03 Sector 25, Near APMC Market,
Vashi, Navi Mumbai, Maharashtra 400703 TEL: 022-46090378/79/80                                                                       
E mail : vsjcapf@gmail.com. Web site : www.vsjadon.com</t>
  </si>
  <si>
    <t>New Technical SRA CHS Ltd &amp; Emanuel SRA CHS Ltd.</t>
  </si>
  <si>
    <t>Wing A &amp; B = 3B + Gr + 1st to 16th Floor</t>
  </si>
  <si>
    <t>We considered Gross carpet area = Net carpet + Dry Balcony + Deck Area.</t>
  </si>
  <si>
    <t>visitor</t>
  </si>
  <si>
    <t>online</t>
  </si>
  <si>
    <t>10, 10/1, 11, 11/1 to 3, 12, 13, 28, 29, 31, 32, 32/1 to 4, 33, 34, 35, 35/1 to 3, 36, 36/1 to 4, 37, 37/1, 38, 39, 39/1 to 7, 40, 41-A (Pt), 41B/1/1, 41B/1/2, 42, 42/1 to 2, 43, 43/1, 44 &amp; 45 Redevelopment of  " New Technical SRA CHS Ltd &amp; Emanuel SRA CHS Ltd "</t>
  </si>
  <si>
    <t>Prime Corporate Park</t>
  </si>
  <si>
    <t>BT-1/NOC/SNCR/WEST/B/062812/042</t>
  </si>
  <si>
    <t>Mr. Mohit 9820008339</t>
  </si>
  <si>
    <t>Luma Tower A, B &amp; C</t>
  </si>
  <si>
    <t>Sale Building No.1 (Wing A, B &amp; C)</t>
  </si>
  <si>
    <t>Tower A &amp; B = P51800012155
Tower C = P51800054472</t>
  </si>
  <si>
    <t>Sale Building No.1 (Tower C)</t>
  </si>
  <si>
    <t>Sale Building No.1 (Tower A &amp; B)</t>
  </si>
  <si>
    <t>This C.C is re­endorsed upto plinth level as per approved amended plan dated 01/09/2022.</t>
  </si>
  <si>
    <r>
      <t xml:space="preserve">This CC is further extended upto 16th upper floor including OHWT &amp; LMR with brickwork to entire </t>
    </r>
    <r>
      <rPr>
        <b/>
        <sz val="12"/>
        <color indexed="8"/>
        <rFont val="Times New Roman"/>
        <family val="1"/>
      </rPr>
      <t>wing 'A'</t>
    </r>
    <r>
      <rPr>
        <sz val="12"/>
        <color indexed="8"/>
        <rFont val="Times New Roman"/>
        <family val="1"/>
      </rPr>
      <t xml:space="preserve"> as per approved amended plans dtd.30/07/2024.</t>
    </r>
  </si>
  <si>
    <r>
      <t xml:space="preserve">This CC is further extended upto 16th upper floors including OHWT with brickwork to entire </t>
    </r>
    <r>
      <rPr>
        <b/>
        <sz val="12"/>
        <color indexed="8"/>
        <rFont val="Times New Roman"/>
        <family val="1"/>
      </rPr>
      <t>wing 'B'</t>
    </r>
    <r>
      <rPr>
        <sz val="12"/>
        <color indexed="8"/>
        <rFont val="Times New Roman"/>
        <family val="1"/>
      </rPr>
      <t xml:space="preserve"> as per approved amended plans dtd. 27/09/2024.</t>
    </r>
  </si>
  <si>
    <t>Wing C = 3B + Gr + 1st to 16th Floor</t>
  </si>
  <si>
    <t>Wing A = 3B + Gr + 1st to 16th Floor
Wing B = 3B + Gr + 1st to 16th Floor
Wing C = 3B + Gr + 1st to 16th Floor</t>
  </si>
  <si>
    <t>Wing C</t>
  </si>
  <si>
    <t>Ground Floor for Residential, Meter Room, Fitness Center &amp; Parking</t>
  </si>
  <si>
    <t>Fitness Center, Meter Room &amp; Parking</t>
  </si>
  <si>
    <t>Void Area</t>
  </si>
  <si>
    <t>Parking Area</t>
  </si>
  <si>
    <t>2nd Floor</t>
  </si>
  <si>
    <t>1st Floor for Residential &amp; Parking</t>
  </si>
  <si>
    <t>Car Lift Machine Room / Service Level</t>
  </si>
  <si>
    <t>Flats - 302</t>
  </si>
  <si>
    <t>We have updated latest approved floor plans for Wing C (On 03/12/2024).</t>
  </si>
  <si>
    <t>We have updated latest CC (On 03/12/2024).</t>
  </si>
  <si>
    <t>Deck/  Balcony Area</t>
  </si>
  <si>
    <t>03 Wings</t>
  </si>
  <si>
    <t xml:space="preserve">Plot CS No. 10, 10/1, 11, 11/1 to 3, 12, 13, 28, 29, 31, 32, 32 (1 to 4), 33, 34, 35 35/1 to 3, 36, 36/1 to 4, 37, 37/1, 38, 39, 39/1 to 7, 40, 41 A(pt), 41B/1, 41B/2, 42, 42/1 to 2, 43, 43/1, 44 &amp; 45
Proposed Builtup Area = 115683.01 Sq.M
Sale Building (Wing A, B &amp; C) = 3B + Gr + 1st to 16th Floor(51.20M Height)
</t>
  </si>
  <si>
    <t>Utilities connection charges</t>
  </si>
  <si>
    <t>Recommended Rates/Other Charges of the Property have been revised on 09/12/2024.</t>
  </si>
  <si>
    <t>OC chages added by Shailesh Zantye, on 09/12/2024.(Cs)</t>
  </si>
  <si>
    <t>Wing A = 3B + Gr + 1st to 16th Floor</t>
  </si>
  <si>
    <t>Wing B = 3B + Gr + 1st to 16th Floor</t>
  </si>
  <si>
    <t>Pratik Niwate</t>
  </si>
  <si>
    <t>Pranita Mhatre</t>
  </si>
  <si>
    <t>Construction work is in process at the time of Visit. (Internal photographs was not allowed.)</t>
  </si>
  <si>
    <t>Average Progress %</t>
  </si>
  <si>
    <t>Average Disbursement %</t>
  </si>
  <si>
    <t>Average of Part I &amp; II</t>
  </si>
  <si>
    <t>Wing C - (Part I) = 3B + Gr + 1st to 16th Floor</t>
  </si>
  <si>
    <t>Wing C- (Part II) = 3B + Gr + 1st to 16th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</si>
</sst>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6" fillId="0" borderId="0" applyNumberFormat="0" applyFill="0" applyBorder="0" applyAlignment="0" applyProtection="0"/>
  </cellStyleXfs>
  <cellXfs count="25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4"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6"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7" fillId="0" borderId="6"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1" fontId="7" fillId="0" borderId="1" xfId="1" applyNumberFormat="1" applyFont="1" applyBorder="1" applyAlignment="1">
      <alignment horizontal="center" vertical="center"/>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 fontId="6" fillId="0" borderId="2" xfId="0" applyNumberFormat="1" applyFont="1" applyBorder="1" applyAlignment="1" applyProtection="1">
      <alignment horizontal="center" vertical="center" wrapText="1"/>
      <protection locked="0"/>
    </xf>
    <xf numFmtId="1" fontId="7" fillId="0" borderId="24" xfId="1" applyNumberFormat="1" applyFont="1" applyBorder="1" applyAlignment="1">
      <alignment vertical="center"/>
    </xf>
    <xf numFmtId="1" fontId="7" fillId="0" borderId="0" xfId="1" applyNumberFormat="1" applyFont="1" applyAlignment="1">
      <alignment vertical="center"/>
    </xf>
    <xf numFmtId="1" fontId="7" fillId="0" borderId="0" xfId="0" applyNumberFormat="1" applyFont="1" applyAlignment="1">
      <alignment horizontal="center" vertical="center"/>
    </xf>
    <xf numFmtId="1" fontId="7" fillId="0" borderId="1" xfId="0" applyNumberFormat="1" applyFont="1" applyBorder="1" applyAlignment="1">
      <alignment horizontal="center" vertical="center"/>
    </xf>
    <xf numFmtId="0" fontId="24" fillId="2" borderId="14" xfId="0" applyFont="1" applyFill="1" applyBorder="1"/>
    <xf numFmtId="0" fontId="25" fillId="0" borderId="8" xfId="0" applyFont="1" applyBorder="1"/>
    <xf numFmtId="1" fontId="0" fillId="0" borderId="0" xfId="0" applyNumberFormat="1"/>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0" fillId="4" borderId="40" xfId="1" applyFont="1" applyFill="1" applyBorder="1" applyAlignment="1" applyProtection="1">
      <alignment horizontal="center" vertical="center" wrapText="1"/>
      <protection locked="0"/>
    </xf>
    <xf numFmtId="0" fontId="10" fillId="4" borderId="38" xfId="1" applyFont="1" applyFill="1" applyBorder="1" applyAlignment="1" applyProtection="1">
      <alignment horizontal="center" vertical="center" wrapText="1"/>
      <protection locked="0"/>
    </xf>
    <xf numFmtId="0" fontId="10" fillId="4" borderId="42" xfId="1" applyFont="1" applyFill="1" applyBorder="1" applyAlignment="1" applyProtection="1">
      <alignment horizontal="center" vertical="center" wrapText="1"/>
      <protection locked="0"/>
    </xf>
    <xf numFmtId="0" fontId="10" fillId="4" borderId="28" xfId="1" applyFont="1" applyFill="1" applyBorder="1" applyAlignment="1" applyProtection="1">
      <alignment horizontal="center" vertical="center" wrapText="1"/>
      <protection locked="0"/>
    </xf>
    <xf numFmtId="0" fontId="10" fillId="4" borderId="39" xfId="1" applyFont="1" applyFill="1" applyBorder="1" applyAlignment="1" applyProtection="1">
      <alignment horizontal="center" vertical="center" wrapText="1"/>
      <protection locked="0"/>
    </xf>
    <xf numFmtId="0" fontId="10" fillId="4" borderId="27" xfId="1" applyFont="1" applyFill="1" applyBorder="1" applyAlignment="1" applyProtection="1">
      <alignment horizontal="center" vertical="center" wrapText="1"/>
      <protection locked="0"/>
    </xf>
    <xf numFmtId="9" fontId="10" fillId="4" borderId="39" xfId="1" applyNumberFormat="1" applyFont="1" applyFill="1" applyBorder="1" applyAlignment="1" applyProtection="1">
      <alignment horizontal="center" vertical="center" wrapText="1"/>
      <protection locked="0"/>
    </xf>
    <xf numFmtId="9" fontId="10" fillId="4" borderId="41" xfId="1" applyNumberFormat="1" applyFont="1" applyFill="1" applyBorder="1" applyAlignment="1" applyProtection="1">
      <alignment horizontal="center" vertical="center" wrapText="1"/>
      <protection locked="0"/>
    </xf>
    <xf numFmtId="0" fontId="10" fillId="4" borderId="11" xfId="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0"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16" fillId="0" borderId="20"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7"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0" fontId="6" fillId="3" borderId="7" xfId="1" applyFont="1" applyFill="1" applyBorder="1" applyAlignment="1" applyProtection="1">
      <alignment horizontal="center" vertical="top" wrapText="1"/>
      <protection locked="0"/>
    </xf>
    <xf numFmtId="0" fontId="6" fillId="3" borderId="20" xfId="1" applyFont="1" applyFill="1" applyBorder="1" applyAlignment="1" applyProtection="1">
      <alignment horizontal="center" vertical="top" wrapText="1"/>
      <protection locked="0"/>
    </xf>
    <xf numFmtId="0" fontId="6" fillId="3" borderId="8" xfId="1" applyFont="1" applyFill="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8"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2"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5" xfId="0" applyNumberFormat="1"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1" fontId="13" fillId="0" borderId="16" xfId="1" applyNumberFormat="1" applyFont="1" applyBorder="1" applyAlignment="1" applyProtection="1">
      <alignment horizontal="center" vertical="top" wrapText="1"/>
      <protection locked="0"/>
    </xf>
    <xf numFmtId="1" fontId="13" fillId="0" borderId="18"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24"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3" borderId="7" xfId="1" applyNumberFormat="1" applyFont="1" applyFill="1" applyBorder="1" applyAlignment="1" applyProtection="1">
      <alignment horizontal="center" vertical="center" wrapText="1"/>
      <protection locked="0"/>
    </xf>
    <xf numFmtId="1" fontId="13" fillId="3" borderId="20" xfId="1" applyNumberFormat="1" applyFont="1" applyFill="1" applyBorder="1" applyAlignment="1" applyProtection="1">
      <alignment horizontal="center" vertical="center" wrapText="1"/>
      <protection locked="0"/>
    </xf>
    <xf numFmtId="1" fontId="13" fillId="3" borderId="8" xfId="1" applyNumberFormat="1" applyFont="1" applyFill="1" applyBorder="1" applyAlignment="1" applyProtection="1">
      <alignment horizontal="center" vertical="center"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7" fillId="0" borderId="5" xfId="1" applyFont="1" applyBorder="1" applyAlignment="1" applyProtection="1">
      <alignment horizontal="center" vertical="top"/>
      <protection locked="0"/>
    </xf>
    <xf numFmtId="0" fontId="7" fillId="0" borderId="6"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30" fillId="0" borderId="2" xfId="1" applyNumberFormat="1" applyFont="1" applyBorder="1" applyAlignment="1" applyProtection="1">
      <alignment horizontal="center" vertical="top" wrapText="1"/>
      <protection locked="0"/>
    </xf>
    <xf numFmtId="1" fontId="30" fillId="0" borderId="15"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7" fillId="0" borderId="2" xfId="0" applyNumberFormat="1" applyFont="1" applyBorder="1" applyAlignment="1" applyProtection="1">
      <alignment horizontal="center" vertical="center"/>
      <protection locked="0"/>
    </xf>
    <xf numFmtId="0" fontId="8" fillId="0" borderId="15" xfId="1" applyFont="1" applyBorder="1" applyAlignment="1" applyProtection="1">
      <alignment horizontal="left" vertical="top"/>
      <protection locked="0"/>
    </xf>
    <xf numFmtId="1" fontId="6" fillId="0" borderId="17" xfId="0" applyNumberFormat="1" applyFont="1" applyBorder="1" applyAlignment="1" applyProtection="1">
      <alignment horizontal="center" vertical="center" wrapText="1"/>
      <protection locked="0"/>
    </xf>
    <xf numFmtId="1" fontId="6" fillId="0" borderId="25" xfId="0" applyNumberFormat="1" applyFont="1" applyBorder="1" applyAlignment="1" applyProtection="1">
      <alignment horizontal="center" vertical="center" wrapText="1"/>
      <protection locked="0"/>
    </xf>
    <xf numFmtId="1" fontId="6" fillId="0" borderId="28" xfId="0" applyNumberFormat="1" applyFont="1" applyBorder="1" applyAlignment="1" applyProtection="1">
      <alignment horizontal="center" vertical="center" wrapText="1"/>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1" fontId="10" fillId="0" borderId="35" xfId="0" applyNumberFormat="1" applyFont="1" applyBorder="1" applyAlignment="1" applyProtection="1">
      <alignment horizontal="center" vertical="top" wrapText="1"/>
      <protection locked="0"/>
    </xf>
    <xf numFmtId="0" fontId="10" fillId="0" borderId="35" xfId="0" applyFont="1" applyBorder="1" applyAlignment="1" applyProtection="1">
      <alignment horizontal="center" vertical="top" wrapText="1"/>
      <protection locked="0"/>
    </xf>
    <xf numFmtId="1" fontId="8" fillId="0" borderId="35" xfId="0"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top" wrapText="1"/>
      <protection locked="0"/>
    </xf>
    <xf numFmtId="0" fontId="8" fillId="0" borderId="21" xfId="1" applyFont="1" applyBorder="1" applyAlignment="1" applyProtection="1">
      <alignment horizontal="left" vertical="top"/>
      <protection locked="0"/>
    </xf>
    <xf numFmtId="0" fontId="8" fillId="0" borderId="14" xfId="1" applyFont="1" applyBorder="1" applyAlignment="1" applyProtection="1">
      <alignment horizontal="left" vertical="top"/>
      <protection locked="0"/>
    </xf>
    <xf numFmtId="9" fontId="7" fillId="0" borderId="1" xfId="8" applyFont="1" applyFill="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438752</xdr:colOff>
      <xdr:row>15</xdr:row>
      <xdr:rowOff>38472</xdr:rowOff>
    </xdr:from>
    <xdr:to>
      <xdr:col>13</xdr:col>
      <xdr:colOff>381257</xdr:colOff>
      <xdr:row>15</xdr:row>
      <xdr:rowOff>950969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58382" y="3599994"/>
          <a:ext cx="5400744" cy="912497"/>
        </a:xfrm>
        <a:prstGeom prst="rect">
          <a:avLst/>
        </a:prstGeom>
      </xdr:spPr>
    </xdr:pic>
    <xdr:clientData/>
  </xdr:twoCellAnchor>
  <xdr:twoCellAnchor editAs="oneCell">
    <xdr:from>
      <xdr:col>1</xdr:col>
      <xdr:colOff>381106</xdr:colOff>
      <xdr:row>346</xdr:row>
      <xdr:rowOff>190500</xdr:rowOff>
    </xdr:from>
    <xdr:to>
      <xdr:col>6</xdr:col>
      <xdr:colOff>390337</xdr:colOff>
      <xdr:row>364</xdr:row>
      <xdr:rowOff>3095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143106" y="58362273"/>
          <a:ext cx="4096322" cy="3553321"/>
        </a:xfrm>
        <a:prstGeom prst="rect">
          <a:avLst/>
        </a:prstGeom>
        <a:ln w="9525">
          <a:solidFill>
            <a:schemeClr val="tx1"/>
          </a:solidFill>
        </a:ln>
      </xdr:spPr>
    </xdr:pic>
    <xdr:clientData/>
  </xdr:twoCellAnchor>
  <xdr:twoCellAnchor editAs="oneCell">
    <xdr:from>
      <xdr:col>0</xdr:col>
      <xdr:colOff>381000</xdr:colOff>
      <xdr:row>364</xdr:row>
      <xdr:rowOff>206247</xdr:rowOff>
    </xdr:from>
    <xdr:to>
      <xdr:col>7</xdr:col>
      <xdr:colOff>425079</xdr:colOff>
      <xdr:row>387</xdr:row>
      <xdr:rowOff>37173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81000" y="62118747"/>
          <a:ext cx="5620534" cy="4610743"/>
        </a:xfrm>
        <a:prstGeom prst="rect">
          <a:avLst/>
        </a:prstGeom>
        <a:ln w="9525">
          <a:solidFill>
            <a:schemeClr val="tx1"/>
          </a:solidFill>
        </a:ln>
      </xdr:spPr>
    </xdr:pic>
    <xdr:clientData/>
  </xdr:twoCellAnchor>
  <xdr:twoCellAnchor>
    <xdr:from>
      <xdr:col>4</xdr:col>
      <xdr:colOff>145576</xdr:colOff>
      <xdr:row>378</xdr:row>
      <xdr:rowOff>15737</xdr:rowOff>
    </xdr:from>
    <xdr:to>
      <xdr:col>5</xdr:col>
      <xdr:colOff>77458</xdr:colOff>
      <xdr:row>380</xdr:row>
      <xdr:rowOff>174776</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470667" y="64837692"/>
          <a:ext cx="711200" cy="5746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209076</xdr:colOff>
      <xdr:row>380</xdr:row>
      <xdr:rowOff>200176</xdr:rowOff>
    </xdr:from>
    <xdr:to>
      <xdr:col>5</xdr:col>
      <xdr:colOff>77458</xdr:colOff>
      <xdr:row>384</xdr:row>
      <xdr:rowOff>2064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3534167" y="65437767"/>
          <a:ext cx="647700" cy="63316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553647</xdr:colOff>
      <xdr:row>376</xdr:row>
      <xdr:rowOff>25069</xdr:rowOff>
    </xdr:from>
    <xdr:to>
      <xdr:col>5</xdr:col>
      <xdr:colOff>605117</xdr:colOff>
      <xdr:row>378</xdr:row>
      <xdr:rowOff>58444</xdr:rowOff>
    </xdr:to>
    <xdr:sp macro="" textlink="">
      <xdr:nvSpPr>
        <xdr:cNvPr id="9" name="TextBox 17">
          <a:extLst>
            <a:ext uri="{FF2B5EF4-FFF2-40B4-BE49-F238E27FC236}">
              <a16:creationId xmlns:a16="http://schemas.microsoft.com/office/drawing/2014/main" id="{00000000-0008-0000-0000-000009000000}"/>
            </a:ext>
          </a:extLst>
        </xdr:cNvPr>
        <xdr:cNvSpPr txBox="1"/>
      </xdr:nvSpPr>
      <xdr:spPr>
        <a:xfrm>
          <a:off x="2962912" y="57208687"/>
          <a:ext cx="1754764" cy="436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C00000"/>
              </a:solidFill>
            </a:rPr>
            <a:t>Sale Building No. 1          Wing A</a:t>
          </a:r>
          <a:endParaRPr lang="en-IN" sz="1100" b="1">
            <a:solidFill>
              <a:srgbClr val="C00000"/>
            </a:solidFill>
          </a:endParaRPr>
        </a:p>
      </xdr:txBody>
    </xdr:sp>
    <xdr:clientData/>
  </xdr:twoCellAnchor>
  <xdr:twoCellAnchor>
    <xdr:from>
      <xdr:col>3</xdr:col>
      <xdr:colOff>654500</xdr:colOff>
      <xdr:row>383</xdr:row>
      <xdr:rowOff>195913</xdr:rowOff>
    </xdr:from>
    <xdr:to>
      <xdr:col>5</xdr:col>
      <xdr:colOff>549898</xdr:colOff>
      <xdr:row>386</xdr:row>
      <xdr:rowOff>27582</xdr:rowOff>
    </xdr:to>
    <xdr:sp macro="" textlink="">
      <xdr:nvSpPr>
        <xdr:cNvPr id="10" name="TextBox 20">
          <a:extLst>
            <a:ext uri="{FF2B5EF4-FFF2-40B4-BE49-F238E27FC236}">
              <a16:creationId xmlns:a16="http://schemas.microsoft.com/office/drawing/2014/main" id="{00000000-0008-0000-0000-00000A000000}"/>
            </a:ext>
          </a:extLst>
        </xdr:cNvPr>
        <xdr:cNvSpPr txBox="1"/>
      </xdr:nvSpPr>
      <xdr:spPr>
        <a:xfrm>
          <a:off x="3063765" y="58791472"/>
          <a:ext cx="1598692" cy="436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C00000"/>
              </a:solidFill>
            </a:rPr>
            <a:t>Sale Building No. 1  Wing B</a:t>
          </a:r>
          <a:endParaRPr lang="en-IN" sz="1100" b="1">
            <a:solidFill>
              <a:srgbClr val="C00000"/>
            </a:solidFill>
          </a:endParaRPr>
        </a:p>
      </xdr:txBody>
    </xdr:sp>
    <xdr:clientData/>
  </xdr:twoCellAnchor>
  <xdr:twoCellAnchor editAs="oneCell">
    <xdr:from>
      <xdr:col>0</xdr:col>
      <xdr:colOff>450273</xdr:colOff>
      <xdr:row>408</xdr:row>
      <xdr:rowOff>51955</xdr:rowOff>
    </xdr:from>
    <xdr:to>
      <xdr:col>7</xdr:col>
      <xdr:colOff>273818</xdr:colOff>
      <xdr:row>428</xdr:row>
      <xdr:rowOff>71593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4"/>
        <a:srcRect t="1371" r="3787" b="9766"/>
        <a:stretch/>
      </xdr:blipFill>
      <xdr:spPr>
        <a:xfrm>
          <a:off x="450273" y="71108455"/>
          <a:ext cx="5400000" cy="4176000"/>
        </a:xfrm>
        <a:prstGeom prst="rect">
          <a:avLst/>
        </a:prstGeom>
        <a:ln w="9525">
          <a:solidFill>
            <a:schemeClr val="tx1"/>
          </a:solidFill>
        </a:ln>
      </xdr:spPr>
    </xdr:pic>
    <xdr:clientData/>
  </xdr:twoCellAnchor>
  <xdr:twoCellAnchor editAs="oneCell">
    <xdr:from>
      <xdr:col>1</xdr:col>
      <xdr:colOff>17952</xdr:colOff>
      <xdr:row>392</xdr:row>
      <xdr:rowOff>34637</xdr:rowOff>
    </xdr:from>
    <xdr:to>
      <xdr:col>6</xdr:col>
      <xdr:colOff>636868</xdr:colOff>
      <xdr:row>407</xdr:row>
      <xdr:rowOff>89631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779952" y="67766046"/>
          <a:ext cx="4706007" cy="3172268"/>
        </a:xfrm>
        <a:prstGeom prst="rect">
          <a:avLst/>
        </a:prstGeom>
        <a:ln w="9525">
          <a:solidFill>
            <a:schemeClr val="tx1"/>
          </a:solidFill>
        </a:ln>
      </xdr:spPr>
    </xdr:pic>
    <xdr:clientData/>
  </xdr:twoCellAnchor>
  <xdr:twoCellAnchor editAs="oneCell">
    <xdr:from>
      <xdr:col>11</xdr:col>
      <xdr:colOff>478013</xdr:colOff>
      <xdr:row>173</xdr:row>
      <xdr:rowOff>0</xdr:rowOff>
    </xdr:from>
    <xdr:to>
      <xdr:col>14</xdr:col>
      <xdr:colOff>342141</xdr:colOff>
      <xdr:row>192</xdr:row>
      <xdr:rowOff>34664</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
        <a:stretch>
          <a:fillRect/>
        </a:stretch>
      </xdr:blipFill>
      <xdr:spPr>
        <a:xfrm>
          <a:off x="9421988" y="26060400"/>
          <a:ext cx="2416829" cy="4238145"/>
        </a:xfrm>
        <a:prstGeom prst="rect">
          <a:avLst/>
        </a:prstGeom>
      </xdr:spPr>
    </xdr:pic>
    <xdr:clientData/>
  </xdr:twoCellAnchor>
  <xdr:twoCellAnchor editAs="oneCell">
    <xdr:from>
      <xdr:col>17</xdr:col>
      <xdr:colOff>453311</xdr:colOff>
      <xdr:row>179</xdr:row>
      <xdr:rowOff>52243</xdr:rowOff>
    </xdr:from>
    <xdr:to>
      <xdr:col>21</xdr:col>
      <xdr:colOff>365111</xdr:colOff>
      <xdr:row>199</xdr:row>
      <xdr:rowOff>30974</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7"/>
        <a:stretch>
          <a:fillRect/>
        </a:stretch>
      </xdr:blipFill>
      <xdr:spPr>
        <a:xfrm>
          <a:off x="14154657" y="34181051"/>
          <a:ext cx="2571473" cy="3935269"/>
        </a:xfrm>
        <a:prstGeom prst="rect">
          <a:avLst/>
        </a:prstGeom>
      </xdr:spPr>
    </xdr:pic>
    <xdr:clientData/>
  </xdr:twoCellAnchor>
  <xdr:twoCellAnchor>
    <xdr:from>
      <xdr:col>3</xdr:col>
      <xdr:colOff>381000</xdr:colOff>
      <xdr:row>418</xdr:row>
      <xdr:rowOff>105105</xdr:rowOff>
    </xdr:from>
    <xdr:to>
      <xdr:col>4</xdr:col>
      <xdr:colOff>282464</xdr:colOff>
      <xdr:row>422</xdr:row>
      <xdr:rowOff>131380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791810" y="59836708"/>
          <a:ext cx="814551" cy="81455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8</xdr:col>
      <xdr:colOff>438978</xdr:colOff>
      <xdr:row>15</xdr:row>
      <xdr:rowOff>1013049</xdr:rowOff>
    </xdr:from>
    <xdr:to>
      <xdr:col>12</xdr:col>
      <xdr:colOff>41742</xdr:colOff>
      <xdr:row>18</xdr:row>
      <xdr:rowOff>169275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8"/>
        <a:stretch>
          <a:fillRect/>
        </a:stretch>
      </xdr:blipFill>
      <xdr:spPr>
        <a:xfrm>
          <a:off x="6758608" y="4574571"/>
          <a:ext cx="4274155" cy="1080000"/>
        </a:xfrm>
        <a:prstGeom prst="rect">
          <a:avLst/>
        </a:prstGeom>
      </xdr:spPr>
    </xdr:pic>
    <xdr:clientData/>
  </xdr:twoCellAnchor>
  <xdr:twoCellAnchor>
    <xdr:from>
      <xdr:col>3</xdr:col>
      <xdr:colOff>31750</xdr:colOff>
      <xdr:row>377</xdr:row>
      <xdr:rowOff>158749</xdr:rowOff>
    </xdr:from>
    <xdr:to>
      <xdr:col>4</xdr:col>
      <xdr:colOff>184150</xdr:colOff>
      <xdr:row>384</xdr:row>
      <xdr:rowOff>82550</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2559050" y="69627749"/>
          <a:ext cx="1111250" cy="130175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234950</xdr:colOff>
      <xdr:row>379</xdr:row>
      <xdr:rowOff>158750</xdr:rowOff>
    </xdr:from>
    <xdr:to>
      <xdr:col>3</xdr:col>
      <xdr:colOff>337220</xdr:colOff>
      <xdr:row>382</xdr:row>
      <xdr:rowOff>4986</xdr:rowOff>
    </xdr:to>
    <xdr:sp macro="" textlink="">
      <xdr:nvSpPr>
        <xdr:cNvPr id="38" name="TextBox 17">
          <a:extLst>
            <a:ext uri="{FF2B5EF4-FFF2-40B4-BE49-F238E27FC236}">
              <a16:creationId xmlns:a16="http://schemas.microsoft.com/office/drawing/2014/main" id="{00000000-0008-0000-0000-000026000000}"/>
            </a:ext>
          </a:extLst>
        </xdr:cNvPr>
        <xdr:cNvSpPr txBox="1"/>
      </xdr:nvSpPr>
      <xdr:spPr>
        <a:xfrm>
          <a:off x="1035050" y="70021450"/>
          <a:ext cx="1829470" cy="436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C00000"/>
              </a:solidFill>
            </a:rPr>
            <a:t>Sale Building No. 1          Wing C</a:t>
          </a:r>
          <a:endParaRPr lang="en-IN" sz="1100" b="1">
            <a:solidFill>
              <a:srgbClr val="C00000"/>
            </a:solidFill>
          </a:endParaRPr>
        </a:p>
      </xdr:txBody>
    </xdr:sp>
    <xdr:clientData/>
  </xdr:twoCellAnchor>
  <xdr:twoCellAnchor>
    <xdr:from>
      <xdr:col>8</xdr:col>
      <xdr:colOff>696445</xdr:colOff>
      <xdr:row>304</xdr:row>
      <xdr:rowOff>68243</xdr:rowOff>
    </xdr:from>
    <xdr:to>
      <xdr:col>14</xdr:col>
      <xdr:colOff>519267</xdr:colOff>
      <xdr:row>345</xdr:row>
      <xdr:rowOff>161357</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7866865" y="62262683"/>
          <a:ext cx="6299822" cy="8216034"/>
          <a:chOff x="315445" y="59826524"/>
          <a:chExt cx="6150111" cy="8366641"/>
        </a:xfrm>
      </xdr:grpSpPr>
      <xdr:grpSp>
        <xdr:nvGrpSpPr>
          <xdr:cNvPr id="46" name="Group 45">
            <a:extLst>
              <a:ext uri="{FF2B5EF4-FFF2-40B4-BE49-F238E27FC236}">
                <a16:creationId xmlns:a16="http://schemas.microsoft.com/office/drawing/2014/main" id="{00000000-0008-0000-0000-00002E000000}"/>
              </a:ext>
            </a:extLst>
          </xdr:cNvPr>
          <xdr:cNvGrpSpPr/>
        </xdr:nvGrpSpPr>
        <xdr:grpSpPr>
          <a:xfrm>
            <a:off x="315445" y="59826524"/>
            <a:ext cx="6150111" cy="8366641"/>
            <a:chOff x="476863" y="439615"/>
            <a:chExt cx="6151232" cy="8297725"/>
          </a:xfrm>
        </xdr:grpSpPr>
        <xdr:pic>
          <xdr:nvPicPr>
            <xdr:cNvPr id="47" name="Picture 46" descr="https://vsjcllp.vsjadon.com/upload/insp-236794-1525.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824809" y="6577340"/>
              <a:ext cx="2158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6794-843.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94904" y="4280720"/>
              <a:ext cx="303319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6794-845.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28159" y="6577340"/>
              <a:ext cx="286671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6794-851.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97302" y="462702"/>
              <a:ext cx="2832393" cy="37044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794-880.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94904" y="439615"/>
              <a:ext cx="2832393" cy="37044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6794-860.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76863" y="4280720"/>
              <a:ext cx="303319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965386" y="59938584"/>
            <a:ext cx="571934" cy="27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2392393" y="60448029"/>
            <a:ext cx="571934" cy="27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4282327" y="60084259"/>
            <a:ext cx="571934" cy="27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Backside</a:t>
            </a:r>
          </a:p>
        </xdr:txBody>
      </xdr:sp>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957472" y="64104569"/>
            <a:ext cx="571934" cy="27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C</a:t>
            </a:r>
          </a:p>
        </xdr:txBody>
      </xdr:sp>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1400735" y="64467441"/>
            <a:ext cx="313765" cy="12326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393382</xdr:colOff>
      <xdr:row>303</xdr:row>
      <xdr:rowOff>107405</xdr:rowOff>
    </xdr:from>
    <xdr:to>
      <xdr:col>7</xdr:col>
      <xdr:colOff>759141</xdr:colOff>
      <xdr:row>344</xdr:row>
      <xdr:rowOff>169029</xdr:rowOff>
    </xdr:to>
    <xdr:grpSp>
      <xdr:nvGrpSpPr>
        <xdr:cNvPr id="71" name="Group 70">
          <a:extLst>
            <a:ext uri="{FF2B5EF4-FFF2-40B4-BE49-F238E27FC236}">
              <a16:creationId xmlns:a16="http://schemas.microsoft.com/office/drawing/2014/main" id="{5B095436-669D-2E80-50C2-6ED930B4F863}"/>
            </a:ext>
          </a:extLst>
        </xdr:cNvPr>
        <xdr:cNvGrpSpPr/>
      </xdr:nvGrpSpPr>
      <xdr:grpSpPr>
        <a:xfrm>
          <a:off x="393382" y="62103725"/>
          <a:ext cx="6095999" cy="8184544"/>
          <a:chOff x="1319505" y="62767251"/>
          <a:chExt cx="6098344" cy="8232608"/>
        </a:xfrm>
      </xdr:grpSpPr>
      <xdr:grpSp>
        <xdr:nvGrpSpPr>
          <xdr:cNvPr id="70" name="Group 69">
            <a:extLst>
              <a:ext uri="{FF2B5EF4-FFF2-40B4-BE49-F238E27FC236}">
                <a16:creationId xmlns:a16="http://schemas.microsoft.com/office/drawing/2014/main" id="{A644F628-63FF-7FDD-420B-712F4A7E4C9E}"/>
              </a:ext>
            </a:extLst>
          </xdr:cNvPr>
          <xdr:cNvGrpSpPr/>
        </xdr:nvGrpSpPr>
        <xdr:grpSpPr>
          <a:xfrm>
            <a:off x="1319505" y="62767251"/>
            <a:ext cx="6098344" cy="8232608"/>
            <a:chOff x="364074" y="61861488"/>
            <a:chExt cx="6100812" cy="8118771"/>
          </a:xfrm>
        </xdr:grpSpPr>
        <xdr:grpSp>
          <xdr:nvGrpSpPr>
            <xdr:cNvPr id="28" name="Group 27">
              <a:extLst>
                <a:ext uri="{FF2B5EF4-FFF2-40B4-BE49-F238E27FC236}">
                  <a16:creationId xmlns:a16="http://schemas.microsoft.com/office/drawing/2014/main" id="{8561E1BC-5CE2-2D6A-BBD2-FAB53D0F5949}"/>
                </a:ext>
              </a:extLst>
            </xdr:cNvPr>
            <xdr:cNvGrpSpPr/>
          </xdr:nvGrpSpPr>
          <xdr:grpSpPr>
            <a:xfrm>
              <a:off x="364074" y="61861488"/>
              <a:ext cx="6100812" cy="8118771"/>
              <a:chOff x="502921" y="58971180"/>
              <a:chExt cx="6095999" cy="8183880"/>
            </a:xfrm>
          </xdr:grpSpPr>
          <xdr:grpSp>
            <xdr:nvGrpSpPr>
              <xdr:cNvPr id="13" name="Group 12">
                <a:extLst>
                  <a:ext uri="{FF2B5EF4-FFF2-40B4-BE49-F238E27FC236}">
                    <a16:creationId xmlns:a16="http://schemas.microsoft.com/office/drawing/2014/main" id="{32F113DA-9099-7E1A-190C-E799D979957D}"/>
                  </a:ext>
                </a:extLst>
              </xdr:cNvPr>
              <xdr:cNvGrpSpPr/>
            </xdr:nvGrpSpPr>
            <xdr:grpSpPr>
              <a:xfrm>
                <a:off x="502921" y="58971180"/>
                <a:ext cx="6095999" cy="8183880"/>
                <a:chOff x="160638" y="-421356"/>
                <a:chExt cx="6610863" cy="9345422"/>
              </a:xfrm>
            </xdr:grpSpPr>
            <xdr:pic>
              <xdr:nvPicPr>
                <xdr:cNvPr id="14" name="Picture 13">
                  <a:extLst>
                    <a:ext uri="{FF2B5EF4-FFF2-40B4-BE49-F238E27FC236}">
                      <a16:creationId xmlns:a16="http://schemas.microsoft.com/office/drawing/2014/main" id="{81C330B5-B638-2A3B-160A-6E8F95B3826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90637" y="6598778"/>
                  <a:ext cx="1772989" cy="23252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D9B1ACFC-A027-AA26-1D17-EF3C65B4AF0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0638" y="6598778"/>
                  <a:ext cx="2158002" cy="23252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CD90B5AE-3880-5A86-2FFB-3C112B7E6DE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71284" y="-421355"/>
                  <a:ext cx="3081833" cy="40418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a:extLst>
                    <a:ext uri="{FF2B5EF4-FFF2-40B4-BE49-F238E27FC236}">
                      <a16:creationId xmlns:a16="http://schemas.microsoft.com/office/drawing/2014/main" id="{55C9D0AA-CEE5-8B87-7C2F-DC9F9868F72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7816" y="3743319"/>
                  <a:ext cx="2083582" cy="27326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C71AFC9E-C704-44B4-BEBA-4018D1C6DBF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90353" y="-421356"/>
                  <a:ext cx="3081833" cy="40418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BD1C4F5D-D24A-7BA4-B8ED-217955E7257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418449" y="3743319"/>
                  <a:ext cx="2083581" cy="27326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a:extLst>
                    <a:ext uri="{FF2B5EF4-FFF2-40B4-BE49-F238E27FC236}">
                      <a16:creationId xmlns:a16="http://schemas.microsoft.com/office/drawing/2014/main" id="{F5C36F6D-2C71-8CC7-7B6F-AD68C4B0190C}"/>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427004" y="6598778"/>
                  <a:ext cx="2355269" cy="23252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a:extLst>
                    <a:ext uri="{FF2B5EF4-FFF2-40B4-BE49-F238E27FC236}">
                      <a16:creationId xmlns:a16="http://schemas.microsoft.com/office/drawing/2014/main" id="{E59543E8-C086-8F54-F66C-8E695623F255}"/>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612197" y="3730677"/>
                  <a:ext cx="2159304" cy="2732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6" name="TextBox 25">
                <a:extLst>
                  <a:ext uri="{FF2B5EF4-FFF2-40B4-BE49-F238E27FC236}">
                    <a16:creationId xmlns:a16="http://schemas.microsoft.com/office/drawing/2014/main" id="{FFFB5E19-C8A4-4E45-AEE4-E91061AFCC78}"/>
                  </a:ext>
                </a:extLst>
              </xdr:cNvPr>
              <xdr:cNvSpPr txBox="1"/>
            </xdr:nvSpPr>
            <xdr:spPr>
              <a:xfrm>
                <a:off x="2484121" y="59436000"/>
                <a:ext cx="751786" cy="266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27" name="TextBox 26">
                <a:extLst>
                  <a:ext uri="{FF2B5EF4-FFF2-40B4-BE49-F238E27FC236}">
                    <a16:creationId xmlns:a16="http://schemas.microsoft.com/office/drawing/2014/main" id="{741ED53C-35E8-B036-A901-D2D6A95A103D}"/>
                  </a:ext>
                </a:extLst>
              </xdr:cNvPr>
              <xdr:cNvSpPr txBox="1"/>
            </xdr:nvSpPr>
            <xdr:spPr>
              <a:xfrm>
                <a:off x="1005841" y="59222640"/>
                <a:ext cx="751162" cy="266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cap="none" spc="0">
                    <a:ln w="0"/>
                    <a:solidFill>
                      <a:sysClr val="windowText" lastClr="000000"/>
                    </a:solidFill>
                    <a:effectLst>
                      <a:outerShdw blurRad="38100" dist="25400" dir="5400000" algn="ctr" rotWithShape="0">
                        <a:srgbClr val="6E747A">
                          <a:alpha val="43000"/>
                        </a:srgbClr>
                      </a:outerShdw>
                    </a:effectLst>
                  </a:rPr>
                  <a:t>Wing B</a:t>
                </a:r>
              </a:p>
            </xdr:txBody>
          </xdr:sp>
        </xdr:grpSp>
        <xdr:sp macro="" textlink="">
          <xdr:nvSpPr>
            <xdr:cNvPr id="30" name="TextBox 29">
              <a:extLst>
                <a:ext uri="{FF2B5EF4-FFF2-40B4-BE49-F238E27FC236}">
                  <a16:creationId xmlns:a16="http://schemas.microsoft.com/office/drawing/2014/main" id="{1FC8CB6F-80C8-B010-DCCB-587DF106FBED}"/>
                </a:ext>
              </a:extLst>
            </xdr:cNvPr>
            <xdr:cNvSpPr txBox="1"/>
          </xdr:nvSpPr>
          <xdr:spPr>
            <a:xfrm>
              <a:off x="1073164" y="65854119"/>
              <a:ext cx="533782" cy="231151"/>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050" b="1" cap="none" spc="0">
                  <a:ln w="0"/>
                  <a:solidFill>
                    <a:sysClr val="windowText" lastClr="000000"/>
                  </a:solidFill>
                  <a:effectLst>
                    <a:outerShdw blurRad="38100" dist="25400" dir="5400000" algn="ctr" rotWithShape="0">
                      <a:srgbClr val="6E747A">
                        <a:alpha val="43000"/>
                      </a:srgbClr>
                    </a:outerShdw>
                  </a:effectLst>
                </a:rPr>
                <a:t>Part I</a:t>
              </a:r>
            </a:p>
          </xdr:txBody>
        </xdr:sp>
        <xdr:cxnSp macro="">
          <xdr:nvCxnSpPr>
            <xdr:cNvPr id="57" name="Straight Arrow Connector 56">
              <a:extLst>
                <a:ext uri="{FF2B5EF4-FFF2-40B4-BE49-F238E27FC236}">
                  <a16:creationId xmlns:a16="http://schemas.microsoft.com/office/drawing/2014/main" id="{3B2BA637-6CE0-3CCA-C6D9-06C8906D818C}"/>
                </a:ext>
              </a:extLst>
            </xdr:cNvPr>
            <xdr:cNvCxnSpPr/>
          </xdr:nvCxnSpPr>
          <xdr:spPr>
            <a:xfrm>
              <a:off x="1357563" y="66088734"/>
              <a:ext cx="204355" cy="309904"/>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2" name="TextBox 61">
              <a:extLst>
                <a:ext uri="{FF2B5EF4-FFF2-40B4-BE49-F238E27FC236}">
                  <a16:creationId xmlns:a16="http://schemas.microsoft.com/office/drawing/2014/main" id="{CBD513B9-1466-8D7F-9477-ADD2D458BE5A}"/>
                </a:ext>
              </a:extLst>
            </xdr:cNvPr>
            <xdr:cNvSpPr txBox="1"/>
          </xdr:nvSpPr>
          <xdr:spPr>
            <a:xfrm>
              <a:off x="809380" y="67204026"/>
              <a:ext cx="481826" cy="219848"/>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050" b="1" cap="none" spc="0">
                  <a:ln w="0"/>
                  <a:solidFill>
                    <a:sysClr val="windowText" lastClr="000000"/>
                  </a:solidFill>
                  <a:effectLst>
                    <a:outerShdw blurRad="38100" dist="25400" dir="5400000" algn="ctr" rotWithShape="0">
                      <a:srgbClr val="6E747A">
                        <a:alpha val="43000"/>
                      </a:srgbClr>
                    </a:outerShdw>
                  </a:effectLst>
                </a:rPr>
                <a:t>Part II</a:t>
              </a:r>
            </a:p>
          </xdr:txBody>
        </xdr:sp>
        <xdr:cxnSp macro="">
          <xdr:nvCxnSpPr>
            <xdr:cNvPr id="63" name="Straight Arrow Connector 62">
              <a:extLst>
                <a:ext uri="{FF2B5EF4-FFF2-40B4-BE49-F238E27FC236}">
                  <a16:creationId xmlns:a16="http://schemas.microsoft.com/office/drawing/2014/main" id="{4A14D8E7-A8B3-D1D6-6D11-3A8E61AA1B1D}"/>
                </a:ext>
              </a:extLst>
            </xdr:cNvPr>
            <xdr:cNvCxnSpPr/>
          </xdr:nvCxnSpPr>
          <xdr:spPr>
            <a:xfrm flipV="1">
              <a:off x="1046748" y="67006233"/>
              <a:ext cx="189042" cy="210188"/>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9" name="TextBox 28">
            <a:extLst>
              <a:ext uri="{FF2B5EF4-FFF2-40B4-BE49-F238E27FC236}">
                <a16:creationId xmlns:a16="http://schemas.microsoft.com/office/drawing/2014/main" id="{63292DEE-5CE6-4636-BE89-1708D134CD23}"/>
              </a:ext>
            </a:extLst>
          </xdr:cNvPr>
          <xdr:cNvSpPr txBox="1"/>
        </xdr:nvSpPr>
        <xdr:spPr>
          <a:xfrm>
            <a:off x="1431606" y="66534135"/>
            <a:ext cx="840442" cy="26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600" b="1" cap="none" spc="0">
                <a:ln w="0"/>
                <a:solidFill>
                  <a:sysClr val="windowText" lastClr="000000"/>
                </a:solidFill>
                <a:effectLst>
                  <a:outerShdw blurRad="38100" dist="25400" dir="5400000" algn="ctr" rotWithShape="0">
                    <a:srgbClr val="6E747A">
                      <a:alpha val="43000"/>
                    </a:srgbClr>
                  </a:outerShdw>
                </a:effectLst>
              </a:rPr>
              <a:t>Wing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336176</xdr:colOff>
      <xdr:row>1</xdr:row>
      <xdr:rowOff>11206</xdr:rowOff>
    </xdr:from>
    <xdr:to>
      <xdr:col>20</xdr:col>
      <xdr:colOff>96638</xdr:colOff>
      <xdr:row>23</xdr:row>
      <xdr:rowOff>129000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13245352" y="201706"/>
          <a:ext cx="3256698" cy="4320000"/>
        </a:xfrm>
        <a:prstGeom prst="rect">
          <a:avLst/>
        </a:prstGeom>
      </xdr:spPr>
    </xdr:pic>
    <xdr:clientData/>
  </xdr:twoCellAnchor>
  <xdr:twoCellAnchor editAs="oneCell">
    <xdr:from>
      <xdr:col>1</xdr:col>
      <xdr:colOff>0</xdr:colOff>
      <xdr:row>17</xdr:row>
      <xdr:rowOff>0</xdr:rowOff>
    </xdr:from>
    <xdr:to>
      <xdr:col>11</xdr:col>
      <xdr:colOff>301647</xdr:colOff>
      <xdr:row>49</xdr:row>
      <xdr:rowOff>24000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3249706"/>
          <a:ext cx="10880000" cy="6120000"/>
        </a:xfrm>
        <a:prstGeom prst="rect">
          <a:avLst/>
        </a:prstGeom>
      </xdr:spPr>
    </xdr:pic>
    <xdr:clientData/>
  </xdr:twoCellAnchor>
  <xdr:twoCellAnchor editAs="oneCell">
    <xdr:from>
      <xdr:col>1</xdr:col>
      <xdr:colOff>22412</xdr:colOff>
      <xdr:row>50</xdr:row>
      <xdr:rowOff>89646</xdr:rowOff>
    </xdr:from>
    <xdr:to>
      <xdr:col>11</xdr:col>
      <xdr:colOff>324059</xdr:colOff>
      <xdr:row>82</xdr:row>
      <xdr:rowOff>113646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05118" y="9625852"/>
          <a:ext cx="10880000" cy="61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85kEnHgeytNr19S9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91"/>
  <sheetViews>
    <sheetView tabSelected="1" view="pageBreakPreview" topLeftCell="A213" zoomScaleNormal="100" zoomScaleSheetLayoutView="100" zoomScalePageLayoutView="85" workbookViewId="0">
      <selection activeCell="J228" sqref="J228"/>
    </sheetView>
  </sheetViews>
  <sheetFormatPr defaultColWidth="9.109375" defaultRowHeight="15.6" x14ac:dyDescent="0.3"/>
  <cols>
    <col min="1" max="1" width="11.44140625" style="38" customWidth="1"/>
    <col min="2" max="2" width="12" style="38" customWidth="1"/>
    <col min="3" max="3" width="12.6640625" style="38" customWidth="1"/>
    <col min="4" max="4" width="13.6640625" style="38" customWidth="1"/>
    <col min="5" max="5" width="11.6640625" style="38" customWidth="1"/>
    <col min="6" max="6" width="11.109375" style="38" customWidth="1"/>
    <col min="7" max="7" width="11" style="38" customWidth="1"/>
    <col min="8" max="8" width="21" style="38" customWidth="1"/>
    <col min="9" max="9" width="17.44140625" style="19" customWidth="1"/>
    <col min="10" max="10" width="28.109375" style="19" customWidth="1"/>
    <col min="11" max="11" width="10.5546875" style="19" bestFit="1" customWidth="1"/>
    <col min="12" max="12" width="13.88671875" style="19" bestFit="1" customWidth="1"/>
    <col min="13" max="13" width="11.88671875" style="19" customWidth="1"/>
    <col min="14" max="14" width="12.5546875" style="19" customWidth="1"/>
    <col min="15" max="15" width="12.109375" style="19" customWidth="1"/>
    <col min="16" max="16" width="11.6640625" style="19" customWidth="1"/>
    <col min="17" max="18" width="9.109375" style="19"/>
    <col min="19" max="19" width="10.88671875" style="19" bestFit="1" customWidth="1"/>
    <col min="20" max="20" width="10.6640625" style="19" customWidth="1"/>
    <col min="21" max="247" width="9.109375" style="19"/>
    <col min="248" max="248" width="8.6640625" style="19" customWidth="1"/>
    <col min="249" max="249" width="9.88671875" style="19" customWidth="1"/>
    <col min="250" max="250" width="14.44140625" style="19" customWidth="1"/>
    <col min="251" max="251" width="7.33203125" style="19" customWidth="1"/>
    <col min="252" max="252" width="5.5546875" style="19" customWidth="1"/>
    <col min="253" max="253" width="9" style="19" customWidth="1"/>
    <col min="254" max="255" width="9.88671875" style="19" customWidth="1"/>
    <col min="256" max="256" width="11.109375" style="19" customWidth="1"/>
    <col min="257" max="257" width="2.88671875" style="19" customWidth="1"/>
    <col min="258" max="258" width="3.5546875" style="19" customWidth="1"/>
    <col min="259" max="503" width="9.109375" style="19"/>
    <col min="504" max="504" width="8.6640625" style="19" customWidth="1"/>
    <col min="505" max="505" width="9.88671875" style="19" customWidth="1"/>
    <col min="506" max="506" width="14.44140625" style="19" customWidth="1"/>
    <col min="507" max="507" width="7.33203125" style="19" customWidth="1"/>
    <col min="508" max="508" width="5.5546875" style="19" customWidth="1"/>
    <col min="509" max="509" width="9" style="19" customWidth="1"/>
    <col min="510" max="511" width="9.88671875" style="19" customWidth="1"/>
    <col min="512" max="512" width="11.109375" style="19" customWidth="1"/>
    <col min="513" max="513" width="2.88671875" style="19" customWidth="1"/>
    <col min="514" max="514" width="3.5546875" style="19" customWidth="1"/>
    <col min="515" max="759" width="9.109375" style="19"/>
    <col min="760" max="760" width="8.6640625" style="19" customWidth="1"/>
    <col min="761" max="761" width="9.88671875" style="19" customWidth="1"/>
    <col min="762" max="762" width="14.44140625" style="19" customWidth="1"/>
    <col min="763" max="763" width="7.33203125" style="19" customWidth="1"/>
    <col min="764" max="764" width="5.5546875" style="19" customWidth="1"/>
    <col min="765" max="765" width="9" style="19" customWidth="1"/>
    <col min="766" max="767" width="9.88671875" style="19" customWidth="1"/>
    <col min="768" max="768" width="11.109375" style="19" customWidth="1"/>
    <col min="769" max="769" width="2.88671875" style="19" customWidth="1"/>
    <col min="770" max="770" width="3.5546875" style="19" customWidth="1"/>
    <col min="771" max="1015" width="9.109375" style="19"/>
    <col min="1016" max="1016" width="8.6640625" style="19" customWidth="1"/>
    <col min="1017" max="1017" width="9.88671875" style="19" customWidth="1"/>
    <col min="1018" max="1018" width="14.44140625" style="19" customWidth="1"/>
    <col min="1019" max="1019" width="7.33203125" style="19" customWidth="1"/>
    <col min="1020" max="1020" width="5.5546875" style="19" customWidth="1"/>
    <col min="1021" max="1021" width="9" style="19" customWidth="1"/>
    <col min="1022" max="1023" width="9.88671875" style="19" customWidth="1"/>
    <col min="1024" max="1024" width="11.109375" style="19" customWidth="1"/>
    <col min="1025" max="1025" width="2.88671875" style="19" customWidth="1"/>
    <col min="1026" max="1026" width="3.5546875" style="19" customWidth="1"/>
    <col min="1027" max="1271" width="9.109375" style="19"/>
    <col min="1272" max="1272" width="8.6640625" style="19" customWidth="1"/>
    <col min="1273" max="1273" width="9.88671875" style="19" customWidth="1"/>
    <col min="1274" max="1274" width="14.44140625" style="19" customWidth="1"/>
    <col min="1275" max="1275" width="7.33203125" style="19" customWidth="1"/>
    <col min="1276" max="1276" width="5.5546875" style="19" customWidth="1"/>
    <col min="1277" max="1277" width="9" style="19" customWidth="1"/>
    <col min="1278" max="1279" width="9.88671875" style="19" customWidth="1"/>
    <col min="1280" max="1280" width="11.109375" style="19" customWidth="1"/>
    <col min="1281" max="1281" width="2.88671875" style="19" customWidth="1"/>
    <col min="1282" max="1282" width="3.5546875" style="19" customWidth="1"/>
    <col min="1283" max="1527" width="9.109375" style="19"/>
    <col min="1528" max="1528" width="8.6640625" style="19" customWidth="1"/>
    <col min="1529" max="1529" width="9.88671875" style="19" customWidth="1"/>
    <col min="1530" max="1530" width="14.44140625" style="19" customWidth="1"/>
    <col min="1531" max="1531" width="7.33203125" style="19" customWidth="1"/>
    <col min="1532" max="1532" width="5.5546875" style="19" customWidth="1"/>
    <col min="1533" max="1533" width="9" style="19" customWidth="1"/>
    <col min="1534" max="1535" width="9.88671875" style="19" customWidth="1"/>
    <col min="1536" max="1536" width="11.109375" style="19" customWidth="1"/>
    <col min="1537" max="1537" width="2.88671875" style="19" customWidth="1"/>
    <col min="1538" max="1538" width="3.5546875" style="19" customWidth="1"/>
    <col min="1539" max="1783" width="9.109375" style="19"/>
    <col min="1784" max="1784" width="8.6640625" style="19" customWidth="1"/>
    <col min="1785" max="1785" width="9.88671875" style="19" customWidth="1"/>
    <col min="1786" max="1786" width="14.44140625" style="19" customWidth="1"/>
    <col min="1787" max="1787" width="7.33203125" style="19" customWidth="1"/>
    <col min="1788" max="1788" width="5.5546875" style="19" customWidth="1"/>
    <col min="1789" max="1789" width="9" style="19" customWidth="1"/>
    <col min="1790" max="1791" width="9.88671875" style="19" customWidth="1"/>
    <col min="1792" max="1792" width="11.109375" style="19" customWidth="1"/>
    <col min="1793" max="1793" width="2.88671875" style="19" customWidth="1"/>
    <col min="1794" max="1794" width="3.5546875" style="19" customWidth="1"/>
    <col min="1795" max="2039" width="9.109375" style="19"/>
    <col min="2040" max="2040" width="8.6640625" style="19" customWidth="1"/>
    <col min="2041" max="2041" width="9.88671875" style="19" customWidth="1"/>
    <col min="2042" max="2042" width="14.44140625" style="19" customWidth="1"/>
    <col min="2043" max="2043" width="7.33203125" style="19" customWidth="1"/>
    <col min="2044" max="2044" width="5.5546875" style="19" customWidth="1"/>
    <col min="2045" max="2045" width="9" style="19" customWidth="1"/>
    <col min="2046" max="2047" width="9.88671875" style="19" customWidth="1"/>
    <col min="2048" max="2048" width="11.109375" style="19" customWidth="1"/>
    <col min="2049" max="2049" width="2.88671875" style="19" customWidth="1"/>
    <col min="2050" max="2050" width="3.5546875" style="19" customWidth="1"/>
    <col min="2051" max="2295" width="9.109375" style="19"/>
    <col min="2296" max="2296" width="8.6640625" style="19" customWidth="1"/>
    <col min="2297" max="2297" width="9.88671875" style="19" customWidth="1"/>
    <col min="2298" max="2298" width="14.44140625" style="19" customWidth="1"/>
    <col min="2299" max="2299" width="7.33203125" style="19" customWidth="1"/>
    <col min="2300" max="2300" width="5.5546875" style="19" customWidth="1"/>
    <col min="2301" max="2301" width="9" style="19" customWidth="1"/>
    <col min="2302" max="2303" width="9.88671875" style="19" customWidth="1"/>
    <col min="2304" max="2304" width="11.109375" style="19" customWidth="1"/>
    <col min="2305" max="2305" width="2.88671875" style="19" customWidth="1"/>
    <col min="2306" max="2306" width="3.5546875" style="19" customWidth="1"/>
    <col min="2307" max="2551" width="9.109375" style="19"/>
    <col min="2552" max="2552" width="8.6640625" style="19" customWidth="1"/>
    <col min="2553" max="2553" width="9.88671875" style="19" customWidth="1"/>
    <col min="2554" max="2554" width="14.44140625" style="19" customWidth="1"/>
    <col min="2555" max="2555" width="7.33203125" style="19" customWidth="1"/>
    <col min="2556" max="2556" width="5.5546875" style="19" customWidth="1"/>
    <col min="2557" max="2557" width="9" style="19" customWidth="1"/>
    <col min="2558" max="2559" width="9.88671875" style="19" customWidth="1"/>
    <col min="2560" max="2560" width="11.109375" style="19" customWidth="1"/>
    <col min="2561" max="2561" width="2.88671875" style="19" customWidth="1"/>
    <col min="2562" max="2562" width="3.5546875" style="19" customWidth="1"/>
    <col min="2563" max="2807" width="9.109375" style="19"/>
    <col min="2808" max="2808" width="8.6640625" style="19" customWidth="1"/>
    <col min="2809" max="2809" width="9.88671875" style="19" customWidth="1"/>
    <col min="2810" max="2810" width="14.44140625" style="19" customWidth="1"/>
    <col min="2811" max="2811" width="7.33203125" style="19" customWidth="1"/>
    <col min="2812" max="2812" width="5.5546875" style="19" customWidth="1"/>
    <col min="2813" max="2813" width="9" style="19" customWidth="1"/>
    <col min="2814" max="2815" width="9.88671875" style="19" customWidth="1"/>
    <col min="2816" max="2816" width="11.109375" style="19" customWidth="1"/>
    <col min="2817" max="2817" width="2.88671875" style="19" customWidth="1"/>
    <col min="2818" max="2818" width="3.5546875" style="19" customWidth="1"/>
    <col min="2819" max="3063" width="9.109375" style="19"/>
    <col min="3064" max="3064" width="8.6640625" style="19" customWidth="1"/>
    <col min="3065" max="3065" width="9.88671875" style="19" customWidth="1"/>
    <col min="3066" max="3066" width="14.44140625" style="19" customWidth="1"/>
    <col min="3067" max="3067" width="7.33203125" style="19" customWidth="1"/>
    <col min="3068" max="3068" width="5.5546875" style="19" customWidth="1"/>
    <col min="3069" max="3069" width="9" style="19" customWidth="1"/>
    <col min="3070" max="3071" width="9.88671875" style="19" customWidth="1"/>
    <col min="3072" max="3072" width="11.109375" style="19" customWidth="1"/>
    <col min="3073" max="3073" width="2.88671875" style="19" customWidth="1"/>
    <col min="3074" max="3074" width="3.5546875" style="19" customWidth="1"/>
    <col min="3075" max="3319" width="9.109375" style="19"/>
    <col min="3320" max="3320" width="8.6640625" style="19" customWidth="1"/>
    <col min="3321" max="3321" width="9.88671875" style="19" customWidth="1"/>
    <col min="3322" max="3322" width="14.44140625" style="19" customWidth="1"/>
    <col min="3323" max="3323" width="7.33203125" style="19" customWidth="1"/>
    <col min="3324" max="3324" width="5.5546875" style="19" customWidth="1"/>
    <col min="3325" max="3325" width="9" style="19" customWidth="1"/>
    <col min="3326" max="3327" width="9.88671875" style="19" customWidth="1"/>
    <col min="3328" max="3328" width="11.109375" style="19" customWidth="1"/>
    <col min="3329" max="3329" width="2.88671875" style="19" customWidth="1"/>
    <col min="3330" max="3330" width="3.5546875" style="19" customWidth="1"/>
    <col min="3331" max="3575" width="9.109375" style="19"/>
    <col min="3576" max="3576" width="8.6640625" style="19" customWidth="1"/>
    <col min="3577" max="3577" width="9.88671875" style="19" customWidth="1"/>
    <col min="3578" max="3578" width="14.44140625" style="19" customWidth="1"/>
    <col min="3579" max="3579" width="7.33203125" style="19" customWidth="1"/>
    <col min="3580" max="3580" width="5.5546875" style="19" customWidth="1"/>
    <col min="3581" max="3581" width="9" style="19" customWidth="1"/>
    <col min="3582" max="3583" width="9.88671875" style="19" customWidth="1"/>
    <col min="3584" max="3584" width="11.109375" style="19" customWidth="1"/>
    <col min="3585" max="3585" width="2.88671875" style="19" customWidth="1"/>
    <col min="3586" max="3586" width="3.5546875" style="19" customWidth="1"/>
    <col min="3587" max="3831" width="9.109375" style="19"/>
    <col min="3832" max="3832" width="8.6640625" style="19" customWidth="1"/>
    <col min="3833" max="3833" width="9.88671875" style="19" customWidth="1"/>
    <col min="3834" max="3834" width="14.44140625" style="19" customWidth="1"/>
    <col min="3835" max="3835" width="7.33203125" style="19" customWidth="1"/>
    <col min="3836" max="3836" width="5.5546875" style="19" customWidth="1"/>
    <col min="3837" max="3837" width="9" style="19" customWidth="1"/>
    <col min="3838" max="3839" width="9.88671875" style="19" customWidth="1"/>
    <col min="3840" max="3840" width="11.109375" style="19" customWidth="1"/>
    <col min="3841" max="3841" width="2.88671875" style="19" customWidth="1"/>
    <col min="3842" max="3842" width="3.5546875" style="19" customWidth="1"/>
    <col min="3843" max="4087" width="9.109375" style="19"/>
    <col min="4088" max="4088" width="8.6640625" style="19" customWidth="1"/>
    <col min="4089" max="4089" width="9.88671875" style="19" customWidth="1"/>
    <col min="4090" max="4090" width="14.44140625" style="19" customWidth="1"/>
    <col min="4091" max="4091" width="7.33203125" style="19" customWidth="1"/>
    <col min="4092" max="4092" width="5.5546875" style="19" customWidth="1"/>
    <col min="4093" max="4093" width="9" style="19" customWidth="1"/>
    <col min="4094" max="4095" width="9.88671875" style="19" customWidth="1"/>
    <col min="4096" max="4096" width="11.109375" style="19" customWidth="1"/>
    <col min="4097" max="4097" width="2.88671875" style="19" customWidth="1"/>
    <col min="4098" max="4098" width="3.5546875" style="19" customWidth="1"/>
    <col min="4099" max="4343" width="9.109375" style="19"/>
    <col min="4344" max="4344" width="8.6640625" style="19" customWidth="1"/>
    <col min="4345" max="4345" width="9.88671875" style="19" customWidth="1"/>
    <col min="4346" max="4346" width="14.44140625" style="19" customWidth="1"/>
    <col min="4347" max="4347" width="7.33203125" style="19" customWidth="1"/>
    <col min="4348" max="4348" width="5.5546875" style="19" customWidth="1"/>
    <col min="4349" max="4349" width="9" style="19" customWidth="1"/>
    <col min="4350" max="4351" width="9.88671875" style="19" customWidth="1"/>
    <col min="4352" max="4352" width="11.109375" style="19" customWidth="1"/>
    <col min="4353" max="4353" width="2.88671875" style="19" customWidth="1"/>
    <col min="4354" max="4354" width="3.5546875" style="19" customWidth="1"/>
    <col min="4355" max="4599" width="9.109375" style="19"/>
    <col min="4600" max="4600" width="8.6640625" style="19" customWidth="1"/>
    <col min="4601" max="4601" width="9.88671875" style="19" customWidth="1"/>
    <col min="4602" max="4602" width="14.44140625" style="19" customWidth="1"/>
    <col min="4603" max="4603" width="7.33203125" style="19" customWidth="1"/>
    <col min="4604" max="4604" width="5.5546875" style="19" customWidth="1"/>
    <col min="4605" max="4605" width="9" style="19" customWidth="1"/>
    <col min="4606" max="4607" width="9.88671875" style="19" customWidth="1"/>
    <col min="4608" max="4608" width="11.109375" style="19" customWidth="1"/>
    <col min="4609" max="4609" width="2.88671875" style="19" customWidth="1"/>
    <col min="4610" max="4610" width="3.5546875" style="19" customWidth="1"/>
    <col min="4611" max="4855" width="9.109375" style="19"/>
    <col min="4856" max="4856" width="8.6640625" style="19" customWidth="1"/>
    <col min="4857" max="4857" width="9.88671875" style="19" customWidth="1"/>
    <col min="4858" max="4858" width="14.44140625" style="19" customWidth="1"/>
    <col min="4859" max="4859" width="7.33203125" style="19" customWidth="1"/>
    <col min="4860" max="4860" width="5.5546875" style="19" customWidth="1"/>
    <col min="4861" max="4861" width="9" style="19" customWidth="1"/>
    <col min="4862" max="4863" width="9.88671875" style="19" customWidth="1"/>
    <col min="4864" max="4864" width="11.109375" style="19" customWidth="1"/>
    <col min="4865" max="4865" width="2.88671875" style="19" customWidth="1"/>
    <col min="4866" max="4866" width="3.5546875" style="19" customWidth="1"/>
    <col min="4867" max="5111" width="9.109375" style="19"/>
    <col min="5112" max="5112" width="8.6640625" style="19" customWidth="1"/>
    <col min="5113" max="5113" width="9.88671875" style="19" customWidth="1"/>
    <col min="5114" max="5114" width="14.44140625" style="19" customWidth="1"/>
    <col min="5115" max="5115" width="7.33203125" style="19" customWidth="1"/>
    <col min="5116" max="5116" width="5.5546875" style="19" customWidth="1"/>
    <col min="5117" max="5117" width="9" style="19" customWidth="1"/>
    <col min="5118" max="5119" width="9.88671875" style="19" customWidth="1"/>
    <col min="5120" max="5120" width="11.109375" style="19" customWidth="1"/>
    <col min="5121" max="5121" width="2.88671875" style="19" customWidth="1"/>
    <col min="5122" max="5122" width="3.5546875" style="19" customWidth="1"/>
    <col min="5123" max="5367" width="9.109375" style="19"/>
    <col min="5368" max="5368" width="8.6640625" style="19" customWidth="1"/>
    <col min="5369" max="5369" width="9.88671875" style="19" customWidth="1"/>
    <col min="5370" max="5370" width="14.44140625" style="19" customWidth="1"/>
    <col min="5371" max="5371" width="7.33203125" style="19" customWidth="1"/>
    <col min="5372" max="5372" width="5.5546875" style="19" customWidth="1"/>
    <col min="5373" max="5373" width="9" style="19" customWidth="1"/>
    <col min="5374" max="5375" width="9.88671875" style="19" customWidth="1"/>
    <col min="5376" max="5376" width="11.109375" style="19" customWidth="1"/>
    <col min="5377" max="5377" width="2.88671875" style="19" customWidth="1"/>
    <col min="5378" max="5378" width="3.5546875" style="19" customWidth="1"/>
    <col min="5379" max="5623" width="9.109375" style="19"/>
    <col min="5624" max="5624" width="8.6640625" style="19" customWidth="1"/>
    <col min="5625" max="5625" width="9.88671875" style="19" customWidth="1"/>
    <col min="5626" max="5626" width="14.44140625" style="19" customWidth="1"/>
    <col min="5627" max="5627" width="7.33203125" style="19" customWidth="1"/>
    <col min="5628" max="5628" width="5.5546875" style="19" customWidth="1"/>
    <col min="5629" max="5629" width="9" style="19" customWidth="1"/>
    <col min="5630" max="5631" width="9.88671875" style="19" customWidth="1"/>
    <col min="5632" max="5632" width="11.109375" style="19" customWidth="1"/>
    <col min="5633" max="5633" width="2.88671875" style="19" customWidth="1"/>
    <col min="5634" max="5634" width="3.5546875" style="19" customWidth="1"/>
    <col min="5635" max="5879" width="9.109375" style="19"/>
    <col min="5880" max="5880" width="8.6640625" style="19" customWidth="1"/>
    <col min="5881" max="5881" width="9.88671875" style="19" customWidth="1"/>
    <col min="5882" max="5882" width="14.44140625" style="19" customWidth="1"/>
    <col min="5883" max="5883" width="7.33203125" style="19" customWidth="1"/>
    <col min="5884" max="5884" width="5.5546875" style="19" customWidth="1"/>
    <col min="5885" max="5885" width="9" style="19" customWidth="1"/>
    <col min="5886" max="5887" width="9.88671875" style="19" customWidth="1"/>
    <col min="5888" max="5888" width="11.109375" style="19" customWidth="1"/>
    <col min="5889" max="5889" width="2.88671875" style="19" customWidth="1"/>
    <col min="5890" max="5890" width="3.5546875" style="19" customWidth="1"/>
    <col min="5891" max="6135" width="9.109375" style="19"/>
    <col min="6136" max="6136" width="8.6640625" style="19" customWidth="1"/>
    <col min="6137" max="6137" width="9.88671875" style="19" customWidth="1"/>
    <col min="6138" max="6138" width="14.44140625" style="19" customWidth="1"/>
    <col min="6139" max="6139" width="7.33203125" style="19" customWidth="1"/>
    <col min="6140" max="6140" width="5.5546875" style="19" customWidth="1"/>
    <col min="6141" max="6141" width="9" style="19" customWidth="1"/>
    <col min="6142" max="6143" width="9.88671875" style="19" customWidth="1"/>
    <col min="6144" max="6144" width="11.109375" style="19" customWidth="1"/>
    <col min="6145" max="6145" width="2.88671875" style="19" customWidth="1"/>
    <col min="6146" max="6146" width="3.5546875" style="19" customWidth="1"/>
    <col min="6147" max="6391" width="9.109375" style="19"/>
    <col min="6392" max="6392" width="8.6640625" style="19" customWidth="1"/>
    <col min="6393" max="6393" width="9.88671875" style="19" customWidth="1"/>
    <col min="6394" max="6394" width="14.44140625" style="19" customWidth="1"/>
    <col min="6395" max="6395" width="7.33203125" style="19" customWidth="1"/>
    <col min="6396" max="6396" width="5.5546875" style="19" customWidth="1"/>
    <col min="6397" max="6397" width="9" style="19" customWidth="1"/>
    <col min="6398" max="6399" width="9.88671875" style="19" customWidth="1"/>
    <col min="6400" max="6400" width="11.109375" style="19" customWidth="1"/>
    <col min="6401" max="6401" width="2.88671875" style="19" customWidth="1"/>
    <col min="6402" max="6402" width="3.5546875" style="19" customWidth="1"/>
    <col min="6403" max="6647" width="9.109375" style="19"/>
    <col min="6648" max="6648" width="8.6640625" style="19" customWidth="1"/>
    <col min="6649" max="6649" width="9.88671875" style="19" customWidth="1"/>
    <col min="6650" max="6650" width="14.44140625" style="19" customWidth="1"/>
    <col min="6651" max="6651" width="7.33203125" style="19" customWidth="1"/>
    <col min="6652" max="6652" width="5.5546875" style="19" customWidth="1"/>
    <col min="6653" max="6653" width="9" style="19" customWidth="1"/>
    <col min="6654" max="6655" width="9.88671875" style="19" customWidth="1"/>
    <col min="6656" max="6656" width="11.109375" style="19" customWidth="1"/>
    <col min="6657" max="6657" width="2.88671875" style="19" customWidth="1"/>
    <col min="6658" max="6658" width="3.5546875" style="19" customWidth="1"/>
    <col min="6659" max="6903" width="9.109375" style="19"/>
    <col min="6904" max="6904" width="8.6640625" style="19" customWidth="1"/>
    <col min="6905" max="6905" width="9.88671875" style="19" customWidth="1"/>
    <col min="6906" max="6906" width="14.44140625" style="19" customWidth="1"/>
    <col min="6907" max="6907" width="7.33203125" style="19" customWidth="1"/>
    <col min="6908" max="6908" width="5.5546875" style="19" customWidth="1"/>
    <col min="6909" max="6909" width="9" style="19" customWidth="1"/>
    <col min="6910" max="6911" width="9.88671875" style="19" customWidth="1"/>
    <col min="6912" max="6912" width="11.109375" style="19" customWidth="1"/>
    <col min="6913" max="6913" width="2.88671875" style="19" customWidth="1"/>
    <col min="6914" max="6914" width="3.5546875" style="19" customWidth="1"/>
    <col min="6915" max="7159" width="9.109375" style="19"/>
    <col min="7160" max="7160" width="8.6640625" style="19" customWidth="1"/>
    <col min="7161" max="7161" width="9.88671875" style="19" customWidth="1"/>
    <col min="7162" max="7162" width="14.44140625" style="19" customWidth="1"/>
    <col min="7163" max="7163" width="7.33203125" style="19" customWidth="1"/>
    <col min="7164" max="7164" width="5.5546875" style="19" customWidth="1"/>
    <col min="7165" max="7165" width="9" style="19" customWidth="1"/>
    <col min="7166" max="7167" width="9.88671875" style="19" customWidth="1"/>
    <col min="7168" max="7168" width="11.109375" style="19" customWidth="1"/>
    <col min="7169" max="7169" width="2.88671875" style="19" customWidth="1"/>
    <col min="7170" max="7170" width="3.5546875" style="19" customWidth="1"/>
    <col min="7171" max="7415" width="9.109375" style="19"/>
    <col min="7416" max="7416" width="8.6640625" style="19" customWidth="1"/>
    <col min="7417" max="7417" width="9.88671875" style="19" customWidth="1"/>
    <col min="7418" max="7418" width="14.44140625" style="19" customWidth="1"/>
    <col min="7419" max="7419" width="7.33203125" style="19" customWidth="1"/>
    <col min="7420" max="7420" width="5.5546875" style="19" customWidth="1"/>
    <col min="7421" max="7421" width="9" style="19" customWidth="1"/>
    <col min="7422" max="7423" width="9.88671875" style="19" customWidth="1"/>
    <col min="7424" max="7424" width="11.109375" style="19" customWidth="1"/>
    <col min="7425" max="7425" width="2.88671875" style="19" customWidth="1"/>
    <col min="7426" max="7426" width="3.5546875" style="19" customWidth="1"/>
    <col min="7427" max="7671" width="9.109375" style="19"/>
    <col min="7672" max="7672" width="8.6640625" style="19" customWidth="1"/>
    <col min="7673" max="7673" width="9.88671875" style="19" customWidth="1"/>
    <col min="7674" max="7674" width="14.44140625" style="19" customWidth="1"/>
    <col min="7675" max="7675" width="7.33203125" style="19" customWidth="1"/>
    <col min="7676" max="7676" width="5.5546875" style="19" customWidth="1"/>
    <col min="7677" max="7677" width="9" style="19" customWidth="1"/>
    <col min="7678" max="7679" width="9.88671875" style="19" customWidth="1"/>
    <col min="7680" max="7680" width="11.109375" style="19" customWidth="1"/>
    <col min="7681" max="7681" width="2.88671875" style="19" customWidth="1"/>
    <col min="7682" max="7682" width="3.5546875" style="19" customWidth="1"/>
    <col min="7683" max="7927" width="9.109375" style="19"/>
    <col min="7928" max="7928" width="8.6640625" style="19" customWidth="1"/>
    <col min="7929" max="7929" width="9.88671875" style="19" customWidth="1"/>
    <col min="7930" max="7930" width="14.44140625" style="19" customWidth="1"/>
    <col min="7931" max="7931" width="7.33203125" style="19" customWidth="1"/>
    <col min="7932" max="7932" width="5.5546875" style="19" customWidth="1"/>
    <col min="7933" max="7933" width="9" style="19" customWidth="1"/>
    <col min="7934" max="7935" width="9.88671875" style="19" customWidth="1"/>
    <col min="7936" max="7936" width="11.109375" style="19" customWidth="1"/>
    <col min="7937" max="7937" width="2.88671875" style="19" customWidth="1"/>
    <col min="7938" max="7938" width="3.5546875" style="19" customWidth="1"/>
    <col min="7939" max="8183" width="9.109375" style="19"/>
    <col min="8184" max="8184" width="8.6640625" style="19" customWidth="1"/>
    <col min="8185" max="8185" width="9.88671875" style="19" customWidth="1"/>
    <col min="8186" max="8186" width="14.44140625" style="19" customWidth="1"/>
    <col min="8187" max="8187" width="7.33203125" style="19" customWidth="1"/>
    <col min="8188" max="8188" width="5.5546875" style="19" customWidth="1"/>
    <col min="8189" max="8189" width="9" style="19" customWidth="1"/>
    <col min="8190" max="8191" width="9.88671875" style="19" customWidth="1"/>
    <col min="8192" max="8192" width="11.109375" style="19" customWidth="1"/>
    <col min="8193" max="8193" width="2.88671875" style="19" customWidth="1"/>
    <col min="8194" max="8194" width="3.5546875" style="19" customWidth="1"/>
    <col min="8195" max="8439" width="9.109375" style="19"/>
    <col min="8440" max="8440" width="8.6640625" style="19" customWidth="1"/>
    <col min="8441" max="8441" width="9.88671875" style="19" customWidth="1"/>
    <col min="8442" max="8442" width="14.44140625" style="19" customWidth="1"/>
    <col min="8443" max="8443" width="7.33203125" style="19" customWidth="1"/>
    <col min="8444" max="8444" width="5.5546875" style="19" customWidth="1"/>
    <col min="8445" max="8445" width="9" style="19" customWidth="1"/>
    <col min="8446" max="8447" width="9.88671875" style="19" customWidth="1"/>
    <col min="8448" max="8448" width="11.109375" style="19" customWidth="1"/>
    <col min="8449" max="8449" width="2.88671875" style="19" customWidth="1"/>
    <col min="8450" max="8450" width="3.5546875" style="19" customWidth="1"/>
    <col min="8451" max="8695" width="9.109375" style="19"/>
    <col min="8696" max="8696" width="8.6640625" style="19" customWidth="1"/>
    <col min="8697" max="8697" width="9.88671875" style="19" customWidth="1"/>
    <col min="8698" max="8698" width="14.44140625" style="19" customWidth="1"/>
    <col min="8699" max="8699" width="7.33203125" style="19" customWidth="1"/>
    <col min="8700" max="8700" width="5.5546875" style="19" customWidth="1"/>
    <col min="8701" max="8701" width="9" style="19" customWidth="1"/>
    <col min="8702" max="8703" width="9.88671875" style="19" customWidth="1"/>
    <col min="8704" max="8704" width="11.109375" style="19" customWidth="1"/>
    <col min="8705" max="8705" width="2.88671875" style="19" customWidth="1"/>
    <col min="8706" max="8706" width="3.5546875" style="19" customWidth="1"/>
    <col min="8707" max="8951" width="9.109375" style="19"/>
    <col min="8952" max="8952" width="8.6640625" style="19" customWidth="1"/>
    <col min="8953" max="8953" width="9.88671875" style="19" customWidth="1"/>
    <col min="8954" max="8954" width="14.44140625" style="19" customWidth="1"/>
    <col min="8955" max="8955" width="7.33203125" style="19" customWidth="1"/>
    <col min="8956" max="8956" width="5.5546875" style="19" customWidth="1"/>
    <col min="8957" max="8957" width="9" style="19" customWidth="1"/>
    <col min="8958" max="8959" width="9.88671875" style="19" customWidth="1"/>
    <col min="8960" max="8960" width="11.109375" style="19" customWidth="1"/>
    <col min="8961" max="8961" width="2.88671875" style="19" customWidth="1"/>
    <col min="8962" max="8962" width="3.5546875" style="19" customWidth="1"/>
    <col min="8963" max="9207" width="9.109375" style="19"/>
    <col min="9208" max="9208" width="8.6640625" style="19" customWidth="1"/>
    <col min="9209" max="9209" width="9.88671875" style="19" customWidth="1"/>
    <col min="9210" max="9210" width="14.44140625" style="19" customWidth="1"/>
    <col min="9211" max="9211" width="7.33203125" style="19" customWidth="1"/>
    <col min="9212" max="9212" width="5.5546875" style="19" customWidth="1"/>
    <col min="9213" max="9213" width="9" style="19" customWidth="1"/>
    <col min="9214" max="9215" width="9.88671875" style="19" customWidth="1"/>
    <col min="9216" max="9216" width="11.109375" style="19" customWidth="1"/>
    <col min="9217" max="9217" width="2.88671875" style="19" customWidth="1"/>
    <col min="9218" max="9218" width="3.5546875" style="19" customWidth="1"/>
    <col min="9219" max="9463" width="9.109375" style="19"/>
    <col min="9464" max="9464" width="8.6640625" style="19" customWidth="1"/>
    <col min="9465" max="9465" width="9.88671875" style="19" customWidth="1"/>
    <col min="9466" max="9466" width="14.44140625" style="19" customWidth="1"/>
    <col min="9467" max="9467" width="7.33203125" style="19" customWidth="1"/>
    <col min="9468" max="9468" width="5.5546875" style="19" customWidth="1"/>
    <col min="9469" max="9469" width="9" style="19" customWidth="1"/>
    <col min="9470" max="9471" width="9.88671875" style="19" customWidth="1"/>
    <col min="9472" max="9472" width="11.109375" style="19" customWidth="1"/>
    <col min="9473" max="9473" width="2.88671875" style="19" customWidth="1"/>
    <col min="9474" max="9474" width="3.5546875" style="19" customWidth="1"/>
    <col min="9475" max="9719" width="9.109375" style="19"/>
    <col min="9720" max="9720" width="8.6640625" style="19" customWidth="1"/>
    <col min="9721" max="9721" width="9.88671875" style="19" customWidth="1"/>
    <col min="9722" max="9722" width="14.44140625" style="19" customWidth="1"/>
    <col min="9723" max="9723" width="7.33203125" style="19" customWidth="1"/>
    <col min="9724" max="9724" width="5.5546875" style="19" customWidth="1"/>
    <col min="9725" max="9725" width="9" style="19" customWidth="1"/>
    <col min="9726" max="9727" width="9.88671875" style="19" customWidth="1"/>
    <col min="9728" max="9728" width="11.109375" style="19" customWidth="1"/>
    <col min="9729" max="9729" width="2.88671875" style="19" customWidth="1"/>
    <col min="9730" max="9730" width="3.5546875" style="19" customWidth="1"/>
    <col min="9731" max="9975" width="9.109375" style="19"/>
    <col min="9976" max="9976" width="8.6640625" style="19" customWidth="1"/>
    <col min="9977" max="9977" width="9.88671875" style="19" customWidth="1"/>
    <col min="9978" max="9978" width="14.44140625" style="19" customWidth="1"/>
    <col min="9979" max="9979" width="7.33203125" style="19" customWidth="1"/>
    <col min="9980" max="9980" width="5.5546875" style="19" customWidth="1"/>
    <col min="9981" max="9981" width="9" style="19" customWidth="1"/>
    <col min="9982" max="9983" width="9.88671875" style="19" customWidth="1"/>
    <col min="9984" max="9984" width="11.109375" style="19" customWidth="1"/>
    <col min="9985" max="9985" width="2.88671875" style="19" customWidth="1"/>
    <col min="9986" max="9986" width="3.5546875" style="19" customWidth="1"/>
    <col min="9987" max="10231" width="9.109375" style="19"/>
    <col min="10232" max="10232" width="8.6640625" style="19" customWidth="1"/>
    <col min="10233" max="10233" width="9.88671875" style="19" customWidth="1"/>
    <col min="10234" max="10234" width="14.44140625" style="19" customWidth="1"/>
    <col min="10235" max="10235" width="7.33203125" style="19" customWidth="1"/>
    <col min="10236" max="10236" width="5.5546875" style="19" customWidth="1"/>
    <col min="10237" max="10237" width="9" style="19" customWidth="1"/>
    <col min="10238" max="10239" width="9.88671875" style="19" customWidth="1"/>
    <col min="10240" max="10240" width="11.109375" style="19" customWidth="1"/>
    <col min="10241" max="10241" width="2.88671875" style="19" customWidth="1"/>
    <col min="10242" max="10242" width="3.5546875" style="19" customWidth="1"/>
    <col min="10243" max="10487" width="9.109375" style="19"/>
    <col min="10488" max="10488" width="8.6640625" style="19" customWidth="1"/>
    <col min="10489" max="10489" width="9.88671875" style="19" customWidth="1"/>
    <col min="10490" max="10490" width="14.44140625" style="19" customWidth="1"/>
    <col min="10491" max="10491" width="7.33203125" style="19" customWidth="1"/>
    <col min="10492" max="10492" width="5.5546875" style="19" customWidth="1"/>
    <col min="10493" max="10493" width="9" style="19" customWidth="1"/>
    <col min="10494" max="10495" width="9.88671875" style="19" customWidth="1"/>
    <col min="10496" max="10496" width="11.109375" style="19" customWidth="1"/>
    <col min="10497" max="10497" width="2.88671875" style="19" customWidth="1"/>
    <col min="10498" max="10498" width="3.5546875" style="19" customWidth="1"/>
    <col min="10499" max="10743" width="9.109375" style="19"/>
    <col min="10744" max="10744" width="8.6640625" style="19" customWidth="1"/>
    <col min="10745" max="10745" width="9.88671875" style="19" customWidth="1"/>
    <col min="10746" max="10746" width="14.44140625" style="19" customWidth="1"/>
    <col min="10747" max="10747" width="7.33203125" style="19" customWidth="1"/>
    <col min="10748" max="10748" width="5.5546875" style="19" customWidth="1"/>
    <col min="10749" max="10749" width="9" style="19" customWidth="1"/>
    <col min="10750" max="10751" width="9.88671875" style="19" customWidth="1"/>
    <col min="10752" max="10752" width="11.109375" style="19" customWidth="1"/>
    <col min="10753" max="10753" width="2.88671875" style="19" customWidth="1"/>
    <col min="10754" max="10754" width="3.5546875" style="19" customWidth="1"/>
    <col min="10755" max="10999" width="9.109375" style="19"/>
    <col min="11000" max="11000" width="8.6640625" style="19" customWidth="1"/>
    <col min="11001" max="11001" width="9.88671875" style="19" customWidth="1"/>
    <col min="11002" max="11002" width="14.44140625" style="19" customWidth="1"/>
    <col min="11003" max="11003" width="7.33203125" style="19" customWidth="1"/>
    <col min="11004" max="11004" width="5.5546875" style="19" customWidth="1"/>
    <col min="11005" max="11005" width="9" style="19" customWidth="1"/>
    <col min="11006" max="11007" width="9.88671875" style="19" customWidth="1"/>
    <col min="11008" max="11008" width="11.109375" style="19" customWidth="1"/>
    <col min="11009" max="11009" width="2.88671875" style="19" customWidth="1"/>
    <col min="11010" max="11010" width="3.5546875" style="19" customWidth="1"/>
    <col min="11011" max="11255" width="9.109375" style="19"/>
    <col min="11256" max="11256" width="8.6640625" style="19" customWidth="1"/>
    <col min="11257" max="11257" width="9.88671875" style="19" customWidth="1"/>
    <col min="11258" max="11258" width="14.44140625" style="19" customWidth="1"/>
    <col min="11259" max="11259" width="7.33203125" style="19" customWidth="1"/>
    <col min="11260" max="11260" width="5.5546875" style="19" customWidth="1"/>
    <col min="11261" max="11261" width="9" style="19" customWidth="1"/>
    <col min="11262" max="11263" width="9.88671875" style="19" customWidth="1"/>
    <col min="11264" max="11264" width="11.109375" style="19" customWidth="1"/>
    <col min="11265" max="11265" width="2.88671875" style="19" customWidth="1"/>
    <col min="11266" max="11266" width="3.5546875" style="19" customWidth="1"/>
    <col min="11267" max="11511" width="9.109375" style="19"/>
    <col min="11512" max="11512" width="8.6640625" style="19" customWidth="1"/>
    <col min="11513" max="11513" width="9.88671875" style="19" customWidth="1"/>
    <col min="11514" max="11514" width="14.44140625" style="19" customWidth="1"/>
    <col min="11515" max="11515" width="7.33203125" style="19" customWidth="1"/>
    <col min="11516" max="11516" width="5.5546875" style="19" customWidth="1"/>
    <col min="11517" max="11517" width="9" style="19" customWidth="1"/>
    <col min="11518" max="11519" width="9.88671875" style="19" customWidth="1"/>
    <col min="11520" max="11520" width="11.109375" style="19" customWidth="1"/>
    <col min="11521" max="11521" width="2.88671875" style="19" customWidth="1"/>
    <col min="11522" max="11522" width="3.5546875" style="19" customWidth="1"/>
    <col min="11523" max="11767" width="9.109375" style="19"/>
    <col min="11768" max="11768" width="8.6640625" style="19" customWidth="1"/>
    <col min="11769" max="11769" width="9.88671875" style="19" customWidth="1"/>
    <col min="11770" max="11770" width="14.44140625" style="19" customWidth="1"/>
    <col min="11771" max="11771" width="7.33203125" style="19" customWidth="1"/>
    <col min="11772" max="11772" width="5.5546875" style="19" customWidth="1"/>
    <col min="11773" max="11773" width="9" style="19" customWidth="1"/>
    <col min="11774" max="11775" width="9.88671875" style="19" customWidth="1"/>
    <col min="11776" max="11776" width="11.109375" style="19" customWidth="1"/>
    <col min="11777" max="11777" width="2.88671875" style="19" customWidth="1"/>
    <col min="11778" max="11778" width="3.5546875" style="19" customWidth="1"/>
    <col min="11779" max="12023" width="9.109375" style="19"/>
    <col min="12024" max="12024" width="8.6640625" style="19" customWidth="1"/>
    <col min="12025" max="12025" width="9.88671875" style="19" customWidth="1"/>
    <col min="12026" max="12026" width="14.44140625" style="19" customWidth="1"/>
    <col min="12027" max="12027" width="7.33203125" style="19" customWidth="1"/>
    <col min="12028" max="12028" width="5.5546875" style="19" customWidth="1"/>
    <col min="12029" max="12029" width="9" style="19" customWidth="1"/>
    <col min="12030" max="12031" width="9.88671875" style="19" customWidth="1"/>
    <col min="12032" max="12032" width="11.109375" style="19" customWidth="1"/>
    <col min="12033" max="12033" width="2.88671875" style="19" customWidth="1"/>
    <col min="12034" max="12034" width="3.5546875" style="19" customWidth="1"/>
    <col min="12035" max="12279" width="9.109375" style="19"/>
    <col min="12280" max="12280" width="8.6640625" style="19" customWidth="1"/>
    <col min="12281" max="12281" width="9.88671875" style="19" customWidth="1"/>
    <col min="12282" max="12282" width="14.44140625" style="19" customWidth="1"/>
    <col min="12283" max="12283" width="7.33203125" style="19" customWidth="1"/>
    <col min="12284" max="12284" width="5.5546875" style="19" customWidth="1"/>
    <col min="12285" max="12285" width="9" style="19" customWidth="1"/>
    <col min="12286" max="12287" width="9.88671875" style="19" customWidth="1"/>
    <col min="12288" max="12288" width="11.109375" style="19" customWidth="1"/>
    <col min="12289" max="12289" width="2.88671875" style="19" customWidth="1"/>
    <col min="12290" max="12290" width="3.5546875" style="19" customWidth="1"/>
    <col min="12291" max="12535" width="9.109375" style="19"/>
    <col min="12536" max="12536" width="8.6640625" style="19" customWidth="1"/>
    <col min="12537" max="12537" width="9.88671875" style="19" customWidth="1"/>
    <col min="12538" max="12538" width="14.44140625" style="19" customWidth="1"/>
    <col min="12539" max="12539" width="7.33203125" style="19" customWidth="1"/>
    <col min="12540" max="12540" width="5.5546875" style="19" customWidth="1"/>
    <col min="12541" max="12541" width="9" style="19" customWidth="1"/>
    <col min="12542" max="12543" width="9.88671875" style="19" customWidth="1"/>
    <col min="12544" max="12544" width="11.109375" style="19" customWidth="1"/>
    <col min="12545" max="12545" width="2.88671875" style="19" customWidth="1"/>
    <col min="12546" max="12546" width="3.5546875" style="19" customWidth="1"/>
    <col min="12547" max="12791" width="9.109375" style="19"/>
    <col min="12792" max="12792" width="8.6640625" style="19" customWidth="1"/>
    <col min="12793" max="12793" width="9.88671875" style="19" customWidth="1"/>
    <col min="12794" max="12794" width="14.44140625" style="19" customWidth="1"/>
    <col min="12795" max="12795" width="7.33203125" style="19" customWidth="1"/>
    <col min="12796" max="12796" width="5.5546875" style="19" customWidth="1"/>
    <col min="12797" max="12797" width="9" style="19" customWidth="1"/>
    <col min="12798" max="12799" width="9.88671875" style="19" customWidth="1"/>
    <col min="12800" max="12800" width="11.109375" style="19" customWidth="1"/>
    <col min="12801" max="12801" width="2.88671875" style="19" customWidth="1"/>
    <col min="12802" max="12802" width="3.5546875" style="19" customWidth="1"/>
    <col min="12803" max="13047" width="9.109375" style="19"/>
    <col min="13048" max="13048" width="8.6640625" style="19" customWidth="1"/>
    <col min="13049" max="13049" width="9.88671875" style="19" customWidth="1"/>
    <col min="13050" max="13050" width="14.44140625" style="19" customWidth="1"/>
    <col min="13051" max="13051" width="7.33203125" style="19" customWidth="1"/>
    <col min="13052" max="13052" width="5.5546875" style="19" customWidth="1"/>
    <col min="13053" max="13053" width="9" style="19" customWidth="1"/>
    <col min="13054" max="13055" width="9.88671875" style="19" customWidth="1"/>
    <col min="13056" max="13056" width="11.109375" style="19" customWidth="1"/>
    <col min="13057" max="13057" width="2.88671875" style="19" customWidth="1"/>
    <col min="13058" max="13058" width="3.5546875" style="19" customWidth="1"/>
    <col min="13059" max="13303" width="9.109375" style="19"/>
    <col min="13304" max="13304" width="8.6640625" style="19" customWidth="1"/>
    <col min="13305" max="13305" width="9.88671875" style="19" customWidth="1"/>
    <col min="13306" max="13306" width="14.44140625" style="19" customWidth="1"/>
    <col min="13307" max="13307" width="7.33203125" style="19" customWidth="1"/>
    <col min="13308" max="13308" width="5.5546875" style="19" customWidth="1"/>
    <col min="13309" max="13309" width="9" style="19" customWidth="1"/>
    <col min="13310" max="13311" width="9.88671875" style="19" customWidth="1"/>
    <col min="13312" max="13312" width="11.109375" style="19" customWidth="1"/>
    <col min="13313" max="13313" width="2.88671875" style="19" customWidth="1"/>
    <col min="13314" max="13314" width="3.5546875" style="19" customWidth="1"/>
    <col min="13315" max="13559" width="9.109375" style="19"/>
    <col min="13560" max="13560" width="8.6640625" style="19" customWidth="1"/>
    <col min="13561" max="13561" width="9.88671875" style="19" customWidth="1"/>
    <col min="13562" max="13562" width="14.44140625" style="19" customWidth="1"/>
    <col min="13563" max="13563" width="7.33203125" style="19" customWidth="1"/>
    <col min="13564" max="13564" width="5.5546875" style="19" customWidth="1"/>
    <col min="13565" max="13565" width="9" style="19" customWidth="1"/>
    <col min="13566" max="13567" width="9.88671875" style="19" customWidth="1"/>
    <col min="13568" max="13568" width="11.109375" style="19" customWidth="1"/>
    <col min="13569" max="13569" width="2.88671875" style="19" customWidth="1"/>
    <col min="13570" max="13570" width="3.5546875" style="19" customWidth="1"/>
    <col min="13571" max="13815" width="9.109375" style="19"/>
    <col min="13816" max="13816" width="8.6640625" style="19" customWidth="1"/>
    <col min="13817" max="13817" width="9.88671875" style="19" customWidth="1"/>
    <col min="13818" max="13818" width="14.44140625" style="19" customWidth="1"/>
    <col min="13819" max="13819" width="7.33203125" style="19" customWidth="1"/>
    <col min="13820" max="13820" width="5.5546875" style="19" customWidth="1"/>
    <col min="13821" max="13821" width="9" style="19" customWidth="1"/>
    <col min="13822" max="13823" width="9.88671875" style="19" customWidth="1"/>
    <col min="13824" max="13824" width="11.109375" style="19" customWidth="1"/>
    <col min="13825" max="13825" width="2.88671875" style="19" customWidth="1"/>
    <col min="13826" max="13826" width="3.5546875" style="19" customWidth="1"/>
    <col min="13827" max="14071" width="9.109375" style="19"/>
    <col min="14072" max="14072" width="8.6640625" style="19" customWidth="1"/>
    <col min="14073" max="14073" width="9.88671875" style="19" customWidth="1"/>
    <col min="14074" max="14074" width="14.44140625" style="19" customWidth="1"/>
    <col min="14075" max="14075" width="7.33203125" style="19" customWidth="1"/>
    <col min="14076" max="14076" width="5.5546875" style="19" customWidth="1"/>
    <col min="14077" max="14077" width="9" style="19" customWidth="1"/>
    <col min="14078" max="14079" width="9.88671875" style="19" customWidth="1"/>
    <col min="14080" max="14080" width="11.109375" style="19" customWidth="1"/>
    <col min="14081" max="14081" width="2.88671875" style="19" customWidth="1"/>
    <col min="14082" max="14082" width="3.5546875" style="19" customWidth="1"/>
    <col min="14083" max="14327" width="9.109375" style="19"/>
    <col min="14328" max="14328" width="8.6640625" style="19" customWidth="1"/>
    <col min="14329" max="14329" width="9.88671875" style="19" customWidth="1"/>
    <col min="14330" max="14330" width="14.44140625" style="19" customWidth="1"/>
    <col min="14331" max="14331" width="7.33203125" style="19" customWidth="1"/>
    <col min="14332" max="14332" width="5.5546875" style="19" customWidth="1"/>
    <col min="14333" max="14333" width="9" style="19" customWidth="1"/>
    <col min="14334" max="14335" width="9.88671875" style="19" customWidth="1"/>
    <col min="14336" max="14336" width="11.109375" style="19" customWidth="1"/>
    <col min="14337" max="14337" width="2.88671875" style="19" customWidth="1"/>
    <col min="14338" max="14338" width="3.5546875" style="19" customWidth="1"/>
    <col min="14339" max="14583" width="9.109375" style="19"/>
    <col min="14584" max="14584" width="8.6640625" style="19" customWidth="1"/>
    <col min="14585" max="14585" width="9.88671875" style="19" customWidth="1"/>
    <col min="14586" max="14586" width="14.44140625" style="19" customWidth="1"/>
    <col min="14587" max="14587" width="7.33203125" style="19" customWidth="1"/>
    <col min="14588" max="14588" width="5.5546875" style="19" customWidth="1"/>
    <col min="14589" max="14589" width="9" style="19" customWidth="1"/>
    <col min="14590" max="14591" width="9.88671875" style="19" customWidth="1"/>
    <col min="14592" max="14592" width="11.109375" style="19" customWidth="1"/>
    <col min="14593" max="14593" width="2.88671875" style="19" customWidth="1"/>
    <col min="14594" max="14594" width="3.5546875" style="19" customWidth="1"/>
    <col min="14595" max="14839" width="9.109375" style="19"/>
    <col min="14840" max="14840" width="8.6640625" style="19" customWidth="1"/>
    <col min="14841" max="14841" width="9.88671875" style="19" customWidth="1"/>
    <col min="14842" max="14842" width="14.44140625" style="19" customWidth="1"/>
    <col min="14843" max="14843" width="7.33203125" style="19" customWidth="1"/>
    <col min="14844" max="14844" width="5.5546875" style="19" customWidth="1"/>
    <col min="14845" max="14845" width="9" style="19" customWidth="1"/>
    <col min="14846" max="14847" width="9.88671875" style="19" customWidth="1"/>
    <col min="14848" max="14848" width="11.109375" style="19" customWidth="1"/>
    <col min="14849" max="14849" width="2.88671875" style="19" customWidth="1"/>
    <col min="14850" max="14850" width="3.5546875" style="19" customWidth="1"/>
    <col min="14851" max="15095" width="9.109375" style="19"/>
    <col min="15096" max="15096" width="8.6640625" style="19" customWidth="1"/>
    <col min="15097" max="15097" width="9.88671875" style="19" customWidth="1"/>
    <col min="15098" max="15098" width="14.44140625" style="19" customWidth="1"/>
    <col min="15099" max="15099" width="7.33203125" style="19" customWidth="1"/>
    <col min="15100" max="15100" width="5.5546875" style="19" customWidth="1"/>
    <col min="15101" max="15101" width="9" style="19" customWidth="1"/>
    <col min="15102" max="15103" width="9.88671875" style="19" customWidth="1"/>
    <col min="15104" max="15104" width="11.109375" style="19" customWidth="1"/>
    <col min="15105" max="15105" width="2.88671875" style="19" customWidth="1"/>
    <col min="15106" max="15106" width="3.5546875" style="19" customWidth="1"/>
    <col min="15107" max="15351" width="9.109375" style="19"/>
    <col min="15352" max="15352" width="8.6640625" style="19" customWidth="1"/>
    <col min="15353" max="15353" width="9.88671875" style="19" customWidth="1"/>
    <col min="15354" max="15354" width="14.44140625" style="19" customWidth="1"/>
    <col min="15355" max="15355" width="7.33203125" style="19" customWidth="1"/>
    <col min="15356" max="15356" width="5.5546875" style="19" customWidth="1"/>
    <col min="15357" max="15357" width="9" style="19" customWidth="1"/>
    <col min="15358" max="15359" width="9.88671875" style="19" customWidth="1"/>
    <col min="15360" max="15360" width="11.109375" style="19" customWidth="1"/>
    <col min="15361" max="15361" width="2.88671875" style="19" customWidth="1"/>
    <col min="15362" max="15362" width="3.5546875" style="19" customWidth="1"/>
    <col min="15363" max="15607" width="9.109375" style="19"/>
    <col min="15608" max="15608" width="8.6640625" style="19" customWidth="1"/>
    <col min="15609" max="15609" width="9.88671875" style="19" customWidth="1"/>
    <col min="15610" max="15610" width="14.44140625" style="19" customWidth="1"/>
    <col min="15611" max="15611" width="7.33203125" style="19" customWidth="1"/>
    <col min="15612" max="15612" width="5.5546875" style="19" customWidth="1"/>
    <col min="15613" max="15613" width="9" style="19" customWidth="1"/>
    <col min="15614" max="15615" width="9.88671875" style="19" customWidth="1"/>
    <col min="15616" max="15616" width="11.109375" style="19" customWidth="1"/>
    <col min="15617" max="15617" width="2.88671875" style="19" customWidth="1"/>
    <col min="15618" max="15618" width="3.5546875" style="19" customWidth="1"/>
    <col min="15619" max="15863" width="9.109375" style="19"/>
    <col min="15864" max="15864" width="8.6640625" style="19" customWidth="1"/>
    <col min="15865" max="15865" width="9.88671875" style="19" customWidth="1"/>
    <col min="15866" max="15866" width="14.44140625" style="19" customWidth="1"/>
    <col min="15867" max="15867" width="7.33203125" style="19" customWidth="1"/>
    <col min="15868" max="15868" width="5.5546875" style="19" customWidth="1"/>
    <col min="15869" max="15869" width="9" style="19" customWidth="1"/>
    <col min="15870" max="15871" width="9.88671875" style="19" customWidth="1"/>
    <col min="15872" max="15872" width="11.109375" style="19" customWidth="1"/>
    <col min="15873" max="15873" width="2.88671875" style="19" customWidth="1"/>
    <col min="15874" max="15874" width="3.5546875" style="19" customWidth="1"/>
    <col min="15875" max="16119" width="9.109375" style="19"/>
    <col min="16120" max="16120" width="8.6640625" style="19" customWidth="1"/>
    <col min="16121" max="16121" width="9.88671875" style="19" customWidth="1"/>
    <col min="16122" max="16122" width="14.44140625" style="19" customWidth="1"/>
    <col min="16123" max="16123" width="7.33203125" style="19" customWidth="1"/>
    <col min="16124" max="16124" width="5.5546875" style="19" customWidth="1"/>
    <col min="16125" max="16125" width="9" style="19" customWidth="1"/>
    <col min="16126" max="16127" width="9.88671875" style="19" customWidth="1"/>
    <col min="16128" max="16128" width="11.109375" style="19" customWidth="1"/>
    <col min="16129" max="16129" width="2.88671875" style="19" customWidth="1"/>
    <col min="16130" max="16130" width="3.5546875" style="19" customWidth="1"/>
    <col min="16131" max="16384" width="9.109375" style="19"/>
  </cols>
  <sheetData>
    <row r="1" spans="1:26" ht="46.5" customHeight="1" x14ac:dyDescent="0.3">
      <c r="A1" s="208" t="s">
        <v>336</v>
      </c>
      <c r="B1" s="208"/>
      <c r="C1" s="208"/>
      <c r="D1" s="208"/>
      <c r="E1" s="208"/>
      <c r="F1" s="208"/>
      <c r="G1" s="208"/>
      <c r="H1" s="208"/>
    </row>
    <row r="2" spans="1:26" ht="16.5" customHeight="1" x14ac:dyDescent="0.3">
      <c r="A2" s="176" t="s">
        <v>0</v>
      </c>
      <c r="B2" s="176"/>
      <c r="C2" s="176"/>
      <c r="D2" s="176"/>
      <c r="E2" s="176"/>
      <c r="F2" s="176"/>
      <c r="G2" s="176"/>
      <c r="H2" s="176"/>
    </row>
    <row r="3" spans="1:26" x14ac:dyDescent="0.3">
      <c r="A3" s="137" t="s">
        <v>1</v>
      </c>
      <c r="B3" s="137"/>
      <c r="C3" s="137"/>
      <c r="D3" s="137"/>
      <c r="E3" s="137" t="str">
        <f ca="1">TEXT(TODAY(),"DD/MM/YYYY")</f>
        <v>12/09/2025</v>
      </c>
      <c r="F3" s="137"/>
      <c r="G3" s="137"/>
      <c r="H3" s="137"/>
      <c r="K3" s="52" t="s">
        <v>232</v>
      </c>
      <c r="L3" s="49" t="s">
        <v>230</v>
      </c>
      <c r="M3" s="49" t="s">
        <v>235</v>
      </c>
      <c r="N3" s="49" t="s">
        <v>233</v>
      </c>
      <c r="O3" s="49" t="s">
        <v>234</v>
      </c>
      <c r="P3" s="49" t="s">
        <v>236</v>
      </c>
    </row>
    <row r="4" spans="1:26" ht="15" customHeight="1" x14ac:dyDescent="0.3">
      <c r="A4" s="137" t="s">
        <v>229</v>
      </c>
      <c r="B4" s="137"/>
      <c r="C4" s="137"/>
      <c r="D4" s="137"/>
      <c r="E4" s="145" t="s">
        <v>230</v>
      </c>
      <c r="F4" s="145"/>
      <c r="G4" s="145"/>
      <c r="H4" s="145"/>
      <c r="K4" s="48" t="s">
        <v>231</v>
      </c>
      <c r="L4" s="49" t="s">
        <v>165</v>
      </c>
      <c r="M4" s="49" t="s">
        <v>240</v>
      </c>
      <c r="N4" s="49" t="s">
        <v>242</v>
      </c>
      <c r="O4" s="49" t="s">
        <v>244</v>
      </c>
      <c r="P4" s="49"/>
    </row>
    <row r="5" spans="1:26" ht="15" customHeight="1" x14ac:dyDescent="0.3">
      <c r="A5" s="137" t="s">
        <v>2</v>
      </c>
      <c r="B5" s="137"/>
      <c r="C5" s="137"/>
      <c r="D5" s="137"/>
      <c r="E5" s="145" t="s">
        <v>165</v>
      </c>
      <c r="F5" s="145"/>
      <c r="G5" s="145"/>
      <c r="H5" s="145"/>
      <c r="K5" s="48"/>
      <c r="L5" s="49" t="s">
        <v>237</v>
      </c>
      <c r="M5" s="49" t="s">
        <v>241</v>
      </c>
      <c r="N5" s="49" t="s">
        <v>243</v>
      </c>
      <c r="O5" s="49" t="s">
        <v>245</v>
      </c>
      <c r="P5" s="49"/>
    </row>
    <row r="6" spans="1:26" x14ac:dyDescent="0.3">
      <c r="A6" s="137" t="s">
        <v>3</v>
      </c>
      <c r="B6" s="137"/>
      <c r="C6" s="137"/>
      <c r="D6" s="137"/>
      <c r="E6" s="209">
        <v>45908</v>
      </c>
      <c r="F6" s="137"/>
      <c r="G6" s="137"/>
      <c r="H6" s="137"/>
      <c r="K6" s="48"/>
      <c r="L6" s="49" t="s">
        <v>238</v>
      </c>
      <c r="M6" s="49"/>
      <c r="N6" s="49"/>
      <c r="O6" s="49" t="s">
        <v>246</v>
      </c>
      <c r="P6" s="49"/>
    </row>
    <row r="7" spans="1:26" ht="16.5" customHeight="1" x14ac:dyDescent="0.3">
      <c r="A7" s="137" t="s">
        <v>4</v>
      </c>
      <c r="B7" s="137"/>
      <c r="C7" s="137"/>
      <c r="D7" s="137"/>
      <c r="E7" s="137" t="s">
        <v>294</v>
      </c>
      <c r="F7" s="137"/>
      <c r="G7" s="137"/>
      <c r="H7" s="137"/>
      <c r="K7" s="48"/>
      <c r="L7" s="49" t="s">
        <v>239</v>
      </c>
      <c r="M7" s="49"/>
      <c r="N7" s="49"/>
      <c r="O7" s="49" t="s">
        <v>246</v>
      </c>
      <c r="P7" s="49"/>
    </row>
    <row r="8" spans="1:26" ht="15" customHeight="1" x14ac:dyDescent="0.3">
      <c r="A8" s="137" t="s">
        <v>5</v>
      </c>
      <c r="B8" s="137"/>
      <c r="C8" s="137"/>
      <c r="D8" s="137"/>
      <c r="E8" s="137" t="str">
        <f>E7</f>
        <v>Ecc­Konark Joint Venture</v>
      </c>
      <c r="F8" s="137"/>
      <c r="G8" s="137"/>
      <c r="H8" s="137"/>
      <c r="K8" s="48"/>
      <c r="L8" s="49"/>
      <c r="M8" s="49"/>
      <c r="N8" s="49"/>
      <c r="O8" s="49" t="s">
        <v>247</v>
      </c>
      <c r="P8" s="49"/>
    </row>
    <row r="9" spans="1:26" x14ac:dyDescent="0.3">
      <c r="A9" s="137" t="s">
        <v>6</v>
      </c>
      <c r="B9" s="137"/>
      <c r="C9" s="137"/>
      <c r="D9" s="137"/>
      <c r="E9" s="90" t="s">
        <v>346</v>
      </c>
      <c r="F9" s="90"/>
      <c r="G9" s="90"/>
      <c r="H9" s="90"/>
      <c r="K9" s="48"/>
      <c r="L9" s="49"/>
      <c r="M9" s="49"/>
      <c r="N9" s="49"/>
      <c r="O9" s="49" t="s">
        <v>248</v>
      </c>
      <c r="P9" s="49"/>
    </row>
    <row r="10" spans="1:26" x14ac:dyDescent="0.3">
      <c r="A10" s="137" t="s">
        <v>162</v>
      </c>
      <c r="B10" s="137"/>
      <c r="C10" s="137"/>
      <c r="D10" s="137"/>
      <c r="E10" s="136">
        <v>9372750452</v>
      </c>
      <c r="F10" s="137"/>
      <c r="G10" s="137"/>
      <c r="H10" s="137"/>
      <c r="K10" s="48"/>
      <c r="L10" s="49"/>
      <c r="M10" s="49"/>
      <c r="N10" s="49"/>
      <c r="O10" s="49"/>
      <c r="P10" s="49"/>
    </row>
    <row r="11" spans="1:26" x14ac:dyDescent="0.3">
      <c r="A11" s="137" t="s">
        <v>163</v>
      </c>
      <c r="B11" s="137"/>
      <c r="C11" s="137"/>
      <c r="D11" s="137"/>
      <c r="E11" s="137" t="s">
        <v>345</v>
      </c>
      <c r="F11" s="137"/>
      <c r="G11" s="137"/>
      <c r="H11" s="137"/>
    </row>
    <row r="12" spans="1:26" x14ac:dyDescent="0.3">
      <c r="A12" s="137" t="s">
        <v>7</v>
      </c>
      <c r="B12" s="137"/>
      <c r="C12" s="137"/>
      <c r="D12" s="137"/>
      <c r="E12" s="137" t="s">
        <v>347</v>
      </c>
      <c r="F12" s="137"/>
      <c r="G12" s="137"/>
      <c r="H12" s="137"/>
    </row>
    <row r="13" spans="1:26" x14ac:dyDescent="0.3">
      <c r="A13" s="137" t="s">
        <v>166</v>
      </c>
      <c r="B13" s="137"/>
      <c r="C13" s="137"/>
      <c r="D13" s="137"/>
      <c r="E13" s="136" t="s">
        <v>337</v>
      </c>
      <c r="F13" s="136"/>
      <c r="G13" s="136"/>
      <c r="H13" s="136"/>
      <c r="S13" s="49" t="s">
        <v>174</v>
      </c>
      <c r="T13" s="49" t="s">
        <v>184</v>
      </c>
      <c r="U13" s="49" t="s">
        <v>167</v>
      </c>
      <c r="V13" s="49" t="s">
        <v>189</v>
      </c>
      <c r="W13" s="49" t="s">
        <v>207</v>
      </c>
      <c r="X13"/>
      <c r="Y13" t="s">
        <v>189</v>
      </c>
      <c r="Z13" t="e">
        <f ca="1">OFFSET($S$13,1,MATCH($G20,$S$13:$W$13,0)-1,15,1)</f>
        <v>#VALUE!</v>
      </c>
    </row>
    <row r="14" spans="1:26" x14ac:dyDescent="0.3">
      <c r="A14" s="144" t="s">
        <v>275</v>
      </c>
      <c r="B14" s="144"/>
      <c r="C14" s="144"/>
      <c r="D14" s="144"/>
      <c r="E14" s="136" t="s">
        <v>330</v>
      </c>
      <c r="F14" s="136"/>
      <c r="G14" s="136"/>
      <c r="H14" s="136"/>
      <c r="S14" s="49" t="s">
        <v>175</v>
      </c>
      <c r="T14" s="49" t="s">
        <v>182</v>
      </c>
      <c r="U14" s="49" t="s">
        <v>204</v>
      </c>
      <c r="V14" s="49" t="s">
        <v>190</v>
      </c>
      <c r="W14" s="49" t="s">
        <v>208</v>
      </c>
      <c r="X14"/>
      <c r="Y14"/>
      <c r="Z14"/>
    </row>
    <row r="15" spans="1:26" ht="32.4" customHeight="1" x14ac:dyDescent="0.3">
      <c r="A15" s="144" t="s">
        <v>8</v>
      </c>
      <c r="B15" s="144"/>
      <c r="C15" s="144"/>
      <c r="D15" s="144"/>
      <c r="E15" s="146" t="s">
        <v>348</v>
      </c>
      <c r="F15" s="145"/>
      <c r="G15" s="145"/>
      <c r="H15" s="145"/>
      <c r="I15" s="156" t="e">
        <f ca="1">OFFSET($D$5,1,MATCH($J13,$D$5:$H$5,0)-1,15,1)</f>
        <v>#N/A</v>
      </c>
      <c r="J15" s="157"/>
      <c r="K15" s="157"/>
      <c r="L15" s="157"/>
      <c r="M15" s="157"/>
      <c r="N15" s="157"/>
      <c r="O15" s="157"/>
      <c r="P15" s="157"/>
      <c r="S15" s="49" t="s">
        <v>176</v>
      </c>
      <c r="T15" s="49" t="s">
        <v>183</v>
      </c>
      <c r="U15" s="49" t="s">
        <v>205</v>
      </c>
      <c r="V15" s="49" t="s">
        <v>191</v>
      </c>
      <c r="W15" s="49" t="s">
        <v>221</v>
      </c>
      <c r="X15"/>
      <c r="Y15"/>
      <c r="Z15"/>
    </row>
    <row r="16" spans="1:26" ht="84.6" customHeight="1" x14ac:dyDescent="0.3">
      <c r="A16" s="135" t="s">
        <v>9</v>
      </c>
      <c r="B16" s="135"/>
      <c r="C16" s="135" t="str">
        <f>CONCATENATE((IF(OR(E9="",E9="NA"),"",E9)),", ",(IF(OR(A17="",A17="NA"),"",A17)),".",(IF(OR(C17="",C17="NA"),"",C17)),", near ",(IF(OR(C22="",C22="NA"),"",C22)),", ",(IF(OR(C19="",C19="NA"),"",C19)),", ",(IF(OR(C18="",C18="NA"),"",C18)),", ",(IF(OR(G19="",G19="NA"),"",G19)),", ",(IF(OR(C20="",C20="NA"),"",C20)),", ",(IF(OR(C21="",C21="NA"),"",C21)),", ",(IF(OR(G20="",G20="NA"),"",G20))," - ",(IF(OR(G21="",G21="NA"),"",G21)),".")</f>
        <v>Luma Tower A, B &amp; C, CTS No.10, 10/1, 11, 11/1 to 3, 12, 13, 28, 29, 31, 32, 32/1 to 4, 33, 34, 35, 35/1 to 3, 36, 36/1 to 4, 37, 37/1, 38, 39, 39/1 to 7, 40, 41-A (Pt), 41B/1/1, 41B/1/2, 42, 42/1 to 2, 43, 43/1, 44 &amp; 45 Redevelopment of  " New Technical SRA CHS Ltd &amp; Emanuel SRA CHS Ltd ", near Prime Corporate Park, Internal Road, Ashok Nagar, Bapnala, Andheri East, Andheri, Mumbai - 400059.</v>
      </c>
      <c r="D16" s="135"/>
      <c r="E16" s="135"/>
      <c r="F16" s="135"/>
      <c r="G16" s="135"/>
      <c r="H16" s="135"/>
      <c r="S16" s="49" t="s">
        <v>177</v>
      </c>
      <c r="T16" s="49" t="s">
        <v>185</v>
      </c>
      <c r="U16" s="49" t="s">
        <v>206</v>
      </c>
      <c r="V16" s="49" t="s">
        <v>192</v>
      </c>
      <c r="W16" s="49" t="s">
        <v>209</v>
      </c>
      <c r="X16"/>
      <c r="Y16"/>
      <c r="Z16"/>
    </row>
    <row r="17" spans="1:26" ht="51" customHeight="1" x14ac:dyDescent="0.3">
      <c r="A17" s="146" t="s">
        <v>170</v>
      </c>
      <c r="B17" s="146"/>
      <c r="C17" s="146" t="s">
        <v>342</v>
      </c>
      <c r="D17" s="146"/>
      <c r="E17" s="146"/>
      <c r="F17" s="146"/>
      <c r="G17" s="146"/>
      <c r="H17" s="146"/>
      <c r="S17" s="49" t="s">
        <v>178</v>
      </c>
      <c r="T17" s="49" t="s">
        <v>186</v>
      </c>
      <c r="U17" s="49" t="s">
        <v>167</v>
      </c>
      <c r="V17" s="49" t="s">
        <v>193</v>
      </c>
      <c r="W17" s="49" t="s">
        <v>210</v>
      </c>
      <c r="X17"/>
      <c r="Y17"/>
      <c r="Z17"/>
    </row>
    <row r="18" spans="1:26" ht="15.75" customHeight="1" x14ac:dyDescent="0.3">
      <c r="A18" s="136" t="s">
        <v>158</v>
      </c>
      <c r="B18" s="136"/>
      <c r="C18" s="146" t="s">
        <v>335</v>
      </c>
      <c r="D18" s="146"/>
      <c r="E18" s="146"/>
      <c r="F18" s="146"/>
      <c r="G18" s="146"/>
      <c r="H18" s="146"/>
      <c r="S18" s="49" t="s">
        <v>179</v>
      </c>
      <c r="T18" s="49" t="s">
        <v>184</v>
      </c>
      <c r="U18" s="49"/>
      <c r="V18" s="49" t="s">
        <v>194</v>
      </c>
      <c r="W18" s="49" t="s">
        <v>211</v>
      </c>
      <c r="X18"/>
      <c r="Y18"/>
      <c r="Z18"/>
    </row>
    <row r="19" spans="1:26" ht="15.75" customHeight="1" x14ac:dyDescent="0.3">
      <c r="A19" s="135" t="s">
        <v>10</v>
      </c>
      <c r="B19" s="135"/>
      <c r="C19" s="145" t="s">
        <v>299</v>
      </c>
      <c r="D19" s="145"/>
      <c r="E19" s="146" t="s">
        <v>70</v>
      </c>
      <c r="F19" s="146"/>
      <c r="G19" s="146" t="s">
        <v>295</v>
      </c>
      <c r="H19" s="146"/>
      <c r="S19" s="49" t="s">
        <v>180</v>
      </c>
      <c r="T19" s="49" t="s">
        <v>187</v>
      </c>
      <c r="U19" s="49"/>
      <c r="V19" s="49" t="s">
        <v>195</v>
      </c>
      <c r="W19" s="49" t="s">
        <v>212</v>
      </c>
      <c r="X19"/>
      <c r="Y19"/>
      <c r="Z19"/>
    </row>
    <row r="20" spans="1:26" x14ac:dyDescent="0.3">
      <c r="A20" s="144" t="s">
        <v>12</v>
      </c>
      <c r="B20" s="144"/>
      <c r="C20" s="146" t="s">
        <v>300</v>
      </c>
      <c r="D20" s="146"/>
      <c r="E20" s="146" t="s">
        <v>11</v>
      </c>
      <c r="F20" s="146"/>
      <c r="G20" s="210" t="s">
        <v>167</v>
      </c>
      <c r="H20" s="210"/>
      <c r="S20" s="49" t="s">
        <v>181</v>
      </c>
      <c r="T20" s="49" t="s">
        <v>188</v>
      </c>
      <c r="U20" s="49"/>
      <c r="V20" s="49" t="s">
        <v>196</v>
      </c>
      <c r="W20" s="49" t="s">
        <v>213</v>
      </c>
      <c r="X20"/>
      <c r="Y20"/>
      <c r="Z20"/>
    </row>
    <row r="21" spans="1:26" x14ac:dyDescent="0.3">
      <c r="A21" s="144" t="s">
        <v>71</v>
      </c>
      <c r="B21" s="144"/>
      <c r="C21" s="146" t="s">
        <v>204</v>
      </c>
      <c r="D21" s="146"/>
      <c r="E21" s="146" t="s">
        <v>13</v>
      </c>
      <c r="F21" s="146"/>
      <c r="G21" s="146">
        <v>400059</v>
      </c>
      <c r="H21" s="146"/>
      <c r="S21" s="49"/>
      <c r="T21" s="49"/>
      <c r="U21" s="49"/>
      <c r="V21" s="49" t="s">
        <v>197</v>
      </c>
      <c r="W21" s="49" t="s">
        <v>214</v>
      </c>
      <c r="X21"/>
      <c r="Y21"/>
      <c r="Z21"/>
    </row>
    <row r="22" spans="1:26" ht="32.25" customHeight="1" x14ac:dyDescent="0.3">
      <c r="A22" s="144" t="s">
        <v>117</v>
      </c>
      <c r="B22" s="144"/>
      <c r="C22" s="146" t="s">
        <v>343</v>
      </c>
      <c r="D22" s="146"/>
      <c r="E22" s="146" t="s">
        <v>14</v>
      </c>
      <c r="F22" s="146"/>
      <c r="G22" s="146" t="s">
        <v>298</v>
      </c>
      <c r="H22" s="146"/>
      <c r="S22" s="49"/>
      <c r="T22" s="49"/>
      <c r="U22" s="49"/>
      <c r="V22" s="49" t="s">
        <v>198</v>
      </c>
      <c r="W22" s="49" t="s">
        <v>215</v>
      </c>
      <c r="X22"/>
      <c r="Y22"/>
      <c r="Z22"/>
    </row>
    <row r="23" spans="1:26" ht="15" customHeight="1" x14ac:dyDescent="0.3">
      <c r="A23" s="135" t="s">
        <v>73</v>
      </c>
      <c r="B23" s="135"/>
      <c r="C23" s="135"/>
      <c r="D23" s="135"/>
      <c r="E23" s="137" t="s">
        <v>15</v>
      </c>
      <c r="F23" s="137"/>
      <c r="G23" s="137"/>
      <c r="H23" s="137"/>
      <c r="S23" s="49"/>
      <c r="T23" s="49"/>
      <c r="U23" s="49"/>
      <c r="V23" s="49" t="s">
        <v>199</v>
      </c>
      <c r="W23" s="49" t="s">
        <v>216</v>
      </c>
      <c r="X23"/>
      <c r="Y23"/>
      <c r="Z23"/>
    </row>
    <row r="24" spans="1:26" ht="18.75" customHeight="1" x14ac:dyDescent="0.3">
      <c r="A24" s="135"/>
      <c r="B24" s="135"/>
      <c r="C24" s="135"/>
      <c r="D24" s="135"/>
      <c r="E24" s="137"/>
      <c r="F24" s="137"/>
      <c r="G24" s="137"/>
      <c r="H24" s="137"/>
      <c r="S24" s="49"/>
      <c r="T24" s="49"/>
      <c r="U24" s="49"/>
      <c r="V24" s="49" t="s">
        <v>200</v>
      </c>
      <c r="W24" s="49" t="s">
        <v>217</v>
      </c>
      <c r="X24"/>
      <c r="Y24"/>
      <c r="Z24"/>
    </row>
    <row r="25" spans="1:26" ht="15" customHeight="1" x14ac:dyDescent="0.3">
      <c r="A25" s="135" t="s">
        <v>16</v>
      </c>
      <c r="B25" s="135"/>
      <c r="C25" s="135"/>
      <c r="D25" s="135"/>
      <c r="E25" s="136" t="s">
        <v>17</v>
      </c>
      <c r="F25" s="136"/>
      <c r="G25" s="136"/>
      <c r="H25" s="136"/>
      <c r="S25" s="49"/>
      <c r="T25" s="49"/>
      <c r="U25" s="49"/>
      <c r="V25" s="49" t="s">
        <v>201</v>
      </c>
      <c r="W25" s="49" t="s">
        <v>218</v>
      </c>
      <c r="X25"/>
      <c r="Y25"/>
      <c r="Z25"/>
    </row>
    <row r="26" spans="1:26" ht="15" customHeight="1" x14ac:dyDescent="0.3">
      <c r="A26" s="144" t="s">
        <v>18</v>
      </c>
      <c r="B26" s="144"/>
      <c r="C26" s="144"/>
      <c r="D26" s="144"/>
      <c r="E26" s="136" t="str">
        <f>IF(AND(G20="Mumbai"),"Upper Class","Middle Class")</f>
        <v>Upper Class</v>
      </c>
      <c r="F26" s="136"/>
      <c r="G26" s="136"/>
      <c r="H26" s="136"/>
      <c r="S26" s="49"/>
      <c r="T26" s="49"/>
      <c r="U26" s="49"/>
      <c r="V26" s="49" t="s">
        <v>202</v>
      </c>
      <c r="W26" s="49" t="s">
        <v>219</v>
      </c>
      <c r="X26"/>
      <c r="Y26"/>
      <c r="Z26"/>
    </row>
    <row r="27" spans="1:26" x14ac:dyDescent="0.3">
      <c r="A27" s="144" t="s">
        <v>19</v>
      </c>
      <c r="B27" s="144"/>
      <c r="C27" s="144"/>
      <c r="D27" s="144"/>
      <c r="E27" s="136" t="s">
        <v>20</v>
      </c>
      <c r="F27" s="136"/>
      <c r="G27" s="136"/>
      <c r="H27" s="136"/>
      <c r="S27" s="49"/>
      <c r="T27" s="49"/>
      <c r="U27" s="49"/>
      <c r="V27" s="49" t="s">
        <v>203</v>
      </c>
      <c r="W27" s="49" t="s">
        <v>220</v>
      </c>
      <c r="X27"/>
      <c r="Y27"/>
      <c r="Z27"/>
    </row>
    <row r="28" spans="1:26" ht="15.75" customHeight="1" x14ac:dyDescent="0.3">
      <c r="A28" s="144" t="s">
        <v>21</v>
      </c>
      <c r="B28" s="144"/>
      <c r="C28" s="144"/>
      <c r="D28" s="144"/>
      <c r="E28" s="136" t="str">
        <f>IF(AND(G20="Mumbai"),"Developed","Developing")</f>
        <v>Developed</v>
      </c>
      <c r="F28" s="136"/>
      <c r="G28" s="136"/>
      <c r="H28" s="136"/>
    </row>
    <row r="29" spans="1:26" x14ac:dyDescent="0.3">
      <c r="A29" s="144" t="s">
        <v>22</v>
      </c>
      <c r="B29" s="144"/>
      <c r="C29" s="144"/>
      <c r="D29" s="144"/>
      <c r="E29" s="136" t="s">
        <v>23</v>
      </c>
      <c r="F29" s="136"/>
      <c r="G29" s="136"/>
      <c r="H29" s="136"/>
    </row>
    <row r="30" spans="1:26" ht="15.75" customHeight="1" x14ac:dyDescent="0.3">
      <c r="A30" s="144" t="s">
        <v>78</v>
      </c>
      <c r="B30" s="144"/>
      <c r="C30" s="144"/>
      <c r="D30" s="144"/>
      <c r="E30" s="136" t="s">
        <v>79</v>
      </c>
      <c r="F30" s="136"/>
      <c r="G30" s="136"/>
      <c r="H30" s="136"/>
    </row>
    <row r="31" spans="1:26" ht="15" customHeight="1" x14ac:dyDescent="0.3">
      <c r="A31" s="144" t="s">
        <v>30</v>
      </c>
      <c r="B31" s="144"/>
      <c r="C31" s="144"/>
      <c r="D31" s="144"/>
      <c r="E31" s="136" t="str">
        <f>IF(AND(ISNUMBER(SEARCH("Flat",D71)),ISNUMBER(SEARCH("Shop",D71)),ISNUMBER(SEARCH("Office",D71))),"Residential + Commercial",IF(AND(ISNUMBER(SEARCH("Flat",D71)),ISNUMBER(SEARCH("Shop",D71))),"Residential + Commercial",IF(AND(ISNUMBER(SEARCH("Flat",D71)),ISNUMBER(SEARCH("Office",D71))),"Residential + Commercial",IF(AND(ISNUMBER(SEARCH("Shop",D71)),ISNUMBER(SEARCH("Office",D71))),"Commercial",IF(ISNUMBER(SEARCH("Shop",D71)),"Commercial",IF(ISNUMBER(SEARCH("Office",D71)),"Commercial",IF(ISNUMBER(SEARCH("Flat",D71)),"Residential")))))))</f>
        <v>Residential</v>
      </c>
      <c r="F31" s="136"/>
      <c r="G31" s="136"/>
      <c r="H31" s="136"/>
    </row>
    <row r="32" spans="1:26" ht="15.75" customHeight="1" x14ac:dyDescent="0.3">
      <c r="A32" s="144" t="s">
        <v>89</v>
      </c>
      <c r="B32" s="144"/>
      <c r="C32" s="144"/>
      <c r="D32" s="144"/>
      <c r="E32" s="136" t="s">
        <v>31</v>
      </c>
      <c r="F32" s="136"/>
      <c r="G32" s="136"/>
      <c r="H32" s="136"/>
    </row>
    <row r="33" spans="1:19" s="20" customFormat="1" x14ac:dyDescent="0.3">
      <c r="A33" s="215" t="s">
        <v>90</v>
      </c>
      <c r="B33" s="215"/>
      <c r="C33" s="213" t="s">
        <v>168</v>
      </c>
      <c r="D33" s="213"/>
      <c r="E33" s="213"/>
      <c r="F33" s="213" t="s">
        <v>29</v>
      </c>
      <c r="G33" s="213"/>
      <c r="H33" s="213"/>
      <c r="S33" s="20" t="e">
        <f ca="1">OFFSET($S$13,1,MATCH($G20,$S$13:$W$13,0)-1,15,1)</f>
        <v>#VALUE!</v>
      </c>
    </row>
    <row r="34" spans="1:19" s="20" customFormat="1" x14ac:dyDescent="0.3">
      <c r="A34" s="214" t="s">
        <v>24</v>
      </c>
      <c r="B34" s="214" t="s">
        <v>28</v>
      </c>
      <c r="C34" s="214" t="s">
        <v>302</v>
      </c>
      <c r="D34" s="214"/>
      <c r="E34" s="214"/>
      <c r="F34" s="216" t="s">
        <v>334</v>
      </c>
      <c r="G34" s="216"/>
      <c r="H34" s="216"/>
    </row>
    <row r="35" spans="1:19" ht="15.75" customHeight="1" x14ac:dyDescent="0.3">
      <c r="A35" s="211" t="s">
        <v>25</v>
      </c>
      <c r="B35" s="211" t="s">
        <v>28</v>
      </c>
      <c r="C35" s="212" t="s">
        <v>303</v>
      </c>
      <c r="D35" s="212"/>
      <c r="E35" s="212"/>
      <c r="F35" s="212" t="s">
        <v>301</v>
      </c>
      <c r="G35" s="212"/>
      <c r="H35" s="212"/>
    </row>
    <row r="36" spans="1:19" s="20" customFormat="1" x14ac:dyDescent="0.3">
      <c r="A36" s="211" t="s">
        <v>27</v>
      </c>
      <c r="B36" s="211" t="s">
        <v>28</v>
      </c>
      <c r="C36" s="212" t="s">
        <v>304</v>
      </c>
      <c r="D36" s="212"/>
      <c r="E36" s="212"/>
      <c r="F36" s="212" t="s">
        <v>301</v>
      </c>
      <c r="G36" s="212"/>
      <c r="H36" s="212"/>
    </row>
    <row r="37" spans="1:19" x14ac:dyDescent="0.3">
      <c r="A37" s="214" t="s">
        <v>26</v>
      </c>
      <c r="B37" s="214" t="s">
        <v>28</v>
      </c>
      <c r="C37" s="214" t="s">
        <v>305</v>
      </c>
      <c r="D37" s="214"/>
      <c r="E37" s="214"/>
      <c r="F37" s="216" t="s">
        <v>299</v>
      </c>
      <c r="G37" s="216"/>
      <c r="H37" s="216"/>
    </row>
    <row r="38" spans="1:19" x14ac:dyDescent="0.3">
      <c r="A38" s="144" t="s">
        <v>276</v>
      </c>
      <c r="B38" s="144"/>
      <c r="C38" s="144"/>
      <c r="D38" s="144"/>
      <c r="E38" s="144"/>
      <c r="F38" s="144"/>
      <c r="G38" s="144"/>
      <c r="H38" s="144"/>
    </row>
    <row r="39" spans="1:19" ht="15.75" customHeight="1" x14ac:dyDescent="0.3">
      <c r="A39" s="217" t="s">
        <v>160</v>
      </c>
      <c r="B39" s="217"/>
      <c r="C39" s="144" t="s">
        <v>296</v>
      </c>
      <c r="D39" s="144"/>
      <c r="E39" s="144"/>
      <c r="F39" s="144"/>
      <c r="G39" s="144"/>
      <c r="H39" s="144"/>
    </row>
    <row r="40" spans="1:19" x14ac:dyDescent="0.3">
      <c r="A40" s="217" t="s">
        <v>157</v>
      </c>
      <c r="B40" s="217"/>
      <c r="C40" s="221" t="s">
        <v>297</v>
      </c>
      <c r="D40" s="136"/>
      <c r="E40" s="136"/>
      <c r="F40" s="136"/>
      <c r="G40" s="136"/>
      <c r="H40" s="136"/>
    </row>
    <row r="41" spans="1:19" x14ac:dyDescent="0.3">
      <c r="A41" s="217" t="s">
        <v>32</v>
      </c>
      <c r="B41" s="217"/>
      <c r="C41" s="217"/>
      <c r="D41" s="217"/>
      <c r="E41" s="217"/>
      <c r="F41" s="217"/>
      <c r="G41" s="217"/>
      <c r="H41" s="217"/>
    </row>
    <row r="42" spans="1:19" x14ac:dyDescent="0.3">
      <c r="A42" s="144" t="s">
        <v>33</v>
      </c>
      <c r="B42" s="144"/>
      <c r="C42" s="144"/>
      <c r="D42" s="144"/>
      <c r="E42" s="218">
        <v>15626.15</v>
      </c>
      <c r="F42" s="218"/>
      <c r="G42" s="218"/>
      <c r="H42" s="218"/>
    </row>
    <row r="43" spans="1:19" x14ac:dyDescent="0.3">
      <c r="A43" s="144" t="s">
        <v>34</v>
      </c>
      <c r="B43" s="144"/>
      <c r="C43" s="144"/>
      <c r="D43" s="144"/>
      <c r="E43" s="169">
        <v>1</v>
      </c>
      <c r="F43" s="169"/>
      <c r="G43" s="169"/>
      <c r="H43" s="169"/>
    </row>
    <row r="44" spans="1:19" x14ac:dyDescent="0.3">
      <c r="A44" s="144" t="s">
        <v>35</v>
      </c>
      <c r="B44" s="144"/>
      <c r="C44" s="144"/>
      <c r="D44" s="144"/>
      <c r="E44" s="169">
        <f>E46/E42-E43</f>
        <v>2.033043967963958</v>
      </c>
      <c r="F44" s="169"/>
      <c r="G44" s="169"/>
      <c r="H44" s="169"/>
    </row>
    <row r="45" spans="1:19" x14ac:dyDescent="0.3">
      <c r="A45" s="144" t="s">
        <v>36</v>
      </c>
      <c r="B45" s="144"/>
      <c r="C45" s="144"/>
      <c r="D45" s="144"/>
      <c r="E45" s="169">
        <f>E43+E44</f>
        <v>3.033043967963958</v>
      </c>
      <c r="F45" s="169"/>
      <c r="G45" s="169"/>
      <c r="H45" s="169"/>
    </row>
    <row r="46" spans="1:19" x14ac:dyDescent="0.3">
      <c r="A46" s="144" t="s">
        <v>88</v>
      </c>
      <c r="B46" s="144"/>
      <c r="C46" s="144"/>
      <c r="D46" s="144"/>
      <c r="E46" s="220">
        <v>47394.8</v>
      </c>
      <c r="F46" s="220"/>
      <c r="G46" s="220"/>
      <c r="H46" s="220"/>
    </row>
    <row r="47" spans="1:19" x14ac:dyDescent="0.3">
      <c r="A47" s="137" t="s">
        <v>37</v>
      </c>
      <c r="B47" s="137"/>
      <c r="C47" s="137"/>
      <c r="D47" s="137"/>
      <c r="E47" s="145" t="s">
        <v>368</v>
      </c>
      <c r="F47" s="145"/>
      <c r="G47" s="145"/>
      <c r="H47" s="145"/>
    </row>
    <row r="48" spans="1:19" x14ac:dyDescent="0.3">
      <c r="A48" s="217" t="s">
        <v>38</v>
      </c>
      <c r="B48" s="217"/>
      <c r="C48" s="217"/>
      <c r="D48" s="217"/>
      <c r="E48" s="217"/>
      <c r="F48" s="217"/>
      <c r="G48" s="217"/>
      <c r="H48" s="217"/>
    </row>
    <row r="49" spans="1:24" ht="33.75" customHeight="1" x14ac:dyDescent="0.3">
      <c r="A49" s="128" t="s">
        <v>146</v>
      </c>
      <c r="B49" s="130"/>
      <c r="C49" s="235" t="s">
        <v>250</v>
      </c>
      <c r="D49" s="236"/>
      <c r="E49" s="236"/>
      <c r="F49" s="236"/>
      <c r="G49" s="236"/>
      <c r="H49" s="237"/>
      <c r="R49" t="s">
        <v>249</v>
      </c>
      <c r="S49" t="s">
        <v>167</v>
      </c>
      <c r="T49" t="s">
        <v>174</v>
      </c>
      <c r="U49" t="s">
        <v>189</v>
      </c>
      <c r="V49" t="s">
        <v>184</v>
      </c>
    </row>
    <row r="50" spans="1:24" ht="15.75" customHeight="1" x14ac:dyDescent="0.3">
      <c r="A50" s="121" t="s">
        <v>350</v>
      </c>
      <c r="B50" s="122"/>
      <c r="C50" s="122"/>
      <c r="D50" s="122"/>
      <c r="E50" s="122"/>
      <c r="F50" s="122"/>
      <c r="G50" s="122"/>
      <c r="H50" s="123"/>
      <c r="R50"/>
      <c r="S50" t="s">
        <v>250</v>
      </c>
      <c r="T50" t="s">
        <v>255</v>
      </c>
      <c r="U50" t="s">
        <v>266</v>
      </c>
      <c r="V50" t="s">
        <v>271</v>
      </c>
    </row>
    <row r="51" spans="1:24" ht="15.75" customHeight="1" x14ac:dyDescent="0.3">
      <c r="A51" s="128" t="s">
        <v>39</v>
      </c>
      <c r="B51" s="130"/>
      <c r="C51" s="128" t="s">
        <v>310</v>
      </c>
      <c r="D51" s="129"/>
      <c r="E51" s="130"/>
      <c r="F51" s="16" t="s">
        <v>40</v>
      </c>
      <c r="G51" s="131">
        <v>44805</v>
      </c>
      <c r="H51" s="130"/>
      <c r="R51"/>
      <c r="S51" t="s">
        <v>250</v>
      </c>
      <c r="T51" t="s">
        <v>255</v>
      </c>
      <c r="U51" t="s">
        <v>266</v>
      </c>
      <c r="V51" t="s">
        <v>271</v>
      </c>
    </row>
    <row r="52" spans="1:24" x14ac:dyDescent="0.3">
      <c r="A52" s="128" t="s">
        <v>41</v>
      </c>
      <c r="B52" s="130"/>
      <c r="C52" s="128" t="str">
        <f>C51</f>
        <v>SRA/ENG/2949/KE/PL/AP</v>
      </c>
      <c r="D52" s="129"/>
      <c r="E52" s="130"/>
      <c r="F52" s="16" t="s">
        <v>40</v>
      </c>
      <c r="G52" s="131">
        <f>G51</f>
        <v>44805</v>
      </c>
      <c r="H52" s="130"/>
      <c r="R52"/>
      <c r="S52" t="s">
        <v>251</v>
      </c>
      <c r="T52" t="s">
        <v>256</v>
      </c>
      <c r="U52" t="s">
        <v>264</v>
      </c>
      <c r="V52" t="s">
        <v>272</v>
      </c>
    </row>
    <row r="53" spans="1:24" s="21" customFormat="1" hidden="1" x14ac:dyDescent="0.3">
      <c r="A53" s="147" t="s">
        <v>277</v>
      </c>
      <c r="B53" s="148"/>
      <c r="C53" s="128" t="e">
        <f>#REF!</f>
        <v>#REF!</v>
      </c>
      <c r="D53" s="129"/>
      <c r="E53" s="130"/>
      <c r="F53" s="16" t="s">
        <v>40</v>
      </c>
      <c r="G53" s="128"/>
      <c r="H53" s="130"/>
      <c r="R53"/>
      <c r="S53" t="s">
        <v>252</v>
      </c>
      <c r="T53" t="s">
        <v>257</v>
      </c>
      <c r="U53" t="s">
        <v>254</v>
      </c>
      <c r="V53" t="s">
        <v>273</v>
      </c>
    </row>
    <row r="54" spans="1:24" s="21" customFormat="1" ht="32.25" hidden="1" customHeight="1" x14ac:dyDescent="0.3">
      <c r="A54" s="149"/>
      <c r="B54" s="150"/>
      <c r="C54" s="232"/>
      <c r="D54" s="233"/>
      <c r="E54" s="233"/>
      <c r="F54" s="233"/>
      <c r="G54" s="233"/>
      <c r="H54" s="234"/>
      <c r="R54"/>
      <c r="S54" t="s">
        <v>254</v>
      </c>
      <c r="T54" t="s">
        <v>258</v>
      </c>
      <c r="U54" t="s">
        <v>268</v>
      </c>
      <c r="V54" s="19"/>
      <c r="W54" s="19"/>
      <c r="X54" s="19"/>
    </row>
    <row r="55" spans="1:24" ht="15.75" customHeight="1" x14ac:dyDescent="0.3">
      <c r="A55" s="121" t="s">
        <v>349</v>
      </c>
      <c r="B55" s="122"/>
      <c r="C55" s="122"/>
      <c r="D55" s="122"/>
      <c r="E55" s="122"/>
      <c r="F55" s="122"/>
      <c r="G55" s="122"/>
      <c r="H55" s="123"/>
      <c r="R55"/>
      <c r="S55" t="s">
        <v>250</v>
      </c>
      <c r="T55" t="s">
        <v>255</v>
      </c>
      <c r="U55" t="s">
        <v>266</v>
      </c>
      <c r="V55" t="s">
        <v>271</v>
      </c>
    </row>
    <row r="56" spans="1:24" ht="15.75" customHeight="1" x14ac:dyDescent="0.3">
      <c r="A56" s="128" t="s">
        <v>39</v>
      </c>
      <c r="B56" s="130"/>
      <c r="C56" s="128" t="s">
        <v>310</v>
      </c>
      <c r="D56" s="129"/>
      <c r="E56" s="130"/>
      <c r="F56" s="16" t="s">
        <v>40</v>
      </c>
      <c r="G56" s="131">
        <v>45562</v>
      </c>
      <c r="H56" s="130"/>
      <c r="R56"/>
      <c r="S56" t="s">
        <v>250</v>
      </c>
      <c r="T56" t="s">
        <v>255</v>
      </c>
      <c r="U56" t="s">
        <v>266</v>
      </c>
      <c r="V56" t="s">
        <v>271</v>
      </c>
    </row>
    <row r="57" spans="1:24" x14ac:dyDescent="0.3">
      <c r="A57" s="128" t="s">
        <v>41</v>
      </c>
      <c r="B57" s="130"/>
      <c r="C57" s="128" t="str">
        <f>C56</f>
        <v>SRA/ENG/2949/KE/PL/AP</v>
      </c>
      <c r="D57" s="129"/>
      <c r="E57" s="130"/>
      <c r="F57" s="16" t="s">
        <v>40</v>
      </c>
      <c r="G57" s="131">
        <f>G56</f>
        <v>45562</v>
      </c>
      <c r="H57" s="130"/>
      <c r="R57"/>
      <c r="S57" t="s">
        <v>251</v>
      </c>
      <c r="T57" t="s">
        <v>256</v>
      </c>
      <c r="U57" t="s">
        <v>264</v>
      </c>
      <c r="V57" t="s">
        <v>272</v>
      </c>
    </row>
    <row r="58" spans="1:24" s="21" customFormat="1" ht="15.75" customHeight="1" x14ac:dyDescent="0.3">
      <c r="A58" s="124" t="s">
        <v>150</v>
      </c>
      <c r="B58" s="125"/>
      <c r="C58" s="128" t="s">
        <v>310</v>
      </c>
      <c r="D58" s="129"/>
      <c r="E58" s="130"/>
      <c r="F58" s="16" t="s">
        <v>40</v>
      </c>
      <c r="G58" s="131">
        <v>44903</v>
      </c>
      <c r="H58" s="130"/>
      <c r="R58"/>
      <c r="S58" t="s">
        <v>252</v>
      </c>
      <c r="T58" t="s">
        <v>257</v>
      </c>
      <c r="U58" t="s">
        <v>254</v>
      </c>
      <c r="V58" t="s">
        <v>273</v>
      </c>
    </row>
    <row r="59" spans="1:24" s="21" customFormat="1" x14ac:dyDescent="0.3">
      <c r="A59" s="126"/>
      <c r="B59" s="127"/>
      <c r="C59" s="128" t="s">
        <v>351</v>
      </c>
      <c r="D59" s="129"/>
      <c r="E59" s="129"/>
      <c r="F59" s="129"/>
      <c r="G59" s="129"/>
      <c r="H59" s="130"/>
      <c r="R59"/>
      <c r="S59" t="s">
        <v>253</v>
      </c>
      <c r="T59" t="s">
        <v>260</v>
      </c>
      <c r="U59" t="s">
        <v>267</v>
      </c>
    </row>
    <row r="60" spans="1:24" s="21" customFormat="1" ht="15.75" customHeight="1" x14ac:dyDescent="0.3">
      <c r="A60" s="124"/>
      <c r="B60" s="125"/>
      <c r="C60" s="128" t="s">
        <v>310</v>
      </c>
      <c r="D60" s="129"/>
      <c r="E60" s="130"/>
      <c r="F60" s="16" t="s">
        <v>40</v>
      </c>
      <c r="G60" s="131">
        <v>45503</v>
      </c>
      <c r="H60" s="130"/>
      <c r="R60"/>
      <c r="S60" t="s">
        <v>252</v>
      </c>
      <c r="T60" t="s">
        <v>257</v>
      </c>
      <c r="U60" t="s">
        <v>254</v>
      </c>
      <c r="V60" t="s">
        <v>273</v>
      </c>
    </row>
    <row r="61" spans="1:24" s="21" customFormat="1" ht="35.25" customHeight="1" x14ac:dyDescent="0.3">
      <c r="A61" s="126"/>
      <c r="B61" s="127"/>
      <c r="C61" s="128" t="s">
        <v>352</v>
      </c>
      <c r="D61" s="129"/>
      <c r="E61" s="129"/>
      <c r="F61" s="129"/>
      <c r="G61" s="129"/>
      <c r="H61" s="130"/>
      <c r="R61"/>
      <c r="S61" t="s">
        <v>253</v>
      </c>
      <c r="T61" t="s">
        <v>260</v>
      </c>
      <c r="U61" t="s">
        <v>267</v>
      </c>
    </row>
    <row r="62" spans="1:24" s="21" customFormat="1" ht="15.75" customHeight="1" x14ac:dyDescent="0.3">
      <c r="A62" s="124"/>
      <c r="B62" s="125"/>
      <c r="C62" s="128" t="str">
        <f>C57</f>
        <v>SRA/ENG/2949/KE/PL/AP</v>
      </c>
      <c r="D62" s="129"/>
      <c r="E62" s="130"/>
      <c r="F62" s="16" t="s">
        <v>40</v>
      </c>
      <c r="G62" s="131">
        <v>45564</v>
      </c>
      <c r="H62" s="130"/>
      <c r="R62"/>
      <c r="S62" t="s">
        <v>252</v>
      </c>
      <c r="T62" t="s">
        <v>257</v>
      </c>
      <c r="U62" t="s">
        <v>254</v>
      </c>
      <c r="V62" t="s">
        <v>273</v>
      </c>
    </row>
    <row r="63" spans="1:24" s="21" customFormat="1" ht="35.25" customHeight="1" x14ac:dyDescent="0.3">
      <c r="A63" s="126"/>
      <c r="B63" s="127"/>
      <c r="C63" s="128" t="s">
        <v>353</v>
      </c>
      <c r="D63" s="129"/>
      <c r="E63" s="129"/>
      <c r="F63" s="129"/>
      <c r="G63" s="129"/>
      <c r="H63" s="130"/>
      <c r="R63"/>
      <c r="S63" t="s">
        <v>253</v>
      </c>
      <c r="T63" t="s">
        <v>260</v>
      </c>
      <c r="U63" t="s">
        <v>267</v>
      </c>
    </row>
    <row r="64" spans="1:24" s="21" customFormat="1" x14ac:dyDescent="0.3">
      <c r="A64" s="140" t="s">
        <v>278</v>
      </c>
      <c r="B64" s="141"/>
      <c r="C64" s="128" t="s">
        <v>333</v>
      </c>
      <c r="D64" s="129"/>
      <c r="E64" s="130"/>
      <c r="F64" s="16" t="s">
        <v>40</v>
      </c>
      <c r="G64" s="131">
        <v>45072</v>
      </c>
      <c r="H64" s="130"/>
      <c r="R64"/>
      <c r="S64" s="19"/>
      <c r="T64" t="s">
        <v>259</v>
      </c>
      <c r="U64" t="s">
        <v>269</v>
      </c>
      <c r="V64" s="19"/>
      <c r="W64" s="19"/>
      <c r="X64" s="19"/>
    </row>
    <row r="65" spans="1:24" s="21" customFormat="1" ht="81" customHeight="1" x14ac:dyDescent="0.3">
      <c r="A65" s="142"/>
      <c r="B65" s="143"/>
      <c r="C65" s="128" t="s">
        <v>369</v>
      </c>
      <c r="D65" s="129"/>
      <c r="E65" s="129"/>
      <c r="F65" s="129"/>
      <c r="G65" s="129"/>
      <c r="H65" s="130"/>
      <c r="R65"/>
      <c r="S65" s="19"/>
      <c r="T65" t="s">
        <v>261</v>
      </c>
      <c r="U65" t="s">
        <v>270</v>
      </c>
      <c r="V65" s="19"/>
      <c r="W65" s="19"/>
      <c r="X65" s="19"/>
    </row>
    <row r="66" spans="1:24" s="21" customFormat="1" ht="35.25" customHeight="1" x14ac:dyDescent="0.3">
      <c r="A66" s="140" t="s">
        <v>279</v>
      </c>
      <c r="B66" s="141"/>
      <c r="C66" s="128" t="s">
        <v>344</v>
      </c>
      <c r="D66" s="129"/>
      <c r="E66" s="130"/>
      <c r="F66" s="16" t="s">
        <v>40</v>
      </c>
      <c r="G66" s="131">
        <v>43312</v>
      </c>
      <c r="H66" s="130"/>
      <c r="R66"/>
      <c r="S66" s="19"/>
      <c r="T66" t="s">
        <v>262</v>
      </c>
      <c r="U66" s="19" t="s">
        <v>293</v>
      </c>
      <c r="V66" s="19"/>
      <c r="W66" s="19"/>
      <c r="X66" s="19"/>
    </row>
    <row r="67" spans="1:24" s="21" customFormat="1" ht="17.25" customHeight="1" x14ac:dyDescent="0.3">
      <c r="A67" s="142"/>
      <c r="B67" s="143"/>
      <c r="C67" s="128" t="s">
        <v>332</v>
      </c>
      <c r="D67" s="129"/>
      <c r="E67" s="130"/>
      <c r="F67" s="16" t="s">
        <v>331</v>
      </c>
      <c r="G67" s="131">
        <v>46190</v>
      </c>
      <c r="H67" s="130"/>
      <c r="R67"/>
      <c r="S67" s="19"/>
      <c r="T67" t="s">
        <v>263</v>
      </c>
      <c r="U67" s="19"/>
      <c r="V67" s="19"/>
      <c r="W67" s="19"/>
      <c r="X67" s="19"/>
    </row>
    <row r="68" spans="1:24" x14ac:dyDescent="0.3">
      <c r="A68" s="161" t="s">
        <v>42</v>
      </c>
      <c r="B68" s="162"/>
      <c r="C68" s="161" t="s">
        <v>101</v>
      </c>
      <c r="D68" s="163"/>
      <c r="E68" s="162"/>
      <c r="F68" s="41" t="s">
        <v>40</v>
      </c>
      <c r="G68" s="138" t="s">
        <v>28</v>
      </c>
      <c r="H68" s="139"/>
      <c r="R68"/>
      <c r="T68" t="s">
        <v>265</v>
      </c>
    </row>
    <row r="69" spans="1:24" x14ac:dyDescent="0.3">
      <c r="A69" s="134" t="s">
        <v>44</v>
      </c>
      <c r="B69" s="134"/>
      <c r="C69" s="134"/>
      <c r="D69" s="134"/>
      <c r="E69" s="134"/>
      <c r="F69" s="134"/>
      <c r="G69" s="134"/>
      <c r="H69" s="134"/>
      <c r="T69" t="s">
        <v>274</v>
      </c>
    </row>
    <row r="70" spans="1:24" ht="33" customHeight="1" x14ac:dyDescent="0.3">
      <c r="A70" s="135" t="s">
        <v>306</v>
      </c>
      <c r="B70" s="135"/>
      <c r="C70" s="135"/>
      <c r="D70" s="164">
        <f>6867.24+5971.63+14651.86</f>
        <v>27490.73</v>
      </c>
      <c r="E70" s="164"/>
      <c r="F70" s="164"/>
      <c r="G70" s="164"/>
      <c r="H70" s="164"/>
      <c r="R70"/>
    </row>
    <row r="71" spans="1:24" x14ac:dyDescent="0.3">
      <c r="A71" s="136" t="s">
        <v>45</v>
      </c>
      <c r="B71" s="137"/>
      <c r="C71" s="137"/>
      <c r="D71" s="137" t="s">
        <v>364</v>
      </c>
      <c r="E71" s="137"/>
      <c r="F71" s="137"/>
      <c r="G71" s="137"/>
      <c r="H71" s="137"/>
      <c r="I71" s="22"/>
      <c r="R71"/>
    </row>
    <row r="72" spans="1:24" ht="47.1" customHeight="1" x14ac:dyDescent="0.3">
      <c r="A72" s="136" t="s">
        <v>46</v>
      </c>
      <c r="B72" s="136"/>
      <c r="C72" s="136"/>
      <c r="D72" s="136" t="s">
        <v>355</v>
      </c>
      <c r="E72" s="137"/>
      <c r="F72" s="137"/>
      <c r="G72" s="137"/>
      <c r="H72" s="137"/>
      <c r="R72"/>
    </row>
    <row r="73" spans="1:24" ht="15.75" customHeight="1" x14ac:dyDescent="0.3">
      <c r="A73" s="136" t="s">
        <v>86</v>
      </c>
      <c r="B73" s="136"/>
      <c r="C73" s="136"/>
      <c r="D73" s="145" t="s">
        <v>338</v>
      </c>
      <c r="E73" s="145"/>
      <c r="F73" s="145"/>
      <c r="G73" s="145"/>
      <c r="H73" s="145"/>
      <c r="R73"/>
    </row>
    <row r="74" spans="1:24" ht="15.75" customHeight="1" x14ac:dyDescent="0.3">
      <c r="A74" s="136"/>
      <c r="B74" s="136"/>
      <c r="C74" s="136"/>
      <c r="D74" s="145" t="s">
        <v>354</v>
      </c>
      <c r="E74" s="145"/>
      <c r="F74" s="145"/>
      <c r="G74" s="145"/>
      <c r="H74" s="145"/>
      <c r="R74"/>
    </row>
    <row r="75" spans="1:24" ht="15.75" customHeight="1" x14ac:dyDescent="0.3">
      <c r="A75" s="144" t="s">
        <v>43</v>
      </c>
      <c r="B75" s="144"/>
      <c r="C75" s="144"/>
      <c r="D75" s="135" t="s">
        <v>307</v>
      </c>
      <c r="E75" s="135"/>
      <c r="F75" s="135"/>
      <c r="G75" s="135"/>
      <c r="H75" s="135"/>
      <c r="J75" s="23"/>
      <c r="K75" s="22"/>
      <c r="N75" s="22"/>
      <c r="S75"/>
    </row>
    <row r="76" spans="1:24" ht="15.75" customHeight="1" x14ac:dyDescent="0.3">
      <c r="A76" s="144" t="s">
        <v>84</v>
      </c>
      <c r="B76" s="144"/>
      <c r="C76" s="144"/>
      <c r="D76" s="219" t="str">
        <f>(IF(G68="NA","60 Years After Completion",IF(G68&lt;&gt;"NA",""&amp;60-ROUNDDOWN((E3-G68)/360,0)&amp;" Years"," ")))</f>
        <v>60 Years After Completion</v>
      </c>
      <c r="E76" s="219"/>
      <c r="F76" s="219"/>
      <c r="G76" s="219"/>
      <c r="H76" s="219"/>
      <c r="N76" s="22"/>
      <c r="S76"/>
    </row>
    <row r="77" spans="1:24" ht="15.75" customHeight="1" x14ac:dyDescent="0.3">
      <c r="A77" s="144" t="s">
        <v>85</v>
      </c>
      <c r="B77" s="144"/>
      <c r="C77" s="144"/>
      <c r="D77" s="135" t="s">
        <v>23</v>
      </c>
      <c r="E77" s="135"/>
      <c r="F77" s="135"/>
      <c r="G77" s="135"/>
      <c r="H77" s="135"/>
      <c r="J77" s="24"/>
      <c r="K77" s="24"/>
      <c r="S77"/>
    </row>
    <row r="78" spans="1:24" ht="82.5" customHeight="1" x14ac:dyDescent="0.3">
      <c r="A78" s="145" t="s">
        <v>308</v>
      </c>
      <c r="B78" s="145"/>
      <c r="C78" s="145"/>
      <c r="D78" s="146" t="s">
        <v>309</v>
      </c>
      <c r="E78" s="146"/>
      <c r="F78" s="146"/>
      <c r="G78" s="146"/>
      <c r="H78" s="146"/>
      <c r="S78"/>
    </row>
    <row r="79" spans="1:24" x14ac:dyDescent="0.3">
      <c r="A79" s="135" t="s">
        <v>143</v>
      </c>
      <c r="B79" s="135"/>
      <c r="C79" s="135"/>
      <c r="D79" s="135" t="s">
        <v>28</v>
      </c>
      <c r="E79" s="135"/>
      <c r="F79" s="135"/>
      <c r="G79" s="135"/>
      <c r="H79" s="135"/>
      <c r="I79" s="25"/>
      <c r="J79" s="25"/>
      <c r="K79" s="25"/>
      <c r="L79" s="25"/>
      <c r="M79" s="25"/>
      <c r="N79" s="25"/>
    </row>
    <row r="80" spans="1:24" ht="15.75" customHeight="1" x14ac:dyDescent="0.3">
      <c r="A80" s="168" t="s">
        <v>83</v>
      </c>
      <c r="B80" s="168"/>
      <c r="C80" s="168"/>
      <c r="D80" s="200" t="str">
        <f ca="1">(IF(G86&gt;95%,"Nothing",IF(G86&gt;0%,"Cement, Aggregate, Steel, etc",IF(G86=0%,"Work not yet Started"))))</f>
        <v>Cement, Aggregate, Steel, etc</v>
      </c>
      <c r="E80" s="200"/>
      <c r="F80" s="200"/>
      <c r="G80" s="200"/>
      <c r="H80" s="200"/>
      <c r="J80" s="24"/>
      <c r="S80"/>
    </row>
    <row r="81" spans="1:19" ht="33.75" customHeight="1" thickBot="1" x14ac:dyDescent="0.35">
      <c r="A81" s="199" t="s">
        <v>114</v>
      </c>
      <c r="B81" s="199"/>
      <c r="C81" s="199"/>
      <c r="D81" s="200" t="str">
        <f ca="1">(IF(D80="Nothing","Yes",IF(D80="Cement, Aggregate, Steel, etc","Under Construction",IF(D80="Work not yet Started","Work not yet Started"))))</f>
        <v>Under Construction</v>
      </c>
      <c r="E81" s="200"/>
      <c r="F81" s="200" t="str">
        <f ca="1">(IF(D80="Nothing","Yes",IF(D80="Cement, Aggregate, Steel, etc","Under Construction",IF(D80="Work not yet Started","Work not yet Started"))))</f>
        <v>Under Construction</v>
      </c>
      <c r="G81" s="200"/>
      <c r="H81" s="200"/>
      <c r="S81"/>
    </row>
    <row r="82" spans="1:19" ht="15.75" customHeight="1" x14ac:dyDescent="0.3">
      <c r="A82" s="201" t="s">
        <v>135</v>
      </c>
      <c r="B82" s="202"/>
      <c r="C82" s="203" t="s">
        <v>373</v>
      </c>
      <c r="D82" s="204"/>
      <c r="E82" s="204"/>
      <c r="F82" s="204"/>
      <c r="G82" s="204"/>
      <c r="H82" s="205"/>
      <c r="I82" s="42" t="str">
        <f ca="1">IF(D95=100%,"All work Completed. Possession granted to the Building.",IF(D94=100%,"All work Completed, Waiting for OC",I83&amp;""&amp;I84&amp;""&amp;J83&amp;""&amp;J82&amp;" "&amp;J84))</f>
        <v>Excavation, Plinth, RCC Slab, Brickwork, Internal Plaster Completed, External Plaster upto 13 Floor, Flooring upto 7 Floor, Painting upto 3 Floor Completed</v>
      </c>
      <c r="J82" s="43"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External Plaster upto 13 Floor, Flooring upto 7 Floor, Painting upto 3 Floor</v>
      </c>
      <c r="S82"/>
    </row>
    <row r="83" spans="1:19" x14ac:dyDescent="0.3">
      <c r="A83" s="15" t="s">
        <v>137</v>
      </c>
      <c r="B83" s="46">
        <v>3</v>
      </c>
      <c r="C83" s="59" t="s">
        <v>69</v>
      </c>
      <c r="D83" s="59">
        <v>1</v>
      </c>
      <c r="E83" s="59" t="s">
        <v>68</v>
      </c>
      <c r="F83" s="59">
        <v>0</v>
      </c>
      <c r="G83" s="59" t="s">
        <v>77</v>
      </c>
      <c r="H83" s="60">
        <f ca="1">--TRIM(RIGHT(SUBSTITUTE(LEFT(C82,_xlfn.AGGREGATE(16,6,FIND({0,1,2,3,4,5,6,7,8,9},C82,ROW(INDIRECT("1:"&amp;LEN(C82)))),1))," ",REPT(" ",LEN(C82))),LEN(C82)))</f>
        <v>16</v>
      </c>
      <c r="I83" s="44" t="str">
        <f ca="1">IF(D86=100%,"Excavation","")&amp;IF(D87=100%,", Plinth","")&amp;IF(D88=100%,", RCC Slab","")&amp;IF(D89=100%,", Brickwork","")&amp;IF(D90=100%,", Internal Plaster","")&amp;IF(D91=100%,", External Plaster","")&amp;IF(D92=100%,", Flooring","")&amp;IF(D93=100%,", Painting","")&amp;IF(D94=100%,", Building common Amenities","")</f>
        <v>Excavation, Plinth, RCC Slab, Brickwork, Internal Plaster</v>
      </c>
      <c r="J83" s="45"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c r="S83"/>
    </row>
    <row r="84" spans="1:19" ht="33" customHeight="1" x14ac:dyDescent="0.3">
      <c r="A84" s="89" t="s">
        <v>87</v>
      </c>
      <c r="B84" s="90"/>
      <c r="C84" s="88" t="str">
        <f ca="1">I82</f>
        <v>Excavation, Plinth, RCC Slab, Brickwork, Internal Plaster Completed, External Plaster upto 13 Floor, Flooring upto 7 Floor, Painting upto 3 Floor Completed</v>
      </c>
      <c r="D84" s="88"/>
      <c r="E84" s="88"/>
      <c r="F84" s="88"/>
      <c r="G84" s="88"/>
      <c r="H84" s="91"/>
      <c r="I84" s="44" t="str">
        <f ca="1">IF(I83&lt;&gt;""," Completed","")</f>
        <v xml:space="preserve"> Completed</v>
      </c>
      <c r="J84" s="45" t="str">
        <f ca="1">IF(J82&lt;&gt;"","Completed","")</f>
        <v>Completed</v>
      </c>
      <c r="S84"/>
    </row>
    <row r="85" spans="1:19" ht="15.75" customHeight="1" x14ac:dyDescent="0.3">
      <c r="A85" s="92" t="s">
        <v>47</v>
      </c>
      <c r="B85" s="93"/>
      <c r="C85" s="57" t="s">
        <v>134</v>
      </c>
      <c r="D85" s="57" t="s">
        <v>80</v>
      </c>
      <c r="E85" s="93" t="s">
        <v>82</v>
      </c>
      <c r="F85" s="93"/>
      <c r="G85" s="93" t="s">
        <v>81</v>
      </c>
      <c r="H85" s="94"/>
      <c r="I85" s="13" t="s">
        <v>136</v>
      </c>
      <c r="J85" s="26">
        <f ca="1">H83*25%</f>
        <v>4</v>
      </c>
      <c r="S85"/>
    </row>
    <row r="86" spans="1:19" x14ac:dyDescent="0.3">
      <c r="A86" s="92" t="s">
        <v>123</v>
      </c>
      <c r="B86" s="93"/>
      <c r="C86" s="57">
        <f ca="1">J87</f>
        <v>16</v>
      </c>
      <c r="D86" s="17">
        <f ca="1">((100/H83)*C86)/100</f>
        <v>1</v>
      </c>
      <c r="E86" s="95">
        <f ca="1">(((C87/H83*10)+(40/(D83+F83+H83)*C88)+(7.5/(H83)*C89)+(7.5/(H83)*C90)+(10/H83*C91)+(10/H83*C92)+(5/H83*C93)+(5/H83*C94)+(5/H83*C95))/100)</f>
        <v>0.78437500000000004</v>
      </c>
      <c r="F86" s="96"/>
      <c r="G86" s="95">
        <f ca="1">((((C86/H83)*20)+((C87/H83)*25)+(30/(H83+F83+D83)*C88)+(5/H83*C89)+(5/H83*C90)+(5/H83*C91)+(5/H83*C92)+(0/H83*C93)+(0/H83*C94)+(5/H83*C95))/100)</f>
        <v>0.91249999999999998</v>
      </c>
      <c r="H86" s="101"/>
      <c r="I86" s="13" t="s">
        <v>96</v>
      </c>
      <c r="J86" s="27">
        <f ca="1">H83*50%</f>
        <v>8</v>
      </c>
    </row>
    <row r="87" spans="1:19" x14ac:dyDescent="0.3">
      <c r="A87" s="92" t="s">
        <v>48</v>
      </c>
      <c r="B87" s="93"/>
      <c r="C87" s="58">
        <f ca="1">J95</f>
        <v>16</v>
      </c>
      <c r="D87" s="17">
        <f ca="1">((100/H83)*C87)/100</f>
        <v>1</v>
      </c>
      <c r="E87" s="97"/>
      <c r="F87" s="98"/>
      <c r="G87" s="97"/>
      <c r="H87" s="102"/>
      <c r="I87" s="13" t="s">
        <v>97</v>
      </c>
      <c r="J87" s="27">
        <f ca="1">H83</f>
        <v>16</v>
      </c>
      <c r="S87"/>
    </row>
    <row r="88" spans="1:19" ht="15.75" customHeight="1" x14ac:dyDescent="0.3">
      <c r="A88" s="92" t="s">
        <v>124</v>
      </c>
      <c r="B88" s="93"/>
      <c r="C88" s="57">
        <v>17</v>
      </c>
      <c r="D88" s="17">
        <f ca="1">((100/(D83+F83+H83))*C88)/100</f>
        <v>1</v>
      </c>
      <c r="E88" s="97"/>
      <c r="F88" s="98"/>
      <c r="G88" s="97"/>
      <c r="H88" s="102"/>
      <c r="I88" s="13" t="s">
        <v>98</v>
      </c>
      <c r="J88" s="28">
        <f ca="1">(IF(B83&gt;1,(H83/(B83+2)),H83/4))</f>
        <v>3.2</v>
      </c>
      <c r="S88"/>
    </row>
    <row r="89" spans="1:19" ht="15.75" customHeight="1" x14ac:dyDescent="0.3">
      <c r="A89" s="92" t="s">
        <v>131</v>
      </c>
      <c r="B89" s="93" t="s">
        <v>125</v>
      </c>
      <c r="C89" s="57">
        <f>C88-1</f>
        <v>16</v>
      </c>
      <c r="D89" s="17">
        <f ca="1">((100/H83)*C89)/100</f>
        <v>1</v>
      </c>
      <c r="E89" s="97"/>
      <c r="F89" s="98"/>
      <c r="G89" s="97"/>
      <c r="H89" s="102"/>
      <c r="I89" s="13" t="s">
        <v>99</v>
      </c>
      <c r="J89" s="28">
        <f ca="1">(IF(B83&gt;1,(H83/(B83+2)+J88),H83/4+J88))</f>
        <v>6.4</v>
      </c>
    </row>
    <row r="90" spans="1:19" ht="15.75" customHeight="1" x14ac:dyDescent="0.3">
      <c r="A90" s="92" t="s">
        <v>132</v>
      </c>
      <c r="B90" s="93" t="s">
        <v>125</v>
      </c>
      <c r="C90" s="57">
        <v>16</v>
      </c>
      <c r="D90" s="17">
        <f ca="1">((100/H83)*C90)/100</f>
        <v>1</v>
      </c>
      <c r="E90" s="97"/>
      <c r="F90" s="98"/>
      <c r="G90" s="97"/>
      <c r="H90" s="102"/>
      <c r="I90" s="13" t="s">
        <v>141</v>
      </c>
      <c r="J90" s="28">
        <f ca="1">(IF(B83&gt;1,(H83/(B83+2)+J89),0))</f>
        <v>9.6000000000000014</v>
      </c>
    </row>
    <row r="91" spans="1:19" ht="15" customHeight="1" x14ac:dyDescent="0.3">
      <c r="A91" s="132" t="s">
        <v>130</v>
      </c>
      <c r="B91" s="133" t="s">
        <v>127</v>
      </c>
      <c r="C91" s="57">
        <v>13</v>
      </c>
      <c r="D91" s="17">
        <f ca="1">((100/(H83))*C91)/100</f>
        <v>0.8125</v>
      </c>
      <c r="E91" s="97"/>
      <c r="F91" s="98"/>
      <c r="G91" s="97"/>
      <c r="H91" s="102"/>
      <c r="I91" s="13" t="s">
        <v>138</v>
      </c>
      <c r="J91" s="28">
        <f ca="1">(IF(B83&gt;2,(H83/(B83+2)+J90),0))</f>
        <v>12.8</v>
      </c>
    </row>
    <row r="92" spans="1:19" ht="15.75" customHeight="1" x14ac:dyDescent="0.3">
      <c r="A92" s="132" t="s">
        <v>126</v>
      </c>
      <c r="B92" s="133" t="s">
        <v>126</v>
      </c>
      <c r="C92" s="57">
        <v>7</v>
      </c>
      <c r="D92" s="17">
        <f ca="1">((100/H83)*C92)/100</f>
        <v>0.4375</v>
      </c>
      <c r="E92" s="97"/>
      <c r="F92" s="98"/>
      <c r="G92" s="97"/>
      <c r="H92" s="102"/>
      <c r="I92" s="13" t="s">
        <v>139</v>
      </c>
      <c r="J92" s="29">
        <f>(IF(B83&gt;3,(H83/(B83+2)+J91),0))</f>
        <v>0</v>
      </c>
    </row>
    <row r="93" spans="1:19" ht="15.75" customHeight="1" x14ac:dyDescent="0.3">
      <c r="A93" s="132" t="s">
        <v>133</v>
      </c>
      <c r="B93" s="133"/>
      <c r="C93" s="57">
        <v>3</v>
      </c>
      <c r="D93" s="17">
        <f ca="1">((100/H83)*C93)/100</f>
        <v>0.1875</v>
      </c>
      <c r="E93" s="97"/>
      <c r="F93" s="98"/>
      <c r="G93" s="97"/>
      <c r="H93" s="102"/>
      <c r="I93" s="13" t="s">
        <v>140</v>
      </c>
      <c r="J93" s="28">
        <f>(IF(B83&gt;4,(H83/(B83+2)+J92),0))</f>
        <v>0</v>
      </c>
    </row>
    <row r="94" spans="1:19" ht="15.75" customHeight="1" x14ac:dyDescent="0.3">
      <c r="A94" s="132" t="s">
        <v>128</v>
      </c>
      <c r="B94" s="133" t="s">
        <v>128</v>
      </c>
      <c r="C94" s="57">
        <v>0</v>
      </c>
      <c r="D94" s="17">
        <f ca="1">((100/(H83))*C94)/100</f>
        <v>0</v>
      </c>
      <c r="E94" s="97"/>
      <c r="F94" s="98"/>
      <c r="G94" s="97"/>
      <c r="H94" s="102"/>
      <c r="I94" s="13" t="s">
        <v>142</v>
      </c>
      <c r="J94" s="28">
        <f>(IF(B83=1,(H83/(B83+3)+J89),IF(B83=0,(H83/4+J89),IF(B83&gt;1,0))))</f>
        <v>0</v>
      </c>
    </row>
    <row r="95" spans="1:19" ht="16.2" thickBot="1" x14ac:dyDescent="0.35">
      <c r="A95" s="206" t="s">
        <v>129</v>
      </c>
      <c r="B95" s="207"/>
      <c r="C95" s="56">
        <v>0</v>
      </c>
      <c r="D95" s="18">
        <f ca="1">((100/(H83))*C95)/100</f>
        <v>0</v>
      </c>
      <c r="E95" s="99"/>
      <c r="F95" s="100"/>
      <c r="G95" s="99"/>
      <c r="H95" s="103"/>
      <c r="I95" s="14" t="s">
        <v>100</v>
      </c>
      <c r="J95" s="30">
        <f ca="1">(IF(B83&gt;1.5,(H83/(B83+2)+J89+MAX(0,J90-J89)+MAX(0,J91-J90)+MAX(0,J92-J91)+MAX(0,J93-J92)+MAX(0,J94-J93)),IF(B83=1,(H83/(B83+3)+J94),IF(B83=0,H83/4+J94))))</f>
        <v>16</v>
      </c>
    </row>
    <row r="96" spans="1:19" ht="15.75" customHeight="1" x14ac:dyDescent="0.3">
      <c r="A96" s="249" t="s">
        <v>135</v>
      </c>
      <c r="B96" s="250"/>
      <c r="C96" s="203" t="s">
        <v>374</v>
      </c>
      <c r="D96" s="204"/>
      <c r="E96" s="204"/>
      <c r="F96" s="204"/>
      <c r="G96" s="204"/>
      <c r="H96" s="205"/>
      <c r="I96" s="42" t="str">
        <f ca="1">IF(D109=100%,"All work Completed. Possession granted to the Building.",IF(D108=100%,"All work Completed, Waiting for OC",I97&amp;""&amp;I98&amp;""&amp;J97&amp;""&amp;J96&amp;" "&amp;J98))</f>
        <v>Excavation, Plinth, RCC Slab, Brickwork, Internal Plaster Completed, External Plaster upto 13 Floor, Flooring upto 4 Floor, Painting upto 3 Floor Completed</v>
      </c>
      <c r="J96" s="43" t="str">
        <f ca="1">(IF(C102=(D97+F97+H97),"",IF(C102&gt;0,", RCC upto "&amp;C102&amp;" Slab","")))&amp;(IF(C103=H97,"",IF(C103&gt;0,", Brickwork upto "&amp;C103&amp;" Floor","")))&amp;(IF(C104=H97,"",IF(C104&gt;0,", Internal Plaster upto "&amp;C104&amp;" Floor","")))&amp;(IF(C105=H97,"",IF(C105&gt;0,", External Plaster upto "&amp;C105&amp;" Floor","")))&amp;(IF(C106=H97,"",IF(C106&gt;0,", Flooring upto "&amp;C106&amp;" Floor","")))&amp;(IF(C107=H97,"",IF(C107&gt;0,", Painting upto "&amp;C107&amp;" Floor","")))&amp;(IF(C108=H97,"",IF(C108&gt;0,", Finishing upto "&amp;C108&amp;" Floor","")))&amp;(IF(C109=H97,"",IF(C109&gt;0,", Possession upto "&amp;C109&amp;" Floor","")))</f>
        <v>, External Plaster upto 13 Floor, Flooring upto 4 Floor, Painting upto 3 Floor</v>
      </c>
      <c r="S96"/>
    </row>
    <row r="97" spans="1:19" x14ac:dyDescent="0.3">
      <c r="A97" s="15" t="s">
        <v>137</v>
      </c>
      <c r="B97" s="46">
        <v>3</v>
      </c>
      <c r="C97" s="59" t="s">
        <v>69</v>
      </c>
      <c r="D97" s="59">
        <v>1</v>
      </c>
      <c r="E97" s="59" t="s">
        <v>68</v>
      </c>
      <c r="F97" s="59">
        <v>0</v>
      </c>
      <c r="G97" s="59" t="s">
        <v>77</v>
      </c>
      <c r="H97" s="60">
        <f ca="1">--TRIM(RIGHT(SUBSTITUTE(LEFT(C96,_xlfn.AGGREGATE(16,6,FIND({0,1,2,3,4,5,6,7,8,9},C96,ROW(INDIRECT("1:"&amp;LEN(C96)))),1))," ",REPT(" ",LEN(C96))),LEN(C96)))</f>
        <v>16</v>
      </c>
      <c r="I97" s="44" t="str">
        <f ca="1">IF(D100=100%,"Excavation","")&amp;IF(D101=100%,", Plinth","")&amp;IF(D102=100%,", RCC Slab","")&amp;IF(D103=100%,", Brickwork","")&amp;IF(D104=100%,", Internal Plaster","")&amp;IF(D105=100%,", External Plaster","")&amp;IF(D106=100%,", Flooring","")&amp;IF(D107=100%,", Painting","")&amp;IF(D108=100%,", Building common Amenities","")</f>
        <v>Excavation, Plinth, RCC Slab, Brickwork, Internal Plaster</v>
      </c>
      <c r="J97" s="45" t="str">
        <f ca="1">(IF(C100=0,"Work not yet Started.",IF(D100=25%,"Piling work in process",IF(D100=50%,"Excavation work in process",IF(D100=100%,"","0")))))&amp;(IF(C101=0%,"",IF(C101=J102,", Footing work is process",IF(C101=J103,", Footing work Completed",IF(C101=J104,", 1st Basement Completed",IF(C101=J105,", 1st &amp; 2nd Basement Completed",IF(C101=J106,", 1st to 3rd Basement Completed",IF(C101=J107,", 1st to 4th Basement Completed",IF(C101=J108,", Plinth work is process",IF(C101=J109,"","0"))))))))))</f>
        <v/>
      </c>
      <c r="S97"/>
    </row>
    <row r="98" spans="1:19" ht="31.5" customHeight="1" x14ac:dyDescent="0.3">
      <c r="A98" s="89" t="s">
        <v>87</v>
      </c>
      <c r="B98" s="90"/>
      <c r="C98" s="88" t="str">
        <f ca="1">I96</f>
        <v>Excavation, Plinth, RCC Slab, Brickwork, Internal Plaster Completed, External Plaster upto 13 Floor, Flooring upto 4 Floor, Painting upto 3 Floor Completed</v>
      </c>
      <c r="D98" s="88"/>
      <c r="E98" s="88"/>
      <c r="F98" s="88"/>
      <c r="G98" s="88"/>
      <c r="H98" s="91"/>
      <c r="I98" s="44" t="str">
        <f ca="1">IF(I97&lt;&gt;""," Completed","")</f>
        <v xml:space="preserve"> Completed</v>
      </c>
      <c r="J98" s="45" t="str">
        <f ca="1">IF(J96&lt;&gt;"","Completed","")</f>
        <v>Completed</v>
      </c>
      <c r="S98"/>
    </row>
    <row r="99" spans="1:19" ht="15.75" customHeight="1" x14ac:dyDescent="0.3">
      <c r="A99" s="132" t="s">
        <v>47</v>
      </c>
      <c r="B99" s="133"/>
      <c r="C99" s="57" t="s">
        <v>134</v>
      </c>
      <c r="D99" s="57" t="s">
        <v>80</v>
      </c>
      <c r="E99" s="93" t="s">
        <v>82</v>
      </c>
      <c r="F99" s="93"/>
      <c r="G99" s="93" t="s">
        <v>81</v>
      </c>
      <c r="H99" s="94"/>
      <c r="I99" s="13" t="s">
        <v>136</v>
      </c>
      <c r="J99" s="26">
        <f ca="1">H97*25%</f>
        <v>4</v>
      </c>
      <c r="S99"/>
    </row>
    <row r="100" spans="1:19" x14ac:dyDescent="0.3">
      <c r="A100" s="133" t="s">
        <v>123</v>
      </c>
      <c r="B100" s="133"/>
      <c r="C100" s="57">
        <f ca="1">J101</f>
        <v>16</v>
      </c>
      <c r="D100" s="17">
        <f ca="1">((100/H97)*C100)/100</f>
        <v>1</v>
      </c>
      <c r="E100" s="251">
        <f ca="1">(((C101/H97*10)+(40/(D97+F97+H97)*C102)+(7.5/(H97)*C103)+(7.5/(H97)*C104)+(10/H97*C105)+(10/H97*C106)+(5/H97*C107)+(5/H97*C108)+(5/H97*C109))/100)</f>
        <v>0.765625</v>
      </c>
      <c r="F100" s="251"/>
      <c r="G100" s="251">
        <f ca="1">((((C100/H97)*20)+((C101/H97)*25)+(30/(H97+F97+D97)*C102)+(5/H97*C103)+(5/H97*C104)+(5/H97*C105)+(5/H97*C106)+(0/H97*C107)+(0/H97*C108)+(5/H97*C109))/100)</f>
        <v>0.90312499999999996</v>
      </c>
      <c r="H100" s="251"/>
      <c r="I100" s="13" t="s">
        <v>96</v>
      </c>
      <c r="J100" s="27">
        <f ca="1">H97*50%</f>
        <v>8</v>
      </c>
    </row>
    <row r="101" spans="1:19" x14ac:dyDescent="0.3">
      <c r="A101" s="133" t="s">
        <v>48</v>
      </c>
      <c r="B101" s="133"/>
      <c r="C101" s="58">
        <f ca="1">J109</f>
        <v>16</v>
      </c>
      <c r="D101" s="17">
        <f ca="1">((100/H97)*C101)/100</f>
        <v>1</v>
      </c>
      <c r="E101" s="251"/>
      <c r="F101" s="251"/>
      <c r="G101" s="251"/>
      <c r="H101" s="251"/>
      <c r="I101" s="13" t="s">
        <v>97</v>
      </c>
      <c r="J101" s="27">
        <f ca="1">H97</f>
        <v>16</v>
      </c>
      <c r="S101"/>
    </row>
    <row r="102" spans="1:19" ht="15.75" customHeight="1" x14ac:dyDescent="0.3">
      <c r="A102" s="133" t="s">
        <v>124</v>
      </c>
      <c r="B102" s="133"/>
      <c r="C102" s="57">
        <v>17</v>
      </c>
      <c r="D102" s="17">
        <f ca="1">((100/(D97+F97+H97))*C102)/100</f>
        <v>1</v>
      </c>
      <c r="E102" s="251"/>
      <c r="F102" s="251"/>
      <c r="G102" s="251"/>
      <c r="H102" s="251"/>
      <c r="I102" s="13" t="s">
        <v>98</v>
      </c>
      <c r="J102" s="28">
        <f ca="1">(IF(B97&gt;1,(H97/(B97+2)),H97/4))</f>
        <v>3.2</v>
      </c>
      <c r="S102"/>
    </row>
    <row r="103" spans="1:19" ht="15.75" customHeight="1" x14ac:dyDescent="0.3">
      <c r="A103" s="133" t="s">
        <v>131</v>
      </c>
      <c r="B103" s="133" t="s">
        <v>125</v>
      </c>
      <c r="C103" s="57">
        <f>C102-1</f>
        <v>16</v>
      </c>
      <c r="D103" s="17">
        <f ca="1">((100/H97)*C103)/100</f>
        <v>1</v>
      </c>
      <c r="E103" s="251"/>
      <c r="F103" s="251"/>
      <c r="G103" s="251"/>
      <c r="H103" s="251"/>
      <c r="I103" s="13" t="s">
        <v>99</v>
      </c>
      <c r="J103" s="28">
        <f ca="1">(IF(B97&gt;1,(H97/(B97+2)+J102),H97/4+J102))</f>
        <v>6.4</v>
      </c>
    </row>
    <row r="104" spans="1:19" ht="15.75" customHeight="1" x14ac:dyDescent="0.3">
      <c r="A104" s="133" t="s">
        <v>132</v>
      </c>
      <c r="B104" s="133" t="s">
        <v>125</v>
      </c>
      <c r="C104" s="58">
        <v>16</v>
      </c>
      <c r="D104" s="17">
        <f ca="1">((100/H97)*C104)/100</f>
        <v>1</v>
      </c>
      <c r="E104" s="251"/>
      <c r="F104" s="251"/>
      <c r="G104" s="251"/>
      <c r="H104" s="251"/>
      <c r="I104" s="13" t="s">
        <v>141</v>
      </c>
      <c r="J104" s="28">
        <f ca="1">(IF(B97&gt;1,(H97/(B97+2)+J103),0))</f>
        <v>9.6000000000000014</v>
      </c>
    </row>
    <row r="105" spans="1:19" ht="15" customHeight="1" x14ac:dyDescent="0.3">
      <c r="A105" s="133" t="s">
        <v>130</v>
      </c>
      <c r="B105" s="133" t="s">
        <v>127</v>
      </c>
      <c r="C105" s="58">
        <v>13</v>
      </c>
      <c r="D105" s="17">
        <f ca="1">((100/(H97))*C105)/100</f>
        <v>0.8125</v>
      </c>
      <c r="E105" s="251"/>
      <c r="F105" s="251"/>
      <c r="G105" s="251"/>
      <c r="H105" s="251"/>
      <c r="I105" s="13" t="s">
        <v>138</v>
      </c>
      <c r="J105" s="28">
        <f ca="1">(IF(B97&gt;2,(H97/(B97+2)+J104),0))</f>
        <v>12.8</v>
      </c>
    </row>
    <row r="106" spans="1:19" ht="15.75" customHeight="1" x14ac:dyDescent="0.3">
      <c r="A106" s="133" t="s">
        <v>126</v>
      </c>
      <c r="B106" s="133" t="s">
        <v>126</v>
      </c>
      <c r="C106" s="57">
        <v>4</v>
      </c>
      <c r="D106" s="17">
        <f ca="1">((100/H97)*C106)/100</f>
        <v>0.25</v>
      </c>
      <c r="E106" s="251"/>
      <c r="F106" s="251"/>
      <c r="G106" s="251"/>
      <c r="H106" s="251"/>
      <c r="I106" s="13" t="s">
        <v>139</v>
      </c>
      <c r="J106" s="29">
        <f>(IF(B97&gt;3,(H97/(B97+2)+J105),0))</f>
        <v>0</v>
      </c>
    </row>
    <row r="107" spans="1:19" ht="15.75" customHeight="1" x14ac:dyDescent="0.3">
      <c r="A107" s="93" t="s">
        <v>133</v>
      </c>
      <c r="B107" s="93"/>
      <c r="C107" s="57">
        <v>3</v>
      </c>
      <c r="D107" s="17">
        <f ca="1">((100/H97)*C107)/100</f>
        <v>0.1875</v>
      </c>
      <c r="E107" s="251"/>
      <c r="F107" s="251"/>
      <c r="G107" s="251"/>
      <c r="H107" s="251"/>
      <c r="I107" s="13" t="s">
        <v>140</v>
      </c>
      <c r="J107" s="28">
        <f>(IF(B97&gt;4,(H97/(B97+2)+J106),0))</f>
        <v>0</v>
      </c>
    </row>
    <row r="108" spans="1:19" ht="15.75" customHeight="1" x14ac:dyDescent="0.3">
      <c r="A108" s="93" t="s">
        <v>128</v>
      </c>
      <c r="B108" s="93" t="s">
        <v>128</v>
      </c>
      <c r="C108" s="57">
        <v>0</v>
      </c>
      <c r="D108" s="17">
        <f ca="1">((100/(H97))*C108)/100</f>
        <v>0</v>
      </c>
      <c r="E108" s="251"/>
      <c r="F108" s="251"/>
      <c r="G108" s="251"/>
      <c r="H108" s="251"/>
      <c r="I108" s="13" t="s">
        <v>142</v>
      </c>
      <c r="J108" s="28">
        <f>(IF(B97=1,(H97/(B97+3)+J103),IF(B97=0,(H97/4+J103),IF(B97&gt;1,0))))</f>
        <v>0</v>
      </c>
    </row>
    <row r="109" spans="1:19" ht="16.2" thickBot="1" x14ac:dyDescent="0.35">
      <c r="A109" s="93" t="s">
        <v>129</v>
      </c>
      <c r="B109" s="93"/>
      <c r="C109" s="57">
        <v>0</v>
      </c>
      <c r="D109" s="17">
        <f ca="1">((100/(H97))*C109)/100</f>
        <v>0</v>
      </c>
      <c r="E109" s="251"/>
      <c r="F109" s="251"/>
      <c r="G109" s="251"/>
      <c r="H109" s="251"/>
      <c r="I109" s="14" t="s">
        <v>100</v>
      </c>
      <c r="J109" s="30">
        <f ca="1">(IF(B97&gt;1.5,(H97/(B97+2)+J103+MAX(0,J104-J103)+MAX(0,J105-J104)+MAX(0,J106-J105)+MAX(0,J107-J106)+MAX(0,J108-J107)),IF(B97=1,(H97/(B97+3)+J108),IF(B97=0,H97/4+J108))))</f>
        <v>16</v>
      </c>
    </row>
    <row r="110" spans="1:19" ht="15.75" customHeight="1" x14ac:dyDescent="0.3">
      <c r="A110" s="87" t="s">
        <v>135</v>
      </c>
      <c r="B110" s="87"/>
      <c r="C110" s="88" t="s">
        <v>381</v>
      </c>
      <c r="D110" s="88"/>
      <c r="E110" s="88"/>
      <c r="F110" s="88"/>
      <c r="G110" s="88"/>
      <c r="H110" s="88"/>
      <c r="I110" s="69" t="str">
        <f ca="1">IF(D123=100%,"All work Completed. Possession granted to the Building.",IF(D122=100%,"All work Completed, Waiting for OC",I111&amp;""&amp;I112&amp;""&amp;J111&amp;""&amp;J110&amp;" "&amp;J112))</f>
        <v xml:space="preserve">Excavation, Plinth Completed </v>
      </c>
      <c r="J110" s="43" t="str">
        <f ca="1">(IF(C116=(D111+F111+H111),"",IF(C116&gt;0,", RCC upto "&amp;C116&amp;" Slab","")))&amp;(IF(C117=H111,"",IF(C117&gt;0,", Brickwork upto "&amp;C117&amp;" Floor","")))&amp;(IF(C118=H111,"",IF(C118&gt;0,", Internal Plaster upto "&amp;C118&amp;" Floor","")))&amp;(IF(C119=H111,"",IF(C119&gt;0,", External Plaster upto "&amp;C119&amp;" Floor","")))&amp;(IF(C120=H111,"",IF(C120&gt;0,", Flooring upto "&amp;C120&amp;" Floor","")))&amp;(IF(C121=H111,"",IF(C121&gt;0,", Painting upto "&amp;C121&amp;" Floor","")))&amp;(IF(C122=H111,"",IF(C122&gt;0,", Finishing upto "&amp;C122&amp;" Floor","")))&amp;(IF(C123=H111,"",IF(C123&gt;0,", Possession upto "&amp;C123&amp;" Floor","")))</f>
        <v/>
      </c>
    </row>
    <row r="111" spans="1:19" x14ac:dyDescent="0.3">
      <c r="A111" s="46" t="s">
        <v>137</v>
      </c>
      <c r="B111" s="46">
        <v>3</v>
      </c>
      <c r="C111" s="59" t="s">
        <v>69</v>
      </c>
      <c r="D111" s="59">
        <v>1</v>
      </c>
      <c r="E111" s="59" t="s">
        <v>68</v>
      </c>
      <c r="F111" s="59">
        <v>0</v>
      </c>
      <c r="G111" s="59" t="s">
        <v>77</v>
      </c>
      <c r="H111" s="59">
        <f ca="1">--TRIM(RIGHT(SUBSTITUTE(LEFT(C110,_xlfn.AGGREGATE(16,6,FIND({0,1,2,3,4,5,6,7,8,9},C110,ROW(INDIRECT("1:"&amp;LEN(C110)))),1))," ",REPT(" ",LEN(C110))),LEN(C110)))</f>
        <v>16</v>
      </c>
      <c r="I111" s="70" t="str">
        <f ca="1">IF(D114=100%,"Excavation","")&amp;IF(D115=100%,", Plinth","")&amp;IF(D116=100%,", RCC Slab","")&amp;IF(D117=100%,", Brickwork","")&amp;IF(D118=100%,", Internal Plaster","")&amp;IF(D119=100%,", External Plaster","")&amp;IF(D120=100%,", Flooring","")&amp;IF(D121=100%,", Painting","")&amp;IF(D122=100%,", Building common Amenities","")</f>
        <v>Excavation, Plinth</v>
      </c>
      <c r="J111" s="45" t="str">
        <f ca="1">(IF(C114=0,"Work not yet Started.",IF(D114=25%,"Piling work in process",IF(D114=50%,"Excavation work in process",IF(D114=100%,"","0")))))&amp;(IF(C115=0%,"",IF(C115=J116,", Footing work is process",IF(C115=J117,", Footing work Completed",IF(C115=J118,", 1st Basement Completed",IF(C115=J119,", 1st &amp; 2nd Basement Completed",IF(C115=J120,", 1st to 3rd Basement Completed",IF(C115=J121,", 1st to 4th Basement Completed",IF(C115=J122,", Plinth work is process",IF(C115=J123,"","0"))))))))))</f>
        <v/>
      </c>
    </row>
    <row r="112" spans="1:19" x14ac:dyDescent="0.3">
      <c r="A112" s="89" t="s">
        <v>87</v>
      </c>
      <c r="B112" s="90"/>
      <c r="C112" s="88" t="str">
        <f ca="1">(IF($G$68="NA",I110,"All work Completed. OC Received."))</f>
        <v xml:space="preserve">Excavation, Plinth Completed </v>
      </c>
      <c r="D112" s="88"/>
      <c r="E112" s="88"/>
      <c r="F112" s="88"/>
      <c r="G112" s="88"/>
      <c r="H112" s="91"/>
      <c r="I112" s="44" t="str">
        <f ca="1">IF(I111&lt;&gt;""," Completed","")</f>
        <v xml:space="preserve"> Completed</v>
      </c>
      <c r="J112" s="45" t="str">
        <f ca="1">IF(J110&lt;&gt;"","Completed","")</f>
        <v/>
      </c>
    </row>
    <row r="113" spans="1:10" ht="15.75" customHeight="1" x14ac:dyDescent="0.3">
      <c r="A113" s="92" t="s">
        <v>47</v>
      </c>
      <c r="B113" s="93"/>
      <c r="C113" s="57" t="s">
        <v>134</v>
      </c>
      <c r="D113" s="57" t="s">
        <v>80</v>
      </c>
      <c r="E113" s="93" t="s">
        <v>82</v>
      </c>
      <c r="F113" s="93"/>
      <c r="G113" s="93" t="s">
        <v>81</v>
      </c>
      <c r="H113" s="94"/>
      <c r="I113" s="13" t="s">
        <v>136</v>
      </c>
      <c r="J113" s="26">
        <f ca="1">H111*25%</f>
        <v>4</v>
      </c>
    </row>
    <row r="114" spans="1:10" x14ac:dyDescent="0.3">
      <c r="A114" s="92" t="s">
        <v>123</v>
      </c>
      <c r="B114" s="93"/>
      <c r="C114" s="57">
        <f ca="1">J115</f>
        <v>16</v>
      </c>
      <c r="D114" s="17">
        <f ca="1">((100/H111)*C114)/100</f>
        <v>1</v>
      </c>
      <c r="E114" s="95">
        <f ca="1">(((C115/H111*10)+(40/(D111+F111+H111)*C116)+(7.5/(H111)*C117)+(7.5/(H111)*C118)+(10/H111*C119)+(10/H111*C120)+(5/H111*C121)+(5/H111*C122)+(5/H111*C123))/100)</f>
        <v>0.1</v>
      </c>
      <c r="F114" s="96"/>
      <c r="G114" s="95">
        <f ca="1">((((C114/H111)*20)+((C115/H111)*25)+(30/(H111+F111+D111)*C116)+(5/H111*C117)+(5/H111*C118)+(5/H111*C119)+(5/H111*C120)+(0/H111*C121)+(0/H111*C122)+(5/H111*C123))/100)</f>
        <v>0.45</v>
      </c>
      <c r="H114" s="101"/>
      <c r="I114" s="13" t="s">
        <v>96</v>
      </c>
      <c r="J114" s="27">
        <f ca="1">H111*50%</f>
        <v>8</v>
      </c>
    </row>
    <row r="115" spans="1:10" x14ac:dyDescent="0.3">
      <c r="A115" s="92" t="s">
        <v>48</v>
      </c>
      <c r="B115" s="93"/>
      <c r="C115" s="58">
        <f ca="1">J123</f>
        <v>16</v>
      </c>
      <c r="D115" s="17">
        <f ca="1">((100/H111)*C115)/100</f>
        <v>1</v>
      </c>
      <c r="E115" s="97"/>
      <c r="F115" s="98"/>
      <c r="G115" s="97"/>
      <c r="H115" s="102"/>
      <c r="I115" s="13" t="s">
        <v>97</v>
      </c>
      <c r="J115" s="27">
        <f ca="1">H111</f>
        <v>16</v>
      </c>
    </row>
    <row r="116" spans="1:10" ht="15.75" customHeight="1" x14ac:dyDescent="0.3">
      <c r="A116" s="92" t="s">
        <v>124</v>
      </c>
      <c r="B116" s="93"/>
      <c r="C116" s="57">
        <v>0</v>
      </c>
      <c r="D116" s="17">
        <f ca="1">((100/(D111+F111+H111))*C116)/100</f>
        <v>0</v>
      </c>
      <c r="E116" s="97"/>
      <c r="F116" s="98"/>
      <c r="G116" s="97"/>
      <c r="H116" s="102"/>
      <c r="I116" s="13" t="s">
        <v>98</v>
      </c>
      <c r="J116" s="28">
        <f ca="1">(IF(B111&gt;1,(H111/(B111+2)),H111/4))</f>
        <v>3.2</v>
      </c>
    </row>
    <row r="117" spans="1:10" ht="15.75" customHeight="1" x14ac:dyDescent="0.3">
      <c r="A117" s="92" t="s">
        <v>131</v>
      </c>
      <c r="B117" s="93" t="s">
        <v>125</v>
      </c>
      <c r="C117" s="57">
        <v>0</v>
      </c>
      <c r="D117" s="17">
        <f ca="1">((100/H111)*C117)/100</f>
        <v>0</v>
      </c>
      <c r="E117" s="97"/>
      <c r="F117" s="98"/>
      <c r="G117" s="97"/>
      <c r="H117" s="102"/>
      <c r="I117" s="13" t="s">
        <v>99</v>
      </c>
      <c r="J117" s="28">
        <f ca="1">(IF(B111&gt;1,(H111/(B111+2)+J116),H111/4+J116))</f>
        <v>6.4</v>
      </c>
    </row>
    <row r="118" spans="1:10" ht="15.75" customHeight="1" x14ac:dyDescent="0.3">
      <c r="A118" s="92" t="s">
        <v>132</v>
      </c>
      <c r="B118" s="93" t="s">
        <v>125</v>
      </c>
      <c r="C118" s="57">
        <v>0</v>
      </c>
      <c r="D118" s="17">
        <f ca="1">((100/H111)*C118)/100</f>
        <v>0</v>
      </c>
      <c r="E118" s="97"/>
      <c r="F118" s="98"/>
      <c r="G118" s="97"/>
      <c r="H118" s="102"/>
      <c r="I118" s="13" t="s">
        <v>141</v>
      </c>
      <c r="J118" s="28">
        <f ca="1">(IF(B111&gt;1,(H111/(B111+2)+J117),0))</f>
        <v>9.6000000000000014</v>
      </c>
    </row>
    <row r="119" spans="1:10" ht="15" customHeight="1" x14ac:dyDescent="0.3">
      <c r="A119" s="92" t="s">
        <v>130</v>
      </c>
      <c r="B119" s="93" t="s">
        <v>127</v>
      </c>
      <c r="C119" s="57">
        <v>0</v>
      </c>
      <c r="D119" s="17">
        <f ca="1">((100/(H111))*C119)/100</f>
        <v>0</v>
      </c>
      <c r="E119" s="97"/>
      <c r="F119" s="98"/>
      <c r="G119" s="97"/>
      <c r="H119" s="102"/>
      <c r="I119" s="13" t="s">
        <v>138</v>
      </c>
      <c r="J119" s="28">
        <f ca="1">(IF(B111&gt;2,(H111/(B111+2)+J118),0))</f>
        <v>12.8</v>
      </c>
    </row>
    <row r="120" spans="1:10" ht="15.75" customHeight="1" x14ac:dyDescent="0.3">
      <c r="A120" s="92" t="s">
        <v>126</v>
      </c>
      <c r="B120" s="93" t="s">
        <v>126</v>
      </c>
      <c r="C120" s="57">
        <v>0</v>
      </c>
      <c r="D120" s="17">
        <f ca="1">((100/H111)*C120)/100</f>
        <v>0</v>
      </c>
      <c r="E120" s="97"/>
      <c r="F120" s="98"/>
      <c r="G120" s="97"/>
      <c r="H120" s="102"/>
      <c r="I120" s="13" t="s">
        <v>139</v>
      </c>
      <c r="J120" s="29">
        <f>(IF(B111&gt;3,(H111/(B111+2)+J119),0))</f>
        <v>0</v>
      </c>
    </row>
    <row r="121" spans="1:10" ht="15.75" customHeight="1" x14ac:dyDescent="0.3">
      <c r="A121" s="92" t="s">
        <v>133</v>
      </c>
      <c r="B121" s="93"/>
      <c r="C121" s="57">
        <v>0</v>
      </c>
      <c r="D121" s="17">
        <f ca="1">((100/H111)*C121)/100</f>
        <v>0</v>
      </c>
      <c r="E121" s="97"/>
      <c r="F121" s="98"/>
      <c r="G121" s="97"/>
      <c r="H121" s="102"/>
      <c r="I121" s="13" t="s">
        <v>140</v>
      </c>
      <c r="J121" s="28">
        <f>(IF(B111&gt;4,(H111/(B111+2)+J120),0))</f>
        <v>0</v>
      </c>
    </row>
    <row r="122" spans="1:10" ht="15.75" customHeight="1" x14ac:dyDescent="0.3">
      <c r="A122" s="92" t="s">
        <v>128</v>
      </c>
      <c r="B122" s="93" t="s">
        <v>128</v>
      </c>
      <c r="C122" s="57">
        <v>0</v>
      </c>
      <c r="D122" s="17">
        <f ca="1">((100/(H111))*C122)/100</f>
        <v>0</v>
      </c>
      <c r="E122" s="97"/>
      <c r="F122" s="98"/>
      <c r="G122" s="97"/>
      <c r="H122" s="102"/>
      <c r="I122" s="13" t="s">
        <v>142</v>
      </c>
      <c r="J122" s="28">
        <f>(IF(B111=1,(H111/(B111+3)+J117),IF(B111=0,(H111/4+J117),IF(B111&gt;1,0))))</f>
        <v>0</v>
      </c>
    </row>
    <row r="123" spans="1:10" ht="16.2" thickBot="1" x14ac:dyDescent="0.35">
      <c r="A123" s="72" t="s">
        <v>129</v>
      </c>
      <c r="B123" s="73"/>
      <c r="C123" s="56">
        <v>0</v>
      </c>
      <c r="D123" s="18">
        <f ca="1">((100/(H111))*C123)/100</f>
        <v>0</v>
      </c>
      <c r="E123" s="99"/>
      <c r="F123" s="100"/>
      <c r="G123" s="99"/>
      <c r="H123" s="103"/>
      <c r="I123" s="14" t="s">
        <v>100</v>
      </c>
      <c r="J123" s="30">
        <f ca="1">(IF(B111&gt;1.5,(H111/(B111+2)+J117+MAX(0,J118-J117)+MAX(0,J119-J118)+MAX(0,J120-J119)+MAX(0,J121-J120)+MAX(0,J122-J121)),IF(B111=1,(H111/(B111+3)+J122),IF(B111=0,H111/4+J122))))</f>
        <v>16</v>
      </c>
    </row>
    <row r="124" spans="1:10" x14ac:dyDescent="0.3">
      <c r="A124" s="87" t="s">
        <v>135</v>
      </c>
      <c r="B124" s="87"/>
      <c r="C124" s="88" t="s">
        <v>382</v>
      </c>
      <c r="D124" s="88"/>
      <c r="E124" s="88"/>
      <c r="F124" s="88"/>
      <c r="G124" s="88"/>
      <c r="H124" s="88"/>
      <c r="I124" s="69" t="str">
        <f ca="1">IF(D137=100%,"All work Completed. Possession granted to the Building.",IF(D136=100%,"All work Completed, Waiting for OC",I125&amp;""&amp;I126&amp;""&amp;J125&amp;""&amp;J124&amp;" "&amp;J126))</f>
        <v xml:space="preserve">Excavation Completed, Footing work is process </v>
      </c>
      <c r="J124" s="43" t="str">
        <f ca="1">(IF(C130=(D125+F125+H125),"",IF(C130&gt;0,", RCC upto "&amp;C130&amp;" Slab","")))&amp;(IF(C131=H125,"",IF(C131&gt;0,", Brickwork upto "&amp;C131&amp;" Floor","")))&amp;(IF(C132=H125,"",IF(C132&gt;0,", Internal Plaster upto "&amp;C132&amp;" Floor","")))&amp;(IF(C133=H125,"",IF(C133&gt;0,", External Plaster upto "&amp;C133&amp;" Floor","")))&amp;(IF(C134=H125,"",IF(C134&gt;0,", Flooring upto "&amp;C134&amp;" Floor","")))&amp;(IF(C135=H125,"",IF(C135&gt;0,", Painting upto "&amp;C135&amp;" Floor","")))&amp;(IF(C136=H125,"",IF(C136&gt;0,", Finishing upto "&amp;C136&amp;" Floor","")))&amp;(IF(C137=H125,"",IF(C137&gt;0,", Possession upto "&amp;C137&amp;" Floor","")))</f>
        <v/>
      </c>
    </row>
    <row r="125" spans="1:10" x14ac:dyDescent="0.3">
      <c r="A125" s="46" t="s">
        <v>137</v>
      </c>
      <c r="B125" s="46">
        <v>3</v>
      </c>
      <c r="C125" s="59" t="s">
        <v>69</v>
      </c>
      <c r="D125" s="59">
        <v>1</v>
      </c>
      <c r="E125" s="59" t="s">
        <v>68</v>
      </c>
      <c r="F125" s="59">
        <v>0</v>
      </c>
      <c r="G125" s="59" t="s">
        <v>77</v>
      </c>
      <c r="H125" s="59">
        <f ca="1">--TRIM(RIGHT(SUBSTITUTE(LEFT(C124,_xlfn.AGGREGATE(16,6,FIND({0,1,2,3,4,5,6,7,8,9},C124,ROW(INDIRECT("1:"&amp;LEN(C124)))),1))," ",REPT(" ",LEN(C124))),LEN(C124)))</f>
        <v>16</v>
      </c>
      <c r="I125" s="70" t="str">
        <f ca="1">IF(D128=100%,"Excavation","")&amp;IF(D129=100%,", Plinth","")&amp;IF(D130=100%,", RCC Slab","")&amp;IF(D131=100%,", Brickwork","")&amp;IF(D132=100%,", Internal Plaster","")&amp;IF(D133=100%,", External Plaster","")&amp;IF(D134=100%,", Flooring","")&amp;IF(D135=100%,", Painting","")&amp;IF(D136=100%,", Building common Amenities","")</f>
        <v>Excavation</v>
      </c>
      <c r="J125" s="45" t="str">
        <f ca="1">(IF(C128=0,"Work not yet Started.",IF(D128=25%,"Piling work in process",IF(D128=50%,"Excavation work in process",IF(D128=100%,"","0")))))&amp;(IF(C129=0%,"",IF(C129=J130,", Footing work is process",IF(C129=J131,", Footing work Completed",IF(C129=J132,", 1st Basement Completed",IF(C129=J133,", 1st &amp; 2nd Basement Completed",IF(C129=J134,", 1st to 3rd Basement Completed",IF(C129=J135,", 1st to 4th Basement Completed",IF(C129=J136,", Plinth work is process",IF(C129=J137,"","0"))))))))))</f>
        <v>, Footing work is process</v>
      </c>
    </row>
    <row r="126" spans="1:10" x14ac:dyDescent="0.3">
      <c r="A126" s="89" t="s">
        <v>87</v>
      </c>
      <c r="B126" s="90"/>
      <c r="C126" s="88" t="str">
        <f ca="1">(IF($G$68="NA",I124,"All work Completed. OC Received."))</f>
        <v xml:space="preserve">Excavation Completed, Footing work is process </v>
      </c>
      <c r="D126" s="88"/>
      <c r="E126" s="88"/>
      <c r="F126" s="88"/>
      <c r="G126" s="88"/>
      <c r="H126" s="91"/>
      <c r="I126" s="44" t="str">
        <f ca="1">IF(I125&lt;&gt;""," Completed","")</f>
        <v xml:space="preserve"> Completed</v>
      </c>
      <c r="J126" s="45" t="str">
        <f ca="1">IF(J124&lt;&gt;"","Completed","")</f>
        <v/>
      </c>
    </row>
    <row r="127" spans="1:10" x14ac:dyDescent="0.3">
      <c r="A127" s="92" t="s">
        <v>47</v>
      </c>
      <c r="B127" s="93"/>
      <c r="C127" s="57" t="s">
        <v>134</v>
      </c>
      <c r="D127" s="57" t="s">
        <v>80</v>
      </c>
      <c r="E127" s="93" t="s">
        <v>82</v>
      </c>
      <c r="F127" s="93"/>
      <c r="G127" s="93" t="s">
        <v>81</v>
      </c>
      <c r="H127" s="94"/>
      <c r="I127" s="13" t="s">
        <v>136</v>
      </c>
      <c r="J127" s="26">
        <f ca="1">H125*25%</f>
        <v>4</v>
      </c>
    </row>
    <row r="128" spans="1:10" x14ac:dyDescent="0.3">
      <c r="A128" s="92" t="s">
        <v>123</v>
      </c>
      <c r="B128" s="93"/>
      <c r="C128" s="57">
        <f ca="1">J129</f>
        <v>16</v>
      </c>
      <c r="D128" s="17">
        <f ca="1">((100/H125)*C128)/100</f>
        <v>1</v>
      </c>
      <c r="E128" s="95">
        <f ca="1">(((C129/H125*10)+(40/(D125+F125+H125)*C130)+(7.5/(H125)*C131)+(7.5/(H125)*C132)+(10/H125*C133)+(10/H125*C134)+(5/H125*C135)+(5/H125*C136)+(5/H125*C137))/100)</f>
        <v>0.02</v>
      </c>
      <c r="F128" s="96"/>
      <c r="G128" s="95">
        <f ca="1">((((C128/H125)*20)+((C129/H125)*25)+(30/(H125+F125+D125)*C130)+(5/H125*C131)+(5/H125*C132)+(5/H125*C133)+(5/H125*C134)+(0/H125*C135)+(0/H125*C136)+(5/H125*C137))/100)</f>
        <v>0.25</v>
      </c>
      <c r="H128" s="101"/>
      <c r="I128" s="13" t="s">
        <v>96</v>
      </c>
      <c r="J128" s="27">
        <f ca="1">H125*50%</f>
        <v>8</v>
      </c>
    </row>
    <row r="129" spans="1:22" x14ac:dyDescent="0.3">
      <c r="A129" s="92" t="s">
        <v>48</v>
      </c>
      <c r="B129" s="93"/>
      <c r="C129" s="58">
        <f ca="1">J130</f>
        <v>3.2</v>
      </c>
      <c r="D129" s="17">
        <f ca="1">((100/H125)*C129)/100</f>
        <v>0.2</v>
      </c>
      <c r="E129" s="97"/>
      <c r="F129" s="98"/>
      <c r="G129" s="97"/>
      <c r="H129" s="102"/>
      <c r="I129" s="13" t="s">
        <v>97</v>
      </c>
      <c r="J129" s="27">
        <f ca="1">H125</f>
        <v>16</v>
      </c>
    </row>
    <row r="130" spans="1:22" x14ac:dyDescent="0.3">
      <c r="A130" s="92" t="s">
        <v>124</v>
      </c>
      <c r="B130" s="93"/>
      <c r="C130" s="57">
        <v>0</v>
      </c>
      <c r="D130" s="17">
        <f ca="1">((100/(D125+F125+H125))*C130)/100</f>
        <v>0</v>
      </c>
      <c r="E130" s="97"/>
      <c r="F130" s="98"/>
      <c r="G130" s="97"/>
      <c r="H130" s="102"/>
      <c r="I130" s="13" t="s">
        <v>98</v>
      </c>
      <c r="J130" s="28">
        <f ca="1">(IF(B125&gt;1,(H125/(B125+2)),H125/4))</f>
        <v>3.2</v>
      </c>
    </row>
    <row r="131" spans="1:22" x14ac:dyDescent="0.3">
      <c r="A131" s="92" t="s">
        <v>131</v>
      </c>
      <c r="B131" s="93" t="s">
        <v>125</v>
      </c>
      <c r="C131" s="57">
        <v>0</v>
      </c>
      <c r="D131" s="17">
        <f ca="1">((100/H125)*C131)/100</f>
        <v>0</v>
      </c>
      <c r="E131" s="97"/>
      <c r="F131" s="98"/>
      <c r="G131" s="97"/>
      <c r="H131" s="102"/>
      <c r="I131" s="13" t="s">
        <v>99</v>
      </c>
      <c r="J131" s="28">
        <f ca="1">(IF(B125&gt;1,(H125/(B125+2)+J130),H125/4+J130))</f>
        <v>6.4</v>
      </c>
    </row>
    <row r="132" spans="1:22" x14ac:dyDescent="0.3">
      <c r="A132" s="92" t="s">
        <v>132</v>
      </c>
      <c r="B132" s="93" t="s">
        <v>125</v>
      </c>
      <c r="C132" s="57">
        <v>0</v>
      </c>
      <c r="D132" s="17">
        <f ca="1">((100/H125)*C132)/100</f>
        <v>0</v>
      </c>
      <c r="E132" s="97"/>
      <c r="F132" s="98"/>
      <c r="G132" s="97"/>
      <c r="H132" s="102"/>
      <c r="I132" s="13" t="s">
        <v>141</v>
      </c>
      <c r="J132" s="28">
        <f ca="1">(IF(B125&gt;1,(H125/(B125+2)+J131),0))</f>
        <v>9.6000000000000014</v>
      </c>
    </row>
    <row r="133" spans="1:22" x14ac:dyDescent="0.3">
      <c r="A133" s="92" t="s">
        <v>130</v>
      </c>
      <c r="B133" s="93" t="s">
        <v>127</v>
      </c>
      <c r="C133" s="57">
        <v>0</v>
      </c>
      <c r="D133" s="17">
        <f ca="1">((100/(H125))*C133)/100</f>
        <v>0</v>
      </c>
      <c r="E133" s="97"/>
      <c r="F133" s="98"/>
      <c r="G133" s="97"/>
      <c r="H133" s="102"/>
      <c r="I133" s="13" t="s">
        <v>138</v>
      </c>
      <c r="J133" s="28">
        <f ca="1">(IF(B125&gt;2,(H125/(B125+2)+J132),0))</f>
        <v>12.8</v>
      </c>
    </row>
    <row r="134" spans="1:22" x14ac:dyDescent="0.3">
      <c r="A134" s="92" t="s">
        <v>126</v>
      </c>
      <c r="B134" s="93" t="s">
        <v>126</v>
      </c>
      <c r="C134" s="57">
        <v>0</v>
      </c>
      <c r="D134" s="17">
        <f ca="1">((100/H125)*C134)/100</f>
        <v>0</v>
      </c>
      <c r="E134" s="97"/>
      <c r="F134" s="98"/>
      <c r="G134" s="97"/>
      <c r="H134" s="102"/>
      <c r="I134" s="13" t="s">
        <v>139</v>
      </c>
      <c r="J134" s="29">
        <f>(IF(B125&gt;3,(H125/(B125+2)+J133),0))</f>
        <v>0</v>
      </c>
    </row>
    <row r="135" spans="1:22" x14ac:dyDescent="0.3">
      <c r="A135" s="92" t="s">
        <v>133</v>
      </c>
      <c r="B135" s="93"/>
      <c r="C135" s="57">
        <v>0</v>
      </c>
      <c r="D135" s="17">
        <f ca="1">((100/H125)*C135)/100</f>
        <v>0</v>
      </c>
      <c r="E135" s="97"/>
      <c r="F135" s="98"/>
      <c r="G135" s="97"/>
      <c r="H135" s="102"/>
      <c r="I135" s="13" t="s">
        <v>140</v>
      </c>
      <c r="J135" s="28">
        <f>(IF(B125&gt;4,(H125/(B125+2)+J134),0))</f>
        <v>0</v>
      </c>
    </row>
    <row r="136" spans="1:22" x14ac:dyDescent="0.3">
      <c r="A136" s="92" t="s">
        <v>128</v>
      </c>
      <c r="B136" s="93" t="s">
        <v>128</v>
      </c>
      <c r="C136" s="57">
        <v>0</v>
      </c>
      <c r="D136" s="17">
        <f ca="1">((100/(H125))*C136)/100</f>
        <v>0</v>
      </c>
      <c r="E136" s="97"/>
      <c r="F136" s="98"/>
      <c r="G136" s="97"/>
      <c r="H136" s="102"/>
      <c r="I136" s="13" t="s">
        <v>142</v>
      </c>
      <c r="J136" s="28">
        <f>(IF(B125=1,(H125/(B125+3)+J131),IF(B125=0,(H125/4+J131),IF(B125&gt;1,0))))</f>
        <v>0</v>
      </c>
    </row>
    <row r="137" spans="1:22" ht="16.2" thickBot="1" x14ac:dyDescent="0.35">
      <c r="A137" s="72" t="s">
        <v>129</v>
      </c>
      <c r="B137" s="73"/>
      <c r="C137" s="56">
        <v>0</v>
      </c>
      <c r="D137" s="18">
        <f ca="1">((100/(H125))*C137)/100</f>
        <v>0</v>
      </c>
      <c r="E137" s="99"/>
      <c r="F137" s="100"/>
      <c r="G137" s="99"/>
      <c r="H137" s="103"/>
      <c r="I137" s="14" t="s">
        <v>100</v>
      </c>
      <c r="J137" s="30">
        <f ca="1">(IF(B125&gt;1.5,(H125/(B125+2)+J131+MAX(0,J132-J131)+MAX(0,J133-J132)+MAX(0,J134-J133)+MAX(0,J135-J134)+MAX(0,J136-J135)),IF(B125=1,(H125/(B125+3)+J136),IF(B125=0,H125/4+J136))))</f>
        <v>16</v>
      </c>
    </row>
    <row r="138" spans="1:22" x14ac:dyDescent="0.3">
      <c r="A138" s="74" t="s">
        <v>380</v>
      </c>
      <c r="B138" s="75"/>
      <c r="C138" s="78" t="s">
        <v>378</v>
      </c>
      <c r="D138" s="75"/>
      <c r="E138" s="80">
        <f ca="1">AVERAGE(E114,E128)</f>
        <v>6.0000000000000005E-2</v>
      </c>
      <c r="F138" s="78" t="s">
        <v>379</v>
      </c>
      <c r="G138" s="75"/>
      <c r="H138" s="81">
        <f ca="1">AVERAGE(G114,G128)</f>
        <v>0.35</v>
      </c>
      <c r="I138" s="13"/>
      <c r="J138" s="71"/>
    </row>
    <row r="139" spans="1:22" ht="16.2" thickBot="1" x14ac:dyDescent="0.35">
      <c r="A139" s="76"/>
      <c r="B139" s="77"/>
      <c r="C139" s="79"/>
      <c r="D139" s="77"/>
      <c r="E139" s="79"/>
      <c r="F139" s="79"/>
      <c r="G139" s="77"/>
      <c r="H139" s="82"/>
      <c r="I139" s="13"/>
      <c r="J139" s="71"/>
    </row>
    <row r="140" spans="1:22" x14ac:dyDescent="0.3">
      <c r="A140" s="239" t="s">
        <v>152</v>
      </c>
      <c r="B140" s="239"/>
      <c r="C140" s="239"/>
      <c r="D140" s="239"/>
      <c r="E140" s="239"/>
      <c r="F140" s="187" t="s">
        <v>156</v>
      </c>
      <c r="G140" s="187"/>
      <c r="H140" s="187"/>
      <c r="R140" t="s">
        <v>249</v>
      </c>
      <c r="S140" t="s">
        <v>167</v>
      </c>
      <c r="T140" t="s">
        <v>174</v>
      </c>
      <c r="U140" t="s">
        <v>189</v>
      </c>
      <c r="V140" t="s">
        <v>184</v>
      </c>
    </row>
    <row r="141" spans="1:22" x14ac:dyDescent="0.3">
      <c r="A141" s="144" t="s">
        <v>154</v>
      </c>
      <c r="B141" s="144"/>
      <c r="C141" s="144"/>
      <c r="D141" s="144"/>
      <c r="E141" s="144"/>
      <c r="F141" s="158">
        <v>18500</v>
      </c>
      <c r="G141" s="158"/>
      <c r="H141" s="158"/>
      <c r="J141" s="19" t="s">
        <v>340</v>
      </c>
      <c r="K141" s="19" t="s">
        <v>341</v>
      </c>
      <c r="R141"/>
      <c r="S141">
        <v>800000</v>
      </c>
      <c r="T141">
        <v>300000</v>
      </c>
      <c r="U141">
        <v>100000</v>
      </c>
      <c r="V141">
        <v>100000</v>
      </c>
    </row>
    <row r="142" spans="1:22" hidden="1" x14ac:dyDescent="0.3">
      <c r="A142" s="144" t="s">
        <v>153</v>
      </c>
      <c r="B142" s="144"/>
      <c r="C142" s="144"/>
      <c r="D142" s="144"/>
      <c r="E142" s="144"/>
      <c r="F142" s="158"/>
      <c r="G142" s="158"/>
      <c r="H142" s="158"/>
      <c r="R142"/>
      <c r="S142">
        <v>900000</v>
      </c>
      <c r="T142">
        <v>350000</v>
      </c>
      <c r="U142">
        <v>150000</v>
      </c>
      <c r="V142">
        <v>150000</v>
      </c>
    </row>
    <row r="143" spans="1:22" hidden="1" x14ac:dyDescent="0.3">
      <c r="A143" s="144" t="s">
        <v>155</v>
      </c>
      <c r="B143" s="144"/>
      <c r="C143" s="144"/>
      <c r="D143" s="144"/>
      <c r="E143" s="144"/>
      <c r="F143" s="158"/>
      <c r="G143" s="158"/>
      <c r="H143" s="158"/>
      <c r="R143"/>
      <c r="S143">
        <v>1000000</v>
      </c>
      <c r="T143">
        <v>400000</v>
      </c>
      <c r="U143">
        <v>200000</v>
      </c>
      <c r="V143">
        <v>200000</v>
      </c>
    </row>
    <row r="144" spans="1:22" s="31" customFormat="1" hidden="1" x14ac:dyDescent="0.3">
      <c r="A144" s="144" t="s">
        <v>169</v>
      </c>
      <c r="B144" s="144"/>
      <c r="C144" s="144"/>
      <c r="D144" s="144"/>
      <c r="E144" s="144"/>
      <c r="F144" s="158"/>
      <c r="G144" s="158"/>
      <c r="H144" s="158"/>
      <c r="R144"/>
      <c r="S144">
        <v>1100000</v>
      </c>
      <c r="T144">
        <v>500000</v>
      </c>
      <c r="U144">
        <v>250000</v>
      </c>
      <c r="V144" s="21">
        <v>250000</v>
      </c>
    </row>
    <row r="145" spans="1:22" s="31" customFormat="1" hidden="1" x14ac:dyDescent="0.3">
      <c r="A145" s="144" t="s">
        <v>91</v>
      </c>
      <c r="B145" s="144"/>
      <c r="C145" s="144"/>
      <c r="D145" s="144"/>
      <c r="E145" s="144"/>
      <c r="F145" s="158"/>
      <c r="G145" s="158"/>
      <c r="H145" s="158"/>
      <c r="R145"/>
      <c r="S145">
        <v>1200000</v>
      </c>
      <c r="T145">
        <v>600000</v>
      </c>
      <c r="U145">
        <v>300000</v>
      </c>
      <c r="V145">
        <v>300000</v>
      </c>
    </row>
    <row r="146" spans="1:22" s="31" customFormat="1" hidden="1" x14ac:dyDescent="0.3">
      <c r="A146" s="144" t="s">
        <v>92</v>
      </c>
      <c r="B146" s="144"/>
      <c r="C146" s="144"/>
      <c r="D146" s="144"/>
      <c r="E146" s="144"/>
      <c r="F146" s="158"/>
      <c r="G146" s="158"/>
      <c r="H146" s="158"/>
      <c r="R146"/>
      <c r="S146">
        <v>1300000</v>
      </c>
      <c r="T146">
        <v>700000</v>
      </c>
      <c r="U146">
        <v>350000</v>
      </c>
      <c r="V146" s="21">
        <v>400000</v>
      </c>
    </row>
    <row r="147" spans="1:22" s="31" customFormat="1" hidden="1" x14ac:dyDescent="0.3">
      <c r="A147" s="144" t="s">
        <v>93</v>
      </c>
      <c r="B147" s="144"/>
      <c r="C147" s="144"/>
      <c r="D147" s="144"/>
      <c r="E147" s="144"/>
      <c r="F147" s="158"/>
      <c r="G147" s="158"/>
      <c r="H147" s="158"/>
      <c r="R147"/>
      <c r="S147">
        <v>1400000</v>
      </c>
      <c r="T147">
        <v>800000</v>
      </c>
      <c r="U147">
        <v>400000</v>
      </c>
      <c r="V147"/>
    </row>
    <row r="148" spans="1:22" s="31" customFormat="1" x14ac:dyDescent="0.3">
      <c r="A148" s="144" t="s">
        <v>370</v>
      </c>
      <c r="B148" s="144"/>
      <c r="C148" s="144"/>
      <c r="D148" s="144"/>
      <c r="E148" s="144"/>
      <c r="F148" s="158">
        <v>300000</v>
      </c>
      <c r="G148" s="158"/>
      <c r="H148" s="158"/>
      <c r="I148" s="31" t="s">
        <v>372</v>
      </c>
      <c r="R148"/>
      <c r="S148">
        <v>1500000</v>
      </c>
      <c r="T148">
        <v>900000</v>
      </c>
      <c r="U148">
        <v>500000</v>
      </c>
      <c r="V148" s="21"/>
    </row>
    <row r="149" spans="1:22" s="31" customFormat="1" x14ac:dyDescent="0.3">
      <c r="A149" s="144" t="s">
        <v>94</v>
      </c>
      <c r="B149" s="144"/>
      <c r="C149" s="144"/>
      <c r="D149" s="144"/>
      <c r="E149" s="144"/>
      <c r="F149" s="158">
        <v>30000</v>
      </c>
      <c r="G149" s="158"/>
      <c r="H149" s="158"/>
      <c r="R149"/>
      <c r="S149">
        <v>1600000</v>
      </c>
      <c r="T149">
        <v>1000000</v>
      </c>
      <c r="U149">
        <v>600000</v>
      </c>
      <c r="V149"/>
    </row>
    <row r="150" spans="1:22" s="31" customFormat="1" hidden="1" x14ac:dyDescent="0.3">
      <c r="A150" s="144" t="s">
        <v>95</v>
      </c>
      <c r="B150" s="144"/>
      <c r="C150" s="144"/>
      <c r="D150" s="144"/>
      <c r="E150" s="144"/>
      <c r="F150" s="158"/>
      <c r="G150" s="158"/>
      <c r="H150" s="158"/>
      <c r="R150"/>
      <c r="S150">
        <v>1700000</v>
      </c>
      <c r="T150"/>
      <c r="U150"/>
      <c r="V150" s="21"/>
    </row>
    <row r="151" spans="1:22" x14ac:dyDescent="0.3">
      <c r="A151" s="144" t="s">
        <v>49</v>
      </c>
      <c r="B151" s="144"/>
      <c r="C151" s="144"/>
      <c r="D151" s="144"/>
      <c r="E151" s="144"/>
      <c r="F151" s="158">
        <v>1000000</v>
      </c>
      <c r="G151" s="158"/>
      <c r="H151" s="158"/>
      <c r="J151" s="19">
        <f>30/1.5</f>
        <v>20</v>
      </c>
      <c r="K151" s="19">
        <f>AVERAGE(J191:J192)</f>
        <v>18902.023625220132</v>
      </c>
      <c r="R151"/>
      <c r="S151">
        <v>1800000</v>
      </c>
      <c r="T151"/>
      <c r="U151"/>
    </row>
    <row r="152" spans="1:22" s="32" customFormat="1" x14ac:dyDescent="0.3">
      <c r="A152" s="217" t="s">
        <v>50</v>
      </c>
      <c r="B152" s="217"/>
      <c r="C152" s="217"/>
      <c r="D152" s="217"/>
      <c r="E152" s="217"/>
      <c r="F152" s="158">
        <f>F141*0.8</f>
        <v>14800</v>
      </c>
      <c r="G152" s="158"/>
      <c r="H152" s="158"/>
      <c r="R152" s="19"/>
      <c r="S152" s="19"/>
      <c r="T152"/>
      <c r="U152"/>
      <c r="V152" s="19"/>
    </row>
    <row r="153" spans="1:22" s="33" customFormat="1" ht="15.75" hidden="1" customHeight="1" x14ac:dyDescent="0.3">
      <c r="A153" s="190" t="s">
        <v>72</v>
      </c>
      <c r="B153" s="190"/>
      <c r="C153" s="190"/>
      <c r="D153" s="190"/>
      <c r="E153" s="190"/>
      <c r="F153" s="190"/>
      <c r="G153" s="190"/>
      <c r="H153" s="190"/>
      <c r="R153"/>
      <c r="S153" s="19"/>
      <c r="T153"/>
      <c r="U153"/>
      <c r="V153" s="19"/>
    </row>
    <row r="154" spans="1:22" s="33" customFormat="1" ht="15.75" hidden="1" customHeight="1" x14ac:dyDescent="0.3">
      <c r="A154" s="160" t="s">
        <v>51</v>
      </c>
      <c r="B154" s="160"/>
      <c r="C154" s="167" t="s">
        <v>75</v>
      </c>
      <c r="D154" s="167"/>
      <c r="E154" s="165" t="s">
        <v>52</v>
      </c>
      <c r="F154" s="165"/>
      <c r="G154" s="160" t="s">
        <v>53</v>
      </c>
      <c r="H154" s="160"/>
      <c r="R154"/>
      <c r="S154" s="19"/>
      <c r="T154"/>
      <c r="U154" s="19"/>
      <c r="V154" s="19"/>
    </row>
    <row r="155" spans="1:22" s="33" customFormat="1" hidden="1" x14ac:dyDescent="0.3">
      <c r="A155" s="166"/>
      <c r="B155" s="166"/>
      <c r="C155" s="222"/>
      <c r="D155" s="222"/>
      <c r="E155" s="223"/>
      <c r="F155" s="223"/>
      <c r="G155" s="173"/>
      <c r="H155" s="173"/>
      <c r="R155"/>
      <c r="S155" s="19"/>
      <c r="T155"/>
      <c r="U155" s="19"/>
      <c r="V155" s="19"/>
    </row>
    <row r="156" spans="1:22" s="33" customFormat="1" hidden="1" x14ac:dyDescent="0.3">
      <c r="A156" s="166"/>
      <c r="B156" s="166"/>
      <c r="C156" s="222"/>
      <c r="D156" s="222"/>
      <c r="E156" s="223"/>
      <c r="F156" s="223"/>
      <c r="G156" s="173"/>
      <c r="H156" s="173"/>
      <c r="R156"/>
      <c r="S156" s="19"/>
      <c r="T156"/>
      <c r="U156" s="19"/>
      <c r="V156" s="19"/>
    </row>
    <row r="157" spans="1:22" s="33" customFormat="1" hidden="1" x14ac:dyDescent="0.3">
      <c r="A157" s="190" t="s">
        <v>145</v>
      </c>
      <c r="B157" s="190"/>
      <c r="C157" s="167"/>
      <c r="D157" s="167"/>
      <c r="E157" s="165"/>
      <c r="F157" s="165"/>
      <c r="G157" s="160"/>
      <c r="H157" s="160"/>
      <c r="R157"/>
      <c r="S157" s="19"/>
      <c r="T157"/>
      <c r="U157" s="19"/>
      <c r="V157" s="19"/>
    </row>
    <row r="158" spans="1:22" s="33" customFormat="1" x14ac:dyDescent="0.3">
      <c r="A158" s="190" t="s">
        <v>67</v>
      </c>
      <c r="B158" s="190"/>
      <c r="C158" s="190"/>
      <c r="D158" s="190"/>
      <c r="E158" s="190"/>
      <c r="F158" s="190"/>
      <c r="G158" s="190"/>
      <c r="H158" s="190"/>
      <c r="T158"/>
    </row>
    <row r="159" spans="1:22" s="33" customFormat="1" ht="15.75" customHeight="1" x14ac:dyDescent="0.3">
      <c r="A159" s="160" t="s">
        <v>51</v>
      </c>
      <c r="B159" s="160"/>
      <c r="C159" s="167" t="s">
        <v>75</v>
      </c>
      <c r="D159" s="167"/>
      <c r="E159" s="165" t="s">
        <v>52</v>
      </c>
      <c r="F159" s="165"/>
      <c r="G159" s="160" t="s">
        <v>53</v>
      </c>
      <c r="H159" s="160"/>
      <c r="T159"/>
    </row>
    <row r="160" spans="1:22" s="33" customFormat="1" ht="21" customHeight="1" x14ac:dyDescent="0.3">
      <c r="A160" s="240" t="s">
        <v>329</v>
      </c>
      <c r="B160" s="47" t="s">
        <v>312</v>
      </c>
      <c r="C160" s="228">
        <f>COUNT(F180,F183)+COUNT(F185:F188)*11+COUNT(F190:F193)*5</f>
        <v>66</v>
      </c>
      <c r="D160" s="228"/>
      <c r="E160" s="228">
        <f>SUM(F180,F183)+SUM(F185:F188)*11+SUM(F190:F193)*5</f>
        <v>66105.060839999991</v>
      </c>
      <c r="F160" s="228"/>
      <c r="G160" s="228">
        <f>SUM(H180,H183)+SUM(H185:H188)*11+SUM(H190:H193)*5</f>
        <v>99157.591259999987</v>
      </c>
      <c r="H160" s="228"/>
      <c r="T160"/>
    </row>
    <row r="161" spans="1:20" s="33" customFormat="1" ht="23.25" customHeight="1" x14ac:dyDescent="0.3">
      <c r="A161" s="241"/>
      <c r="B161" s="64" t="s">
        <v>321</v>
      </c>
      <c r="C161" s="238">
        <f>COUNT(F197)+COUNT(F201:F203)*2+COUNT(F205:F208)*9+COUNT(F210:F213)*5</f>
        <v>63</v>
      </c>
      <c r="D161" s="238"/>
      <c r="E161" s="238">
        <f>SUM(F197)+SUM(F201:F203)*2+SUM(F205:F208)*9+SUM(F210:F213)*5</f>
        <v>55401.231599999992</v>
      </c>
      <c r="F161" s="238"/>
      <c r="G161" s="238">
        <f>SUM(H197)+SUM(H201:H203)*2+SUM(H205:H208)*9+SUM(H210:H213)*5</f>
        <v>83101.847399999984</v>
      </c>
      <c r="H161" s="238"/>
    </row>
    <row r="162" spans="1:20" s="33" customFormat="1" ht="23.25" customHeight="1" thickBot="1" x14ac:dyDescent="0.35">
      <c r="A162" s="242"/>
      <c r="B162" s="64" t="s">
        <v>356</v>
      </c>
      <c r="C162" s="238">
        <f>COUNT(F217:F218,F223)+COUNT(F229:F232,F234:F237)+COUNT(F241:F244,F246:F249)+COUNT(F253:F263)*9+COUNT(F265:F275)*5</f>
        <v>173</v>
      </c>
      <c r="D162" s="238"/>
      <c r="E162" s="238">
        <f>SUM(F217:F218,F223)+SUM(F229:F232,F234:F237)+SUM(F241:F244,F246:F249)+SUM(F253:F263)*9+SUM(F265:F275)*5</f>
        <v>129888.00395999999</v>
      </c>
      <c r="F162" s="238"/>
      <c r="G162" s="238">
        <f>SUM(H217:H218,H223)+SUM(H229:H232,H234:H237)+SUM(H241:H244,H246:H249)+SUM(H253:H263)*9+SUM(H265:H275)*5</f>
        <v>194832.00593999997</v>
      </c>
      <c r="H162" s="238"/>
    </row>
    <row r="163" spans="1:20" s="33" customFormat="1" ht="16.2" thickBot="1" x14ac:dyDescent="0.35">
      <c r="A163" s="243" t="s">
        <v>145</v>
      </c>
      <c r="B163" s="244"/>
      <c r="C163" s="174">
        <f>SUM(C160:D162)</f>
        <v>302</v>
      </c>
      <c r="D163" s="175"/>
      <c r="E163" s="245">
        <f>SUM(E160:F162)</f>
        <v>251394.29639999999</v>
      </c>
      <c r="F163" s="246"/>
      <c r="G163" s="247">
        <f>SUM(G160:H162)</f>
        <v>377091.44459999993</v>
      </c>
      <c r="H163" s="248"/>
    </row>
    <row r="164" spans="1:20" s="33" customFormat="1" hidden="1" x14ac:dyDescent="0.3">
      <c r="A164" s="154" t="s">
        <v>161</v>
      </c>
      <c r="B164" s="155"/>
      <c r="C164" s="188">
        <f>C157+C163</f>
        <v>302</v>
      </c>
      <c r="D164" s="188"/>
      <c r="E164" s="189">
        <f>E157+E163</f>
        <v>251394.29639999999</v>
      </c>
      <c r="F164" s="189"/>
      <c r="G164" s="226">
        <f>G157+G163</f>
        <v>377091.44459999993</v>
      </c>
      <c r="H164" s="227"/>
    </row>
    <row r="165" spans="1:20" s="32" customFormat="1" x14ac:dyDescent="0.3">
      <c r="A165" s="176" t="s">
        <v>54</v>
      </c>
      <c r="B165" s="176"/>
      <c r="C165" s="176"/>
      <c r="D165" s="176"/>
      <c r="E165" s="176"/>
      <c r="F165" s="176"/>
      <c r="G165" s="176"/>
      <c r="H165" s="176"/>
      <c r="T165" s="33"/>
    </row>
    <row r="166" spans="1:20" x14ac:dyDescent="0.3">
      <c r="A166" s="159" t="s">
        <v>327</v>
      </c>
      <c r="B166" s="159"/>
      <c r="C166" s="159"/>
      <c r="D166" s="159"/>
      <c r="E166" s="159"/>
      <c r="F166" s="159"/>
      <c r="G166" s="159"/>
      <c r="H166" s="159"/>
      <c r="T166" s="33"/>
    </row>
    <row r="167" spans="1:20" ht="47.25" hidden="1" customHeight="1" x14ac:dyDescent="0.3">
      <c r="A167" s="191" t="s">
        <v>116</v>
      </c>
      <c r="B167" s="191" t="s">
        <v>171</v>
      </c>
      <c r="C167" s="191" t="s">
        <v>55</v>
      </c>
      <c r="D167" s="191" t="s">
        <v>227</v>
      </c>
      <c r="E167" s="229" t="s">
        <v>151</v>
      </c>
      <c r="F167" s="191" t="s">
        <v>56</v>
      </c>
      <c r="G167" s="229" t="s">
        <v>57</v>
      </c>
      <c r="H167" s="50" t="s">
        <v>144</v>
      </c>
      <c r="T167" s="33"/>
    </row>
    <row r="168" spans="1:20" s="35" customFormat="1" hidden="1" x14ac:dyDescent="0.3">
      <c r="A168" s="192"/>
      <c r="B168" s="192"/>
      <c r="C168" s="192"/>
      <c r="D168" s="192"/>
      <c r="E168" s="230"/>
      <c r="F168" s="192"/>
      <c r="G168" s="230"/>
      <c r="H168" s="51">
        <v>0.45</v>
      </c>
      <c r="T168" s="32"/>
    </row>
    <row r="169" spans="1:20" s="35" customFormat="1" hidden="1" x14ac:dyDescent="0.3">
      <c r="A169" s="111" t="s">
        <v>115</v>
      </c>
      <c r="B169" s="112"/>
      <c r="C169" s="112"/>
      <c r="D169" s="112"/>
      <c r="E169" s="112"/>
      <c r="F169" s="112"/>
      <c r="G169" s="112"/>
      <c r="H169" s="113"/>
      <c r="J169" s="34"/>
      <c r="T169" s="19"/>
    </row>
    <row r="170" spans="1:20" s="35" customFormat="1" ht="15.75" hidden="1" customHeight="1" x14ac:dyDescent="0.3">
      <c r="A170" s="84">
        <v>1</v>
      </c>
      <c r="B170" s="86"/>
      <c r="C170" s="40"/>
      <c r="D170" s="40">
        <v>0</v>
      </c>
      <c r="E170" s="40">
        <v>0</v>
      </c>
      <c r="F170" s="40">
        <f>D170+(IF(E170&lt;201,E170,IF(E170&lt;301,E170/2,E170/3)))</f>
        <v>0</v>
      </c>
      <c r="G170" s="40">
        <v>0</v>
      </c>
      <c r="H170" s="40">
        <f>(F170+(IF(G170&lt;101,G170,IF(G170&lt;201,G170/2,IF(G170&lt;=301,G170/3,G170/4)))))*(($H$168)+1)</f>
        <v>0</v>
      </c>
      <c r="I170" s="34"/>
      <c r="L170" s="231"/>
      <c r="M170" s="231"/>
      <c r="N170" s="34"/>
      <c r="T170" s="19"/>
    </row>
    <row r="171" spans="1:20" s="35" customFormat="1" ht="15.75" hidden="1" customHeight="1" x14ac:dyDescent="0.3">
      <c r="A171" s="84">
        <f>A170+1</f>
        <v>2</v>
      </c>
      <c r="B171" s="86"/>
      <c r="C171" s="40"/>
      <c r="D171" s="40"/>
      <c r="E171" s="40">
        <v>0</v>
      </c>
      <c r="F171" s="40">
        <f t="shared" ref="F171:F173" si="0">D171+(IF(E171&lt;201,E171,IF(E171&lt;301,E171/2,E171/3)))</f>
        <v>0</v>
      </c>
      <c r="G171" s="40">
        <v>0</v>
      </c>
      <c r="H171" s="40">
        <f t="shared" ref="H171:H173" si="1">(F171+(IF(G171&lt;101,G171,IF(G171&lt;201,G171/2,IF(G171&lt;=301,G171/3,G171/4)))))*(($H$168)+1)</f>
        <v>0</v>
      </c>
      <c r="I171" s="34"/>
      <c r="L171" s="231"/>
      <c r="M171" s="231"/>
      <c r="N171" s="34"/>
    </row>
    <row r="172" spans="1:20" s="35" customFormat="1" ht="15.75" hidden="1" customHeight="1" x14ac:dyDescent="0.3">
      <c r="A172" s="84">
        <f>A171+1</f>
        <v>3</v>
      </c>
      <c r="B172" s="86"/>
      <c r="C172" s="40"/>
      <c r="D172" s="40"/>
      <c r="E172" s="40">
        <v>0</v>
      </c>
      <c r="F172" s="40">
        <f t="shared" si="0"/>
        <v>0</v>
      </c>
      <c r="G172" s="40">
        <v>0</v>
      </c>
      <c r="H172" s="40">
        <f t="shared" si="1"/>
        <v>0</v>
      </c>
      <c r="I172" s="34"/>
      <c r="L172" s="231"/>
      <c r="M172" s="231"/>
      <c r="N172" s="34"/>
    </row>
    <row r="173" spans="1:20" s="35" customFormat="1" ht="15.75" hidden="1" customHeight="1" x14ac:dyDescent="0.3">
      <c r="A173" s="84">
        <f>A172+1</f>
        <v>4</v>
      </c>
      <c r="B173" s="86"/>
      <c r="C173" s="40"/>
      <c r="D173" s="40"/>
      <c r="E173" s="40">
        <v>0</v>
      </c>
      <c r="F173" s="40">
        <f t="shared" si="0"/>
        <v>0</v>
      </c>
      <c r="G173" s="40">
        <v>0</v>
      </c>
      <c r="H173" s="40">
        <f t="shared" si="1"/>
        <v>0</v>
      </c>
      <c r="I173" s="34"/>
      <c r="L173" s="231"/>
      <c r="M173" s="231"/>
      <c r="N173" s="34"/>
    </row>
    <row r="174" spans="1:20" ht="47.25" customHeight="1" x14ac:dyDescent="0.3">
      <c r="A174" s="177" t="s">
        <v>328</v>
      </c>
      <c r="B174" s="171" t="s">
        <v>172</v>
      </c>
      <c r="C174" s="171" t="s">
        <v>55</v>
      </c>
      <c r="D174" s="171" t="s">
        <v>227</v>
      </c>
      <c r="E174" s="171" t="s">
        <v>367</v>
      </c>
      <c r="F174" s="171" t="s">
        <v>56</v>
      </c>
      <c r="G174" s="224" t="s">
        <v>57</v>
      </c>
      <c r="H174" s="62" t="s">
        <v>144</v>
      </c>
      <c r="I174" s="34"/>
      <c r="T174" s="35"/>
    </row>
    <row r="175" spans="1:20" s="35" customFormat="1" x14ac:dyDescent="0.3">
      <c r="A175" s="178"/>
      <c r="B175" s="172"/>
      <c r="C175" s="172"/>
      <c r="D175" s="172"/>
      <c r="E175" s="172"/>
      <c r="F175" s="172"/>
      <c r="G175" s="225"/>
      <c r="H175" s="63">
        <v>0.5</v>
      </c>
      <c r="I175" s="34"/>
    </row>
    <row r="176" spans="1:20" s="35" customFormat="1" x14ac:dyDescent="0.3">
      <c r="A176" s="196" t="s">
        <v>311</v>
      </c>
      <c r="B176" s="197"/>
      <c r="C176" s="197"/>
      <c r="D176" s="197"/>
      <c r="E176" s="197"/>
      <c r="F176" s="197"/>
      <c r="G176" s="197"/>
      <c r="H176" s="198"/>
      <c r="I176" s="34"/>
    </row>
    <row r="177" spans="1:20" s="35" customFormat="1" x14ac:dyDescent="0.3">
      <c r="A177" s="151" t="s">
        <v>312</v>
      </c>
      <c r="B177" s="152"/>
      <c r="C177" s="152"/>
      <c r="D177" s="152"/>
      <c r="E177" s="152"/>
      <c r="F177" s="152"/>
      <c r="G177" s="152"/>
      <c r="H177" s="153"/>
      <c r="I177" s="34"/>
    </row>
    <row r="178" spans="1:20" s="35" customFormat="1" x14ac:dyDescent="0.3">
      <c r="A178" s="111" t="s">
        <v>313</v>
      </c>
      <c r="B178" s="112"/>
      <c r="C178" s="112"/>
      <c r="D178" s="112"/>
      <c r="E178" s="112"/>
      <c r="F178" s="112"/>
      <c r="G178" s="112"/>
      <c r="H178" s="113"/>
      <c r="I178" s="61">
        <v>10.763999999999999</v>
      </c>
      <c r="J178" s="34"/>
    </row>
    <row r="179" spans="1:20" s="35" customFormat="1" ht="15.75" customHeight="1" x14ac:dyDescent="0.3">
      <c r="A179" s="111" t="s">
        <v>314</v>
      </c>
      <c r="B179" s="112"/>
      <c r="C179" s="112"/>
      <c r="D179" s="112"/>
      <c r="E179" s="112"/>
      <c r="F179" s="112"/>
      <c r="G179" s="112"/>
      <c r="H179" s="113"/>
      <c r="I179" s="34"/>
      <c r="L179" s="231"/>
      <c r="M179" s="231"/>
      <c r="N179" s="34"/>
      <c r="T179" s="19"/>
    </row>
    <row r="180" spans="1:20" s="35" customFormat="1" ht="15.75" customHeight="1" x14ac:dyDescent="0.3">
      <c r="A180" s="84">
        <v>1</v>
      </c>
      <c r="B180" s="86"/>
      <c r="C180" s="40" t="s">
        <v>317</v>
      </c>
      <c r="D180" s="61">
        <f>(91.41)*10.764</f>
        <v>983.93723999999986</v>
      </c>
      <c r="E180" s="61">
        <f>(13.03)*10.764</f>
        <v>140.25492</v>
      </c>
      <c r="F180" s="40">
        <f>D180+E180</f>
        <v>1124.1921599999998</v>
      </c>
      <c r="G180" s="40">
        <v>0</v>
      </c>
      <c r="H180" s="40">
        <f>F180*(($H$175)+1)+(IF(G180&lt;101,G180,IF(G180&lt;201,G180/2,IF(G180&lt;=301,G180/3,G180/4))))</f>
        <v>1686.2882399999999</v>
      </c>
      <c r="I180" s="34">
        <f>6.56*3.355+2.645*1.07+2.385*1.52+2.285*2.89+3.815*3.505+1.225*2.435+3.66*3.35+1.475*0.95+3.15*3.2+1.37*2.385+2.285*1.37+1.375*2.3+1.055*1.47</f>
        <v>86.275749999999988</v>
      </c>
      <c r="J180" s="35">
        <f>6.6*1.75+1.22*1.9</f>
        <v>13.867999999999999</v>
      </c>
      <c r="K180" s="34">
        <f>I180+J180</f>
        <v>100.14374999999998</v>
      </c>
      <c r="L180" s="231"/>
      <c r="M180" s="231"/>
      <c r="N180" s="34"/>
    </row>
    <row r="181" spans="1:20" s="35" customFormat="1" ht="15.75" customHeight="1" x14ac:dyDescent="0.3">
      <c r="A181" s="84">
        <f>A180+1</f>
        <v>2</v>
      </c>
      <c r="B181" s="86"/>
      <c r="C181" s="84" t="s">
        <v>315</v>
      </c>
      <c r="D181" s="85"/>
      <c r="E181" s="85"/>
      <c r="F181" s="85"/>
      <c r="G181" s="85"/>
      <c r="H181" s="86"/>
      <c r="I181" s="34"/>
      <c r="L181" s="231"/>
      <c r="M181" s="231"/>
      <c r="N181" s="34"/>
    </row>
    <row r="182" spans="1:20" s="35" customFormat="1" ht="15.75" customHeight="1" x14ac:dyDescent="0.3">
      <c r="A182" s="84">
        <f>A181+1</f>
        <v>3</v>
      </c>
      <c r="B182" s="86"/>
      <c r="C182" s="84" t="s">
        <v>316</v>
      </c>
      <c r="D182" s="85"/>
      <c r="E182" s="85"/>
      <c r="F182" s="85"/>
      <c r="G182" s="85"/>
      <c r="H182" s="86"/>
      <c r="I182" s="34"/>
      <c r="L182" s="231"/>
      <c r="M182" s="231"/>
      <c r="N182" s="34"/>
    </row>
    <row r="183" spans="1:20" s="35" customFormat="1" x14ac:dyDescent="0.3">
      <c r="A183" s="84">
        <f>A182+1</f>
        <v>4</v>
      </c>
      <c r="B183" s="86"/>
      <c r="C183" s="40" t="s">
        <v>318</v>
      </c>
      <c r="D183" s="61">
        <f>(80.8)*10.764</f>
        <v>869.73119999999994</v>
      </c>
      <c r="E183" s="61">
        <f>(13.03)*10.764</f>
        <v>140.25492</v>
      </c>
      <c r="F183" s="40">
        <f>D183+E183</f>
        <v>1009.9861199999999</v>
      </c>
      <c r="G183" s="40">
        <v>0</v>
      </c>
      <c r="H183" s="40">
        <f>F183*(($H$175)+1)+(IF(G183&lt;101,G183,IF(G183&lt;201,G183/2,IF(G183&lt;=301,G183/3,G183/4))))</f>
        <v>1514.9791799999998</v>
      </c>
      <c r="I183" s="34">
        <f>6.56*3.355+2.645*1.07+2.385*1.52+2.285*2.89+3.815*3.505+1.225*2.435+3.66*3.35+1.475*0.95+1.375*2.3+2.285*1.37+1.37*2.435+1.055*1.47</f>
        <v>76.26424999999999</v>
      </c>
      <c r="J183" s="35">
        <f>1.9*1.22+6.6*1.75</f>
        <v>13.867999999999999</v>
      </c>
      <c r="K183" s="34">
        <f>I183+J183</f>
        <v>90.132249999999985</v>
      </c>
      <c r="L183" s="231"/>
      <c r="M183" s="231"/>
    </row>
    <row r="184" spans="1:20" s="35" customFormat="1" x14ac:dyDescent="0.3">
      <c r="A184" s="114" t="s">
        <v>319</v>
      </c>
      <c r="B184" s="114"/>
      <c r="C184" s="114"/>
      <c r="D184" s="114"/>
      <c r="E184" s="114"/>
      <c r="F184" s="114"/>
      <c r="G184" s="114"/>
      <c r="H184" s="114"/>
      <c r="I184" s="34"/>
      <c r="N184" s="34"/>
    </row>
    <row r="185" spans="1:20" s="35" customFormat="1" x14ac:dyDescent="0.3">
      <c r="A185" s="83">
        <v>1</v>
      </c>
      <c r="B185" s="83"/>
      <c r="C185" s="40" t="s">
        <v>317</v>
      </c>
      <c r="D185" s="61">
        <f>(91.41)*10.764</f>
        <v>983.93723999999986</v>
      </c>
      <c r="E185" s="61">
        <f>(13.03)*10.764</f>
        <v>140.25492</v>
      </c>
      <c r="F185" s="40">
        <f>D185+E185</f>
        <v>1124.1921599999998</v>
      </c>
      <c r="G185" s="40">
        <v>0</v>
      </c>
      <c r="H185" s="40">
        <f>F185*(($H$175)+1)+(IF(G185&lt;101,G185,IF(G185&lt;201,G185/2,IF(G185&lt;=301,G185/3,G185/4))))</f>
        <v>1686.2882399999999</v>
      </c>
      <c r="I185" s="34"/>
      <c r="N185" s="34"/>
    </row>
    <row r="186" spans="1:20" s="35" customFormat="1" x14ac:dyDescent="0.3">
      <c r="A186" s="83">
        <f>A185+1</f>
        <v>2</v>
      </c>
      <c r="B186" s="83"/>
      <c r="C186" s="40" t="s">
        <v>317</v>
      </c>
      <c r="D186" s="61">
        <f>(91.41)*10.764</f>
        <v>983.93723999999986</v>
      </c>
      <c r="E186" s="61">
        <f>(13.03)*10.764</f>
        <v>140.25492</v>
      </c>
      <c r="F186" s="40">
        <f>D186+E186</f>
        <v>1124.1921599999998</v>
      </c>
      <c r="G186" s="40">
        <v>0</v>
      </c>
      <c r="H186" s="40">
        <f>F186*(($H$175)+1)+(IF(G186&lt;101,G186,IF(G186&lt;201,G186/2,IF(G186&lt;=301,G186/3,G186/4))))</f>
        <v>1686.2882399999999</v>
      </c>
      <c r="I186" s="34"/>
      <c r="N186" s="34"/>
    </row>
    <row r="187" spans="1:20" s="35" customFormat="1" x14ac:dyDescent="0.3">
      <c r="A187" s="83">
        <f>A186+1</f>
        <v>3</v>
      </c>
      <c r="B187" s="83"/>
      <c r="C187" s="40" t="s">
        <v>318</v>
      </c>
      <c r="D187" s="61">
        <f>(53.59)*10.764</f>
        <v>576.84276</v>
      </c>
      <c r="E187" s="61">
        <f>(4.53)*10.764</f>
        <v>48.760919999999999</v>
      </c>
      <c r="F187" s="40">
        <f>D187+E187</f>
        <v>625.60367999999994</v>
      </c>
      <c r="G187" s="40">
        <v>0</v>
      </c>
      <c r="H187" s="40">
        <f>F187*(($H$175)+1)+(IF(G187&lt;101,G187,IF(G187&lt;201,G187/2,IF(G187&lt;=301,G187/3,G187/4))))</f>
        <v>938.40551999999991</v>
      </c>
      <c r="I187" s="34"/>
      <c r="J187" s="34">
        <f>1.83*1.05+3.05*1.07</f>
        <v>5.1850000000000005</v>
      </c>
      <c r="N187" s="34"/>
    </row>
    <row r="188" spans="1:20" s="35" customFormat="1" x14ac:dyDescent="0.3">
      <c r="A188" s="83">
        <f>A187+1</f>
        <v>4</v>
      </c>
      <c r="B188" s="83"/>
      <c r="C188" s="40" t="s">
        <v>317</v>
      </c>
      <c r="D188" s="61">
        <f>(91.41)*10.764</f>
        <v>983.93723999999986</v>
      </c>
      <c r="E188" s="61">
        <f>(13.03)*10.764</f>
        <v>140.25492</v>
      </c>
      <c r="F188" s="40">
        <f>D188+E188</f>
        <v>1124.1921599999998</v>
      </c>
      <c r="G188" s="40">
        <v>0</v>
      </c>
      <c r="H188" s="40">
        <f>F188*(($H$175)+1)+(IF(G188&lt;101,G188,IF(G188&lt;201,G188/2,IF(G188&lt;=301,G188/3,G188/4))))</f>
        <v>1686.2882399999999</v>
      </c>
      <c r="I188" s="34"/>
      <c r="N188" s="34"/>
    </row>
    <row r="189" spans="1:20" s="35" customFormat="1" ht="15.75" customHeight="1" x14ac:dyDescent="0.3">
      <c r="A189" s="114" t="s">
        <v>320</v>
      </c>
      <c r="B189" s="114"/>
      <c r="C189" s="114"/>
      <c r="D189" s="114"/>
      <c r="E189" s="114"/>
      <c r="F189" s="114"/>
      <c r="G189" s="114"/>
      <c r="H189" s="114"/>
      <c r="I189" s="34"/>
    </row>
    <row r="190" spans="1:20" s="35" customFormat="1" ht="15.75" customHeight="1" x14ac:dyDescent="0.3">
      <c r="A190" s="83">
        <v>1</v>
      </c>
      <c r="B190" s="83"/>
      <c r="C190" s="40" t="s">
        <v>317</v>
      </c>
      <c r="D190" s="61">
        <f>(91.41)*10.764</f>
        <v>983.93723999999986</v>
      </c>
      <c r="E190" s="61">
        <f>(13.03)*10.764</f>
        <v>140.25492</v>
      </c>
      <c r="F190" s="40">
        <f>D190+E190</f>
        <v>1124.1921599999998</v>
      </c>
      <c r="G190" s="40">
        <v>0</v>
      </c>
      <c r="H190" s="40">
        <f>F190*(($H$175)+1)+(IF(G190&lt;101,G190,IF(G190&lt;201,G190/2,IF(G190&lt;=301,G190/3,G190/4))))</f>
        <v>1686.2882399999999</v>
      </c>
      <c r="I190" s="34"/>
      <c r="K190" s="35">
        <f>18500*H190</f>
        <v>31196332.439999998</v>
      </c>
    </row>
    <row r="191" spans="1:20" s="35" customFormat="1" ht="15.75" customHeight="1" x14ac:dyDescent="0.3">
      <c r="A191" s="83">
        <f>A190+1</f>
        <v>2</v>
      </c>
      <c r="B191" s="83"/>
      <c r="C191" s="40" t="s">
        <v>317</v>
      </c>
      <c r="D191" s="61">
        <f>(91.41)*10.764</f>
        <v>983.93723999999986</v>
      </c>
      <c r="E191" s="61">
        <f>(13.03)*10.764</f>
        <v>140.25492</v>
      </c>
      <c r="F191" s="40">
        <f>D191+E191</f>
        <v>1124.1921599999998</v>
      </c>
      <c r="G191" s="40">
        <v>0</v>
      </c>
      <c r="H191" s="40">
        <f>F191*(($H$175)+1)+(IF(G191&lt;101,G191,IF(G191&lt;201,G191/2,IF(G191&lt;=301,G191/3,G191/4))))</f>
        <v>1686.2882399999999</v>
      </c>
      <c r="I191" s="34"/>
      <c r="J191" s="35">
        <f>33200000/H191</f>
        <v>19688.211785192787</v>
      </c>
      <c r="K191" s="35">
        <f t="shared" ref="K191:K193" si="2">18500*H191</f>
        <v>31196332.439999998</v>
      </c>
    </row>
    <row r="192" spans="1:20" s="35" customFormat="1" ht="15.75" customHeight="1" x14ac:dyDescent="0.3">
      <c r="A192" s="83">
        <f>A191+1</f>
        <v>3</v>
      </c>
      <c r="B192" s="83"/>
      <c r="C192" s="40" t="s">
        <v>318</v>
      </c>
      <c r="D192" s="61">
        <f>(53.59)*10.764</f>
        <v>576.84276</v>
      </c>
      <c r="E192" s="61">
        <f>(4.53)*10.764</f>
        <v>48.760919999999999</v>
      </c>
      <c r="F192" s="40">
        <f>D192+E192</f>
        <v>625.60367999999994</v>
      </c>
      <c r="G192" s="40">
        <v>0</v>
      </c>
      <c r="H192" s="40">
        <f>F192*(($H$175)+1)+(IF(G192&lt;101,G192,IF(G192&lt;201,G192/2,IF(G192&lt;=301,G192/3,G192/4))))</f>
        <v>938.40551999999991</v>
      </c>
      <c r="I192" s="34"/>
      <c r="J192" s="35">
        <f>17000000/H192</f>
        <v>18115.835465247477</v>
      </c>
      <c r="K192" s="35">
        <f t="shared" si="2"/>
        <v>17360502.119999997</v>
      </c>
    </row>
    <row r="193" spans="1:20" s="35" customFormat="1" ht="15.75" customHeight="1" x14ac:dyDescent="0.3">
      <c r="A193" s="83">
        <f>A192+1</f>
        <v>4</v>
      </c>
      <c r="B193" s="83"/>
      <c r="C193" s="40" t="s">
        <v>317</v>
      </c>
      <c r="D193" s="61">
        <f>(91.41)*10.764</f>
        <v>983.93723999999986</v>
      </c>
      <c r="E193" s="61">
        <f>(13.03)*10.764</f>
        <v>140.25492</v>
      </c>
      <c r="F193" s="40">
        <f>D193+E193</f>
        <v>1124.1921599999998</v>
      </c>
      <c r="G193" s="40">
        <v>0</v>
      </c>
      <c r="H193" s="40">
        <f>F193*(($H$175)+1)+(IF(G193&lt;101,G193,IF(G193&lt;201,G193/2,IF(G193&lt;=301,G193/3,G193/4))))</f>
        <v>1686.2882399999999</v>
      </c>
      <c r="I193" s="34"/>
      <c r="K193" s="35">
        <f t="shared" si="2"/>
        <v>31196332.439999998</v>
      </c>
    </row>
    <row r="194" spans="1:20" s="35" customFormat="1" x14ac:dyDescent="0.3">
      <c r="A194" s="151" t="s">
        <v>321</v>
      </c>
      <c r="B194" s="152"/>
      <c r="C194" s="152"/>
      <c r="D194" s="152"/>
      <c r="E194" s="152"/>
      <c r="F194" s="152"/>
      <c r="G194" s="152"/>
      <c r="H194" s="153"/>
      <c r="I194" s="34"/>
    </row>
    <row r="195" spans="1:20" s="35" customFormat="1" x14ac:dyDescent="0.3">
      <c r="A195" s="111" t="s">
        <v>313</v>
      </c>
      <c r="B195" s="112"/>
      <c r="C195" s="112"/>
      <c r="D195" s="112"/>
      <c r="E195" s="112"/>
      <c r="F195" s="112"/>
      <c r="G195" s="112"/>
      <c r="H195" s="113"/>
      <c r="I195" s="61">
        <v>10.763999999999999</v>
      </c>
      <c r="J195" s="34"/>
    </row>
    <row r="196" spans="1:20" s="35" customFormat="1" ht="15.75" customHeight="1" x14ac:dyDescent="0.3">
      <c r="A196" s="111" t="s">
        <v>323</v>
      </c>
      <c r="B196" s="112"/>
      <c r="C196" s="112"/>
      <c r="D196" s="112"/>
      <c r="E196" s="112"/>
      <c r="F196" s="112"/>
      <c r="G196" s="112"/>
      <c r="H196" s="113"/>
      <c r="I196" s="34"/>
    </row>
    <row r="197" spans="1:20" s="35" customFormat="1" ht="15.75" customHeight="1" x14ac:dyDescent="0.3">
      <c r="A197" s="83">
        <v>1</v>
      </c>
      <c r="B197" s="83"/>
      <c r="C197" s="40" t="s">
        <v>318</v>
      </c>
      <c r="D197" s="61">
        <f>(53.69)*10.764</f>
        <v>577.91915999999992</v>
      </c>
      <c r="E197" s="61">
        <f>(4.53)*10.764</f>
        <v>48.760919999999999</v>
      </c>
      <c r="F197" s="40">
        <f>D197+E197</f>
        <v>626.68007999999986</v>
      </c>
      <c r="G197" s="40">
        <v>0</v>
      </c>
      <c r="H197" s="40">
        <f>F197*(($H$175)+1)+(IF(G197&lt;101,G197,IF(G197&lt;201,G197/2,IF(G197&lt;=301,G197/3,G197/4))))</f>
        <v>940.02011999999979</v>
      </c>
      <c r="I197" s="34"/>
    </row>
    <row r="198" spans="1:20" s="35" customFormat="1" ht="15.75" customHeight="1" x14ac:dyDescent="0.3">
      <c r="A198" s="83">
        <f>A197+1</f>
        <v>2</v>
      </c>
      <c r="B198" s="83"/>
      <c r="C198" s="84" t="s">
        <v>322</v>
      </c>
      <c r="D198" s="85"/>
      <c r="E198" s="85"/>
      <c r="F198" s="85"/>
      <c r="G198" s="85"/>
      <c r="H198" s="86"/>
      <c r="I198" s="34"/>
    </row>
    <row r="199" spans="1:20" s="35" customFormat="1" ht="15.75" customHeight="1" x14ac:dyDescent="0.3">
      <c r="A199" s="84">
        <v>3</v>
      </c>
      <c r="B199" s="86"/>
      <c r="C199" s="84" t="s">
        <v>324</v>
      </c>
      <c r="D199" s="85"/>
      <c r="E199" s="85"/>
      <c r="F199" s="85"/>
      <c r="G199" s="85"/>
      <c r="H199" s="86"/>
      <c r="I199" s="34"/>
    </row>
    <row r="200" spans="1:20" s="35" customFormat="1" ht="15.75" customHeight="1" x14ac:dyDescent="0.3">
      <c r="A200" s="111" t="s">
        <v>325</v>
      </c>
      <c r="B200" s="112"/>
      <c r="C200" s="112"/>
      <c r="D200" s="112"/>
      <c r="E200" s="112"/>
      <c r="F200" s="112"/>
      <c r="G200" s="112"/>
      <c r="H200" s="113"/>
      <c r="I200" s="34"/>
    </row>
    <row r="201" spans="1:20" s="35" customFormat="1" ht="15.75" customHeight="1" x14ac:dyDescent="0.3">
      <c r="A201" s="83">
        <v>1</v>
      </c>
      <c r="B201" s="83"/>
      <c r="C201" s="40" t="s">
        <v>318</v>
      </c>
      <c r="D201" s="61">
        <f>(53.69)*10.764</f>
        <v>577.91915999999992</v>
      </c>
      <c r="E201" s="61">
        <f>(4.53)*10.764</f>
        <v>48.760919999999999</v>
      </c>
      <c r="F201" s="40">
        <f>D201+E201</f>
        <v>626.68007999999986</v>
      </c>
      <c r="G201" s="40">
        <v>0</v>
      </c>
      <c r="H201" s="40">
        <f>F201*(($H$175)+1)+(IF(G201&lt;101,G201,IF(G201&lt;201,G201/2,IF(G201&lt;=301,G201/3,G201/4))))</f>
        <v>940.02011999999979</v>
      </c>
      <c r="I201" s="34"/>
    </row>
    <row r="202" spans="1:20" s="35" customFormat="1" ht="15.75" customHeight="1" x14ac:dyDescent="0.3">
      <c r="A202" s="83">
        <f>A201+1</f>
        <v>2</v>
      </c>
      <c r="B202" s="83"/>
      <c r="C202" s="40" t="s">
        <v>317</v>
      </c>
      <c r="D202" s="61">
        <f>(91.41)*10.764</f>
        <v>983.93723999999986</v>
      </c>
      <c r="E202" s="61">
        <f>(13.03)*10.764</f>
        <v>140.25492</v>
      </c>
      <c r="F202" s="40">
        <f>D202+E202</f>
        <v>1124.1921599999998</v>
      </c>
      <c r="G202" s="40">
        <v>0</v>
      </c>
      <c r="H202" s="40">
        <f>F202*(($H$175)+1)+(IF(G202&lt;101,G202,IF(G202&lt;201,G202/2,IF(G202&lt;=301,G202/3,G202/4))))</f>
        <v>1686.2882399999999</v>
      </c>
      <c r="I202" s="34"/>
    </row>
    <row r="203" spans="1:20" s="35" customFormat="1" ht="15.75" customHeight="1" x14ac:dyDescent="0.3">
      <c r="A203" s="83">
        <f>A202+1</f>
        <v>3</v>
      </c>
      <c r="B203" s="83"/>
      <c r="C203" s="40" t="s">
        <v>317</v>
      </c>
      <c r="D203" s="61">
        <f>(91.41)*10.764</f>
        <v>983.93723999999986</v>
      </c>
      <c r="E203" s="61">
        <f>(13.03)*10.764</f>
        <v>140.25492</v>
      </c>
      <c r="F203" s="40">
        <f>D203+E203</f>
        <v>1124.1921599999998</v>
      </c>
      <c r="G203" s="40">
        <v>0</v>
      </c>
      <c r="H203" s="40">
        <f>F203*(($H$175)+1)+(IF(G203&lt;101,G203,IF(G203&lt;201,G203/2,IF(G203&lt;=301,G203/3,G203/4))))</f>
        <v>1686.2882399999999</v>
      </c>
      <c r="I203" s="34"/>
    </row>
    <row r="204" spans="1:20" s="35" customFormat="1" ht="15.75" customHeight="1" x14ac:dyDescent="0.3">
      <c r="A204" s="111" t="s">
        <v>326</v>
      </c>
      <c r="B204" s="112"/>
      <c r="C204" s="112"/>
      <c r="D204" s="112"/>
      <c r="E204" s="112"/>
      <c r="F204" s="112"/>
      <c r="G204" s="112"/>
      <c r="H204" s="113"/>
      <c r="I204" s="34"/>
    </row>
    <row r="205" spans="1:20" s="35" customFormat="1" ht="15.75" customHeight="1" x14ac:dyDescent="0.3">
      <c r="A205" s="83">
        <v>1</v>
      </c>
      <c r="B205" s="83"/>
      <c r="C205" s="40" t="s">
        <v>318</v>
      </c>
      <c r="D205" s="61">
        <f>(53.69)*10.764</f>
        <v>577.91915999999992</v>
      </c>
      <c r="E205" s="61">
        <f>(4.53)*10.764</f>
        <v>48.760919999999999</v>
      </c>
      <c r="F205" s="40">
        <f>D205+E205</f>
        <v>626.68007999999986</v>
      </c>
      <c r="G205" s="40">
        <v>0</v>
      </c>
      <c r="H205" s="40">
        <f>F205*(($H$175)+1)+(IF(G205&lt;101,G205,IF(G205&lt;201,G205/2,IF(G205&lt;=301,G205/3,G205/4))))</f>
        <v>940.02011999999979</v>
      </c>
      <c r="I205" s="34"/>
    </row>
    <row r="206" spans="1:20" s="35" customFormat="1" ht="15.75" customHeight="1" x14ac:dyDescent="0.3">
      <c r="A206" s="83">
        <f>A205+1</f>
        <v>2</v>
      </c>
      <c r="B206" s="83"/>
      <c r="C206" s="40" t="s">
        <v>317</v>
      </c>
      <c r="D206" s="61">
        <f>(91.41)*10.764</f>
        <v>983.93723999999986</v>
      </c>
      <c r="E206" s="61">
        <f>(13.03)*10.764</f>
        <v>140.25492</v>
      </c>
      <c r="F206" s="40">
        <f>D206+E206</f>
        <v>1124.1921599999998</v>
      </c>
      <c r="G206" s="40">
        <v>0</v>
      </c>
      <c r="H206" s="40">
        <f>F206*(($H$175)+1)+(IF(G206&lt;101,G206,IF(G206&lt;201,G206/2,IF(G206&lt;=301,G206/3,G206/4))))</f>
        <v>1686.2882399999999</v>
      </c>
      <c r="I206" s="34"/>
    </row>
    <row r="207" spans="1:20" s="33" customFormat="1" x14ac:dyDescent="0.3">
      <c r="A207" s="83">
        <f>A206+1</f>
        <v>3</v>
      </c>
      <c r="B207" s="83"/>
      <c r="C207" s="40" t="s">
        <v>317</v>
      </c>
      <c r="D207" s="61">
        <f>(91.41)*10.764</f>
        <v>983.93723999999986</v>
      </c>
      <c r="E207" s="61">
        <f>(13.03)*10.764</f>
        <v>140.25492</v>
      </c>
      <c r="F207" s="40">
        <f>D207+E207</f>
        <v>1124.1921599999998</v>
      </c>
      <c r="G207" s="40">
        <v>0</v>
      </c>
      <c r="H207" s="40">
        <f>F207*(($H$175)+1)+(IF(G207&lt;101,G207,IF(G207&lt;201,G207/2,IF(G207&lt;=301,G207/3,G207/4))))</f>
        <v>1686.2882399999999</v>
      </c>
      <c r="T207" s="35"/>
    </row>
    <row r="208" spans="1:20" s="33" customFormat="1" x14ac:dyDescent="0.3">
      <c r="A208" s="83">
        <f>A207+1</f>
        <v>4</v>
      </c>
      <c r="B208" s="83"/>
      <c r="C208" s="40" t="s">
        <v>318</v>
      </c>
      <c r="D208" s="61">
        <f>(53.69)*10.764</f>
        <v>577.91915999999992</v>
      </c>
      <c r="E208" s="61">
        <f>(4.53)*10.764</f>
        <v>48.760919999999999</v>
      </c>
      <c r="F208" s="40">
        <f>D208+E208</f>
        <v>626.68007999999986</v>
      </c>
      <c r="G208" s="40">
        <v>0</v>
      </c>
      <c r="H208" s="40">
        <f>F208*(($H$175)+1)+(IF(G208&lt;101,G208,IF(G208&lt;201,G208/2,IF(G208&lt;=301,G208/3,G208/4))))</f>
        <v>940.02011999999979</v>
      </c>
      <c r="T208" s="35"/>
    </row>
    <row r="209" spans="1:20" s="33" customFormat="1" x14ac:dyDescent="0.3">
      <c r="A209" s="111" t="s">
        <v>320</v>
      </c>
      <c r="B209" s="112"/>
      <c r="C209" s="112"/>
      <c r="D209" s="112"/>
      <c r="E209" s="112"/>
      <c r="F209" s="112"/>
      <c r="G209" s="112"/>
      <c r="H209" s="113"/>
      <c r="T209" s="35"/>
    </row>
    <row r="210" spans="1:20" s="33" customFormat="1" x14ac:dyDescent="0.3">
      <c r="A210" s="83">
        <v>1</v>
      </c>
      <c r="B210" s="83"/>
      <c r="C210" s="40" t="s">
        <v>318</v>
      </c>
      <c r="D210" s="61">
        <f>(53.69)*10.764</f>
        <v>577.91915999999992</v>
      </c>
      <c r="E210" s="61">
        <f>(4.53)*10.764</f>
        <v>48.760919999999999</v>
      </c>
      <c r="F210" s="40">
        <f>D210+E210</f>
        <v>626.68007999999986</v>
      </c>
      <c r="G210" s="40">
        <v>0</v>
      </c>
      <c r="H210" s="40">
        <f>F210*(($H$175)+1)+(IF(G210&lt;101,G210,IF(G210&lt;201,G210/2,IF(G210&lt;=301,G210/3,G210/4))))</f>
        <v>940.02011999999979</v>
      </c>
      <c r="T210" s="35"/>
    </row>
    <row r="211" spans="1:20" s="33" customFormat="1" x14ac:dyDescent="0.3">
      <c r="A211" s="83">
        <f>A210+1</f>
        <v>2</v>
      </c>
      <c r="B211" s="83"/>
      <c r="C211" s="40" t="s">
        <v>317</v>
      </c>
      <c r="D211" s="61">
        <f>(91.41)*10.764</f>
        <v>983.93723999999986</v>
      </c>
      <c r="E211" s="61">
        <f>(13.03)*10.764</f>
        <v>140.25492</v>
      </c>
      <c r="F211" s="40">
        <f>D211+E211</f>
        <v>1124.1921599999998</v>
      </c>
      <c r="G211" s="40">
        <v>0</v>
      </c>
      <c r="H211" s="40">
        <f>F211*(($H$175)+1)+(IF(G211&lt;101,G211,IF(G211&lt;201,G211/2,IF(G211&lt;=301,G211/3,G211/4))))</f>
        <v>1686.2882399999999</v>
      </c>
      <c r="I211" s="65"/>
      <c r="J211" s="66"/>
    </row>
    <row r="212" spans="1:20" s="33" customFormat="1" x14ac:dyDescent="0.3">
      <c r="A212" s="83">
        <f>A211+1</f>
        <v>3</v>
      </c>
      <c r="B212" s="83"/>
      <c r="C212" s="40" t="s">
        <v>317</v>
      </c>
      <c r="D212" s="61">
        <f>(91.41)*10.764</f>
        <v>983.93723999999986</v>
      </c>
      <c r="E212" s="61">
        <f>(13.03)*10.764</f>
        <v>140.25492</v>
      </c>
      <c r="F212" s="40">
        <f>D212+E212</f>
        <v>1124.1921599999998</v>
      </c>
      <c r="G212" s="40">
        <v>0</v>
      </c>
      <c r="H212" s="40">
        <f>F212*(($H$175)+1)+(IF(G212&lt;101,G212,IF(G212&lt;201,G212/2,IF(G212&lt;=301,G212/3,G212/4))))</f>
        <v>1686.2882399999999</v>
      </c>
      <c r="I212" s="65"/>
      <c r="J212" s="66"/>
    </row>
    <row r="213" spans="1:20" s="33" customFormat="1" x14ac:dyDescent="0.3">
      <c r="A213" s="83">
        <f>A212+1</f>
        <v>4</v>
      </c>
      <c r="B213" s="83"/>
      <c r="C213" s="40" t="s">
        <v>318</v>
      </c>
      <c r="D213" s="61">
        <f>(53.69)*10.764</f>
        <v>577.91915999999992</v>
      </c>
      <c r="E213" s="61">
        <f>(4.53)*10.764</f>
        <v>48.760919999999999</v>
      </c>
      <c r="F213" s="40">
        <f>D213+E213</f>
        <v>626.68007999999986</v>
      </c>
      <c r="G213" s="40">
        <v>0</v>
      </c>
      <c r="H213" s="40">
        <f>F213*(($H$175)+1)+(IF(G213&lt;101,G213,IF(G213&lt;201,G213/2,IF(G213&lt;=301,G213/3,G213/4))))</f>
        <v>940.02011999999979</v>
      </c>
      <c r="I213" s="65"/>
      <c r="J213" s="66"/>
    </row>
    <row r="214" spans="1:20" s="35" customFormat="1" x14ac:dyDescent="0.3">
      <c r="A214" s="151" t="s">
        <v>356</v>
      </c>
      <c r="B214" s="152"/>
      <c r="C214" s="152"/>
      <c r="D214" s="152"/>
      <c r="E214" s="152"/>
      <c r="F214" s="152"/>
      <c r="G214" s="152"/>
      <c r="H214" s="153"/>
      <c r="I214" s="65"/>
      <c r="J214" s="66"/>
    </row>
    <row r="215" spans="1:20" s="35" customFormat="1" x14ac:dyDescent="0.3">
      <c r="A215" s="111" t="s">
        <v>313</v>
      </c>
      <c r="B215" s="112"/>
      <c r="C215" s="112"/>
      <c r="D215" s="112"/>
      <c r="E215" s="112"/>
      <c r="F215" s="112"/>
      <c r="G215" s="112"/>
      <c r="H215" s="113"/>
      <c r="I215" s="65"/>
      <c r="J215" s="66"/>
    </row>
    <row r="216" spans="1:20" s="33" customFormat="1" x14ac:dyDescent="0.3">
      <c r="A216" s="111" t="s">
        <v>357</v>
      </c>
      <c r="B216" s="112"/>
      <c r="C216" s="112"/>
      <c r="D216" s="112"/>
      <c r="E216" s="112"/>
      <c r="F216" s="112"/>
      <c r="G216" s="112"/>
      <c r="H216" s="113"/>
      <c r="T216" s="35"/>
    </row>
    <row r="217" spans="1:20" s="33" customFormat="1" x14ac:dyDescent="0.3">
      <c r="A217" s="83">
        <v>1</v>
      </c>
      <c r="B217" s="83"/>
      <c r="C217" s="40" t="s">
        <v>318</v>
      </c>
      <c r="D217" s="68">
        <f>(68.1)*10.764</f>
        <v>733.02839999999992</v>
      </c>
      <c r="E217" s="68">
        <f>(5.99)*10.764</f>
        <v>64.47636</v>
      </c>
      <c r="F217" s="40">
        <f>D217+E217</f>
        <v>797.50475999999992</v>
      </c>
      <c r="G217" s="40">
        <v>0</v>
      </c>
      <c r="H217" s="40">
        <f>F217*(($H$175)+1)+(IF(G217&lt;101,G217,IF(G217&lt;201,G217/2,IF(G217&lt;=301,G217/3,G217/4))))</f>
        <v>1196.2571399999999</v>
      </c>
      <c r="I217" s="67">
        <f>6.29*3.36+2.29*2.75+3.65*3.35+3.65*3.05+1.38*2.3+1.395*1.42+1*1.52+1*1.05+0.38*0.95+1.1*1.5+2.445*1.53</f>
        <v>64.268649999999994</v>
      </c>
      <c r="K217" s="68">
        <v>10.763999999999999</v>
      </c>
      <c r="T217" s="35"/>
    </row>
    <row r="218" spans="1:20" s="33" customFormat="1" x14ac:dyDescent="0.3">
      <c r="A218" s="83">
        <f t="shared" ref="A218:A227" si="3">A217+1</f>
        <v>2</v>
      </c>
      <c r="B218" s="83"/>
      <c r="C218" s="40" t="s">
        <v>318</v>
      </c>
      <c r="D218" s="68">
        <f>(68.15)*10.764</f>
        <v>733.56659999999999</v>
      </c>
      <c r="E218" s="68">
        <f>(5.74)*10.764</f>
        <v>61.785359999999997</v>
      </c>
      <c r="F218" s="40">
        <f>D218+E218</f>
        <v>795.35195999999996</v>
      </c>
      <c r="G218" s="40">
        <v>0</v>
      </c>
      <c r="H218" s="40">
        <f>F218*(($H$175)+1)+(IF(G218&lt;101,G218,IF(G218&lt;201,G218/2,IF(G218&lt;=301,G218/3,G218/4))))</f>
        <v>1193.0279399999999</v>
      </c>
      <c r="I218" s="65"/>
      <c r="J218" s="66"/>
    </row>
    <row r="219" spans="1:20" s="33" customFormat="1" x14ac:dyDescent="0.3">
      <c r="A219" s="83">
        <f t="shared" si="3"/>
        <v>3</v>
      </c>
      <c r="B219" s="83"/>
      <c r="C219" s="115" t="s">
        <v>316</v>
      </c>
      <c r="D219" s="116"/>
      <c r="E219" s="116"/>
      <c r="F219" s="116"/>
      <c r="G219" s="116"/>
      <c r="H219" s="117"/>
      <c r="I219" s="65"/>
      <c r="J219" s="66"/>
    </row>
    <row r="220" spans="1:20" s="33" customFormat="1" x14ac:dyDescent="0.3">
      <c r="A220" s="83">
        <f t="shared" si="3"/>
        <v>4</v>
      </c>
      <c r="B220" s="83"/>
      <c r="C220" s="182"/>
      <c r="D220" s="183"/>
      <c r="E220" s="183"/>
      <c r="F220" s="183"/>
      <c r="G220" s="183"/>
      <c r="H220" s="184"/>
      <c r="I220" s="65"/>
      <c r="J220" s="66"/>
    </row>
    <row r="221" spans="1:20" s="33" customFormat="1" x14ac:dyDescent="0.3">
      <c r="A221" s="83">
        <f t="shared" si="3"/>
        <v>5</v>
      </c>
      <c r="B221" s="83"/>
      <c r="C221" s="182"/>
      <c r="D221" s="183"/>
      <c r="E221" s="183"/>
      <c r="F221" s="183"/>
      <c r="G221" s="183"/>
      <c r="H221" s="184"/>
      <c r="I221" s="65"/>
      <c r="J221" s="66"/>
    </row>
    <row r="222" spans="1:20" s="33" customFormat="1" x14ac:dyDescent="0.3">
      <c r="A222" s="83">
        <f t="shared" si="3"/>
        <v>6</v>
      </c>
      <c r="B222" s="83"/>
      <c r="C222" s="118"/>
      <c r="D222" s="119"/>
      <c r="E222" s="119"/>
      <c r="F222" s="119"/>
      <c r="G222" s="119"/>
      <c r="H222" s="120"/>
      <c r="I222" s="65"/>
      <c r="J222" s="66"/>
    </row>
    <row r="223" spans="1:20" s="33" customFormat="1" x14ac:dyDescent="0.3">
      <c r="A223" s="83">
        <f t="shared" si="3"/>
        <v>7</v>
      </c>
      <c r="B223" s="83"/>
      <c r="C223" s="40" t="s">
        <v>318</v>
      </c>
      <c r="D223" s="68">
        <f>(68.1)*10.764</f>
        <v>733.02839999999992</v>
      </c>
      <c r="E223" s="68">
        <f>(5.99)*10.764</f>
        <v>64.47636</v>
      </c>
      <c r="F223" s="40">
        <f>D223+E223</f>
        <v>797.50475999999992</v>
      </c>
      <c r="G223" s="40">
        <v>0</v>
      </c>
      <c r="H223" s="40">
        <f>F223*(($H$175)+1)+(IF(G223&lt;101,G223,IF(G223&lt;201,G223/2,IF(G223&lt;=301,G223/3,G223/4))))</f>
        <v>1196.2571399999999</v>
      </c>
      <c r="I223" s="65"/>
      <c r="J223" s="66"/>
    </row>
    <row r="224" spans="1:20" s="33" customFormat="1" ht="15.6" customHeight="1" x14ac:dyDescent="0.3">
      <c r="A224" s="83">
        <f t="shared" si="3"/>
        <v>8</v>
      </c>
      <c r="B224" s="83"/>
      <c r="C224" s="115" t="s">
        <v>358</v>
      </c>
      <c r="D224" s="116"/>
      <c r="E224" s="116"/>
      <c r="F224" s="116"/>
      <c r="G224" s="116"/>
      <c r="H224" s="117"/>
      <c r="I224" s="65"/>
      <c r="J224" s="66"/>
    </row>
    <row r="225" spans="1:20" s="33" customFormat="1" x14ac:dyDescent="0.3">
      <c r="A225" s="83">
        <f t="shared" si="3"/>
        <v>9</v>
      </c>
      <c r="B225" s="83"/>
      <c r="C225" s="182"/>
      <c r="D225" s="183"/>
      <c r="E225" s="183"/>
      <c r="F225" s="183"/>
      <c r="G225" s="183"/>
      <c r="H225" s="184"/>
      <c r="I225" s="65"/>
      <c r="J225" s="66"/>
    </row>
    <row r="226" spans="1:20" s="33" customFormat="1" x14ac:dyDescent="0.3">
      <c r="A226" s="83">
        <f t="shared" si="3"/>
        <v>10</v>
      </c>
      <c r="B226" s="83"/>
      <c r="C226" s="182"/>
      <c r="D226" s="183"/>
      <c r="E226" s="183"/>
      <c r="F226" s="183"/>
      <c r="G226" s="183"/>
      <c r="H226" s="184"/>
      <c r="I226" s="65"/>
      <c r="J226" s="66"/>
    </row>
    <row r="227" spans="1:20" s="33" customFormat="1" x14ac:dyDescent="0.3">
      <c r="A227" s="83">
        <f t="shared" si="3"/>
        <v>11</v>
      </c>
      <c r="B227" s="83"/>
      <c r="C227" s="118"/>
      <c r="D227" s="119"/>
      <c r="E227" s="119"/>
      <c r="F227" s="119"/>
      <c r="G227" s="119"/>
      <c r="H227" s="120"/>
      <c r="I227" s="65"/>
      <c r="J227" s="66"/>
    </row>
    <row r="228" spans="1:20" s="33" customFormat="1" x14ac:dyDescent="0.3">
      <c r="A228" s="114" t="s">
        <v>362</v>
      </c>
      <c r="B228" s="114"/>
      <c r="C228" s="114"/>
      <c r="D228" s="114"/>
      <c r="E228" s="114"/>
      <c r="F228" s="114"/>
      <c r="G228" s="114"/>
      <c r="H228" s="114"/>
      <c r="T228" s="35"/>
    </row>
    <row r="229" spans="1:20" s="33" customFormat="1" x14ac:dyDescent="0.3">
      <c r="A229" s="83">
        <v>1</v>
      </c>
      <c r="B229" s="83"/>
      <c r="C229" s="40" t="s">
        <v>318</v>
      </c>
      <c r="D229" s="68">
        <f>(68.1)*10.764</f>
        <v>733.02839999999992</v>
      </c>
      <c r="E229" s="68">
        <f>(5.99)*10.764</f>
        <v>64.47636</v>
      </c>
      <c r="F229" s="40">
        <f>D229+E229</f>
        <v>797.50475999999992</v>
      </c>
      <c r="G229" s="40">
        <v>0</v>
      </c>
      <c r="H229" s="40">
        <f>F229*(($H$175)+1)+(IF(G229&lt;101,G229,IF(G229&lt;201,G229/2,IF(G229&lt;=301,G229/3,G229/4))))</f>
        <v>1196.2571399999999</v>
      </c>
      <c r="T229" s="35"/>
    </row>
    <row r="230" spans="1:20" s="33" customFormat="1" x14ac:dyDescent="0.3">
      <c r="A230" s="83">
        <f t="shared" ref="A230:A239" si="4">A229+1</f>
        <v>2</v>
      </c>
      <c r="B230" s="83"/>
      <c r="C230" s="40" t="s">
        <v>318</v>
      </c>
      <c r="D230" s="68">
        <f>(68.15)*10.764</f>
        <v>733.56659999999999</v>
      </c>
      <c r="E230" s="68">
        <f>(5.74)*10.764</f>
        <v>61.785359999999997</v>
      </c>
      <c r="F230" s="40">
        <f>D230+E230</f>
        <v>795.35195999999996</v>
      </c>
      <c r="G230" s="40">
        <v>0</v>
      </c>
      <c r="H230" s="40">
        <f>F230*(($H$175)+1)+(IF(G230&lt;101,G230,IF(G230&lt;201,G230/2,IF(G230&lt;=301,G230/3,G230/4))))</f>
        <v>1193.0279399999999</v>
      </c>
      <c r="I230" s="65"/>
      <c r="J230" s="66"/>
    </row>
    <row r="231" spans="1:20" s="33" customFormat="1" x14ac:dyDescent="0.3">
      <c r="A231" s="83">
        <f t="shared" si="4"/>
        <v>3</v>
      </c>
      <c r="B231" s="83"/>
      <c r="C231" s="40" t="s">
        <v>318</v>
      </c>
      <c r="D231" s="68">
        <f>(53.75)*10.764</f>
        <v>578.56499999999994</v>
      </c>
      <c r="E231" s="68">
        <f>(4.38)*10.764</f>
        <v>47.146319999999996</v>
      </c>
      <c r="F231" s="40">
        <f>D231+E231</f>
        <v>625.71131999999989</v>
      </c>
      <c r="G231" s="40">
        <v>0</v>
      </c>
      <c r="H231" s="40">
        <f>F231*(($H$175)+1)+(IF(G231&lt;101,G231,IF(G231&lt;201,G231/2,IF(G231&lt;=301,G231/3,G231/4))))</f>
        <v>938.56697999999983</v>
      </c>
      <c r="I231" s="65"/>
      <c r="J231" s="66"/>
    </row>
    <row r="232" spans="1:20" s="33" customFormat="1" x14ac:dyDescent="0.3">
      <c r="A232" s="83">
        <f t="shared" si="4"/>
        <v>4</v>
      </c>
      <c r="B232" s="83"/>
      <c r="C232" s="40" t="s">
        <v>318</v>
      </c>
      <c r="D232" s="68">
        <f>(53.75)*10.764</f>
        <v>578.56499999999994</v>
      </c>
      <c r="E232" s="68">
        <f>(4.38)*10.764</f>
        <v>47.146319999999996</v>
      </c>
      <c r="F232" s="40">
        <f>D232+E232</f>
        <v>625.71131999999989</v>
      </c>
      <c r="G232" s="40">
        <v>0</v>
      </c>
      <c r="H232" s="40">
        <f>F232*(($H$175)+1)+(IF(G232&lt;101,G232,IF(G232&lt;201,G232/2,IF(G232&lt;=301,G232/3,G232/4))))</f>
        <v>938.56697999999983</v>
      </c>
      <c r="I232" s="65"/>
      <c r="J232" s="66"/>
    </row>
    <row r="233" spans="1:20" s="33" customFormat="1" x14ac:dyDescent="0.3">
      <c r="A233" s="83">
        <f t="shared" si="4"/>
        <v>5</v>
      </c>
      <c r="B233" s="83"/>
      <c r="C233" s="83" t="s">
        <v>359</v>
      </c>
      <c r="D233" s="83"/>
      <c r="E233" s="83"/>
      <c r="F233" s="83"/>
      <c r="G233" s="83"/>
      <c r="H233" s="83"/>
      <c r="I233" s="65"/>
      <c r="J233" s="66"/>
    </row>
    <row r="234" spans="1:20" s="33" customFormat="1" x14ac:dyDescent="0.3">
      <c r="A234" s="83">
        <f t="shared" si="4"/>
        <v>6</v>
      </c>
      <c r="B234" s="83"/>
      <c r="C234" s="40" t="s">
        <v>318</v>
      </c>
      <c r="D234" s="68">
        <f>(68.15)*10.764</f>
        <v>733.56659999999999</v>
      </c>
      <c r="E234" s="68">
        <f>(5.67)*10.764</f>
        <v>61.031879999999994</v>
      </c>
      <c r="F234" s="40">
        <f>D234+E234</f>
        <v>794.59848</v>
      </c>
      <c r="G234" s="40">
        <v>0</v>
      </c>
      <c r="H234" s="40">
        <f>F234*(($H$175)+1)+(IF(G234&lt;101,G234,IF(G234&lt;201,G234/2,IF(G234&lt;=301,G234/3,G234/4))))</f>
        <v>1191.8977199999999</v>
      </c>
      <c r="I234" s="65"/>
      <c r="J234" s="66"/>
    </row>
    <row r="235" spans="1:20" s="33" customFormat="1" x14ac:dyDescent="0.3">
      <c r="A235" s="83">
        <f t="shared" si="4"/>
        <v>7</v>
      </c>
      <c r="B235" s="83"/>
      <c r="C235" s="40" t="s">
        <v>318</v>
      </c>
      <c r="D235" s="68">
        <f>(68.1)*10.764</f>
        <v>733.02839999999992</v>
      </c>
      <c r="E235" s="68">
        <f>(5.99)*10.764</f>
        <v>64.47636</v>
      </c>
      <c r="F235" s="40">
        <f>D235+E235</f>
        <v>797.50475999999992</v>
      </c>
      <c r="G235" s="40">
        <v>0</v>
      </c>
      <c r="H235" s="40">
        <f>F235*(($H$175)+1)+(IF(G235&lt;101,G235,IF(G235&lt;201,G235/2,IF(G235&lt;=301,G235/3,G235/4))))</f>
        <v>1196.2571399999999</v>
      </c>
      <c r="I235" s="65"/>
      <c r="J235" s="66"/>
    </row>
    <row r="236" spans="1:20" s="33" customFormat="1" x14ac:dyDescent="0.3">
      <c r="A236" s="83">
        <f t="shared" si="4"/>
        <v>8</v>
      </c>
      <c r="B236" s="83"/>
      <c r="C236" s="40" t="s">
        <v>318</v>
      </c>
      <c r="D236" s="68">
        <f>(68.1)*10.764</f>
        <v>733.02839999999992</v>
      </c>
      <c r="E236" s="68">
        <f>(5.99)*10.764</f>
        <v>64.47636</v>
      </c>
      <c r="F236" s="40">
        <f>D236+E236</f>
        <v>797.50475999999992</v>
      </c>
      <c r="G236" s="40">
        <v>0</v>
      </c>
      <c r="H236" s="40">
        <f>F236*(($H$175)+1)+(IF(G236&lt;101,G236,IF(G236&lt;201,G236/2,IF(G236&lt;=301,G236/3,G236/4))))</f>
        <v>1196.2571399999999</v>
      </c>
      <c r="I236" s="65"/>
      <c r="J236" s="66"/>
    </row>
    <row r="237" spans="1:20" s="33" customFormat="1" x14ac:dyDescent="0.3">
      <c r="A237" s="83">
        <f t="shared" si="4"/>
        <v>9</v>
      </c>
      <c r="B237" s="83"/>
      <c r="C237" s="40" t="s">
        <v>318</v>
      </c>
      <c r="D237" s="68">
        <f>(68.15)*10.764</f>
        <v>733.56659999999999</v>
      </c>
      <c r="E237" s="68">
        <f>(5.74)*10.764</f>
        <v>61.785359999999997</v>
      </c>
      <c r="F237" s="40">
        <f>D237+E237</f>
        <v>795.35195999999996</v>
      </c>
      <c r="G237" s="40">
        <v>0</v>
      </c>
      <c r="H237" s="40">
        <f>F237*(($H$175)+1)+(IF(G237&lt;101,G237,IF(G237&lt;201,G237/2,IF(G237&lt;=301,G237/3,G237/4))))</f>
        <v>1193.0279399999999</v>
      </c>
      <c r="I237" s="65"/>
      <c r="J237" s="66"/>
    </row>
    <row r="238" spans="1:20" s="33" customFormat="1" x14ac:dyDescent="0.3">
      <c r="A238" s="83">
        <f t="shared" si="4"/>
        <v>10</v>
      </c>
      <c r="B238" s="83"/>
      <c r="C238" s="83" t="s">
        <v>360</v>
      </c>
      <c r="D238" s="83"/>
      <c r="E238" s="83"/>
      <c r="F238" s="83"/>
      <c r="G238" s="83"/>
      <c r="H238" s="83"/>
      <c r="I238" s="65"/>
      <c r="J238" s="66"/>
    </row>
    <row r="239" spans="1:20" s="33" customFormat="1" x14ac:dyDescent="0.3">
      <c r="A239" s="83">
        <f t="shared" si="4"/>
        <v>11</v>
      </c>
      <c r="B239" s="83"/>
      <c r="C239" s="83"/>
      <c r="D239" s="83"/>
      <c r="E239" s="83"/>
      <c r="F239" s="83"/>
      <c r="G239" s="83"/>
      <c r="H239" s="83"/>
      <c r="I239" s="65"/>
      <c r="J239" s="66"/>
    </row>
    <row r="240" spans="1:20" s="33" customFormat="1" x14ac:dyDescent="0.3">
      <c r="A240" s="111" t="s">
        <v>361</v>
      </c>
      <c r="B240" s="112"/>
      <c r="C240" s="112"/>
      <c r="D240" s="112"/>
      <c r="E240" s="112"/>
      <c r="F240" s="112"/>
      <c r="G240" s="112"/>
      <c r="H240" s="113"/>
      <c r="T240" s="35"/>
    </row>
    <row r="241" spans="1:20" s="33" customFormat="1" x14ac:dyDescent="0.3">
      <c r="A241" s="83">
        <v>1</v>
      </c>
      <c r="B241" s="83"/>
      <c r="C241" s="40" t="s">
        <v>318</v>
      </c>
      <c r="D241" s="68">
        <f>(68.1)*10.764</f>
        <v>733.02839999999992</v>
      </c>
      <c r="E241" s="68">
        <f>(5.99)*10.764</f>
        <v>64.47636</v>
      </c>
      <c r="F241" s="40">
        <f>D241+E241</f>
        <v>797.50475999999992</v>
      </c>
      <c r="G241" s="40">
        <v>0</v>
      </c>
      <c r="H241" s="40">
        <f>F241*(($H$175)+1)+(IF(G241&lt;101,G241,IF(G241&lt;201,G241/2,IF(G241&lt;=301,G241/3,G241/4))))</f>
        <v>1196.2571399999999</v>
      </c>
      <c r="T241" s="35"/>
    </row>
    <row r="242" spans="1:20" s="33" customFormat="1" x14ac:dyDescent="0.3">
      <c r="A242" s="83">
        <f t="shared" ref="A242:A251" si="5">A241+1</f>
        <v>2</v>
      </c>
      <c r="B242" s="83"/>
      <c r="C242" s="40" t="s">
        <v>318</v>
      </c>
      <c r="D242" s="68">
        <f>(68.15)*10.764</f>
        <v>733.56659999999999</v>
      </c>
      <c r="E242" s="68">
        <f>(5.74)*10.764</f>
        <v>61.785359999999997</v>
      </c>
      <c r="F242" s="40">
        <f>D242+E242</f>
        <v>795.35195999999996</v>
      </c>
      <c r="G242" s="40">
        <v>0</v>
      </c>
      <c r="H242" s="40">
        <f>F242*(($H$175)+1)+(IF(G242&lt;101,G242,IF(G242&lt;201,G242/2,IF(G242&lt;=301,G242/3,G242/4))))</f>
        <v>1193.0279399999999</v>
      </c>
      <c r="I242" s="65"/>
      <c r="J242" s="66"/>
    </row>
    <row r="243" spans="1:20" s="33" customFormat="1" x14ac:dyDescent="0.3">
      <c r="A243" s="83">
        <f t="shared" si="5"/>
        <v>3</v>
      </c>
      <c r="B243" s="83"/>
      <c r="C243" s="40" t="s">
        <v>318</v>
      </c>
      <c r="D243" s="68">
        <f>(53.75)*10.764</f>
        <v>578.56499999999994</v>
      </c>
      <c r="E243" s="68">
        <f>(4.38)*10.764</f>
        <v>47.146319999999996</v>
      </c>
      <c r="F243" s="40">
        <f>D243+E243</f>
        <v>625.71131999999989</v>
      </c>
      <c r="G243" s="40">
        <v>0</v>
      </c>
      <c r="H243" s="40">
        <f>F243*(($H$175)+1)+(IF(G243&lt;101,G243,IF(G243&lt;201,G243/2,IF(G243&lt;=301,G243/3,G243/4))))</f>
        <v>938.56697999999983</v>
      </c>
      <c r="I243" s="65"/>
      <c r="J243" s="66"/>
    </row>
    <row r="244" spans="1:20" s="33" customFormat="1" x14ac:dyDescent="0.3">
      <c r="A244" s="83">
        <f t="shared" si="5"/>
        <v>4</v>
      </c>
      <c r="B244" s="83"/>
      <c r="C244" s="40" t="s">
        <v>318</v>
      </c>
      <c r="D244" s="68">
        <f>(53.75)*10.764</f>
        <v>578.56499999999994</v>
      </c>
      <c r="E244" s="68">
        <f>(4.38)*10.764</f>
        <v>47.146319999999996</v>
      </c>
      <c r="F244" s="40">
        <f>D244+E244</f>
        <v>625.71131999999989</v>
      </c>
      <c r="G244" s="40">
        <v>0</v>
      </c>
      <c r="H244" s="40">
        <f>F244*(($H$175)+1)+(IF(G244&lt;101,G244,IF(G244&lt;201,G244/2,IF(G244&lt;=301,G244/3,G244/4))))</f>
        <v>938.56697999999983</v>
      </c>
      <c r="I244" s="65"/>
      <c r="J244" s="66"/>
    </row>
    <row r="245" spans="1:20" s="33" customFormat="1" x14ac:dyDescent="0.3">
      <c r="A245" s="83">
        <f t="shared" si="5"/>
        <v>5</v>
      </c>
      <c r="B245" s="83"/>
      <c r="C245" s="84" t="s">
        <v>359</v>
      </c>
      <c r="D245" s="85"/>
      <c r="E245" s="85"/>
      <c r="F245" s="85"/>
      <c r="G245" s="85"/>
      <c r="H245" s="86"/>
      <c r="I245" s="65"/>
      <c r="J245" s="66"/>
    </row>
    <row r="246" spans="1:20" s="33" customFormat="1" x14ac:dyDescent="0.3">
      <c r="A246" s="83">
        <f t="shared" si="5"/>
        <v>6</v>
      </c>
      <c r="B246" s="83"/>
      <c r="C246" s="40" t="s">
        <v>318</v>
      </c>
      <c r="D246" s="68">
        <f>(68.15)*10.764</f>
        <v>733.56659999999999</v>
      </c>
      <c r="E246" s="68">
        <f>(5.67)*10.764</f>
        <v>61.031879999999994</v>
      </c>
      <c r="F246" s="40">
        <f>D246+E246</f>
        <v>794.59848</v>
      </c>
      <c r="G246" s="40">
        <v>0</v>
      </c>
      <c r="H246" s="40">
        <f>F246*(($H$175)+1)+(IF(G246&lt;101,G246,IF(G246&lt;201,G246/2,IF(G246&lt;=301,G246/3,G246/4))))</f>
        <v>1191.8977199999999</v>
      </c>
      <c r="I246" s="65"/>
      <c r="J246" s="66"/>
    </row>
    <row r="247" spans="1:20" s="33" customFormat="1" x14ac:dyDescent="0.3">
      <c r="A247" s="83">
        <f t="shared" si="5"/>
        <v>7</v>
      </c>
      <c r="B247" s="83"/>
      <c r="C247" s="40" t="s">
        <v>318</v>
      </c>
      <c r="D247" s="68">
        <f>(68.1)*10.764</f>
        <v>733.02839999999992</v>
      </c>
      <c r="E247" s="68">
        <f>(5.99)*10.764</f>
        <v>64.47636</v>
      </c>
      <c r="F247" s="40">
        <f>D247+E247</f>
        <v>797.50475999999992</v>
      </c>
      <c r="G247" s="40">
        <v>0</v>
      </c>
      <c r="H247" s="40">
        <f>F247*(($H$175)+1)+(IF(G247&lt;101,G247,IF(G247&lt;201,G247/2,IF(G247&lt;=301,G247/3,G247/4))))</f>
        <v>1196.2571399999999</v>
      </c>
      <c r="I247" s="65"/>
      <c r="J247" s="66"/>
    </row>
    <row r="248" spans="1:20" s="33" customFormat="1" x14ac:dyDescent="0.3">
      <c r="A248" s="83">
        <f t="shared" si="5"/>
        <v>8</v>
      </c>
      <c r="B248" s="83"/>
      <c r="C248" s="40" t="s">
        <v>318</v>
      </c>
      <c r="D248" s="68">
        <f>(68.1)*10.764</f>
        <v>733.02839999999992</v>
      </c>
      <c r="E248" s="68">
        <f>(5.99)*10.764</f>
        <v>64.47636</v>
      </c>
      <c r="F248" s="40">
        <f>D248+E248</f>
        <v>797.50475999999992</v>
      </c>
      <c r="G248" s="40">
        <v>0</v>
      </c>
      <c r="H248" s="40">
        <f>F248*(($H$175)+1)+(IF(G248&lt;101,G248,IF(G248&lt;201,G248/2,IF(G248&lt;=301,G248/3,G248/4))))</f>
        <v>1196.2571399999999</v>
      </c>
      <c r="I248" s="65"/>
      <c r="J248" s="66"/>
    </row>
    <row r="249" spans="1:20" s="33" customFormat="1" x14ac:dyDescent="0.3">
      <c r="A249" s="83">
        <f t="shared" si="5"/>
        <v>9</v>
      </c>
      <c r="B249" s="83"/>
      <c r="C249" s="40" t="s">
        <v>318</v>
      </c>
      <c r="D249" s="68">
        <f>(68.15)*10.764</f>
        <v>733.56659999999999</v>
      </c>
      <c r="E249" s="68">
        <f>(5.74)*10.764</f>
        <v>61.785359999999997</v>
      </c>
      <c r="F249" s="40">
        <f>D249+E249</f>
        <v>795.35195999999996</v>
      </c>
      <c r="G249" s="40">
        <v>0</v>
      </c>
      <c r="H249" s="40">
        <f>F249*(($H$175)+1)+(IF(G249&lt;101,G249,IF(G249&lt;201,G249/2,IF(G249&lt;=301,G249/3,G249/4))))</f>
        <v>1193.0279399999999</v>
      </c>
      <c r="I249" s="65"/>
      <c r="J249" s="66"/>
    </row>
    <row r="250" spans="1:20" s="33" customFormat="1" ht="15.6" customHeight="1" x14ac:dyDescent="0.3">
      <c r="A250" s="83">
        <f t="shared" si="5"/>
        <v>10</v>
      </c>
      <c r="B250" s="83"/>
      <c r="C250" s="115" t="s">
        <v>363</v>
      </c>
      <c r="D250" s="116"/>
      <c r="E250" s="116"/>
      <c r="F250" s="116"/>
      <c r="G250" s="116"/>
      <c r="H250" s="117"/>
      <c r="I250" s="65"/>
      <c r="J250" s="66"/>
    </row>
    <row r="251" spans="1:20" s="33" customFormat="1" x14ac:dyDescent="0.3">
      <c r="A251" s="83">
        <f t="shared" si="5"/>
        <v>11</v>
      </c>
      <c r="B251" s="83"/>
      <c r="C251" s="118"/>
      <c r="D251" s="119"/>
      <c r="E251" s="119"/>
      <c r="F251" s="119"/>
      <c r="G251" s="119"/>
      <c r="H251" s="120"/>
      <c r="I251" s="65"/>
      <c r="J251" s="66"/>
    </row>
    <row r="252" spans="1:20" s="33" customFormat="1" x14ac:dyDescent="0.3">
      <c r="A252" s="111" t="s">
        <v>326</v>
      </c>
      <c r="B252" s="112"/>
      <c r="C252" s="112"/>
      <c r="D252" s="112"/>
      <c r="E252" s="112"/>
      <c r="F252" s="112"/>
      <c r="G252" s="112"/>
      <c r="H252" s="113"/>
      <c r="T252" s="35"/>
    </row>
    <row r="253" spans="1:20" s="33" customFormat="1" x14ac:dyDescent="0.3">
      <c r="A253" s="83">
        <v>1</v>
      </c>
      <c r="B253" s="83"/>
      <c r="C253" s="40" t="s">
        <v>318</v>
      </c>
      <c r="D253" s="68">
        <f>(68.1)*10.764</f>
        <v>733.02839999999992</v>
      </c>
      <c r="E253" s="68">
        <f>(5.99)*10.764</f>
        <v>64.47636</v>
      </c>
      <c r="F253" s="40">
        <f t="shared" ref="F253:F263" si="6">D253+E253</f>
        <v>797.50475999999992</v>
      </c>
      <c r="G253" s="40">
        <v>0</v>
      </c>
      <c r="H253" s="40">
        <f t="shared" ref="H253:H263" si="7">F253*(($H$175)+1)+(IF(G253&lt;101,G253,IF(G253&lt;201,G253/2,IF(G253&lt;=301,G253/3,G253/4))))</f>
        <v>1196.2571399999999</v>
      </c>
      <c r="T253" s="35"/>
    </row>
    <row r="254" spans="1:20" s="33" customFormat="1" x14ac:dyDescent="0.3">
      <c r="A254" s="83">
        <f t="shared" ref="A254:A263" si="8">A253+1</f>
        <v>2</v>
      </c>
      <c r="B254" s="83"/>
      <c r="C254" s="40" t="s">
        <v>318</v>
      </c>
      <c r="D254" s="68">
        <f>(68.15)*10.764</f>
        <v>733.56659999999999</v>
      </c>
      <c r="E254" s="68">
        <f>(5.74)*10.764</f>
        <v>61.785359999999997</v>
      </c>
      <c r="F254" s="40">
        <f t="shared" si="6"/>
        <v>795.35195999999996</v>
      </c>
      <c r="G254" s="40">
        <v>0</v>
      </c>
      <c r="H254" s="40">
        <f t="shared" si="7"/>
        <v>1193.0279399999999</v>
      </c>
      <c r="I254" s="65"/>
      <c r="J254" s="66"/>
    </row>
    <row r="255" spans="1:20" s="33" customFormat="1" x14ac:dyDescent="0.3">
      <c r="A255" s="83">
        <f t="shared" si="8"/>
        <v>3</v>
      </c>
      <c r="B255" s="83"/>
      <c r="C255" s="40" t="s">
        <v>318</v>
      </c>
      <c r="D255" s="68">
        <f>(53.75)*10.764</f>
        <v>578.56499999999994</v>
      </c>
      <c r="E255" s="68">
        <f>(4.38)*10.764</f>
        <v>47.146319999999996</v>
      </c>
      <c r="F255" s="40">
        <f t="shared" si="6"/>
        <v>625.71131999999989</v>
      </c>
      <c r="G255" s="40">
        <v>0</v>
      </c>
      <c r="H255" s="40">
        <f t="shared" si="7"/>
        <v>938.56697999999983</v>
      </c>
      <c r="I255" s="65"/>
      <c r="J255" s="66"/>
    </row>
    <row r="256" spans="1:20" s="33" customFormat="1" x14ac:dyDescent="0.3">
      <c r="A256" s="83">
        <f t="shared" si="8"/>
        <v>4</v>
      </c>
      <c r="B256" s="83"/>
      <c r="C256" s="40" t="s">
        <v>318</v>
      </c>
      <c r="D256" s="68">
        <f>(53.75)*10.764</f>
        <v>578.56499999999994</v>
      </c>
      <c r="E256" s="68">
        <f>(4.38)*10.764</f>
        <v>47.146319999999996</v>
      </c>
      <c r="F256" s="40">
        <f t="shared" si="6"/>
        <v>625.71131999999989</v>
      </c>
      <c r="G256" s="40">
        <v>0</v>
      </c>
      <c r="H256" s="40">
        <f t="shared" si="7"/>
        <v>938.56697999999983</v>
      </c>
      <c r="I256" s="65"/>
      <c r="J256" s="66"/>
    </row>
    <row r="257" spans="1:20" s="33" customFormat="1" x14ac:dyDescent="0.3">
      <c r="A257" s="83">
        <f t="shared" si="8"/>
        <v>5</v>
      </c>
      <c r="B257" s="83"/>
      <c r="C257" s="40" t="s">
        <v>318</v>
      </c>
      <c r="D257" s="68">
        <f>(53.75)*10.764</f>
        <v>578.56499999999994</v>
      </c>
      <c r="E257" s="68">
        <f>(4.38)*10.764</f>
        <v>47.146319999999996</v>
      </c>
      <c r="F257" s="40">
        <f t="shared" si="6"/>
        <v>625.71131999999989</v>
      </c>
      <c r="G257" s="40">
        <v>0</v>
      </c>
      <c r="H257" s="40">
        <f t="shared" si="7"/>
        <v>938.56697999999983</v>
      </c>
      <c r="I257" s="65"/>
      <c r="J257" s="66"/>
    </row>
    <row r="258" spans="1:20" s="33" customFormat="1" x14ac:dyDescent="0.3">
      <c r="A258" s="83">
        <f t="shared" si="8"/>
        <v>6</v>
      </c>
      <c r="B258" s="83"/>
      <c r="C258" s="40" t="s">
        <v>318</v>
      </c>
      <c r="D258" s="68">
        <f>(68.15)*10.764</f>
        <v>733.56659999999999</v>
      </c>
      <c r="E258" s="68">
        <f>(5.67)*10.764</f>
        <v>61.031879999999994</v>
      </c>
      <c r="F258" s="40">
        <f t="shared" si="6"/>
        <v>794.59848</v>
      </c>
      <c r="G258" s="40">
        <v>0</v>
      </c>
      <c r="H258" s="40">
        <f t="shared" si="7"/>
        <v>1191.8977199999999</v>
      </c>
      <c r="I258" s="65"/>
      <c r="J258" s="66"/>
    </row>
    <row r="259" spans="1:20" s="33" customFormat="1" x14ac:dyDescent="0.3">
      <c r="A259" s="83">
        <f t="shared" si="8"/>
        <v>7</v>
      </c>
      <c r="B259" s="83"/>
      <c r="C259" s="40" t="s">
        <v>318</v>
      </c>
      <c r="D259" s="68">
        <f>(68.1)*10.764</f>
        <v>733.02839999999992</v>
      </c>
      <c r="E259" s="68">
        <f>(5.99)*10.764</f>
        <v>64.47636</v>
      </c>
      <c r="F259" s="40">
        <f t="shared" si="6"/>
        <v>797.50475999999992</v>
      </c>
      <c r="G259" s="40">
        <v>0</v>
      </c>
      <c r="H259" s="40">
        <f t="shared" si="7"/>
        <v>1196.2571399999999</v>
      </c>
      <c r="I259" s="65"/>
      <c r="J259" s="66"/>
    </row>
    <row r="260" spans="1:20" s="33" customFormat="1" x14ac:dyDescent="0.3">
      <c r="A260" s="83">
        <f t="shared" si="8"/>
        <v>8</v>
      </c>
      <c r="B260" s="83"/>
      <c r="C260" s="40" t="s">
        <v>318</v>
      </c>
      <c r="D260" s="68">
        <f>(68.1)*10.764</f>
        <v>733.02839999999992</v>
      </c>
      <c r="E260" s="68">
        <f>(5.99)*10.764</f>
        <v>64.47636</v>
      </c>
      <c r="F260" s="40">
        <f t="shared" si="6"/>
        <v>797.50475999999992</v>
      </c>
      <c r="G260" s="40">
        <v>0</v>
      </c>
      <c r="H260" s="40">
        <f t="shared" si="7"/>
        <v>1196.2571399999999</v>
      </c>
      <c r="I260" s="65"/>
      <c r="J260" s="66"/>
    </row>
    <row r="261" spans="1:20" s="33" customFormat="1" x14ac:dyDescent="0.3">
      <c r="A261" s="83">
        <f t="shared" si="8"/>
        <v>9</v>
      </c>
      <c r="B261" s="83"/>
      <c r="C261" s="40" t="s">
        <v>318</v>
      </c>
      <c r="D261" s="68">
        <f>(68.15)*10.764</f>
        <v>733.56659999999999</v>
      </c>
      <c r="E261" s="68">
        <f>(5.74)*10.764</f>
        <v>61.785359999999997</v>
      </c>
      <c r="F261" s="40">
        <f t="shared" si="6"/>
        <v>795.35195999999996</v>
      </c>
      <c r="G261" s="40">
        <v>0</v>
      </c>
      <c r="H261" s="40">
        <f t="shared" si="7"/>
        <v>1193.0279399999999</v>
      </c>
      <c r="I261" s="65"/>
      <c r="J261" s="66"/>
    </row>
    <row r="262" spans="1:20" s="33" customFormat="1" x14ac:dyDescent="0.3">
      <c r="A262" s="83">
        <f t="shared" si="8"/>
        <v>10</v>
      </c>
      <c r="B262" s="83"/>
      <c r="C262" s="40" t="s">
        <v>318</v>
      </c>
      <c r="D262" s="68">
        <f>(68.15)*10.764</f>
        <v>733.56659999999999</v>
      </c>
      <c r="E262" s="68">
        <f>(5.74)*10.764</f>
        <v>61.785359999999997</v>
      </c>
      <c r="F262" s="40">
        <f t="shared" si="6"/>
        <v>795.35195999999996</v>
      </c>
      <c r="G262" s="40">
        <v>0</v>
      </c>
      <c r="H262" s="40">
        <f t="shared" si="7"/>
        <v>1193.0279399999999</v>
      </c>
      <c r="I262" s="65"/>
      <c r="J262" s="66"/>
    </row>
    <row r="263" spans="1:20" s="33" customFormat="1" x14ac:dyDescent="0.3">
      <c r="A263" s="83">
        <f t="shared" si="8"/>
        <v>11</v>
      </c>
      <c r="B263" s="83"/>
      <c r="C263" s="40" t="s">
        <v>318</v>
      </c>
      <c r="D263" s="68">
        <f>(68.15)*10.764</f>
        <v>733.56659999999999</v>
      </c>
      <c r="E263" s="68">
        <f>(5.74)*10.764</f>
        <v>61.785359999999997</v>
      </c>
      <c r="F263" s="40">
        <f t="shared" si="6"/>
        <v>795.35195999999996</v>
      </c>
      <c r="G263" s="40">
        <v>0</v>
      </c>
      <c r="H263" s="40">
        <f t="shared" si="7"/>
        <v>1193.0279399999999</v>
      </c>
      <c r="I263" s="65"/>
      <c r="J263" s="66"/>
    </row>
    <row r="264" spans="1:20" s="33" customFormat="1" x14ac:dyDescent="0.3">
      <c r="A264" s="111" t="s">
        <v>320</v>
      </c>
      <c r="B264" s="112"/>
      <c r="C264" s="112"/>
      <c r="D264" s="112"/>
      <c r="E264" s="112"/>
      <c r="F264" s="112"/>
      <c r="G264" s="112"/>
      <c r="H264" s="113"/>
      <c r="T264" s="35"/>
    </row>
    <row r="265" spans="1:20" s="33" customFormat="1" x14ac:dyDescent="0.3">
      <c r="A265" s="83">
        <v>1</v>
      </c>
      <c r="B265" s="83"/>
      <c r="C265" s="40" t="s">
        <v>318</v>
      </c>
      <c r="D265" s="68">
        <f>(68.1)*10.764</f>
        <v>733.02839999999992</v>
      </c>
      <c r="E265" s="68">
        <f>(5.99)*10.764</f>
        <v>64.47636</v>
      </c>
      <c r="F265" s="40">
        <f t="shared" ref="F265:F275" si="9">D265+E265</f>
        <v>797.50475999999992</v>
      </c>
      <c r="G265" s="40">
        <v>0</v>
      </c>
      <c r="H265" s="40">
        <f t="shared" ref="H265:H275" si="10">F265*(($H$175)+1)+(IF(G265&lt;101,G265,IF(G265&lt;201,G265/2,IF(G265&lt;=301,G265/3,G265/4))))</f>
        <v>1196.2571399999999</v>
      </c>
      <c r="T265" s="35"/>
    </row>
    <row r="266" spans="1:20" s="33" customFormat="1" x14ac:dyDescent="0.3">
      <c r="A266" s="83">
        <f t="shared" ref="A266:A275" si="11">A265+1</f>
        <v>2</v>
      </c>
      <c r="B266" s="83"/>
      <c r="C266" s="40" t="s">
        <v>318</v>
      </c>
      <c r="D266" s="68">
        <f>(68.15)*10.764</f>
        <v>733.56659999999999</v>
      </c>
      <c r="E266" s="68">
        <f>(5.74)*10.764</f>
        <v>61.785359999999997</v>
      </c>
      <c r="F266" s="40">
        <f t="shared" si="9"/>
        <v>795.35195999999996</v>
      </c>
      <c r="G266" s="40">
        <v>0</v>
      </c>
      <c r="H266" s="40">
        <f t="shared" si="10"/>
        <v>1193.0279399999999</v>
      </c>
      <c r="I266" s="65"/>
      <c r="J266" s="66"/>
    </row>
    <row r="267" spans="1:20" s="33" customFormat="1" x14ac:dyDescent="0.3">
      <c r="A267" s="83">
        <f t="shared" si="11"/>
        <v>3</v>
      </c>
      <c r="B267" s="83"/>
      <c r="C267" s="40" t="s">
        <v>318</v>
      </c>
      <c r="D267" s="68">
        <f>(53.75)*10.764</f>
        <v>578.56499999999994</v>
      </c>
      <c r="E267" s="68">
        <f>(4.38)*10.764</f>
        <v>47.146319999999996</v>
      </c>
      <c r="F267" s="40">
        <f t="shared" si="9"/>
        <v>625.71131999999989</v>
      </c>
      <c r="G267" s="40">
        <v>0</v>
      </c>
      <c r="H267" s="40">
        <f t="shared" si="10"/>
        <v>938.56697999999983</v>
      </c>
      <c r="I267" s="65"/>
      <c r="J267" s="66"/>
    </row>
    <row r="268" spans="1:20" s="33" customFormat="1" x14ac:dyDescent="0.3">
      <c r="A268" s="83">
        <f t="shared" si="11"/>
        <v>4</v>
      </c>
      <c r="B268" s="83"/>
      <c r="C268" s="40" t="s">
        <v>318</v>
      </c>
      <c r="D268" s="68">
        <f>(53.75)*10.764</f>
        <v>578.56499999999994</v>
      </c>
      <c r="E268" s="68">
        <f>(4.38)*10.764</f>
        <v>47.146319999999996</v>
      </c>
      <c r="F268" s="40">
        <f t="shared" si="9"/>
        <v>625.71131999999989</v>
      </c>
      <c r="G268" s="40">
        <v>0</v>
      </c>
      <c r="H268" s="40">
        <f t="shared" si="10"/>
        <v>938.56697999999983</v>
      </c>
      <c r="I268" s="65"/>
      <c r="J268" s="66"/>
    </row>
    <row r="269" spans="1:20" s="33" customFormat="1" x14ac:dyDescent="0.3">
      <c r="A269" s="83">
        <f t="shared" si="11"/>
        <v>5</v>
      </c>
      <c r="B269" s="83"/>
      <c r="C269" s="40" t="s">
        <v>318</v>
      </c>
      <c r="D269" s="68">
        <f>(53.75)*10.764</f>
        <v>578.56499999999994</v>
      </c>
      <c r="E269" s="68">
        <f>(4.38)*10.764</f>
        <v>47.146319999999996</v>
      </c>
      <c r="F269" s="40">
        <f t="shared" si="9"/>
        <v>625.71131999999989</v>
      </c>
      <c r="G269" s="40">
        <v>0</v>
      </c>
      <c r="H269" s="40">
        <f t="shared" si="10"/>
        <v>938.56697999999983</v>
      </c>
      <c r="I269" s="65"/>
      <c r="J269" s="66"/>
    </row>
    <row r="270" spans="1:20" s="33" customFormat="1" x14ac:dyDescent="0.3">
      <c r="A270" s="83">
        <f t="shared" si="11"/>
        <v>6</v>
      </c>
      <c r="B270" s="83"/>
      <c r="C270" s="40" t="s">
        <v>318</v>
      </c>
      <c r="D270" s="68">
        <f>(68.15)*10.764</f>
        <v>733.56659999999999</v>
      </c>
      <c r="E270" s="68">
        <f>(5.67)*10.764</f>
        <v>61.031879999999994</v>
      </c>
      <c r="F270" s="40">
        <f t="shared" si="9"/>
        <v>794.59848</v>
      </c>
      <c r="G270" s="40">
        <v>0</v>
      </c>
      <c r="H270" s="40">
        <f t="shared" si="10"/>
        <v>1191.8977199999999</v>
      </c>
      <c r="I270" s="65"/>
      <c r="J270" s="66"/>
    </row>
    <row r="271" spans="1:20" s="33" customFormat="1" x14ac:dyDescent="0.3">
      <c r="A271" s="83">
        <f t="shared" si="11"/>
        <v>7</v>
      </c>
      <c r="B271" s="83"/>
      <c r="C271" s="40" t="s">
        <v>318</v>
      </c>
      <c r="D271" s="68">
        <f>(68.1)*10.764</f>
        <v>733.02839999999992</v>
      </c>
      <c r="E271" s="68">
        <f>(5.99)*10.764</f>
        <v>64.47636</v>
      </c>
      <c r="F271" s="40">
        <f t="shared" si="9"/>
        <v>797.50475999999992</v>
      </c>
      <c r="G271" s="40">
        <v>0</v>
      </c>
      <c r="H271" s="40">
        <f t="shared" si="10"/>
        <v>1196.2571399999999</v>
      </c>
      <c r="I271" s="65"/>
      <c r="J271" s="66"/>
    </row>
    <row r="272" spans="1:20" s="33" customFormat="1" x14ac:dyDescent="0.3">
      <c r="A272" s="83">
        <f t="shared" si="11"/>
        <v>8</v>
      </c>
      <c r="B272" s="83"/>
      <c r="C272" s="40" t="s">
        <v>318</v>
      </c>
      <c r="D272" s="68">
        <f>(68.1)*10.764</f>
        <v>733.02839999999992</v>
      </c>
      <c r="E272" s="68">
        <f>(5.99)*10.764</f>
        <v>64.47636</v>
      </c>
      <c r="F272" s="40">
        <f t="shared" si="9"/>
        <v>797.50475999999992</v>
      </c>
      <c r="G272" s="40">
        <v>0</v>
      </c>
      <c r="H272" s="40">
        <f t="shared" si="10"/>
        <v>1196.2571399999999</v>
      </c>
      <c r="I272" s="65"/>
      <c r="J272" s="66"/>
    </row>
    <row r="273" spans="1:20" s="33" customFormat="1" x14ac:dyDescent="0.3">
      <c r="A273" s="83">
        <f t="shared" si="11"/>
        <v>9</v>
      </c>
      <c r="B273" s="83"/>
      <c r="C273" s="40" t="s">
        <v>318</v>
      </c>
      <c r="D273" s="68">
        <f>(68.15)*10.764</f>
        <v>733.56659999999999</v>
      </c>
      <c r="E273" s="68">
        <f>(5.74)*10.764</f>
        <v>61.785359999999997</v>
      </c>
      <c r="F273" s="40">
        <f t="shared" si="9"/>
        <v>795.35195999999996</v>
      </c>
      <c r="G273" s="40">
        <v>0</v>
      </c>
      <c r="H273" s="40">
        <f t="shared" si="10"/>
        <v>1193.0279399999999</v>
      </c>
      <c r="I273" s="65"/>
      <c r="J273" s="66"/>
    </row>
    <row r="274" spans="1:20" s="33" customFormat="1" x14ac:dyDescent="0.3">
      <c r="A274" s="83">
        <f t="shared" si="11"/>
        <v>10</v>
      </c>
      <c r="B274" s="83"/>
      <c r="C274" s="40" t="s">
        <v>318</v>
      </c>
      <c r="D274" s="68">
        <f>(68.15)*10.764</f>
        <v>733.56659999999999</v>
      </c>
      <c r="E274" s="68">
        <f>(5.74)*10.764</f>
        <v>61.785359999999997</v>
      </c>
      <c r="F274" s="40">
        <f t="shared" si="9"/>
        <v>795.35195999999996</v>
      </c>
      <c r="G274" s="40">
        <v>0</v>
      </c>
      <c r="H274" s="40">
        <f t="shared" si="10"/>
        <v>1193.0279399999999</v>
      </c>
      <c r="I274" s="65"/>
      <c r="J274" s="66"/>
    </row>
    <row r="275" spans="1:20" s="33" customFormat="1" x14ac:dyDescent="0.3">
      <c r="A275" s="83">
        <f t="shared" si="11"/>
        <v>11</v>
      </c>
      <c r="B275" s="83"/>
      <c r="C275" s="40" t="s">
        <v>318</v>
      </c>
      <c r="D275" s="68">
        <f>(68.15)*10.764</f>
        <v>733.56659999999999</v>
      </c>
      <c r="E275" s="68">
        <f>(5.74)*10.764</f>
        <v>61.785359999999997</v>
      </c>
      <c r="F275" s="40">
        <f t="shared" si="9"/>
        <v>795.35195999999996</v>
      </c>
      <c r="G275" s="40">
        <v>0</v>
      </c>
      <c r="H275" s="40">
        <f t="shared" si="10"/>
        <v>1193.0279399999999</v>
      </c>
      <c r="I275" s="65"/>
      <c r="J275" s="66"/>
    </row>
    <row r="276" spans="1:20" s="33" customFormat="1" x14ac:dyDescent="0.3">
      <c r="A276" s="181" t="s">
        <v>65</v>
      </c>
      <c r="B276" s="181"/>
      <c r="C276" s="181"/>
      <c r="D276" s="181"/>
      <c r="E276" s="181"/>
      <c r="F276" s="181"/>
      <c r="G276" s="181"/>
      <c r="H276" s="181"/>
      <c r="I276" s="65"/>
      <c r="J276" s="66"/>
    </row>
    <row r="277" spans="1:20" s="33" customFormat="1" x14ac:dyDescent="0.3">
      <c r="A277" s="47" t="s">
        <v>148</v>
      </c>
      <c r="B277" s="179" t="s">
        <v>377</v>
      </c>
      <c r="C277" s="179"/>
      <c r="D277" s="179"/>
      <c r="E277" s="179"/>
      <c r="F277" s="179"/>
      <c r="G277" s="179"/>
      <c r="H277" s="179"/>
      <c r="I277" s="65"/>
      <c r="J277" s="66"/>
    </row>
    <row r="278" spans="1:20" s="33" customFormat="1" x14ac:dyDescent="0.3">
      <c r="A278" s="47" t="s">
        <v>148</v>
      </c>
      <c r="B278" s="180" t="str">
        <f>(IF(H174="Saleable area Loading :","We have considered Saleable area of Flats as per our Calculation.","We considered Saleable area of Flat as per Builder area Sheet."))</f>
        <v>We have considered Saleable area of Flats as per our Calculation.</v>
      </c>
      <c r="C278" s="180"/>
      <c r="D278" s="180"/>
      <c r="E278" s="180"/>
      <c r="F278" s="180"/>
      <c r="G278" s="180"/>
      <c r="H278" s="180"/>
      <c r="I278" s="65"/>
      <c r="J278" s="66"/>
    </row>
    <row r="279" spans="1:20" s="33" customFormat="1" hidden="1" x14ac:dyDescent="0.3">
      <c r="A279" s="47" t="s">
        <v>148</v>
      </c>
      <c r="B279" s="180" t="str">
        <f>(IF(H167="Saleable area Loading :","We have considered Saleable area of Commercial as per our Calculation.","We considered Saleable area of Commercial as per Builder area Sheet."))</f>
        <v>We have considered Saleable area of Commercial as per our Calculation.</v>
      </c>
      <c r="C279" s="180"/>
      <c r="D279" s="180"/>
      <c r="E279" s="180"/>
      <c r="F279" s="180"/>
      <c r="G279" s="180"/>
      <c r="H279" s="180"/>
    </row>
    <row r="280" spans="1:20" s="33" customFormat="1" x14ac:dyDescent="0.3">
      <c r="A280" s="47" t="s">
        <v>148</v>
      </c>
      <c r="B280" s="107" t="s">
        <v>118</v>
      </c>
      <c r="C280" s="107"/>
      <c r="D280" s="107"/>
      <c r="E280" s="107"/>
      <c r="F280" s="107"/>
      <c r="G280" s="107"/>
      <c r="H280" s="107"/>
    </row>
    <row r="281" spans="1:20" s="33" customFormat="1" x14ac:dyDescent="0.3">
      <c r="A281" s="47" t="s">
        <v>148</v>
      </c>
      <c r="B281" s="107" t="s">
        <v>339</v>
      </c>
      <c r="C281" s="107"/>
      <c r="D281" s="107"/>
      <c r="E281" s="107"/>
      <c r="F281" s="107"/>
      <c r="G281" s="107"/>
      <c r="H281" s="107"/>
    </row>
    <row r="282" spans="1:20" s="33" customFormat="1" x14ac:dyDescent="0.3">
      <c r="A282" s="47" t="s">
        <v>148</v>
      </c>
      <c r="B282" s="107" t="s">
        <v>147</v>
      </c>
      <c r="C282" s="107"/>
      <c r="D282" s="107"/>
      <c r="E282" s="107"/>
      <c r="F282" s="107"/>
      <c r="G282" s="107"/>
      <c r="H282" s="107"/>
    </row>
    <row r="283" spans="1:20" x14ac:dyDescent="0.3">
      <c r="A283" s="47" t="s">
        <v>148</v>
      </c>
      <c r="B283" s="107" t="s">
        <v>119</v>
      </c>
      <c r="C283" s="107"/>
      <c r="D283" s="107"/>
      <c r="E283" s="107"/>
      <c r="F283" s="107"/>
      <c r="G283" s="107"/>
      <c r="H283" s="107"/>
      <c r="T283" s="33"/>
    </row>
    <row r="284" spans="1:20" ht="32.25" customHeight="1" x14ac:dyDescent="0.3">
      <c r="A284" s="47" t="s">
        <v>148</v>
      </c>
      <c r="B284" s="107" t="s">
        <v>149</v>
      </c>
      <c r="C284" s="107"/>
      <c r="D284" s="107"/>
      <c r="E284" s="107"/>
      <c r="F284" s="107"/>
      <c r="G284" s="107"/>
      <c r="H284" s="107"/>
      <c r="T284" s="33"/>
    </row>
    <row r="285" spans="1:20" ht="15.75" customHeight="1" x14ac:dyDescent="0.3">
      <c r="A285" s="47" t="s">
        <v>148</v>
      </c>
      <c r="B285" s="104" t="s">
        <v>120</v>
      </c>
      <c r="C285" s="105"/>
      <c r="D285" s="105"/>
      <c r="E285" s="105"/>
      <c r="F285" s="105"/>
      <c r="G285" s="105"/>
      <c r="H285" s="106"/>
      <c r="T285" s="33"/>
    </row>
    <row r="286" spans="1:20" x14ac:dyDescent="0.3">
      <c r="A286" s="47" t="s">
        <v>148</v>
      </c>
      <c r="B286" s="104" t="s">
        <v>365</v>
      </c>
      <c r="C286" s="105"/>
      <c r="D286" s="105"/>
      <c r="E286" s="105"/>
      <c r="F286" s="105"/>
      <c r="G286" s="105"/>
      <c r="H286" s="106"/>
      <c r="T286" s="33"/>
    </row>
    <row r="287" spans="1:20" hidden="1" x14ac:dyDescent="0.3">
      <c r="A287" s="47" t="s">
        <v>148</v>
      </c>
      <c r="B287" s="108" t="s">
        <v>173</v>
      </c>
      <c r="C287" s="109"/>
      <c r="D287" s="109"/>
      <c r="E287" s="109"/>
      <c r="F287" s="109"/>
      <c r="G287" s="109"/>
      <c r="H287" s="110"/>
    </row>
    <row r="288" spans="1:20" hidden="1" x14ac:dyDescent="0.3">
      <c r="A288" s="47" t="s">
        <v>148</v>
      </c>
      <c r="B288" s="193" t="s">
        <v>228</v>
      </c>
      <c r="C288" s="194"/>
      <c r="D288" s="194"/>
      <c r="E288" s="194"/>
      <c r="F288" s="194"/>
      <c r="G288" s="194"/>
      <c r="H288" s="195"/>
    </row>
    <row r="289" spans="1:20" x14ac:dyDescent="0.3">
      <c r="A289" s="47" t="s">
        <v>148</v>
      </c>
      <c r="B289" s="104" t="s">
        <v>366</v>
      </c>
      <c r="C289" s="105"/>
      <c r="D289" s="105"/>
      <c r="E289" s="105"/>
      <c r="F289" s="105"/>
      <c r="G289" s="105"/>
      <c r="H289" s="106"/>
      <c r="T289" s="33"/>
    </row>
    <row r="290" spans="1:20" x14ac:dyDescent="0.3">
      <c r="A290" s="47" t="s">
        <v>148</v>
      </c>
      <c r="B290" s="104" t="s">
        <v>371</v>
      </c>
      <c r="C290" s="105"/>
      <c r="D290" s="105"/>
      <c r="E290" s="105"/>
      <c r="F290" s="105"/>
      <c r="G290" s="105"/>
      <c r="H290" s="106"/>
      <c r="T290" s="33"/>
    </row>
    <row r="291" spans="1:20" x14ac:dyDescent="0.3">
      <c r="A291" s="134" t="s">
        <v>58</v>
      </c>
      <c r="B291" s="134"/>
      <c r="C291" s="134"/>
      <c r="D291" s="134"/>
      <c r="E291" s="134"/>
      <c r="F291" s="134"/>
      <c r="G291" s="134"/>
      <c r="H291" s="134"/>
    </row>
    <row r="292" spans="1:20" x14ac:dyDescent="0.3">
      <c r="A292" s="144" t="s">
        <v>59</v>
      </c>
      <c r="B292" s="144"/>
      <c r="C292" s="144"/>
      <c r="D292" s="144"/>
      <c r="E292" s="144"/>
      <c r="F292" s="144"/>
      <c r="G292" s="144"/>
      <c r="H292" s="144"/>
    </row>
    <row r="293" spans="1:20" x14ac:dyDescent="0.3">
      <c r="A293" s="170" t="s">
        <v>60</v>
      </c>
      <c r="B293" s="170"/>
      <c r="C293" s="170"/>
      <c r="D293" s="170"/>
      <c r="E293" s="170"/>
      <c r="F293" s="170"/>
      <c r="G293" s="170"/>
      <c r="H293" s="170"/>
    </row>
    <row r="294" spans="1:20" x14ac:dyDescent="0.3">
      <c r="A294" s="144" t="s">
        <v>61</v>
      </c>
      <c r="B294" s="144"/>
      <c r="C294" s="144"/>
      <c r="D294" s="144"/>
      <c r="E294" s="144"/>
      <c r="F294" s="144"/>
      <c r="G294" s="144"/>
      <c r="H294" s="144"/>
    </row>
    <row r="295" spans="1:20" x14ac:dyDescent="0.3">
      <c r="A295" s="144" t="s">
        <v>62</v>
      </c>
      <c r="B295" s="144"/>
      <c r="C295" s="144"/>
      <c r="D295" s="144"/>
      <c r="E295" s="144"/>
      <c r="F295" s="144"/>
      <c r="G295" s="144"/>
      <c r="H295" s="144"/>
    </row>
    <row r="296" spans="1:20" x14ac:dyDescent="0.3">
      <c r="A296" s="144" t="s">
        <v>121</v>
      </c>
      <c r="B296" s="144"/>
      <c r="C296" s="144"/>
      <c r="D296" s="144"/>
      <c r="E296" s="144"/>
      <c r="F296" s="144"/>
      <c r="G296" s="144"/>
      <c r="H296" s="144"/>
    </row>
    <row r="297" spans="1:20" x14ac:dyDescent="0.3">
      <c r="A297" s="146" t="s">
        <v>122</v>
      </c>
      <c r="B297" s="146"/>
      <c r="C297" s="146"/>
      <c r="D297" s="146"/>
      <c r="E297" s="146"/>
      <c r="F297" s="146"/>
      <c r="G297" s="146"/>
      <c r="H297" s="146"/>
    </row>
    <row r="298" spans="1:20" x14ac:dyDescent="0.3">
      <c r="A298" s="186" t="s">
        <v>74</v>
      </c>
      <c r="B298" s="186"/>
      <c r="C298" s="186" t="s">
        <v>375</v>
      </c>
      <c r="D298" s="186"/>
      <c r="E298" s="186" t="s">
        <v>102</v>
      </c>
      <c r="F298" s="186"/>
      <c r="G298" s="186" t="s">
        <v>376</v>
      </c>
      <c r="H298" s="186"/>
    </row>
    <row r="299" spans="1:20" x14ac:dyDescent="0.3">
      <c r="A299" s="185" t="s">
        <v>76</v>
      </c>
      <c r="B299" s="185"/>
      <c r="C299" s="185"/>
      <c r="D299" s="185"/>
      <c r="E299" s="185"/>
      <c r="F299" s="185"/>
      <c r="G299" s="185"/>
      <c r="H299" s="185"/>
    </row>
    <row r="300" spans="1:20" x14ac:dyDescent="0.3">
      <c r="A300" s="185"/>
      <c r="B300" s="185"/>
      <c r="C300" s="185"/>
      <c r="D300" s="185"/>
      <c r="E300" s="185"/>
      <c r="F300" s="185"/>
      <c r="G300" s="185"/>
      <c r="H300" s="185"/>
    </row>
    <row r="301" spans="1:20" ht="15" customHeight="1" x14ac:dyDescent="0.3">
      <c r="A301" s="185"/>
      <c r="B301" s="185"/>
      <c r="C301" s="185"/>
      <c r="D301" s="185"/>
      <c r="E301" s="185"/>
      <c r="F301" s="185"/>
      <c r="G301" s="185"/>
      <c r="H301" s="185"/>
    </row>
    <row r="302" spans="1:20" x14ac:dyDescent="0.3">
      <c r="A302" s="185"/>
      <c r="B302" s="185"/>
      <c r="C302" s="185"/>
      <c r="D302" s="185"/>
      <c r="E302" s="185"/>
      <c r="F302" s="185"/>
      <c r="G302" s="185"/>
      <c r="H302" s="185"/>
    </row>
    <row r="303" spans="1:20" x14ac:dyDescent="0.3">
      <c r="A303" s="36" t="s">
        <v>63</v>
      </c>
      <c r="B303" s="37"/>
      <c r="C303" s="37"/>
      <c r="D303" s="36" t="str">
        <f>E9</f>
        <v>Luma Tower A, B &amp; C</v>
      </c>
      <c r="F303" s="37"/>
      <c r="G303" s="37"/>
      <c r="H303" s="37"/>
    </row>
    <row r="304" spans="1:20" x14ac:dyDescent="0.3">
      <c r="A304" s="37"/>
      <c r="B304" s="37"/>
      <c r="C304" s="37"/>
      <c r="D304" s="37"/>
      <c r="E304" s="37"/>
      <c r="F304" s="37"/>
      <c r="G304" s="37"/>
      <c r="H304" s="37"/>
    </row>
    <row r="305" spans="1:11" x14ac:dyDescent="0.3">
      <c r="A305" s="37"/>
      <c r="B305" s="37"/>
      <c r="C305" s="37"/>
      <c r="D305" s="37"/>
      <c r="E305" s="37"/>
      <c r="F305" s="37"/>
      <c r="G305" s="37"/>
      <c r="H305" s="37"/>
    </row>
    <row r="314" spans="1:11" x14ac:dyDescent="0.3">
      <c r="K314"/>
    </row>
    <row r="319" spans="1:11" x14ac:dyDescent="0.3">
      <c r="K319"/>
    </row>
    <row r="347" spans="1:1" x14ac:dyDescent="0.3">
      <c r="A347" s="39" t="s">
        <v>159</v>
      </c>
    </row>
    <row r="391" spans="1:1" x14ac:dyDescent="0.3">
      <c r="A391" s="39" t="s">
        <v>64</v>
      </c>
    </row>
  </sheetData>
  <mergeCells count="485">
    <mergeCell ref="A96:B96"/>
    <mergeCell ref="C96:H96"/>
    <mergeCell ref="A98:B98"/>
    <mergeCell ref="C98:H98"/>
    <mergeCell ref="A99:B99"/>
    <mergeCell ref="E99:F99"/>
    <mergeCell ref="G99:H99"/>
    <mergeCell ref="A100:B100"/>
    <mergeCell ref="E100:F109"/>
    <mergeCell ref="G100:H109"/>
    <mergeCell ref="A101:B101"/>
    <mergeCell ref="A102:B102"/>
    <mergeCell ref="A103:B103"/>
    <mergeCell ref="A104:B104"/>
    <mergeCell ref="A105:B105"/>
    <mergeCell ref="A106:B106"/>
    <mergeCell ref="A107:B107"/>
    <mergeCell ref="A108:B108"/>
    <mergeCell ref="A109:B109"/>
    <mergeCell ref="A112:B112"/>
    <mergeCell ref="A145:E145"/>
    <mergeCell ref="A163:B163"/>
    <mergeCell ref="E163:F163"/>
    <mergeCell ref="A150:E150"/>
    <mergeCell ref="G163:H163"/>
    <mergeCell ref="C156:D156"/>
    <mergeCell ref="E156:F156"/>
    <mergeCell ref="G156:H156"/>
    <mergeCell ref="A157:B157"/>
    <mergeCell ref="C157:D157"/>
    <mergeCell ref="E157:F157"/>
    <mergeCell ref="G157:H157"/>
    <mergeCell ref="C161:D161"/>
    <mergeCell ref="E161:F161"/>
    <mergeCell ref="G161:H161"/>
    <mergeCell ref="C162:D162"/>
    <mergeCell ref="A153:H153"/>
    <mergeCell ref="A151:E151"/>
    <mergeCell ref="F151:H151"/>
    <mergeCell ref="A152:E152"/>
    <mergeCell ref="F152:H152"/>
    <mergeCell ref="A155:B155"/>
    <mergeCell ref="A136:B136"/>
    <mergeCell ref="L173:M173"/>
    <mergeCell ref="L172:M172"/>
    <mergeCell ref="L171:M171"/>
    <mergeCell ref="L170:M170"/>
    <mergeCell ref="C112:H112"/>
    <mergeCell ref="C54:H54"/>
    <mergeCell ref="A85:B85"/>
    <mergeCell ref="A94:B94"/>
    <mergeCell ref="C49:H49"/>
    <mergeCell ref="E162:F162"/>
    <mergeCell ref="G114:H123"/>
    <mergeCell ref="A115:B115"/>
    <mergeCell ref="A116:B116"/>
    <mergeCell ref="A117:B117"/>
    <mergeCell ref="F142:H142"/>
    <mergeCell ref="A142:E142"/>
    <mergeCell ref="D167:D168"/>
    <mergeCell ref="A144:E144"/>
    <mergeCell ref="A143:E143"/>
    <mergeCell ref="A140:E140"/>
    <mergeCell ref="F144:H144"/>
    <mergeCell ref="G167:G168"/>
    <mergeCell ref="G162:H162"/>
    <mergeCell ref="A160:A162"/>
    <mergeCell ref="L183:M183"/>
    <mergeCell ref="A186:B186"/>
    <mergeCell ref="A187:B187"/>
    <mergeCell ref="A197:B197"/>
    <mergeCell ref="L182:M182"/>
    <mergeCell ref="L179:M179"/>
    <mergeCell ref="A181:B181"/>
    <mergeCell ref="L180:M180"/>
    <mergeCell ref="A182:B182"/>
    <mergeCell ref="L181:M181"/>
    <mergeCell ref="A195:H195"/>
    <mergeCell ref="A184:H184"/>
    <mergeCell ref="A192:B192"/>
    <mergeCell ref="C181:H181"/>
    <mergeCell ref="C182:H182"/>
    <mergeCell ref="A40:B40"/>
    <mergeCell ref="C40:H40"/>
    <mergeCell ref="F167:F168"/>
    <mergeCell ref="C155:D155"/>
    <mergeCell ref="E155:F155"/>
    <mergeCell ref="B167:B168"/>
    <mergeCell ref="A167:A168"/>
    <mergeCell ref="C174:C175"/>
    <mergeCell ref="G174:G175"/>
    <mergeCell ref="G164:H164"/>
    <mergeCell ref="A46:D46"/>
    <mergeCell ref="A93:B93"/>
    <mergeCell ref="C160:D160"/>
    <mergeCell ref="E160:F160"/>
    <mergeCell ref="G160:H160"/>
    <mergeCell ref="A141:E141"/>
    <mergeCell ref="A169:H169"/>
    <mergeCell ref="E167:E168"/>
    <mergeCell ref="A114:B114"/>
    <mergeCell ref="A47:D47"/>
    <mergeCell ref="A48:H48"/>
    <mergeCell ref="D72:H72"/>
    <mergeCell ref="A72:C72"/>
    <mergeCell ref="A92:B92"/>
    <mergeCell ref="A42:D42"/>
    <mergeCell ref="E42:H42"/>
    <mergeCell ref="A41:H41"/>
    <mergeCell ref="A75:C75"/>
    <mergeCell ref="A76:C76"/>
    <mergeCell ref="D75:H75"/>
    <mergeCell ref="D76:H76"/>
    <mergeCell ref="A44:D44"/>
    <mergeCell ref="E44:H44"/>
    <mergeCell ref="E45:H45"/>
    <mergeCell ref="E46:H46"/>
    <mergeCell ref="E47:H47"/>
    <mergeCell ref="C65:H65"/>
    <mergeCell ref="A73:C74"/>
    <mergeCell ref="D73:H73"/>
    <mergeCell ref="D74:H74"/>
    <mergeCell ref="C52:E52"/>
    <mergeCell ref="C51:E51"/>
    <mergeCell ref="A45:D45"/>
    <mergeCell ref="A49:B49"/>
    <mergeCell ref="C67:E67"/>
    <mergeCell ref="G67:H67"/>
    <mergeCell ref="A50:H50"/>
    <mergeCell ref="A60:B61"/>
    <mergeCell ref="C39:H3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F37:H37"/>
    <mergeCell ref="A39:B39"/>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1:C81"/>
    <mergeCell ref="D81:H81"/>
    <mergeCell ref="A79:C79"/>
    <mergeCell ref="D80:H80"/>
    <mergeCell ref="A86:B86"/>
    <mergeCell ref="G85:H85"/>
    <mergeCell ref="A88:B88"/>
    <mergeCell ref="E86:F95"/>
    <mergeCell ref="G86:H95"/>
    <mergeCell ref="A84:B84"/>
    <mergeCell ref="A82:B82"/>
    <mergeCell ref="C82:H82"/>
    <mergeCell ref="A90:B90"/>
    <mergeCell ref="A95:B95"/>
    <mergeCell ref="A294:H294"/>
    <mergeCell ref="A158:H158"/>
    <mergeCell ref="A291:H291"/>
    <mergeCell ref="G159:H159"/>
    <mergeCell ref="C167:C168"/>
    <mergeCell ref="B174:B175"/>
    <mergeCell ref="A292:H292"/>
    <mergeCell ref="A180:B180"/>
    <mergeCell ref="B288:H288"/>
    <mergeCell ref="C199:H199"/>
    <mergeCell ref="A200:H200"/>
    <mergeCell ref="A202:B202"/>
    <mergeCell ref="A204:H204"/>
    <mergeCell ref="A209:H209"/>
    <mergeCell ref="A176:H176"/>
    <mergeCell ref="A177:H177"/>
    <mergeCell ref="A194:H194"/>
    <mergeCell ref="C198:H198"/>
    <mergeCell ref="A196:H196"/>
    <mergeCell ref="A189:H189"/>
    <mergeCell ref="A190:B190"/>
    <mergeCell ref="A179:H179"/>
    <mergeCell ref="A198:B198"/>
    <mergeCell ref="B279:H279"/>
    <mergeCell ref="A299:H302"/>
    <mergeCell ref="A298:B298"/>
    <mergeCell ref="E298:F298"/>
    <mergeCell ref="C298:D298"/>
    <mergeCell ref="G298:H298"/>
    <mergeCell ref="A297:H297"/>
    <mergeCell ref="A295:H295"/>
    <mergeCell ref="E113:F113"/>
    <mergeCell ref="G113:H113"/>
    <mergeCell ref="A146:E146"/>
    <mergeCell ref="F146:H146"/>
    <mergeCell ref="A148:E148"/>
    <mergeCell ref="F143:H143"/>
    <mergeCell ref="A147:E147"/>
    <mergeCell ref="E114:F123"/>
    <mergeCell ref="A121:B121"/>
    <mergeCell ref="A122:B122"/>
    <mergeCell ref="A123:B123"/>
    <mergeCell ref="F140:H140"/>
    <mergeCell ref="F145:H145"/>
    <mergeCell ref="A113:B113"/>
    <mergeCell ref="C164:D164"/>
    <mergeCell ref="E164:F164"/>
    <mergeCell ref="B283:H283"/>
    <mergeCell ref="A203:B203"/>
    <mergeCell ref="A207:B207"/>
    <mergeCell ref="A206:B206"/>
    <mergeCell ref="B277:H277"/>
    <mergeCell ref="B278:H278"/>
    <mergeCell ref="B280:H280"/>
    <mergeCell ref="B281:H281"/>
    <mergeCell ref="A276:H276"/>
    <mergeCell ref="A232:B232"/>
    <mergeCell ref="A233:B233"/>
    <mergeCell ref="A234:B234"/>
    <mergeCell ref="A235:B235"/>
    <mergeCell ref="A236:B236"/>
    <mergeCell ref="A237:B237"/>
    <mergeCell ref="A238:B238"/>
    <mergeCell ref="C219:H222"/>
    <mergeCell ref="A227:B227"/>
    <mergeCell ref="C224:H227"/>
    <mergeCell ref="A222:B222"/>
    <mergeCell ref="A223:B223"/>
    <mergeCell ref="A224:B224"/>
    <mergeCell ref="A225:B225"/>
    <mergeCell ref="A226:B226"/>
    <mergeCell ref="A296:H296"/>
    <mergeCell ref="A293:H293"/>
    <mergeCell ref="A185:B185"/>
    <mergeCell ref="A159:B159"/>
    <mergeCell ref="D174:D175"/>
    <mergeCell ref="E174:E175"/>
    <mergeCell ref="A118:B118"/>
    <mergeCell ref="A119:B119"/>
    <mergeCell ref="A120:B120"/>
    <mergeCell ref="F141:H141"/>
    <mergeCell ref="G155:H155"/>
    <mergeCell ref="F147:H147"/>
    <mergeCell ref="C154:D154"/>
    <mergeCell ref="C163:D163"/>
    <mergeCell ref="A178:H178"/>
    <mergeCell ref="A193:B193"/>
    <mergeCell ref="A208:B208"/>
    <mergeCell ref="A213:B213"/>
    <mergeCell ref="E159:F159"/>
    <mergeCell ref="A165:H165"/>
    <mergeCell ref="A174:A175"/>
    <mergeCell ref="F174:F175"/>
    <mergeCell ref="A217:B217"/>
    <mergeCell ref="A218:B218"/>
    <mergeCell ref="I15:P15"/>
    <mergeCell ref="F150:H150"/>
    <mergeCell ref="F148:H148"/>
    <mergeCell ref="A191:B191"/>
    <mergeCell ref="A166:H166"/>
    <mergeCell ref="G154:H154"/>
    <mergeCell ref="A149:E149"/>
    <mergeCell ref="A171:B171"/>
    <mergeCell ref="A68:B68"/>
    <mergeCell ref="C68:E68"/>
    <mergeCell ref="D70:H70"/>
    <mergeCell ref="F149:H149"/>
    <mergeCell ref="E154:F154"/>
    <mergeCell ref="A154:B154"/>
    <mergeCell ref="A156:B156"/>
    <mergeCell ref="C159:D159"/>
    <mergeCell ref="D79:H79"/>
    <mergeCell ref="A80:C80"/>
    <mergeCell ref="E43:H43"/>
    <mergeCell ref="A43:D43"/>
    <mergeCell ref="A110:B110"/>
    <mergeCell ref="C110:H110"/>
    <mergeCell ref="G66:H66"/>
    <mergeCell ref="G52:H52"/>
    <mergeCell ref="A51:B51"/>
    <mergeCell ref="G51:H51"/>
    <mergeCell ref="A52:B52"/>
    <mergeCell ref="A53:B54"/>
    <mergeCell ref="C53:E53"/>
    <mergeCell ref="G53:H53"/>
    <mergeCell ref="A214:H214"/>
    <mergeCell ref="A215:H215"/>
    <mergeCell ref="A216:H216"/>
    <mergeCell ref="C60:E60"/>
    <mergeCell ref="G60:H60"/>
    <mergeCell ref="C61:H61"/>
    <mergeCell ref="A58:B59"/>
    <mergeCell ref="C58:E58"/>
    <mergeCell ref="G58:H58"/>
    <mergeCell ref="C59:H59"/>
    <mergeCell ref="A56:B56"/>
    <mergeCell ref="C56:E56"/>
    <mergeCell ref="G56:H56"/>
    <mergeCell ref="A57:B57"/>
    <mergeCell ref="C57:E57"/>
    <mergeCell ref="G57:H57"/>
    <mergeCell ref="A170:B170"/>
    <mergeCell ref="A164:B164"/>
    <mergeCell ref="A55:H55"/>
    <mergeCell ref="A62:B63"/>
    <mergeCell ref="C62:E62"/>
    <mergeCell ref="G62:H62"/>
    <mergeCell ref="C63:H63"/>
    <mergeCell ref="A91:B91"/>
    <mergeCell ref="A69:H69"/>
    <mergeCell ref="A70:C70"/>
    <mergeCell ref="A71:C71"/>
    <mergeCell ref="D71:H71"/>
    <mergeCell ref="G68:H68"/>
    <mergeCell ref="A64:B65"/>
    <mergeCell ref="C64:E64"/>
    <mergeCell ref="G64:H64"/>
    <mergeCell ref="A66:B67"/>
    <mergeCell ref="C66:E66"/>
    <mergeCell ref="A77:C77"/>
    <mergeCell ref="D77:H77"/>
    <mergeCell ref="C84:H84"/>
    <mergeCell ref="A87:B87"/>
    <mergeCell ref="A89:B89"/>
    <mergeCell ref="E85:F85"/>
    <mergeCell ref="A78:C78"/>
    <mergeCell ref="D78:H78"/>
    <mergeCell ref="B290:H290"/>
    <mergeCell ref="A272:B272"/>
    <mergeCell ref="A273:B273"/>
    <mergeCell ref="A274:B274"/>
    <mergeCell ref="A275:B275"/>
    <mergeCell ref="A251:B251"/>
    <mergeCell ref="C250:H251"/>
    <mergeCell ref="A270:B270"/>
    <mergeCell ref="A271:B271"/>
    <mergeCell ref="B289:H289"/>
    <mergeCell ref="A252:H252"/>
    <mergeCell ref="A253:B253"/>
    <mergeCell ref="A254:B254"/>
    <mergeCell ref="A255:B255"/>
    <mergeCell ref="A256:B256"/>
    <mergeCell ref="A257:B257"/>
    <mergeCell ref="A258:B258"/>
    <mergeCell ref="A259:B259"/>
    <mergeCell ref="A260:B260"/>
    <mergeCell ref="B286:H286"/>
    <mergeCell ref="B285:H285"/>
    <mergeCell ref="B282:H282"/>
    <mergeCell ref="B287:H287"/>
    <mergeCell ref="B284:H284"/>
    <mergeCell ref="A239:B239"/>
    <mergeCell ref="C238:H239"/>
    <mergeCell ref="A263:B263"/>
    <mergeCell ref="A264:H264"/>
    <mergeCell ref="A265:B265"/>
    <mergeCell ref="A266:B266"/>
    <mergeCell ref="A267:B267"/>
    <mergeCell ref="A268:B268"/>
    <mergeCell ref="A269:B269"/>
    <mergeCell ref="A261:B261"/>
    <mergeCell ref="A262:B262"/>
    <mergeCell ref="A247:B247"/>
    <mergeCell ref="A248:B248"/>
    <mergeCell ref="A249:B249"/>
    <mergeCell ref="A250:B250"/>
    <mergeCell ref="A240:H240"/>
    <mergeCell ref="A244:B244"/>
    <mergeCell ref="A245:B245"/>
    <mergeCell ref="C245:H245"/>
    <mergeCell ref="A246:B246"/>
    <mergeCell ref="A124:B124"/>
    <mergeCell ref="C124:H124"/>
    <mergeCell ref="A126:B126"/>
    <mergeCell ref="C126:H126"/>
    <mergeCell ref="A127:B127"/>
    <mergeCell ref="E127:F127"/>
    <mergeCell ref="G127:H127"/>
    <mergeCell ref="A128:B128"/>
    <mergeCell ref="E128:F137"/>
    <mergeCell ref="G128:H137"/>
    <mergeCell ref="A129:B129"/>
    <mergeCell ref="A130:B130"/>
    <mergeCell ref="A131:B131"/>
    <mergeCell ref="A132:B132"/>
    <mergeCell ref="A133:B133"/>
    <mergeCell ref="A134:B134"/>
    <mergeCell ref="A135:B135"/>
    <mergeCell ref="A228:H228"/>
    <mergeCell ref="A229:B229"/>
    <mergeCell ref="A230:B230"/>
    <mergeCell ref="A137:B137"/>
    <mergeCell ref="A138:B139"/>
    <mergeCell ref="C138:D139"/>
    <mergeCell ref="E138:E139"/>
    <mergeCell ref="F138:G139"/>
    <mergeCell ref="H138:H139"/>
    <mergeCell ref="A241:B241"/>
    <mergeCell ref="A242:B242"/>
    <mergeCell ref="A243:B243"/>
    <mergeCell ref="A231:B231"/>
    <mergeCell ref="C233:H233"/>
    <mergeCell ref="A219:B219"/>
    <mergeCell ref="A220:B220"/>
    <mergeCell ref="A221:B221"/>
    <mergeCell ref="A201:B201"/>
    <mergeCell ref="A172:B172"/>
    <mergeCell ref="A199:B199"/>
    <mergeCell ref="A188:B188"/>
    <mergeCell ref="A173:B173"/>
    <mergeCell ref="A210:B210"/>
    <mergeCell ref="A211:B211"/>
    <mergeCell ref="A212:B212"/>
    <mergeCell ref="A183:B183"/>
    <mergeCell ref="A205:B205"/>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67:E168" xr:uid="{00000000-0002-0000-0000-000003000000}">
      <formula1>"Attached Loft area,Attached Otla area,Attached Mezzanine area"</formula1>
    </dataValidation>
    <dataValidation type="list" allowBlank="1" showInputMessage="1" showErrorMessage="1" sqref="G298:H298" xr:uid="{00000000-0002-0000-0000-000004000000}">
      <formula1>"Kunal Kadam,Pranita Mhatre,Shruti Fule,Pooja Kawale,Mansee Mohite,Anjali Kamble, Hitakshi Mhatre, Sachin Sawant"</formula1>
    </dataValidation>
    <dataValidation type="list" allowBlank="1" showInputMessage="1" showErrorMessage="1" sqref="F140:H140" xr:uid="{00000000-0002-0000-0000-000005000000}">
      <formula1>"On Saleable Area,On Builtup Area,On Carpet Area,On Plot Area"</formula1>
    </dataValidation>
    <dataValidation type="list" allowBlank="1" showInputMessage="1" showErrorMessage="1" sqref="F151:H151" xr:uid="{00000000-0002-0000-0000-000006000000}">
      <formula1>OFFSET($S$140,1,MATCH($G20,$S$140:$W$140,0)-1,15,1)</formula1>
    </dataValidation>
    <dataValidation type="list" allowBlank="1" showInputMessage="1" showErrorMessage="1" sqref="B167:B168" xr:uid="{00000000-0002-0000-0000-000007000000}">
      <formula1>"Shop No. (Sale Plan),Sale / Rehab,Sale / Mhada"</formula1>
    </dataValidation>
    <dataValidation type="list" allowBlank="1" showInputMessage="1" showErrorMessage="1" sqref="B174:B175"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74:E175" xr:uid="{00000000-0002-0000-0000-00000B000000}">
      <formula1>"Deck/  Balcony Area,Chajja Area,Cornice Area,AP Area,Deck Area"</formula1>
    </dataValidation>
    <dataValidation type="list" allowBlank="1" showInputMessage="1" showErrorMessage="1" sqref="H168 H17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91" xr:uid="{00000000-0002-0000-0000-00000F000000}">
      <formula1>0</formula1>
      <formula2>H83</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scale="94" fitToHeight="0" orientation="portrait" r:id="rId2"/>
  <headerFooter>
    <oddHeader>&amp;C&amp;G</oddHeader>
    <oddFooter>&amp;L&amp;"Times New Roman,Bold"&amp;12Ref No: &amp;F&amp;C&amp;G&amp;R&amp;"Times New Roman,Bold"&amp;12&amp;P</oddFooter>
  </headerFooter>
  <rowBreaks count="3" manualBreakCount="3">
    <brk id="302" max="7" man="1"/>
    <brk id="346" max="7" man="1"/>
    <brk id="39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T39" sqref="T39"/>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2" t="s">
        <v>103</v>
      </c>
      <c r="C3" s="252"/>
      <c r="D3" s="252"/>
      <c r="E3" s="252"/>
      <c r="F3" s="252"/>
      <c r="G3" s="252"/>
      <c r="H3" s="252"/>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8"/>
      <c r="C4" s="48" t="s">
        <v>11</v>
      </c>
      <c r="D4" s="49" t="s">
        <v>174</v>
      </c>
      <c r="E4" s="49" t="s">
        <v>184</v>
      </c>
      <c r="F4" s="49" t="s">
        <v>167</v>
      </c>
      <c r="G4" s="49" t="s">
        <v>189</v>
      </c>
      <c r="H4" s="49" t="s">
        <v>207</v>
      </c>
      <c r="J4" t="s">
        <v>189</v>
      </c>
      <c r="K4" t="s">
        <v>205</v>
      </c>
    </row>
    <row r="5" spans="2:11" x14ac:dyDescent="0.3">
      <c r="B5" s="48"/>
      <c r="C5" s="48"/>
      <c r="D5" s="49" t="s">
        <v>175</v>
      </c>
      <c r="E5" s="49" t="s">
        <v>182</v>
      </c>
      <c r="F5" s="49" t="s">
        <v>204</v>
      </c>
      <c r="G5" s="49" t="s">
        <v>190</v>
      </c>
      <c r="H5" s="49" t="s">
        <v>208</v>
      </c>
    </row>
    <row r="6" spans="2:11" x14ac:dyDescent="0.3">
      <c r="B6" s="48"/>
      <c r="C6" s="48"/>
      <c r="D6" s="49" t="s">
        <v>176</v>
      </c>
      <c r="E6" s="49" t="s">
        <v>183</v>
      </c>
      <c r="F6" s="49" t="s">
        <v>205</v>
      </c>
      <c r="G6" s="49" t="s">
        <v>191</v>
      </c>
      <c r="H6" s="49" t="s">
        <v>221</v>
      </c>
    </row>
    <row r="7" spans="2:11" x14ac:dyDescent="0.3">
      <c r="B7" s="48"/>
      <c r="C7" s="48"/>
      <c r="D7" s="49" t="s">
        <v>177</v>
      </c>
      <c r="E7" s="49" t="s">
        <v>185</v>
      </c>
      <c r="F7" s="49" t="s">
        <v>206</v>
      </c>
      <c r="G7" s="49" t="s">
        <v>192</v>
      </c>
      <c r="H7" s="49" t="s">
        <v>209</v>
      </c>
    </row>
    <row r="8" spans="2:11" x14ac:dyDescent="0.3">
      <c r="B8" s="48"/>
      <c r="C8" s="48"/>
      <c r="D8" s="49" t="s">
        <v>178</v>
      </c>
      <c r="E8" s="49" t="s">
        <v>186</v>
      </c>
      <c r="F8" s="49"/>
      <c r="G8" s="49" t="s">
        <v>193</v>
      </c>
      <c r="H8" s="49" t="s">
        <v>210</v>
      </c>
    </row>
    <row r="9" spans="2:11" x14ac:dyDescent="0.3">
      <c r="B9" s="48"/>
      <c r="C9" s="48"/>
      <c r="D9" s="49" t="s">
        <v>179</v>
      </c>
      <c r="E9" s="49" t="s">
        <v>184</v>
      </c>
      <c r="F9" s="49"/>
      <c r="G9" s="49" t="s">
        <v>194</v>
      </c>
      <c r="H9" s="49" t="s">
        <v>211</v>
      </c>
    </row>
    <row r="10" spans="2:11" x14ac:dyDescent="0.3">
      <c r="B10" s="48"/>
      <c r="C10" s="48"/>
      <c r="D10" s="49" t="s">
        <v>180</v>
      </c>
      <c r="E10" s="49" t="s">
        <v>187</v>
      </c>
      <c r="F10" s="49"/>
      <c r="G10" s="49" t="s">
        <v>195</v>
      </c>
      <c r="H10" s="49" t="s">
        <v>212</v>
      </c>
    </row>
    <row r="11" spans="2:11" x14ac:dyDescent="0.3">
      <c r="B11" s="48"/>
      <c r="C11" s="48"/>
      <c r="D11" s="49" t="s">
        <v>181</v>
      </c>
      <c r="E11" s="49" t="s">
        <v>188</v>
      </c>
      <c r="F11" s="49"/>
      <c r="G11" s="49" t="s">
        <v>196</v>
      </c>
      <c r="H11" s="49" t="s">
        <v>213</v>
      </c>
    </row>
    <row r="12" spans="2:11" x14ac:dyDescent="0.3">
      <c r="B12" s="48"/>
      <c r="C12" s="48"/>
      <c r="D12" s="49"/>
      <c r="E12" s="49"/>
      <c r="F12" s="49"/>
      <c r="G12" s="49" t="s">
        <v>197</v>
      </c>
      <c r="H12" s="49" t="s">
        <v>214</v>
      </c>
    </row>
    <row r="13" spans="2:11" x14ac:dyDescent="0.3">
      <c r="B13" s="48"/>
      <c r="C13" s="48"/>
      <c r="D13" s="49"/>
      <c r="E13" s="49"/>
      <c r="F13" s="49"/>
      <c r="G13" s="49" t="s">
        <v>198</v>
      </c>
      <c r="H13" s="49" t="s">
        <v>215</v>
      </c>
    </row>
    <row r="14" spans="2:11" x14ac:dyDescent="0.3">
      <c r="B14" s="48"/>
      <c r="C14" s="48"/>
      <c r="D14" s="49"/>
      <c r="E14" s="49"/>
      <c r="F14" s="49"/>
      <c r="G14" s="49" t="s">
        <v>199</v>
      </c>
      <c r="H14" s="49" t="s">
        <v>216</v>
      </c>
    </row>
    <row r="15" spans="2:11" x14ac:dyDescent="0.3">
      <c r="B15" s="48"/>
      <c r="C15" s="48"/>
      <c r="D15" s="49"/>
      <c r="E15" s="49"/>
      <c r="F15" s="49"/>
      <c r="G15" s="49" t="s">
        <v>200</v>
      </c>
      <c r="H15" s="49" t="s">
        <v>217</v>
      </c>
    </row>
    <row r="16" spans="2:11" x14ac:dyDescent="0.3">
      <c r="B16" s="48"/>
      <c r="C16" s="48"/>
      <c r="D16" s="49"/>
      <c r="E16" s="49"/>
      <c r="F16" s="49"/>
      <c r="G16" s="49" t="s">
        <v>201</v>
      </c>
      <c r="H16" s="49" t="s">
        <v>218</v>
      </c>
    </row>
    <row r="17" spans="2:8" x14ac:dyDescent="0.3">
      <c r="B17" s="48"/>
      <c r="C17" s="48"/>
      <c r="D17" s="49"/>
      <c r="E17" s="49"/>
      <c r="F17" s="49"/>
      <c r="G17" s="49" t="s">
        <v>202</v>
      </c>
      <c r="H17" s="49" t="s">
        <v>219</v>
      </c>
    </row>
    <row r="18" spans="2:8" x14ac:dyDescent="0.3">
      <c r="B18" s="48"/>
      <c r="C18" s="48"/>
      <c r="D18" s="49"/>
      <c r="E18" s="49"/>
      <c r="F18" s="49"/>
      <c r="G18" s="49" t="s">
        <v>203</v>
      </c>
      <c r="H18" s="49" t="s">
        <v>220</v>
      </c>
    </row>
    <row r="24" spans="2:8" x14ac:dyDescent="0.3">
      <c r="C24" t="s">
        <v>164</v>
      </c>
    </row>
    <row r="25" spans="2:8" x14ac:dyDescent="0.3">
      <c r="C25" t="s">
        <v>222</v>
      </c>
    </row>
    <row r="26" spans="2:8" x14ac:dyDescent="0.3">
      <c r="C26" t="s">
        <v>223</v>
      </c>
    </row>
    <row r="27" spans="2:8" x14ac:dyDescent="0.3">
      <c r="C27" t="s">
        <v>224</v>
      </c>
    </row>
    <row r="28" spans="2:8" x14ac:dyDescent="0.3">
      <c r="C28" t="s">
        <v>225</v>
      </c>
    </row>
    <row r="29" spans="2:8" x14ac:dyDescent="0.3">
      <c r="C29" t="s">
        <v>226</v>
      </c>
    </row>
    <row r="30" spans="2:8" x14ac:dyDescent="0.3">
      <c r="C30" t="s">
        <v>164</v>
      </c>
    </row>
    <row r="33" spans="3:11" x14ac:dyDescent="0.3">
      <c r="J33">
        <v>1</v>
      </c>
      <c r="K33">
        <v>2</v>
      </c>
    </row>
    <row r="34" spans="3:11" x14ac:dyDescent="0.3">
      <c r="C34" s="52" t="s">
        <v>232</v>
      </c>
      <c r="D34" s="49" t="s">
        <v>230</v>
      </c>
      <c r="E34" s="49" t="s">
        <v>235</v>
      </c>
      <c r="F34" s="49" t="s">
        <v>233</v>
      </c>
      <c r="G34" s="49" t="s">
        <v>234</v>
      </c>
      <c r="H34" s="49" t="s">
        <v>236</v>
      </c>
      <c r="J34" t="s">
        <v>189</v>
      </c>
      <c r="K34" t="s">
        <v>205</v>
      </c>
    </row>
    <row r="35" spans="3:11" x14ac:dyDescent="0.3">
      <c r="C35" s="48" t="s">
        <v>231</v>
      </c>
      <c r="D35" s="49" t="s">
        <v>165</v>
      </c>
      <c r="E35" s="49" t="s">
        <v>240</v>
      </c>
      <c r="F35" s="49" t="s">
        <v>242</v>
      </c>
      <c r="G35" s="49" t="s">
        <v>244</v>
      </c>
      <c r="H35" s="49"/>
    </row>
    <row r="36" spans="3:11" x14ac:dyDescent="0.3">
      <c r="C36" s="48"/>
      <c r="D36" s="49" t="s">
        <v>237</v>
      </c>
      <c r="E36" s="49" t="s">
        <v>241</v>
      </c>
      <c r="F36" s="49" t="s">
        <v>243</v>
      </c>
      <c r="G36" s="49" t="s">
        <v>245</v>
      </c>
      <c r="H36" s="49"/>
    </row>
    <row r="37" spans="3:11" x14ac:dyDescent="0.3">
      <c r="C37" s="48"/>
      <c r="D37" s="49" t="s">
        <v>238</v>
      </c>
      <c r="E37" s="49"/>
      <c r="F37" s="49"/>
      <c r="G37" s="49" t="s">
        <v>246</v>
      </c>
      <c r="H37" s="49"/>
    </row>
    <row r="38" spans="3:11" x14ac:dyDescent="0.3">
      <c r="C38" s="48"/>
      <c r="D38" s="49" t="s">
        <v>239</v>
      </c>
      <c r="E38" s="49"/>
      <c r="F38" s="49"/>
      <c r="G38" s="49" t="s">
        <v>246</v>
      </c>
      <c r="H38" s="49"/>
    </row>
    <row r="39" spans="3:11" x14ac:dyDescent="0.3">
      <c r="C39" s="48"/>
      <c r="D39" s="49"/>
      <c r="E39" s="49"/>
      <c r="F39" s="49"/>
      <c r="G39" s="49" t="s">
        <v>247</v>
      </c>
      <c r="H39" s="49"/>
    </row>
    <row r="40" spans="3:11" x14ac:dyDescent="0.3">
      <c r="C40" s="48"/>
      <c r="D40" s="49"/>
      <c r="E40" s="49"/>
      <c r="F40" s="49"/>
      <c r="G40" s="49" t="s">
        <v>248</v>
      </c>
      <c r="H40" s="49"/>
    </row>
    <row r="41" spans="3:11" x14ac:dyDescent="0.3">
      <c r="C41" s="48"/>
      <c r="D41" s="49"/>
      <c r="E41" s="49"/>
      <c r="F41" s="49"/>
      <c r="G41" s="49"/>
      <c r="H41" s="49"/>
    </row>
    <row r="43" spans="3:11" x14ac:dyDescent="0.3">
      <c r="C43" t="s">
        <v>249</v>
      </c>
    </row>
    <row r="44" spans="3:11" x14ac:dyDescent="0.3">
      <c r="C44" t="s">
        <v>167</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174</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189</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184</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3">
        <v>1</v>
      </c>
      <c r="C2" s="55" t="s">
        <v>280</v>
      </c>
    </row>
    <row r="3" spans="2:3" x14ac:dyDescent="0.3">
      <c r="B3" s="53">
        <v>2</v>
      </c>
      <c r="C3" s="54" t="s">
        <v>281</v>
      </c>
    </row>
    <row r="4" spans="2:3" x14ac:dyDescent="0.3">
      <c r="B4" s="53">
        <v>3</v>
      </c>
      <c r="C4" s="53" t="s">
        <v>282</v>
      </c>
    </row>
    <row r="5" spans="2:3" x14ac:dyDescent="0.3">
      <c r="B5" s="53">
        <v>4</v>
      </c>
      <c r="C5" s="54" t="s">
        <v>283</v>
      </c>
    </row>
    <row r="6" spans="2:3" x14ac:dyDescent="0.3">
      <c r="B6" s="53">
        <v>5</v>
      </c>
      <c r="C6" s="53" t="s">
        <v>284</v>
      </c>
    </row>
    <row r="7" spans="2:3" ht="28.8" x14ac:dyDescent="0.3">
      <c r="B7" s="53">
        <v>6</v>
      </c>
      <c r="C7" s="54" t="s">
        <v>285</v>
      </c>
    </row>
    <row r="8" spans="2:3" ht="72" x14ac:dyDescent="0.3">
      <c r="B8" s="53">
        <v>7</v>
      </c>
      <c r="C8" s="54" t="s">
        <v>286</v>
      </c>
    </row>
    <row r="9" spans="2:3" x14ac:dyDescent="0.3">
      <c r="B9" s="53">
        <v>8</v>
      </c>
      <c r="C9" s="53" t="s">
        <v>287</v>
      </c>
    </row>
    <row r="10" spans="2:3" x14ac:dyDescent="0.3">
      <c r="B10" s="53">
        <v>9</v>
      </c>
      <c r="C10" s="53" t="s">
        <v>288</v>
      </c>
    </row>
    <row r="11" spans="2:3" x14ac:dyDescent="0.3">
      <c r="B11" s="53">
        <v>10</v>
      </c>
      <c r="C11" s="53" t="s">
        <v>289</v>
      </c>
    </row>
    <row r="12" spans="2:3" x14ac:dyDescent="0.3">
      <c r="B12" s="53">
        <v>11</v>
      </c>
      <c r="C12" s="53" t="s">
        <v>290</v>
      </c>
    </row>
    <row r="13" spans="2:3" x14ac:dyDescent="0.3">
      <c r="B13" s="53">
        <v>12</v>
      </c>
      <c r="C13" s="53" t="s">
        <v>291</v>
      </c>
    </row>
    <row r="14" spans="2:3" x14ac:dyDescent="0.3">
      <c r="B14" s="53">
        <v>13</v>
      </c>
      <c r="C14" s="53" t="s">
        <v>292</v>
      </c>
    </row>
    <row r="15" spans="2:3" x14ac:dyDescent="0.3">
      <c r="B15" s="53">
        <v>14</v>
      </c>
      <c r="C15" s="53"/>
    </row>
    <row r="16" spans="2:3" x14ac:dyDescent="0.3">
      <c r="B16" s="53">
        <v>15</v>
      </c>
      <c r="C16" s="5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2025-09-12T14:30:57Z</cp:lastPrinted>
  <dcterms:created xsi:type="dcterms:W3CDTF">2019-07-16T09:29:46Z</dcterms:created>
  <dcterms:modified xsi:type="dcterms:W3CDTF">2025-09-12T14:48:54Z</dcterms:modified>
</cp:coreProperties>
</file>