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Report!$A$1:$H$344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 i="1" l="1"/>
  <c r="E185" i="1" l="1"/>
  <c r="D185" i="1"/>
  <c r="E182" i="1"/>
  <c r="D182" i="1"/>
  <c r="E181" i="1"/>
  <c r="D181" i="1"/>
  <c r="E180" i="1"/>
  <c r="D180" i="1"/>
  <c r="E179" i="1"/>
  <c r="F179" i="1" s="1"/>
  <c r="H179" i="1" s="1"/>
  <c r="D179" i="1"/>
  <c r="E176" i="1"/>
  <c r="D176" i="1"/>
  <c r="F176" i="1" s="1"/>
  <c r="H176" i="1" s="1"/>
  <c r="E173" i="1"/>
  <c r="D173" i="1"/>
  <c r="F173" i="1" s="1"/>
  <c r="H173" i="1" s="1"/>
  <c r="E172" i="1"/>
  <c r="D172" i="1"/>
  <c r="F172" i="1" s="1"/>
  <c r="H172" i="1" s="1"/>
  <c r="E171" i="1"/>
  <c r="D171" i="1"/>
  <c r="F171" i="1" s="1"/>
  <c r="H171" i="1" s="1"/>
  <c r="E170" i="1"/>
  <c r="D170" i="1"/>
  <c r="E169" i="1"/>
  <c r="D169" i="1"/>
  <c r="F169" i="1" s="1"/>
  <c r="H169" i="1" s="1"/>
  <c r="E167" i="1"/>
  <c r="D167" i="1"/>
  <c r="E166" i="1"/>
  <c r="D166" i="1"/>
  <c r="E165" i="1"/>
  <c r="D165" i="1"/>
  <c r="E164" i="1"/>
  <c r="D164" i="1"/>
  <c r="E162" i="1"/>
  <c r="D162" i="1"/>
  <c r="E161" i="1"/>
  <c r="D161" i="1"/>
  <c r="E160" i="1"/>
  <c r="D160" i="1"/>
  <c r="E159" i="1"/>
  <c r="D159" i="1"/>
  <c r="E158" i="1"/>
  <c r="D158" i="1"/>
  <c r="E157" i="1"/>
  <c r="D157" i="1"/>
  <c r="E156" i="1"/>
  <c r="D156" i="1"/>
  <c r="E155" i="1"/>
  <c r="F155" i="1" s="1"/>
  <c r="H155" i="1" s="1"/>
  <c r="D155" i="1"/>
  <c r="E154" i="1"/>
  <c r="D154" i="1"/>
  <c r="E153" i="1"/>
  <c r="F153" i="1" s="1"/>
  <c r="H153" i="1" s="1"/>
  <c r="D153" i="1"/>
  <c r="F157" i="1"/>
  <c r="H157" i="1" s="1"/>
  <c r="E151" i="1"/>
  <c r="D151" i="1"/>
  <c r="F151" i="1" s="1"/>
  <c r="H151" i="1" s="1"/>
  <c r="E150" i="1"/>
  <c r="D150" i="1"/>
  <c r="E149" i="1"/>
  <c r="D149" i="1"/>
  <c r="E148" i="1"/>
  <c r="D148" i="1"/>
  <c r="F148" i="1" s="1"/>
  <c r="H148" i="1" s="1"/>
  <c r="E147" i="1"/>
  <c r="D147" i="1"/>
  <c r="F147" i="1" s="1"/>
  <c r="H147" i="1" s="1"/>
  <c r="E146" i="1"/>
  <c r="D146" i="1"/>
  <c r="F146" i="1" s="1"/>
  <c r="H146" i="1" s="1"/>
  <c r="E145" i="1"/>
  <c r="D145" i="1"/>
  <c r="E144" i="1"/>
  <c r="D144" i="1"/>
  <c r="E143" i="1"/>
  <c r="D143" i="1"/>
  <c r="E142" i="1"/>
  <c r="D142" i="1"/>
  <c r="C122" i="1" s="1"/>
  <c r="C123" i="1" s="1"/>
  <c r="I141" i="1"/>
  <c r="E134" i="1"/>
  <c r="D134" i="1"/>
  <c r="E133" i="1"/>
  <c r="D133" i="1"/>
  <c r="E132" i="1"/>
  <c r="D132" i="1"/>
  <c r="E131" i="1"/>
  <c r="D131" i="1"/>
  <c r="C118" i="1" s="1"/>
  <c r="C119" i="1" s="1"/>
  <c r="E43" i="1"/>
  <c r="F170" i="1" l="1"/>
  <c r="H170" i="1" s="1"/>
  <c r="F159" i="1"/>
  <c r="H159" i="1" s="1"/>
  <c r="F161" i="1"/>
  <c r="H161" i="1" s="1"/>
  <c r="F154" i="1"/>
  <c r="H154" i="1" s="1"/>
  <c r="F156" i="1"/>
  <c r="H156" i="1" s="1"/>
  <c r="F158" i="1"/>
  <c r="H158" i="1" s="1"/>
  <c r="F160" i="1"/>
  <c r="H160" i="1" s="1"/>
  <c r="F162" i="1"/>
  <c r="H162" i="1" s="1"/>
  <c r="F150" i="1"/>
  <c r="H150" i="1" s="1"/>
  <c r="F180" i="1"/>
  <c r="H180" i="1" s="1"/>
  <c r="F149" i="1"/>
  <c r="H149" i="1" s="1"/>
  <c r="B38" i="6" l="1"/>
  <c r="B39" i="6" s="1"/>
  <c r="B40" i="6" s="1"/>
  <c r="B41" i="6" s="1"/>
  <c r="B42" i="6" s="1"/>
  <c r="B43" i="6" s="1"/>
  <c r="B44" i="6" s="1"/>
  <c r="B45" i="6" s="1"/>
  <c r="B46" i="6" s="1"/>
  <c r="B47" i="6" s="1"/>
  <c r="B48" i="6" s="1"/>
  <c r="B49" i="6" s="1"/>
  <c r="B50" i="6" s="1"/>
  <c r="B51" i="6" s="1"/>
  <c r="B52" i="6" s="1"/>
  <c r="B53" i="6" s="1"/>
  <c r="B54" i="6" s="1"/>
  <c r="F131" i="1" l="1"/>
  <c r="I131" i="1" l="1"/>
  <c r="H131" i="1"/>
  <c r="J131"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13" i="1"/>
  <c r="B189" i="1"/>
  <c r="B188" i="1"/>
  <c r="F185" i="1"/>
  <c r="H185" i="1" s="1"/>
  <c r="F182" i="1"/>
  <c r="H182" i="1" s="1"/>
  <c r="F181" i="1"/>
  <c r="H181" i="1" s="1"/>
  <c r="F167" i="1"/>
  <c r="H167" i="1" s="1"/>
  <c r="F166" i="1"/>
  <c r="H166" i="1" s="1"/>
  <c r="F165" i="1"/>
  <c r="H165" i="1" s="1"/>
  <c r="F164" i="1"/>
  <c r="H164" i="1" s="1"/>
  <c r="F145" i="1"/>
  <c r="H145" i="1" s="1"/>
  <c r="F144" i="1"/>
  <c r="H144" i="1" s="1"/>
  <c r="F143" i="1"/>
  <c r="H143" i="1" s="1"/>
  <c r="F142" i="1"/>
  <c r="F134" i="1"/>
  <c r="F133" i="1"/>
  <c r="F132" i="1"/>
  <c r="A132" i="1"/>
  <c r="A133" i="1" s="1"/>
  <c r="A134" i="1" s="1"/>
  <c r="C124" i="1"/>
  <c r="F115" i="1"/>
  <c r="C89" i="1"/>
  <c r="C75" i="1"/>
  <c r="B76" i="1" s="1"/>
  <c r="D69" i="1"/>
  <c r="D63" i="1"/>
  <c r="G56" i="1"/>
  <c r="C56" i="1"/>
  <c r="K54" i="1"/>
  <c r="G51" i="1"/>
  <c r="C51" i="1"/>
  <c r="C52" i="1" s="1"/>
  <c r="E44" i="1"/>
  <c r="E45" i="1" s="1"/>
  <c r="S33" i="1"/>
  <c r="E31" i="1"/>
  <c r="E28" i="1"/>
  <c r="E26" i="1"/>
  <c r="C16" i="1"/>
  <c r="I15" i="1"/>
  <c r="Z13" i="1"/>
  <c r="E8" i="1"/>
  <c r="E3" i="1"/>
  <c r="B199" i="1" s="1"/>
  <c r="H90" i="1"/>
  <c r="H142" i="1" l="1"/>
  <c r="G122" i="1" s="1"/>
  <c r="G123" i="1" s="1"/>
  <c r="E122" i="1"/>
  <c r="E123" i="1" s="1"/>
  <c r="H132" i="1"/>
  <c r="J132" i="1" s="1"/>
  <c r="I132" i="1"/>
  <c r="E118" i="1"/>
  <c r="E119" i="1" s="1"/>
  <c r="H133" i="1"/>
  <c r="J133" i="1" s="1"/>
  <c r="I133" i="1"/>
  <c r="H134" i="1"/>
  <c r="J134" i="1" s="1"/>
  <c r="I134" i="1"/>
  <c r="E42" i="7"/>
  <c r="J83" i="1"/>
  <c r="J84" i="1"/>
  <c r="I42" i="7"/>
  <c r="H42" i="7" s="1"/>
  <c r="L42" i="7"/>
  <c r="K42" i="7" s="1"/>
  <c r="J89" i="1"/>
  <c r="J91" i="1" s="1"/>
  <c r="D98" i="1"/>
  <c r="D97" i="1"/>
  <c r="D102" i="1"/>
  <c r="D96" i="1"/>
  <c r="J92" i="1"/>
  <c r="D101" i="1"/>
  <c r="J94" i="1"/>
  <c r="C93" i="1" s="1"/>
  <c r="D95" i="1"/>
  <c r="D100" i="1"/>
  <c r="J93" i="1"/>
  <c r="D99" i="1"/>
  <c r="D42" i="7"/>
  <c r="L54" i="1"/>
  <c r="B90" i="1"/>
  <c r="J85" i="1"/>
  <c r="J86" i="1"/>
  <c r="I52" i="1"/>
  <c r="H76" i="1"/>
  <c r="G118" i="1" l="1"/>
  <c r="G119" i="1" s="1"/>
  <c r="G124" i="1" s="1"/>
  <c r="E124" i="1"/>
  <c r="D87" i="1"/>
  <c r="D81" i="1"/>
  <c r="J81" i="1"/>
  <c r="J80" i="1"/>
  <c r="D86" i="1"/>
  <c r="D85" i="1"/>
  <c r="J75" i="1"/>
  <c r="J77" i="1" s="1"/>
  <c r="D84" i="1"/>
  <c r="D88" i="1"/>
  <c r="D82" i="1"/>
  <c r="J79" i="1"/>
  <c r="J78" i="1"/>
  <c r="D83" i="1"/>
  <c r="D44" i="7"/>
  <c r="E44" i="7"/>
  <c r="D93" i="1"/>
  <c r="J98" i="1"/>
  <c r="J95" i="1"/>
  <c r="J100" i="1"/>
  <c r="J97" i="1"/>
  <c r="J99" i="1"/>
  <c r="J82" i="1" l="1"/>
  <c r="J87" i="1" s="1"/>
  <c r="J88" i="1" s="1"/>
  <c r="C80" i="1" s="1"/>
  <c r="E79" i="1" s="1"/>
  <c r="C79" i="1"/>
  <c r="D79" i="1" s="1"/>
  <c r="J96" i="1"/>
  <c r="J101" i="1" l="1"/>
  <c r="J102" i="1" s="1"/>
  <c r="C94" i="1"/>
  <c r="D94" i="1" s="1"/>
  <c r="I90" i="1" s="1"/>
  <c r="I91" i="1" s="1"/>
  <c r="G79" i="1"/>
  <c r="D73" i="1" s="1"/>
  <c r="F74" i="1" s="1"/>
  <c r="D80" i="1"/>
  <c r="I76" i="1" s="1"/>
  <c r="I77" i="1" s="1"/>
  <c r="J76" i="1"/>
  <c r="G93" i="1"/>
  <c r="J90" i="1"/>
  <c r="E93" i="1" l="1"/>
  <c r="D74" i="1"/>
  <c r="I75" i="1"/>
  <c r="C77" i="1" s="1"/>
  <c r="I89" i="1"/>
  <c r="C91" i="1" s="1"/>
</calcChain>
</file>

<file path=xl/comments1.xml><?xml version="1.0" encoding="utf-8"?>
<comments xmlns="http://schemas.openxmlformats.org/spreadsheetml/2006/main">
  <authors>
    <author>Sachin</author>
    <author>SACHIN</author>
  </authors>
  <commentLis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<sst xmlns="http://schemas.openxmlformats.org/spreadsheetml/2006/main" count="709" uniqueCount="432">
  <si>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</si>
  <si>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</si>
  <si>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</si>
  <si>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</si>
  <si>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</si>
  <si>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</si>
  <si>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</si>
  <si>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</si>
  <si>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</si>
  <si>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</si>
  <si>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</si>
  <si>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</si>
  <si>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</si>
  <si>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</si>
  <si>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</si>
  <si>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</si>
  <si>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</si>
  <si>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</si>
  <si>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</si>
  <si>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</si>
  <si>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</si>
  <si>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</si>
  <si>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</si>
  <si>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</si>
  <si>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</si>
  <si>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</si>
  <si>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</si>
  <si>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</si>
  <si>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</si>
  <si>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</si>
  <si>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</si>
  <si>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</si>
  <si>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</si>
  <si>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</si>
  <si>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</si>
  <si>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</si>
  <si>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</si>
  <si>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</si>
  <si>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</si>
  <si>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</si>
  <si>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</si>
  <si>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</si>
  <si>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</si>
  <si>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</si>
  <si>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</si>
  <si>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</si>
  <si>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</si>
  <si>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</si>
  <si>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</si>
  <si>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</si>
  <si>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</si>
  <si>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</si>
  <si>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</si>
  <si>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</si>
  <si>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</si>
  <si>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</si>
  <si>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</si>
  <si>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</si>
  <si>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</si>
  <si>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</si>
  <si>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</si>
  <si>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</si>
  <si>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</si>
  <si>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</si>
  <si>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</si>
  <si>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</si>
  <si>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</si>
  <si>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</si>
  <si>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</si>
  <si>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</si>
  <si>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</si>
  <si>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</si>
  <si>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</si>
  <si>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</si>
  <si>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</si>
  <si>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</si>
  <si>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</si>
  <si>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</si>
  <si>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</si>
  <si>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</si>
  <si>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</si>
  <si>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</si>
  <si>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</si>
  <si>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</si>
  <si>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</si>
  <si>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</si>
  <si>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</si>
  <si>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</si>
  <si>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</si>
  <si>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</si>
  <si>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</si>
  <si>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</si>
  <si>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</si>
  <si>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</si>
  <si>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</si>
  <si>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</si>
  <si>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</si>
  <si>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</si>
  <si>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</si>
  <si>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</si>
  <si>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</si>
  <si>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</si>
  <si>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</si>
  <si>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</si>
  <si>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</si>
  <si>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</si>
  <si>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</si>
  <si>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</si>
  <si>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</si>
  <si>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</si>
  <si>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</si>
  <si>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</si>
  <si>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</si>
  <si>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</si>
  <si>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</si>
  <si>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</si>
  <si>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</si>
  <si>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</si>
  <si>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</si>
  <si>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</si>
  <si>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</si>
  <si>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</si>
  <si>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</si>
  <si>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</si>
  <si>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</si>
  <si>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</si>
  <si>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</si>
  <si>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</si>
  <si>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</si>
  <si>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</si>
  <si>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</si>
  <si>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</si>
  <si>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</si>
  <si>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</si>
  <si>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</si>
  <si>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</si>
  <si>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</si>
  <si>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</si>
  <si>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</si>
  <si>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</si>
  <si>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</si>
  <si>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</si>
  <si>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</si>
  <si>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</si>
  <si>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</si>
  <si>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</si>
  <si>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</si>
  <si>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</si>
  <si>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</si>
  <si>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</si>
  <si>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</si>
  <si>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</si>
  <si>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</si>
  <si>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</si>
  <si>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</si>
  <si>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</si>
  <si>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</si>
  <si>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</si>
  <si>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</si>
  <si>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</si>
  <si>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</si>
  <si>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</si>
  <si>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</si>
  <si>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</si>
  <si>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</si>
  <si>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</si>
  <si>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</si>
  <si>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</si>
  <si>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</si>
  <si>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</si>
  <si>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</si>
  <si>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</si>
  <si>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</si>
  <si>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</si>
  <si>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</si>
  <si>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</si>
  <si>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</si>
  <si>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</si>
  <si>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</si>
  <si>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</si>
  <si>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</si>
  <si>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</si>
  <si>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</si>
  <si>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</si>
  <si>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</si>
  <si>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</si>
  <si>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</si>
  <si>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</si>
  <si>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</si>
  <si>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</si>
  <si>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</si>
  <si>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</si>
  <si>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</si>
  <si>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</si>
  <si>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</si>
  <si>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</si>
  <si>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</si>
  <si>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</si>
  <si>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</si>
  <si>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</si>
  <si>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</si>
  <si>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</si>
  <si>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</si>
  <si>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</si>
  <si>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</si>
  <si>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</si>
  <si>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</si>
  <si>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</si>
  <si>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</si>
  <si>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</si>
  <si>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</si>
  <si>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</si>
  <si>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</si>
  <si>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</si>
  <si>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</si>
  <si>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</si>
  <si>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</si>
  <si>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</si>
  <si>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</si>
  <si>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</si>
  <si>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</si>
  <si>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</si>
  <si>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</si>
  <si>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</si>
  <si>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</si>
  <si>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</si>
  <si>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</si>
  <si>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</si>
  <si>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</si>
  <si>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</si>
  <si>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</si>
  <si>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</si>
  <si>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</si>
  <si>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</si>
  <si>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</si>
  <si>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</si>
  <si>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</si>
  <si>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</si>
  <si>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</si>
  <si>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</si>
  <si>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</si>
  <si>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</si>
  <si>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</si>
  <si>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</si>
  <si>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</si>
  <si>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</si>
  <si>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</si>
  <si>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</si>
  <si>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</si>
  <si>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</si>
  <si>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</si>
  <si>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</si>
  <si>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</si>
  <si>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</si>
  <si>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</si>
  <si>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</si>
  <si>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</si>
  <si>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</si>
  <si>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</si>
  <si>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</si>
  <si>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</si>
  <si>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</si>
  <si>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</si>
  <si>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</si>
  <si>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</si>
  <si>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</si>
  <si>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</si>
  <si>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</si>
  <si>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</si>
  <si>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</si>
  <si>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</si>
  <si>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</si>
  <si>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</si>
  <si>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</si>
  <si>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</si>
  <si>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</si>
  <si>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</si>
  <si>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</si>
  <si>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</si>
  <si>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</si>
  <si>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</si>
  <si>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</si>
  <si>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</si>
  <si>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</si>
  <si>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</si>
  <si>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</si>
  <si>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</si>
  <si>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</si>
  <si>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</si>
  <si>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</si>
  <si>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</si>
  <si>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</si>
  <si>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</si>
  <si>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</si>
  <si>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</si>
  <si>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</si>
  <si>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</si>
  <si>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</si>
  <si>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</si>
  <si>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</si>
  <si>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</si>
  <si>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</si>
  <si>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</si>
  <si>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</si>
  <si>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</si>
  <si>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</si>
  <si>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</si>
  <si>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</si>
  <si>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</si>
  <si>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</si>
  <si>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</si>
  <si>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</si>
  <si>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</si>
  <si>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</si>
  <si>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</si>
  <si>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</si>
  <si>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</si>
  <si>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</si>
  <si>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</si>
  <si>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</si>
  <si>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</si>
  <si>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</si>
  <si>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</si>
  <si>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</si>
  <si>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</si>
  <si>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</si>
  <si>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</si>
  <si>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</si>
  <si>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</si>
  <si>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</si>
  <si>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</si>
  <si>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</si>
  <si>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</si>
  <si>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</si>
  <si>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</si>
  <si>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</si>
  <si>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</si>
  <si>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</si>
  <si>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</si>
  <si>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</si>
  <si>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</si>
  <si>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</si>
  <si>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</si>
  <si>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</si>
  <si>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</si>
  <si>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</si>
  <si>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</si>
  <si>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</si>
  <si>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</si>
  <si>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</si>
  <si>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</si>
  <si>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</si>
  <si>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</si>
  <si>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</si>
  <si>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</si>
  <si>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</si>
  <si>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</si>
  <si>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</si>
  <si>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</si>
  <si>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</si>
  <si>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</si>
  <si>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</si>
  <si>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</si>
  <si>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</si>
  <si>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</si>
  <si>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</si>
  <si>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</si>
  <si>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</si>
  <si>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</si>
  <si>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</si>
  <si>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</si>
  <si>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</si>
  <si>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</si>
  <si>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</si>
  <si>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Masjid is located in 150 to 200m from project</t>
  </si>
  <si>
    <t>Konnark Stellar</t>
  </si>
  <si>
    <t>Mr. Krunal 7977074609</t>
  </si>
  <si>
    <t>Buillding 1 &amp; 2</t>
  </si>
  <si>
    <t>P52000080382</t>
  </si>
  <si>
    <t>Gut No</t>
  </si>
  <si>
    <t>Mumbai Goa Highway</t>
  </si>
  <si>
    <t>Giravale</t>
  </si>
  <si>
    <t>Today Global Codename Goldrush Panvel</t>
  </si>
  <si>
    <t>5.40 KM from Somatne Railway Station</t>
  </si>
  <si>
    <t>Adj Gut. No. 53</t>
  </si>
  <si>
    <t>Adj Gut. No. 62/A/1</t>
  </si>
  <si>
    <t>Other Plot</t>
  </si>
  <si>
    <t xml:space="preserve">Open Plot </t>
  </si>
  <si>
    <t>Open Plot</t>
  </si>
  <si>
    <t>https://maps.app.goo.gl/M95znj2q98SF8A48A</t>
  </si>
  <si>
    <t xml:space="preserve">12.00 M Wide Plot </t>
  </si>
  <si>
    <t>Kuchcha Road</t>
  </si>
  <si>
    <t>02 Buildings</t>
  </si>
  <si>
    <t>MSRDC/SPA/Girvale/BP-529/CC/2025/1474</t>
  </si>
  <si>
    <t>Building No. 1 = G + 1st Floor (Total BUA = 324.796 Sq. M)
Building No. 2 = G + 1st to 26th Floor (Total BUA = 13622.27 Sq. M)</t>
  </si>
  <si>
    <t>Building No. 1 = G + 1st Floor 
Building No. 2 = G + 1st to 26th Floor</t>
  </si>
  <si>
    <t>Building No. 2 = G + 1st to 27th Floor</t>
  </si>
  <si>
    <t>As per RERA - 30/12/2032</t>
  </si>
  <si>
    <t xml:space="preserve">Vitrified tiles flooring, Granite Kitchen Platform, Decorative Entrance etc.                                                                                                                                                                                                                                                                                   </t>
  </si>
  <si>
    <r>
      <t xml:space="preserve">Proposed Amenities :                                                                                                                                                                                                                         </t>
    </r>
    <r>
      <rPr>
        <b/>
        <sz val="12"/>
        <rFont val="Times New Roman"/>
        <family val="1"/>
      </rPr>
      <t xml:space="preserve">                                               </t>
    </r>
  </si>
  <si>
    <t>Building No. 1</t>
  </si>
  <si>
    <t>Building No. 2</t>
  </si>
  <si>
    <t>Shop</t>
  </si>
  <si>
    <t>Attached Otla area</t>
  </si>
  <si>
    <r>
      <t xml:space="preserve">Shop No.
</t>
    </r>
    <r>
      <rPr>
        <b/>
        <sz val="11"/>
        <rFont val="Times New Roman"/>
        <family val="1"/>
      </rPr>
      <t>(Approved Plan)</t>
    </r>
  </si>
  <si>
    <t xml:space="preserve">Ground Floor For Commercial &amp; Entrance Lobby </t>
  </si>
  <si>
    <t>1st Floor For Multipurpose Hall</t>
  </si>
  <si>
    <t>Ground Floor For Parking, Entrance Lobby, Telecom Room, Meter Room &amp; Society Office</t>
  </si>
  <si>
    <t>1st to 4th Floor For Residential</t>
  </si>
  <si>
    <t>1BHK</t>
  </si>
  <si>
    <t>Balcony Area</t>
  </si>
  <si>
    <t>5th, 6th, 8th, 9th, 11th, 13th to 16th, 18th to 21st, 23rd to 25th Floor</t>
  </si>
  <si>
    <t>7th, 12th, 17th &amp; 22nd Floor For Residential (Part Refuge Area)</t>
  </si>
  <si>
    <t xml:space="preserve"> - </t>
  </si>
  <si>
    <t>Refuge Area</t>
  </si>
  <si>
    <t>10th Floor For Recreational Floor</t>
  </si>
  <si>
    <t>26th Floor For Residential (Part Terrace Area)</t>
  </si>
  <si>
    <t>Terrace Area</t>
  </si>
  <si>
    <r>
      <t xml:space="preserve">Flat No.
</t>
    </r>
    <r>
      <rPr>
        <b/>
        <sz val="11"/>
        <rFont val="Times New Roman"/>
        <family val="1"/>
      </rPr>
      <t>(Approved Plan)</t>
    </r>
  </si>
  <si>
    <t>OK</t>
  </si>
  <si>
    <t>We considered Gross carpet area = Net carpet + Balcony Area.</t>
  </si>
  <si>
    <t>Flats - 242, Shops - 4</t>
  </si>
  <si>
    <t>Mr. Deepak Jadhav (Sales) 8928459306</t>
  </si>
  <si>
    <t>M/s. Konnark Stays</t>
  </si>
  <si>
    <t>MSRDC/FIRE/PFA/00425/1153</t>
  </si>
  <si>
    <t>Bldg No. 1 &amp; 2 = Gr + 1st to 26th Floor (83.15M Height)</t>
  </si>
  <si>
    <t>We have updated Fire Noc on 23/06/2025.</t>
  </si>
  <si>
    <t>18.945556,73.136611</t>
  </si>
  <si>
    <t>Pranita Mhatre</t>
  </si>
  <si>
    <t>Suraj Mali</t>
  </si>
  <si>
    <t>Construction work is in process at the time of Visit.</t>
  </si>
  <si>
    <t>Building No. 1 = G + 1st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</si>
</sst>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1"/>
      <color indexed="8"/>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6" fillId="0" borderId="0" applyNumberFormat="0" applyFill="0" applyBorder="0" applyAlignment="0" applyProtection="0"/>
  </cellStyleXfs>
  <cellXfs count="26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16" fillId="0" borderId="0" xfId="1" applyFont="1" applyFill="1" applyAlignment="1">
      <alignment horizontal="center" vertical="center"/>
    </xf>
    <xf numFmtId="1" fontId="16" fillId="0" borderId="0" xfId="1" applyNumberFormat="1" applyFont="1" applyFill="1" applyAlignment="1">
      <alignment horizontal="center" vertical="center"/>
    </xf>
    <xf numFmtId="0" fontId="12"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67" fontId="7"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16" xfId="1" applyFont="1" applyBorder="1" applyAlignment="1" applyProtection="1">
      <alignment horizontal="center" vertical="top"/>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30" fillId="0" borderId="3" xfId="3" applyNumberFormat="1" applyFont="1" applyFill="1" applyBorder="1" applyAlignment="1" applyProtection="1">
      <alignment horizontal="center" vertical="center"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2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17" xfId="1" applyNumberFormat="1" applyFont="1" applyBorder="1" applyAlignment="1" applyProtection="1">
      <alignment horizontal="center" vertical="top" wrapText="1"/>
      <protection locked="0"/>
    </xf>
    <xf numFmtId="1" fontId="13" fillId="0" borderId="19" xfId="1" applyNumberFormat="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12" fillId="0" borderId="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30" fillId="0" borderId="1" xfId="3" applyNumberFormat="1" applyFont="1" applyFill="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7" fillId="0" borderId="0" xfId="1" applyFont="1" applyAlignment="1">
      <alignment horizontal="center" vertical="center"/>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top" wrapText="1"/>
      <protection locked="0"/>
    </xf>
    <xf numFmtId="0" fontId="26" fillId="0" borderId="1" xfId="10" applyFill="1" applyBorder="1" applyAlignment="1" applyProtection="1">
      <alignment horizontal="left"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12"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10" fillId="0" borderId="33" xfId="0" applyFont="1" applyBorder="1" applyAlignment="1" applyProtection="1">
      <alignment horizontal="center" vertical="center"/>
      <protection locked="0"/>
    </xf>
    <xf numFmtId="1" fontId="4" fillId="0" borderId="8" xfId="1" applyNumberFormat="1" applyFont="1" applyFill="1" applyBorder="1" applyAlignment="1" applyProtection="1">
      <alignment horizontal="center" vertical="center" wrapText="1"/>
      <protection locked="0"/>
    </xf>
    <xf numFmtId="1" fontId="4" fillId="0" borderId="21" xfId="1" applyNumberFormat="1" applyFont="1" applyFill="1" applyBorder="1" applyAlignment="1" applyProtection="1">
      <alignment horizontal="center" vertical="center" wrapText="1"/>
      <protection locked="0"/>
    </xf>
    <xf numFmtId="1" fontId="4" fillId="0" borderId="9" xfId="1" applyNumberFormat="1" applyFont="1" applyFill="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16" fillId="0" borderId="0" xfId="1" applyFont="1" applyFill="1" applyAlignment="1">
      <alignment horizontal="center" vertical="center"/>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8</xdr:col>
      <xdr:colOff>476250</xdr:colOff>
      <xdr:row>216</xdr:row>
      <xdr:rowOff>171450</xdr:rowOff>
    </xdr:from>
    <xdr:to>
      <xdr:col>15</xdr:col>
      <xdr:colOff>277691</xdr:colOff>
      <xdr:row>250</xdr:row>
      <xdr:rowOff>2658</xdr:rowOff>
    </xdr:to>
    <xdr:grpSp>
      <xdr:nvGrpSpPr>
        <xdr:cNvPr id="2" name="Group 1"/>
        <xdr:cNvGrpSpPr/>
      </xdr:nvGrpSpPr>
      <xdr:grpSpPr>
        <a:xfrm>
          <a:off x="6791325" y="43757850"/>
          <a:ext cx="5840291" cy="6632058"/>
          <a:chOff x="0" y="728432"/>
          <a:chExt cx="5840291" cy="6632058"/>
        </a:xfrm>
      </xdr:grpSpPr>
      <xdr:pic>
        <xdr:nvPicPr>
          <xdr:cNvPr id="3" name="Picture 2" descr="insp-237008-1525.jpg (1079×810)"/>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b="7829"/>
          <a:stretch/>
        </xdr:blipFill>
        <xdr:spPr bwMode="auto">
          <a:xfrm>
            <a:off x="2393615" y="5200490"/>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 name="Picture 3" descr="insp-237008-843.jpg (1079×810)"/>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b="6944"/>
          <a:stretch/>
        </xdr:blipFill>
        <xdr:spPr bwMode="auto">
          <a:xfrm>
            <a:off x="2962958" y="72843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 name="Picture 4" descr="insp-237008-845.jpg (1079×810)"/>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0" y="296446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descr="insp-237008-849.jpg (1079×810)"/>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962958" y="2964461"/>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descr="insp-237008-916.jpg (959×1280)"/>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689678" y="5200490"/>
            <a:ext cx="1618312"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 name="Picture 7" descr="insp-237008-1512.jpg (1079×810)"/>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0" y="72843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104775</xdr:colOff>
      <xdr:row>257</xdr:row>
      <xdr:rowOff>85725</xdr:rowOff>
    </xdr:from>
    <xdr:to>
      <xdr:col>7</xdr:col>
      <xdr:colOff>643125</xdr:colOff>
      <xdr:row>295</xdr:row>
      <xdr:rowOff>44775</xdr:rowOff>
    </xdr:to>
    <xdr:grpSp>
      <xdr:nvGrpSpPr>
        <xdr:cNvPr id="9" name="Group 8"/>
        <xdr:cNvGrpSpPr/>
      </xdr:nvGrpSpPr>
      <xdr:grpSpPr>
        <a:xfrm>
          <a:off x="104775" y="51873150"/>
          <a:ext cx="6120000" cy="7560000"/>
          <a:chOff x="0" y="0"/>
          <a:chExt cx="6858000" cy="8192251"/>
        </a:xfrm>
      </xdr:grpSpPr>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58000" cy="8192251"/>
          </a:xfrm>
          <a:prstGeom prst="rect">
            <a:avLst/>
          </a:prstGeom>
          <a:ln>
            <a:solidFill>
              <a:schemeClr val="tx1"/>
            </a:solidFill>
          </a:ln>
        </xdr:spPr>
      </xdr:pic>
      <xdr:sp macro="" textlink="">
        <xdr:nvSpPr>
          <xdr:cNvPr id="11" name="Rectangle 10"/>
          <xdr:cNvSpPr/>
        </xdr:nvSpPr>
        <xdr:spPr>
          <a:xfrm rot="882602">
            <a:off x="2601081" y="6313524"/>
            <a:ext cx="645500" cy="7384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 name="Rectangle 11"/>
          <xdr:cNvSpPr/>
        </xdr:nvSpPr>
        <xdr:spPr>
          <a:xfrm rot="3466570">
            <a:off x="4372113" y="3271467"/>
            <a:ext cx="773340" cy="232124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3" name="TextBox 41"/>
          <xdr:cNvSpPr txBox="1"/>
        </xdr:nvSpPr>
        <xdr:spPr>
          <a:xfrm>
            <a:off x="3073400" y="3726793"/>
            <a:ext cx="1704881" cy="38584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2</a:t>
            </a:r>
            <a:endParaRPr lang="en-IN" b="1">
              <a:solidFill>
                <a:srgbClr val="FF0000"/>
              </a:solidFill>
            </a:endParaRPr>
          </a:p>
        </xdr:txBody>
      </xdr:sp>
      <xdr:sp macro="" textlink="">
        <xdr:nvSpPr>
          <xdr:cNvPr id="14" name="TextBox 42"/>
          <xdr:cNvSpPr txBox="1"/>
        </xdr:nvSpPr>
        <xdr:spPr>
          <a:xfrm>
            <a:off x="1871689" y="5774856"/>
            <a:ext cx="1704881" cy="38584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Building No. 1</a:t>
            </a:r>
            <a:endParaRPr lang="en-IN" b="1">
              <a:solidFill>
                <a:srgbClr val="FF0000"/>
              </a:solidFill>
            </a:endParaRPr>
          </a:p>
        </xdr:txBody>
      </xdr:sp>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73681" y="6682747"/>
            <a:ext cx="1080000" cy="1080000"/>
          </a:xfrm>
          <a:prstGeom prst="rect">
            <a:avLst/>
          </a:prstGeom>
        </xdr:spPr>
      </xdr:pic>
    </xdr:grpSp>
    <xdr:clientData/>
  </xdr:twoCellAnchor>
  <xdr:twoCellAnchor>
    <xdr:from>
      <xdr:col>0</xdr:col>
      <xdr:colOff>742950</xdr:colOff>
      <xdr:row>301</xdr:row>
      <xdr:rowOff>19050</xdr:rowOff>
    </xdr:from>
    <xdr:to>
      <xdr:col>6</xdr:col>
      <xdr:colOff>723900</xdr:colOff>
      <xdr:row>340</xdr:row>
      <xdr:rowOff>152400</xdr:rowOff>
    </xdr:to>
    <xdr:grpSp>
      <xdr:nvGrpSpPr>
        <xdr:cNvPr id="16" name="Group 15"/>
        <xdr:cNvGrpSpPr/>
      </xdr:nvGrpSpPr>
      <xdr:grpSpPr>
        <a:xfrm>
          <a:off x="742950" y="60607575"/>
          <a:ext cx="4829175" cy="7934325"/>
          <a:chOff x="1089000" y="-155264"/>
          <a:chExt cx="4680000" cy="8068341"/>
        </a:xfrm>
      </xdr:grpSpPr>
      <xdr:pic>
        <xdr:nvPicPr>
          <xdr:cNvPr id="17" name="Picture 16"/>
          <xdr:cNvPicPr>
            <a:picLocks noChangeAspect="1"/>
          </xdr:cNvPicPr>
        </xdr:nvPicPr>
        <xdr:blipFill rotWithShape="1">
          <a:blip xmlns:r="http://schemas.openxmlformats.org/officeDocument/2006/relationships" r:embed="rId9"/>
          <a:srcRect l="20988" t="11618" r="20492" b="11218"/>
          <a:stretch/>
        </xdr:blipFill>
        <xdr:spPr>
          <a:xfrm>
            <a:off x="1089000" y="-155264"/>
            <a:ext cx="4680000" cy="3960000"/>
          </a:xfrm>
          <a:prstGeom prst="rect">
            <a:avLst/>
          </a:prstGeom>
          <a:ln>
            <a:solidFill>
              <a:schemeClr val="tx1"/>
            </a:solidFill>
          </a:ln>
        </xdr:spPr>
      </xdr:pic>
      <xdr:grpSp>
        <xdr:nvGrpSpPr>
          <xdr:cNvPr id="18" name="Group 17"/>
          <xdr:cNvGrpSpPr/>
        </xdr:nvGrpSpPr>
        <xdr:grpSpPr>
          <a:xfrm>
            <a:off x="1089000" y="3953077"/>
            <a:ext cx="4680000" cy="3960000"/>
            <a:chOff x="-685800" y="2180492"/>
            <a:chExt cx="9179170" cy="5134708"/>
          </a:xfrm>
        </xdr:grpSpPr>
        <xdr:pic>
          <xdr:nvPicPr>
            <xdr:cNvPr id="19" name="Picture 18"/>
            <xdr:cNvPicPr>
              <a:picLocks noChangeAspect="1"/>
            </xdr:cNvPicPr>
          </xdr:nvPicPr>
          <xdr:blipFill rotWithShape="1">
            <a:blip xmlns:r="http://schemas.openxmlformats.org/officeDocument/2006/relationships" r:embed="rId10"/>
            <a:srcRect l="18375" t="17308" r="11076" b="12500"/>
            <a:stretch/>
          </xdr:blipFill>
          <xdr:spPr>
            <a:xfrm>
              <a:off x="-685800" y="2180492"/>
              <a:ext cx="9179170" cy="5134708"/>
            </a:xfrm>
            <a:prstGeom prst="rect">
              <a:avLst/>
            </a:prstGeom>
            <a:ln>
              <a:solidFill>
                <a:schemeClr val="tx1"/>
              </a:solidFill>
            </a:ln>
          </xdr:spPr>
        </xdr:pic>
        <xdr:sp macro="" textlink="">
          <xdr:nvSpPr>
            <xdr:cNvPr id="20" name="Rectangle 19"/>
            <xdr:cNvSpPr/>
          </xdr:nvSpPr>
          <xdr:spPr>
            <a:xfrm rot="1750473">
              <a:off x="3104950" y="5407398"/>
              <a:ext cx="626503" cy="680984"/>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Rectangle 20"/>
            <xdr:cNvSpPr/>
          </xdr:nvSpPr>
          <xdr:spPr>
            <a:xfrm rot="4025164">
              <a:off x="4415972" y="3749790"/>
              <a:ext cx="626503" cy="162756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TextBox 21"/>
            <xdr:cNvSpPr txBox="1"/>
          </xdr:nvSpPr>
          <xdr:spPr>
            <a:xfrm>
              <a:off x="4729222" y="4928559"/>
              <a:ext cx="3246969" cy="493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2</a:t>
              </a:r>
              <a:endParaRPr lang="en-IN" b="1">
                <a:solidFill>
                  <a:srgbClr val="FFFF00"/>
                </a:solidFill>
              </a:endParaRPr>
            </a:p>
          </xdr:txBody>
        </xdr:sp>
        <xdr:sp macro="" textlink="">
          <xdr:nvSpPr>
            <xdr:cNvPr id="23" name="TextBox 22"/>
            <xdr:cNvSpPr txBox="1"/>
          </xdr:nvSpPr>
          <xdr:spPr>
            <a:xfrm>
              <a:off x="3840144" y="5779938"/>
              <a:ext cx="3246969" cy="493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Building No. 1</a:t>
              </a:r>
              <a:endParaRPr lang="en-IN" b="1">
                <a:solidFill>
                  <a:srgbClr val="FFFF00"/>
                </a:solidFill>
              </a:endParaRPr>
            </a:p>
          </xdr:txBody>
        </xdr:sp>
        <xdr:sp macro="" textlink="">
          <xdr:nvSpPr>
            <xdr:cNvPr id="24" name="TextBox 23"/>
            <xdr:cNvSpPr txBox="1"/>
          </xdr:nvSpPr>
          <xdr:spPr>
            <a:xfrm>
              <a:off x="3232067" y="6246611"/>
              <a:ext cx="4808682" cy="74095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000" b="1">
                  <a:solidFill>
                    <a:srgbClr val="92D050"/>
                  </a:solidFill>
                </a:rPr>
                <a:t>Konark Stellar</a:t>
              </a:r>
              <a:endParaRPr lang="en-IN" sz="3000" b="1">
                <a:solidFill>
                  <a:srgbClr val="92D050"/>
                </a:solidFill>
              </a:endParaRPr>
            </a:p>
          </xdr:txBody>
        </xdr:sp>
      </xdr:grpSp>
    </xdr:grpSp>
    <xdr:clientData/>
  </xdr:twoCellAnchor>
  <xdr:twoCellAnchor>
    <xdr:from>
      <xdr:col>0</xdr:col>
      <xdr:colOff>142875</xdr:colOff>
      <xdr:row>213</xdr:row>
      <xdr:rowOff>76199</xdr:rowOff>
    </xdr:from>
    <xdr:to>
      <xdr:col>7</xdr:col>
      <xdr:colOff>533400</xdr:colOff>
      <xdr:row>245</xdr:row>
      <xdr:rowOff>114299</xdr:rowOff>
    </xdr:to>
    <xdr:grpSp>
      <xdr:nvGrpSpPr>
        <xdr:cNvPr id="35" name="Group 34"/>
        <xdr:cNvGrpSpPr/>
      </xdr:nvGrpSpPr>
      <xdr:grpSpPr>
        <a:xfrm>
          <a:off x="142875" y="43072049"/>
          <a:ext cx="5972175" cy="6429375"/>
          <a:chOff x="123825" y="43062524"/>
          <a:chExt cx="5972175" cy="6429375"/>
        </a:xfrm>
      </xdr:grpSpPr>
      <xdr:grpSp>
        <xdr:nvGrpSpPr>
          <xdr:cNvPr id="25" name="Group 24"/>
          <xdr:cNvGrpSpPr/>
        </xdr:nvGrpSpPr>
        <xdr:grpSpPr>
          <a:xfrm>
            <a:off x="123825" y="43062524"/>
            <a:ext cx="5972175" cy="6429375"/>
            <a:chOff x="477030" y="289683"/>
            <a:chExt cx="5875752" cy="6082542"/>
          </a:xfrm>
        </xdr:grpSpPr>
        <xdr:pic>
          <xdr:nvPicPr>
            <xdr:cNvPr id="26" name="Picture 25" descr="https://vsjcllp.vsjadon.com/upload/insp-246837-1525.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31953" y="4796373"/>
              <a:ext cx="2099190" cy="15758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6837-843.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77032" y="289683"/>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6837-925.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475448" y="2552553"/>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6837-1512.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77030" y="2552553"/>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6837-916.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54509" y="4796373"/>
              <a:ext cx="1180658" cy="15758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837-844.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75449" y="289683"/>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46837-849.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72032" y="4796373"/>
              <a:ext cx="2099190" cy="15758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33" name="TextBox 48"/>
          <xdr:cNvSpPr txBox="1"/>
        </xdr:nvSpPr>
        <xdr:spPr>
          <a:xfrm>
            <a:off x="828674" y="47348775"/>
            <a:ext cx="1152667" cy="269304"/>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latin typeface="Times New Roman" panose="02020603050405020304" pitchFamily="18" charset="0"/>
                <a:cs typeface="Times New Roman" panose="02020603050405020304" pitchFamily="18" charset="0"/>
              </a:rPr>
              <a:t>Building No.1</a:t>
            </a:r>
            <a:endParaRPr lang="en-IN" sz="1200" b="1">
              <a:latin typeface="Times New Roman" panose="02020603050405020304" pitchFamily="18" charset="0"/>
              <a:cs typeface="Times New Roman" panose="02020603050405020304" pitchFamily="18" charset="0"/>
            </a:endParaRPr>
          </a:p>
        </xdr:txBody>
      </xdr:sp>
      <xdr:sp macro="" textlink="">
        <xdr:nvSpPr>
          <xdr:cNvPr id="34" name="TextBox 48"/>
          <xdr:cNvSpPr txBox="1"/>
        </xdr:nvSpPr>
        <xdr:spPr>
          <a:xfrm>
            <a:off x="904874" y="44738925"/>
            <a:ext cx="1152667" cy="269304"/>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200" b="1">
                <a:latin typeface="Times New Roman" panose="02020603050405020304" pitchFamily="18" charset="0"/>
                <a:cs typeface="Times New Roman" panose="02020603050405020304" pitchFamily="18" charset="0"/>
              </a:rPr>
              <a:t>Building No.2</a:t>
            </a:r>
            <a:endParaRPr lang="en-IN" sz="1200" b="1">
              <a:latin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95znj2q98SF8A48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1"/>
  <sheetViews>
    <sheetView tabSelected="1" view="pageBreakPreview" topLeftCell="A240" zoomScaleNormal="100" zoomScaleSheetLayoutView="100" zoomScalePageLayoutView="85" workbookViewId="0">
      <selection activeCell="L252" sqref="L252"/>
    </sheetView>
  </sheetViews>
  <sheetFormatPr defaultColWidth="9.140625" defaultRowHeight="15.75" x14ac:dyDescent="0.25"/>
  <cols>
    <col min="1" max="1" width="11.42578125" style="39" customWidth="1"/>
    <col min="2" max="2" width="12" style="39" customWidth="1"/>
    <col min="3" max="3" width="12.7109375" style="39" customWidth="1"/>
    <col min="4" max="4" width="13.7109375" style="39" customWidth="1"/>
    <col min="5" max="5" width="11.7109375" style="39" customWidth="1"/>
    <col min="6" max="6" width="11.140625" style="39" customWidth="1"/>
    <col min="7" max="8" width="11" style="39" customWidth="1"/>
    <col min="9" max="9" width="17.42578125" style="20" customWidth="1"/>
    <col min="10" max="10" width="11.42578125" style="20" customWidth="1"/>
    <col min="11" max="11" width="11.285156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178" t="s">
        <v>371</v>
      </c>
      <c r="B1" s="178"/>
      <c r="C1" s="178"/>
      <c r="D1" s="178"/>
      <c r="E1" s="178"/>
      <c r="F1" s="178"/>
      <c r="G1" s="178"/>
      <c r="H1" s="178"/>
    </row>
    <row r="2" spans="1:26" ht="16.5" customHeight="1" x14ac:dyDescent="0.25">
      <c r="A2" s="179" t="s">
        <v>0</v>
      </c>
      <c r="B2" s="179"/>
      <c r="C2" s="179"/>
      <c r="D2" s="179"/>
      <c r="E2" s="179"/>
      <c r="F2" s="179"/>
      <c r="G2" s="179"/>
      <c r="H2" s="179"/>
    </row>
    <row r="3" spans="1:26" x14ac:dyDescent="0.25">
      <c r="A3" s="135" t="s">
        <v>1</v>
      </c>
      <c r="B3" s="135"/>
      <c r="C3" s="135"/>
      <c r="D3" s="135"/>
      <c r="E3" s="135" t="str">
        <f ca="1">TEXT(TODAY(),"DD/MM/YYYY")</f>
        <v>11/09/2025</v>
      </c>
      <c r="F3" s="135"/>
      <c r="G3" s="135"/>
      <c r="H3" s="135"/>
      <c r="K3" s="54" t="s">
        <v>229</v>
      </c>
      <c r="L3" s="53" t="s">
        <v>227</v>
      </c>
      <c r="M3" s="53" t="s">
        <v>232</v>
      </c>
      <c r="N3" s="53" t="s">
        <v>230</v>
      </c>
      <c r="O3" s="53" t="s">
        <v>348</v>
      </c>
      <c r="P3" s="53" t="s">
        <v>233</v>
      </c>
    </row>
    <row r="4" spans="1:26" ht="15" customHeight="1" x14ac:dyDescent="0.25">
      <c r="A4" s="135" t="s">
        <v>226</v>
      </c>
      <c r="B4" s="135"/>
      <c r="C4" s="135"/>
      <c r="D4" s="135"/>
      <c r="E4" s="135" t="s">
        <v>227</v>
      </c>
      <c r="F4" s="135"/>
      <c r="G4" s="135"/>
      <c r="H4" s="135"/>
      <c r="K4" s="52" t="s">
        <v>228</v>
      </c>
      <c r="L4" s="53" t="s">
        <v>163</v>
      </c>
      <c r="M4" s="53" t="s">
        <v>237</v>
      </c>
      <c r="N4" s="53" t="s">
        <v>239</v>
      </c>
      <c r="O4" s="53" t="s">
        <v>334</v>
      </c>
      <c r="P4" s="53"/>
    </row>
    <row r="5" spans="1:26" ht="15" customHeight="1" x14ac:dyDescent="0.25">
      <c r="A5" s="135" t="s">
        <v>2</v>
      </c>
      <c r="B5" s="135"/>
      <c r="C5" s="135"/>
      <c r="D5" s="135"/>
      <c r="E5" s="135" t="s">
        <v>235</v>
      </c>
      <c r="F5" s="135"/>
      <c r="G5" s="135"/>
      <c r="H5" s="135"/>
      <c r="K5" s="52"/>
      <c r="L5" s="53" t="s">
        <v>234</v>
      </c>
      <c r="M5" s="53" t="s">
        <v>238</v>
      </c>
      <c r="N5" s="53" t="s">
        <v>240</v>
      </c>
      <c r="O5" s="53" t="s">
        <v>335</v>
      </c>
      <c r="P5" s="53"/>
    </row>
    <row r="6" spans="1:26" x14ac:dyDescent="0.25">
      <c r="A6" s="135" t="s">
        <v>3</v>
      </c>
      <c r="B6" s="135"/>
      <c r="C6" s="135"/>
      <c r="D6" s="135"/>
      <c r="E6" s="183">
        <v>45909</v>
      </c>
      <c r="F6" s="135"/>
      <c r="G6" s="135"/>
      <c r="H6" s="135"/>
      <c r="K6" s="52"/>
      <c r="L6" s="53" t="s">
        <v>235</v>
      </c>
      <c r="M6" s="53" t="s">
        <v>346</v>
      </c>
      <c r="N6" s="53"/>
      <c r="O6" s="53" t="s">
        <v>336</v>
      </c>
      <c r="P6" s="53"/>
    </row>
    <row r="7" spans="1:26" ht="16.5" customHeight="1" x14ac:dyDescent="0.25">
      <c r="A7" s="135" t="s">
        <v>4</v>
      </c>
      <c r="B7" s="135"/>
      <c r="C7" s="135"/>
      <c r="D7" s="135"/>
      <c r="E7" s="135" t="s">
        <v>423</v>
      </c>
      <c r="F7" s="135"/>
      <c r="G7" s="135"/>
      <c r="H7" s="135"/>
      <c r="K7" s="52"/>
      <c r="L7" s="53" t="s">
        <v>236</v>
      </c>
      <c r="M7" s="53"/>
      <c r="N7" s="53"/>
      <c r="O7" s="53" t="s">
        <v>336</v>
      </c>
      <c r="P7" s="53"/>
    </row>
    <row r="8" spans="1:26" ht="15" customHeight="1" x14ac:dyDescent="0.25">
      <c r="A8" s="135" t="s">
        <v>5</v>
      </c>
      <c r="B8" s="135"/>
      <c r="C8" s="135"/>
      <c r="D8" s="135"/>
      <c r="E8" s="135" t="str">
        <f>E7</f>
        <v>M/s. Konnark Stays</v>
      </c>
      <c r="F8" s="135"/>
      <c r="G8" s="135"/>
      <c r="H8" s="135"/>
      <c r="K8" s="52"/>
      <c r="L8" s="53"/>
      <c r="M8" s="53"/>
      <c r="N8" s="53"/>
      <c r="O8" s="53" t="s">
        <v>337</v>
      </c>
      <c r="P8" s="53"/>
    </row>
    <row r="9" spans="1:26" x14ac:dyDescent="0.25">
      <c r="A9" s="135" t="s">
        <v>6</v>
      </c>
      <c r="B9" s="135"/>
      <c r="C9" s="135"/>
      <c r="D9" s="135"/>
      <c r="E9" s="180" t="s">
        <v>375</v>
      </c>
      <c r="F9" s="181"/>
      <c r="G9" s="181"/>
      <c r="H9" s="182"/>
      <c r="K9" s="52"/>
      <c r="L9" s="53"/>
      <c r="M9" s="53"/>
      <c r="N9" s="53"/>
      <c r="O9" s="53" t="s">
        <v>338</v>
      </c>
      <c r="P9" s="53"/>
    </row>
    <row r="10" spans="1:26" x14ac:dyDescent="0.25">
      <c r="A10" s="135" t="s">
        <v>160</v>
      </c>
      <c r="B10" s="135"/>
      <c r="C10" s="135"/>
      <c r="D10" s="135"/>
      <c r="E10" s="135" t="s">
        <v>376</v>
      </c>
      <c r="F10" s="135"/>
      <c r="G10" s="135"/>
      <c r="H10" s="135"/>
      <c r="K10" s="52"/>
      <c r="L10" s="53"/>
      <c r="M10" s="53"/>
      <c r="N10" s="53"/>
      <c r="O10" s="53" t="s">
        <v>339</v>
      </c>
      <c r="P10" s="53"/>
    </row>
    <row r="11" spans="1:26" x14ac:dyDescent="0.25">
      <c r="A11" s="135" t="s">
        <v>161</v>
      </c>
      <c r="B11" s="135"/>
      <c r="C11" s="135"/>
      <c r="D11" s="135"/>
      <c r="E11" s="135" t="s">
        <v>422</v>
      </c>
      <c r="F11" s="135"/>
      <c r="G11" s="135"/>
      <c r="H11" s="135"/>
      <c r="O11" s="53" t="s">
        <v>340</v>
      </c>
    </row>
    <row r="12" spans="1:26" x14ac:dyDescent="0.25">
      <c r="A12" s="135" t="s">
        <v>7</v>
      </c>
      <c r="B12" s="135"/>
      <c r="C12" s="135"/>
      <c r="D12" s="135"/>
      <c r="E12" s="135" t="s">
        <v>377</v>
      </c>
      <c r="F12" s="135"/>
      <c r="G12" s="135"/>
      <c r="H12" s="135"/>
    </row>
    <row r="13" spans="1:26" x14ac:dyDescent="0.25">
      <c r="A13" s="135" t="s">
        <v>164</v>
      </c>
      <c r="B13" s="135"/>
      <c r="C13" s="135"/>
      <c r="D13" s="135"/>
      <c r="E13" s="135" t="s">
        <v>28</v>
      </c>
      <c r="F13" s="135"/>
      <c r="G13" s="135"/>
      <c r="H13" s="135"/>
      <c r="S13" s="53" t="s">
        <v>173</v>
      </c>
      <c r="T13" s="53" t="s">
        <v>182</v>
      </c>
      <c r="U13" s="53" t="s">
        <v>165</v>
      </c>
      <c r="V13" s="53" t="s">
        <v>187</v>
      </c>
      <c r="W13" s="53" t="s">
        <v>205</v>
      </c>
      <c r="X13"/>
      <c r="Y13" t="s">
        <v>187</v>
      </c>
      <c r="Z13" t="e">
        <f ca="1">OFFSET($S$13,1,MATCH($G20,$S$13:$W$13,0)-1,15,1)</f>
        <v>#VALUE!</v>
      </c>
    </row>
    <row r="14" spans="1:26" x14ac:dyDescent="0.25">
      <c r="A14" s="128" t="s">
        <v>272</v>
      </c>
      <c r="B14" s="128"/>
      <c r="C14" s="128"/>
      <c r="D14" s="128"/>
      <c r="E14" s="164" t="s">
        <v>220</v>
      </c>
      <c r="F14" s="164"/>
      <c r="G14" s="164"/>
      <c r="H14" s="164"/>
      <c r="S14" s="53" t="s">
        <v>173</v>
      </c>
      <c r="T14" s="53" t="s">
        <v>180</v>
      </c>
      <c r="U14" s="53" t="s">
        <v>202</v>
      </c>
      <c r="V14" s="53" t="s">
        <v>188</v>
      </c>
      <c r="W14" s="53" t="s">
        <v>206</v>
      </c>
      <c r="X14"/>
      <c r="Y14"/>
      <c r="Z14"/>
    </row>
    <row r="15" spans="1:26" x14ac:dyDescent="0.25">
      <c r="A15" s="128" t="s">
        <v>8</v>
      </c>
      <c r="B15" s="128"/>
      <c r="C15" s="128"/>
      <c r="D15" s="128"/>
      <c r="E15" s="164" t="s">
        <v>378</v>
      </c>
      <c r="F15" s="135"/>
      <c r="G15" s="135"/>
      <c r="H15" s="135"/>
      <c r="I15" s="124" t="e">
        <f ca="1">OFFSET($D$5,1,MATCH($J13,$D$5:$H$5,0)-1,15,1)</f>
        <v>#N/A</v>
      </c>
      <c r="J15" s="125"/>
      <c r="K15" s="125"/>
      <c r="L15" s="125"/>
      <c r="M15" s="125"/>
      <c r="N15" s="125"/>
      <c r="O15" s="125"/>
      <c r="P15" s="125"/>
      <c r="S15" s="53" t="s">
        <v>174</v>
      </c>
      <c r="T15" s="53" t="s">
        <v>181</v>
      </c>
      <c r="U15" s="53" t="s">
        <v>203</v>
      </c>
      <c r="V15" s="53" t="s">
        <v>189</v>
      </c>
      <c r="W15" s="53" t="s">
        <v>219</v>
      </c>
      <c r="X15"/>
      <c r="Y15"/>
      <c r="Z15"/>
    </row>
    <row r="16" spans="1:26" ht="32.25" customHeight="1" x14ac:dyDescent="0.25">
      <c r="A16" s="134" t="s">
        <v>9</v>
      </c>
      <c r="B16" s="134"/>
      <c r="C16" s="134" t="str">
        <f>CONCATENATE((IF(OR(E9="",E9="NA"),"",E9)),", ",(IF(OR(A17="",A17="NA"),"",A17)),".",(IF(OR(C17="",C17="NA"),"",C17)),", near ",(IF(OR(C22="",C22="NA"),"",C22)),", ",(IF(OR(C19="",C19="NA"),"",C19)),", ",(IF(OR(C18="",C18="NA"),"",C18)),", ",(IF(OR(G19="",G19="NA"),"",G19)),", ",(IF(OR(C20="",C20="NA"),"",C20)),", ",(IF(OR(C21="",C21="NA"),"",C21)),", ",(IF(OR(G20="",G20="NA"),"",G20))," - ",(IF(OR(G21="",G21="NA"),"",G21)),".")</f>
        <v>Konnark Stellar, Gut No.61, near Today Global Codename Goldrush Panvel, Mumbai Goa Highway, Giravale, Giravale, Panvel, Panvel, Raigad - 410221.</v>
      </c>
      <c r="D16" s="134"/>
      <c r="E16" s="134"/>
      <c r="F16" s="134"/>
      <c r="G16" s="134"/>
      <c r="H16" s="134"/>
      <c r="S16" s="53" t="s">
        <v>175</v>
      </c>
      <c r="T16" s="53" t="s">
        <v>183</v>
      </c>
      <c r="U16" s="53" t="s">
        <v>204</v>
      </c>
      <c r="V16" s="53" t="s">
        <v>190</v>
      </c>
      <c r="W16" s="53" t="s">
        <v>207</v>
      </c>
      <c r="X16"/>
      <c r="Y16"/>
      <c r="Z16"/>
    </row>
    <row r="17" spans="1:26" x14ac:dyDescent="0.25">
      <c r="A17" s="164" t="s">
        <v>379</v>
      </c>
      <c r="B17" s="164"/>
      <c r="C17" s="164">
        <v>61</v>
      </c>
      <c r="D17" s="164"/>
      <c r="E17" s="164"/>
      <c r="F17" s="164"/>
      <c r="G17" s="164"/>
      <c r="H17" s="164"/>
      <c r="S17" s="53" t="s">
        <v>176</v>
      </c>
      <c r="T17" s="53" t="s">
        <v>184</v>
      </c>
      <c r="U17" s="53" t="s">
        <v>165</v>
      </c>
      <c r="V17" s="53" t="s">
        <v>191</v>
      </c>
      <c r="W17" s="53" t="s">
        <v>208</v>
      </c>
      <c r="X17"/>
      <c r="Y17"/>
      <c r="Z17"/>
    </row>
    <row r="18" spans="1:26" ht="15.75" customHeight="1" x14ac:dyDescent="0.25">
      <c r="A18" s="164" t="s">
        <v>156</v>
      </c>
      <c r="B18" s="164"/>
      <c r="C18" s="164" t="s">
        <v>381</v>
      </c>
      <c r="D18" s="164"/>
      <c r="E18" s="164"/>
      <c r="F18" s="164"/>
      <c r="G18" s="164"/>
      <c r="H18" s="164"/>
      <c r="S18" s="53" t="s">
        <v>177</v>
      </c>
      <c r="T18" s="53" t="s">
        <v>182</v>
      </c>
      <c r="U18" s="53"/>
      <c r="V18" s="53" t="s">
        <v>192</v>
      </c>
      <c r="W18" s="53" t="s">
        <v>209</v>
      </c>
      <c r="X18"/>
      <c r="Y18"/>
      <c r="Z18"/>
    </row>
    <row r="19" spans="1:26" ht="15.75" customHeight="1" x14ac:dyDescent="0.25">
      <c r="A19" s="134" t="s">
        <v>10</v>
      </c>
      <c r="B19" s="134"/>
      <c r="C19" s="135" t="s">
        <v>380</v>
      </c>
      <c r="D19" s="135"/>
      <c r="E19" s="134" t="s">
        <v>69</v>
      </c>
      <c r="F19" s="134"/>
      <c r="G19" s="164" t="s">
        <v>381</v>
      </c>
      <c r="H19" s="164"/>
      <c r="S19" s="53" t="s">
        <v>178</v>
      </c>
      <c r="T19" s="53" t="s">
        <v>185</v>
      </c>
      <c r="U19" s="53"/>
      <c r="V19" s="53" t="s">
        <v>193</v>
      </c>
      <c r="W19" s="53" t="s">
        <v>210</v>
      </c>
      <c r="X19"/>
      <c r="Y19"/>
      <c r="Z19"/>
    </row>
    <row r="20" spans="1:26" x14ac:dyDescent="0.25">
      <c r="A20" s="128" t="s">
        <v>12</v>
      </c>
      <c r="B20" s="128"/>
      <c r="C20" s="164" t="s">
        <v>189</v>
      </c>
      <c r="D20" s="164"/>
      <c r="E20" s="134" t="s">
        <v>11</v>
      </c>
      <c r="F20" s="134"/>
      <c r="G20" s="187" t="s">
        <v>187</v>
      </c>
      <c r="H20" s="187"/>
      <c r="S20" s="53" t="s">
        <v>179</v>
      </c>
      <c r="T20" s="53" t="s">
        <v>186</v>
      </c>
      <c r="U20" s="53"/>
      <c r="V20" s="53" t="s">
        <v>194</v>
      </c>
      <c r="W20" s="53" t="s">
        <v>211</v>
      </c>
      <c r="X20"/>
      <c r="Y20"/>
      <c r="Z20"/>
    </row>
    <row r="21" spans="1:26" x14ac:dyDescent="0.25">
      <c r="A21" s="128" t="s">
        <v>70</v>
      </c>
      <c r="B21" s="128"/>
      <c r="C21" s="164" t="s">
        <v>189</v>
      </c>
      <c r="D21" s="164"/>
      <c r="E21" s="134" t="s">
        <v>13</v>
      </c>
      <c r="F21" s="134"/>
      <c r="G21" s="164">
        <v>410221</v>
      </c>
      <c r="H21" s="164"/>
      <c r="S21" s="53"/>
      <c r="T21" s="53"/>
      <c r="U21" s="53"/>
      <c r="V21" s="53" t="s">
        <v>195</v>
      </c>
      <c r="W21" s="53" t="s">
        <v>212</v>
      </c>
      <c r="X21"/>
      <c r="Y21"/>
      <c r="Z21"/>
    </row>
    <row r="22" spans="1:26" ht="32.25" customHeight="1" x14ac:dyDescent="0.25">
      <c r="A22" s="128" t="s">
        <v>116</v>
      </c>
      <c r="B22" s="128"/>
      <c r="C22" s="164" t="s">
        <v>382</v>
      </c>
      <c r="D22" s="164"/>
      <c r="E22" s="134" t="s">
        <v>14</v>
      </c>
      <c r="F22" s="134"/>
      <c r="G22" s="164" t="s">
        <v>383</v>
      </c>
      <c r="H22" s="164"/>
      <c r="S22" s="53"/>
      <c r="T22" s="53"/>
      <c r="U22" s="53"/>
      <c r="V22" s="53" t="s">
        <v>196</v>
      </c>
      <c r="W22" s="53" t="s">
        <v>213</v>
      </c>
      <c r="X22"/>
      <c r="Y22"/>
      <c r="Z22"/>
    </row>
    <row r="23" spans="1:26" ht="15" customHeight="1" x14ac:dyDescent="0.25">
      <c r="A23" s="134" t="s">
        <v>72</v>
      </c>
      <c r="B23" s="134"/>
      <c r="C23" s="134"/>
      <c r="D23" s="134"/>
      <c r="E23" s="135" t="s">
        <v>15</v>
      </c>
      <c r="F23" s="135"/>
      <c r="G23" s="135"/>
      <c r="H23" s="135"/>
      <c r="S23" s="53"/>
      <c r="T23" s="53"/>
      <c r="U23" s="53"/>
      <c r="V23" s="53" t="s">
        <v>197</v>
      </c>
      <c r="W23" s="53" t="s">
        <v>214</v>
      </c>
      <c r="X23"/>
      <c r="Y23"/>
      <c r="Z23"/>
    </row>
    <row r="24" spans="1:26" ht="18.75" customHeight="1" x14ac:dyDescent="0.25">
      <c r="A24" s="134"/>
      <c r="B24" s="134"/>
      <c r="C24" s="134"/>
      <c r="D24" s="134"/>
      <c r="E24" s="135"/>
      <c r="F24" s="135"/>
      <c r="G24" s="135"/>
      <c r="H24" s="135"/>
      <c r="S24" s="53"/>
      <c r="T24" s="53"/>
      <c r="U24" s="53"/>
      <c r="V24" s="53" t="s">
        <v>198</v>
      </c>
      <c r="W24" s="53" t="s">
        <v>215</v>
      </c>
      <c r="X24"/>
      <c r="Y24"/>
      <c r="Z24"/>
    </row>
    <row r="25" spans="1:26" ht="15" customHeight="1" x14ac:dyDescent="0.25">
      <c r="A25" s="134" t="s">
        <v>16</v>
      </c>
      <c r="B25" s="134"/>
      <c r="C25" s="134"/>
      <c r="D25" s="134"/>
      <c r="E25" s="164" t="s">
        <v>17</v>
      </c>
      <c r="F25" s="164"/>
      <c r="G25" s="164"/>
      <c r="H25" s="164"/>
      <c r="S25" s="53"/>
      <c r="T25" s="53"/>
      <c r="U25" s="53"/>
      <c r="V25" s="53" t="s">
        <v>199</v>
      </c>
      <c r="W25" s="53" t="s">
        <v>216</v>
      </c>
      <c r="X25"/>
      <c r="Y25"/>
      <c r="Z25"/>
    </row>
    <row r="26" spans="1:26" ht="15" customHeight="1" x14ac:dyDescent="0.25">
      <c r="A26" s="128" t="s">
        <v>18</v>
      </c>
      <c r="B26" s="128"/>
      <c r="C26" s="128"/>
      <c r="D26" s="128"/>
      <c r="E26" s="164" t="str">
        <f>IF(AND(G20="Mumbai"),"Upper Class","Middle Class")</f>
        <v>Middle Class</v>
      </c>
      <c r="F26" s="164"/>
      <c r="G26" s="164"/>
      <c r="H26" s="164"/>
      <c r="S26" s="53"/>
      <c r="T26" s="53"/>
      <c r="U26" s="53"/>
      <c r="V26" s="53" t="s">
        <v>200</v>
      </c>
      <c r="W26" s="53" t="s">
        <v>217</v>
      </c>
      <c r="X26"/>
      <c r="Y26"/>
      <c r="Z26"/>
    </row>
    <row r="27" spans="1:26" x14ac:dyDescent="0.25">
      <c r="A27" s="128" t="s">
        <v>19</v>
      </c>
      <c r="B27" s="128"/>
      <c r="C27" s="128"/>
      <c r="D27" s="128"/>
      <c r="E27" s="164" t="s">
        <v>20</v>
      </c>
      <c r="F27" s="164"/>
      <c r="G27" s="164"/>
      <c r="H27" s="164"/>
      <c r="S27" s="53"/>
      <c r="T27" s="53"/>
      <c r="U27" s="53"/>
      <c r="V27" s="53" t="s">
        <v>201</v>
      </c>
      <c r="W27" s="53" t="s">
        <v>218</v>
      </c>
      <c r="X27"/>
      <c r="Y27"/>
      <c r="Z27"/>
    </row>
    <row r="28" spans="1:26" ht="15.75" customHeight="1" x14ac:dyDescent="0.25">
      <c r="A28" s="128" t="s">
        <v>21</v>
      </c>
      <c r="B28" s="128"/>
      <c r="C28" s="128"/>
      <c r="D28" s="128"/>
      <c r="E28" s="164" t="str">
        <f>IF(AND(G20="Mumbai"),"Developed","Developing")</f>
        <v>Developing</v>
      </c>
      <c r="F28" s="164"/>
      <c r="G28" s="164"/>
      <c r="H28" s="164"/>
    </row>
    <row r="29" spans="1:26" x14ac:dyDescent="0.25">
      <c r="A29" s="128" t="s">
        <v>22</v>
      </c>
      <c r="B29" s="128"/>
      <c r="C29" s="128"/>
      <c r="D29" s="128"/>
      <c r="E29" s="164" t="s">
        <v>23</v>
      </c>
      <c r="F29" s="164"/>
      <c r="G29" s="164"/>
      <c r="H29" s="164"/>
    </row>
    <row r="30" spans="1:26" ht="15.75" customHeight="1" x14ac:dyDescent="0.25">
      <c r="A30" s="128" t="s">
        <v>77</v>
      </c>
      <c r="B30" s="128"/>
      <c r="C30" s="128"/>
      <c r="D30" s="128"/>
      <c r="E30" s="164" t="s">
        <v>78</v>
      </c>
      <c r="F30" s="164"/>
      <c r="G30" s="164"/>
      <c r="H30" s="164"/>
    </row>
    <row r="31" spans="1:26" ht="15" customHeight="1" x14ac:dyDescent="0.25">
      <c r="A31" s="128" t="s">
        <v>30</v>
      </c>
      <c r="B31" s="128"/>
      <c r="C31" s="128"/>
      <c r="D31" s="128"/>
      <c r="E31" s="164"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1" s="164"/>
      <c r="G31" s="164"/>
      <c r="H31" s="164"/>
    </row>
    <row r="32" spans="1:26" ht="15.75" customHeight="1" x14ac:dyDescent="0.25">
      <c r="A32" s="128" t="s">
        <v>89</v>
      </c>
      <c r="B32" s="128"/>
      <c r="C32" s="128"/>
      <c r="D32" s="128"/>
      <c r="E32" s="164" t="s">
        <v>31</v>
      </c>
      <c r="F32" s="164"/>
      <c r="G32" s="164"/>
      <c r="H32" s="164"/>
    </row>
    <row r="33" spans="1:19" s="21" customFormat="1" x14ac:dyDescent="0.25">
      <c r="A33" s="192" t="s">
        <v>90</v>
      </c>
      <c r="B33" s="192"/>
      <c r="C33" s="189" t="s">
        <v>166</v>
      </c>
      <c r="D33" s="190"/>
      <c r="E33" s="191"/>
      <c r="F33" s="189" t="s">
        <v>29</v>
      </c>
      <c r="G33" s="190"/>
      <c r="H33" s="191"/>
      <c r="S33" s="21" t="e">
        <f ca="1">OFFSET($S$13,1,MATCH($G20,$S$13:$W$13,0)-1,15,1)</f>
        <v>#VALUE!</v>
      </c>
    </row>
    <row r="34" spans="1:19" s="21" customFormat="1" x14ac:dyDescent="0.25">
      <c r="A34" s="188" t="s">
        <v>24</v>
      </c>
      <c r="B34" s="188" t="s">
        <v>28</v>
      </c>
      <c r="C34" s="184" t="s">
        <v>385</v>
      </c>
      <c r="D34" s="185"/>
      <c r="E34" s="186"/>
      <c r="F34" s="184" t="s">
        <v>388</v>
      </c>
      <c r="G34" s="185"/>
      <c r="H34" s="186"/>
    </row>
    <row r="35" spans="1:19" x14ac:dyDescent="0.25">
      <c r="A35" s="188" t="s">
        <v>25</v>
      </c>
      <c r="B35" s="188" t="s">
        <v>28</v>
      </c>
      <c r="C35" s="184" t="s">
        <v>390</v>
      </c>
      <c r="D35" s="185"/>
      <c r="E35" s="186"/>
      <c r="F35" s="184" t="s">
        <v>391</v>
      </c>
      <c r="G35" s="185"/>
      <c r="H35" s="186"/>
    </row>
    <row r="36" spans="1:19" s="21" customFormat="1" x14ac:dyDescent="0.25">
      <c r="A36" s="188" t="s">
        <v>27</v>
      </c>
      <c r="B36" s="188" t="s">
        <v>28</v>
      </c>
      <c r="C36" s="184" t="s">
        <v>386</v>
      </c>
      <c r="D36" s="185"/>
      <c r="E36" s="186"/>
      <c r="F36" s="184" t="s">
        <v>387</v>
      </c>
      <c r="G36" s="185"/>
      <c r="H36" s="186"/>
    </row>
    <row r="37" spans="1:19" x14ac:dyDescent="0.25">
      <c r="A37" s="188" t="s">
        <v>26</v>
      </c>
      <c r="B37" s="188" t="s">
        <v>28</v>
      </c>
      <c r="C37" s="184" t="s">
        <v>384</v>
      </c>
      <c r="D37" s="185"/>
      <c r="E37" s="186"/>
      <c r="F37" s="184" t="s">
        <v>388</v>
      </c>
      <c r="G37" s="185"/>
      <c r="H37" s="186"/>
    </row>
    <row r="38" spans="1:19" x14ac:dyDescent="0.25">
      <c r="A38" s="128" t="s">
        <v>273</v>
      </c>
      <c r="B38" s="128"/>
      <c r="C38" s="128"/>
      <c r="D38" s="128"/>
      <c r="E38" s="128"/>
      <c r="F38" s="128"/>
      <c r="G38" s="128"/>
      <c r="H38" s="128"/>
    </row>
    <row r="39" spans="1:19" ht="15.75" customHeight="1" x14ac:dyDescent="0.25">
      <c r="A39" s="128" t="s">
        <v>158</v>
      </c>
      <c r="B39" s="128"/>
      <c r="C39" s="167" t="s">
        <v>427</v>
      </c>
      <c r="D39" s="167"/>
      <c r="E39" s="167"/>
      <c r="F39" s="167"/>
      <c r="G39" s="167"/>
      <c r="H39" s="167"/>
    </row>
    <row r="40" spans="1:19" x14ac:dyDescent="0.25">
      <c r="A40" s="128" t="s">
        <v>155</v>
      </c>
      <c r="B40" s="128"/>
      <c r="C40" s="243" t="s">
        <v>389</v>
      </c>
      <c r="D40" s="164"/>
      <c r="E40" s="164"/>
      <c r="F40" s="164"/>
      <c r="G40" s="164"/>
      <c r="H40" s="164"/>
    </row>
    <row r="41" spans="1:19" x14ac:dyDescent="0.25">
      <c r="A41" s="167" t="s">
        <v>32</v>
      </c>
      <c r="B41" s="167"/>
      <c r="C41" s="167"/>
      <c r="D41" s="167"/>
      <c r="E41" s="167"/>
      <c r="F41" s="167"/>
      <c r="G41" s="167"/>
      <c r="H41" s="167"/>
    </row>
    <row r="42" spans="1:19" x14ac:dyDescent="0.25">
      <c r="A42" s="128" t="s">
        <v>33</v>
      </c>
      <c r="B42" s="128"/>
      <c r="C42" s="128"/>
      <c r="D42" s="128"/>
      <c r="E42" s="237">
        <v>6220</v>
      </c>
      <c r="F42" s="237"/>
      <c r="G42" s="237"/>
      <c r="H42" s="237"/>
    </row>
    <row r="43" spans="1:19" x14ac:dyDescent="0.25">
      <c r="A43" s="128" t="s">
        <v>34</v>
      </c>
      <c r="B43" s="128"/>
      <c r="C43" s="128"/>
      <c r="D43" s="128"/>
      <c r="E43" s="238">
        <f>6842/E42</f>
        <v>1.1000000000000001</v>
      </c>
      <c r="F43" s="238"/>
      <c r="G43" s="238"/>
      <c r="H43" s="238"/>
    </row>
    <row r="44" spans="1:19" x14ac:dyDescent="0.25">
      <c r="A44" s="128" t="s">
        <v>35</v>
      </c>
      <c r="B44" s="128"/>
      <c r="C44" s="128"/>
      <c r="D44" s="128"/>
      <c r="E44" s="238">
        <f>E46/E42-E43</f>
        <v>1.1429559485530545</v>
      </c>
      <c r="F44" s="238"/>
      <c r="G44" s="238"/>
      <c r="H44" s="238"/>
    </row>
    <row r="45" spans="1:19" x14ac:dyDescent="0.25">
      <c r="A45" s="128" t="s">
        <v>36</v>
      </c>
      <c r="B45" s="128"/>
      <c r="C45" s="128"/>
      <c r="D45" s="128"/>
      <c r="E45" s="238">
        <f>E43+E44</f>
        <v>2.2429559485530546</v>
      </c>
      <c r="F45" s="238"/>
      <c r="G45" s="238"/>
      <c r="H45" s="238"/>
    </row>
    <row r="46" spans="1:19" x14ac:dyDescent="0.25">
      <c r="A46" s="128" t="s">
        <v>88</v>
      </c>
      <c r="B46" s="128"/>
      <c r="C46" s="128"/>
      <c r="D46" s="128"/>
      <c r="E46" s="248">
        <v>13951.186</v>
      </c>
      <c r="F46" s="248"/>
      <c r="G46" s="248"/>
      <c r="H46" s="248"/>
    </row>
    <row r="47" spans="1:19" x14ac:dyDescent="0.25">
      <c r="A47" s="135" t="s">
        <v>37</v>
      </c>
      <c r="B47" s="135"/>
      <c r="C47" s="135"/>
      <c r="D47" s="135"/>
      <c r="E47" s="135" t="s">
        <v>392</v>
      </c>
      <c r="F47" s="135"/>
      <c r="G47" s="135"/>
      <c r="H47" s="135"/>
    </row>
    <row r="48" spans="1:19" x14ac:dyDescent="0.25">
      <c r="A48" s="167" t="s">
        <v>38</v>
      </c>
      <c r="B48" s="167"/>
      <c r="C48" s="167"/>
      <c r="D48" s="167"/>
      <c r="E48" s="167"/>
      <c r="F48" s="167"/>
      <c r="G48" s="167"/>
      <c r="H48" s="167"/>
    </row>
    <row r="49" spans="1:24" ht="33.75" customHeight="1" x14ac:dyDescent="0.25">
      <c r="A49" s="142" t="s">
        <v>145</v>
      </c>
      <c r="B49" s="143"/>
      <c r="C49" s="180" t="s">
        <v>251</v>
      </c>
      <c r="D49" s="181"/>
      <c r="E49" s="181"/>
      <c r="F49" s="181"/>
      <c r="G49" s="181"/>
      <c r="H49" s="182"/>
      <c r="R49" t="s">
        <v>246</v>
      </c>
      <c r="S49" s="55" t="s">
        <v>165</v>
      </c>
      <c r="T49" s="55" t="s">
        <v>173</v>
      </c>
      <c r="U49" s="55" t="s">
        <v>187</v>
      </c>
      <c r="V49" s="55" t="s">
        <v>182</v>
      </c>
    </row>
    <row r="50" spans="1:24" ht="32.25" customHeight="1" x14ac:dyDescent="0.25">
      <c r="A50" s="142" t="s">
        <v>39</v>
      </c>
      <c r="B50" s="143"/>
      <c r="C50" s="142" t="s">
        <v>393</v>
      </c>
      <c r="D50" s="222"/>
      <c r="E50" s="143"/>
      <c r="F50" s="17" t="s">
        <v>40</v>
      </c>
      <c r="G50" s="214">
        <v>45744</v>
      </c>
      <c r="H50" s="215"/>
      <c r="R50"/>
      <c r="S50" s="55" t="s">
        <v>247</v>
      </c>
      <c r="T50" s="55" t="s">
        <v>252</v>
      </c>
      <c r="U50" s="55" t="s">
        <v>263</v>
      </c>
      <c r="V50" s="55" t="s">
        <v>268</v>
      </c>
    </row>
    <row r="51" spans="1:24" ht="32.25" customHeight="1" x14ac:dyDescent="0.25">
      <c r="A51" s="142" t="s">
        <v>41</v>
      </c>
      <c r="B51" s="143"/>
      <c r="C51" s="142" t="str">
        <f>C50</f>
        <v>MSRDC/SPA/Girvale/BP-529/CC/2025/1474</v>
      </c>
      <c r="D51" s="222"/>
      <c r="E51" s="143"/>
      <c r="F51" s="17" t="s">
        <v>40</v>
      </c>
      <c r="G51" s="214">
        <f>G50</f>
        <v>45744</v>
      </c>
      <c r="H51" s="215"/>
      <c r="R51"/>
      <c r="S51" s="55" t="s">
        <v>248</v>
      </c>
      <c r="T51" s="55" t="s">
        <v>349</v>
      </c>
      <c r="U51" s="55" t="s">
        <v>261</v>
      </c>
      <c r="V51" s="55" t="s">
        <v>269</v>
      </c>
    </row>
    <row r="52" spans="1:24" s="22" customFormat="1" ht="33" customHeight="1" x14ac:dyDescent="0.25">
      <c r="A52" s="232" t="s">
        <v>149</v>
      </c>
      <c r="B52" s="233"/>
      <c r="C52" s="232" t="str">
        <f>C51</f>
        <v>MSRDC/SPA/Girvale/BP-529/CC/2025/1474</v>
      </c>
      <c r="D52" s="236"/>
      <c r="E52" s="233"/>
      <c r="F52" s="17" t="s">
        <v>40</v>
      </c>
      <c r="G52" s="214">
        <v>45744</v>
      </c>
      <c r="H52" s="215"/>
      <c r="I52" s="21" t="str">
        <f ca="1">IF(G52&gt;EDATE(E3,-48),"NO REMARK","CC REMARK FOR CC")</f>
        <v>NO REMARK</v>
      </c>
      <c r="J52" s="74"/>
      <c r="R52"/>
      <c r="S52" s="55" t="s">
        <v>249</v>
      </c>
      <c r="T52" s="55" t="s">
        <v>254</v>
      </c>
      <c r="U52" s="55" t="s">
        <v>251</v>
      </c>
      <c r="V52" s="55" t="s">
        <v>270</v>
      </c>
    </row>
    <row r="53" spans="1:24" s="22" customFormat="1" ht="33.75" customHeight="1" x14ac:dyDescent="0.25">
      <c r="A53" s="234"/>
      <c r="B53" s="235"/>
      <c r="C53" s="142" t="s">
        <v>394</v>
      </c>
      <c r="D53" s="222"/>
      <c r="E53" s="222"/>
      <c r="F53" s="222"/>
      <c r="G53" s="222"/>
      <c r="H53" s="143"/>
      <c r="R53"/>
      <c r="S53" s="55"/>
      <c r="T53" s="55"/>
      <c r="U53" s="55"/>
      <c r="V53" s="70"/>
    </row>
    <row r="54" spans="1:24" s="22" customFormat="1" x14ac:dyDescent="0.25">
      <c r="A54" s="138" t="s">
        <v>274</v>
      </c>
      <c r="B54" s="139"/>
      <c r="C54" s="142" t="s">
        <v>424</v>
      </c>
      <c r="D54" s="222"/>
      <c r="E54" s="143"/>
      <c r="F54" s="17" t="s">
        <v>40</v>
      </c>
      <c r="G54" s="214">
        <v>45705</v>
      </c>
      <c r="H54" s="215"/>
      <c r="K54" s="75">
        <f>EDATE(G52,-48)</f>
        <v>44283</v>
      </c>
      <c r="L54" s="22" t="str">
        <f ca="1">IF(G52&gt;EDATE(E3,-48),"NO REMARK","CC REMARK FOR CC")</f>
        <v>NO REMARK</v>
      </c>
      <c r="R54"/>
      <c r="S54" s="55" t="s">
        <v>249</v>
      </c>
      <c r="T54" s="55" t="s">
        <v>254</v>
      </c>
      <c r="U54" s="55" t="s">
        <v>251</v>
      </c>
      <c r="V54" s="55" t="s">
        <v>270</v>
      </c>
    </row>
    <row r="55" spans="1:24" s="22" customFormat="1" x14ac:dyDescent="0.25">
      <c r="A55" s="140"/>
      <c r="B55" s="141"/>
      <c r="C55" s="229" t="s">
        <v>425</v>
      </c>
      <c r="D55" s="230"/>
      <c r="E55" s="230"/>
      <c r="F55" s="230"/>
      <c r="G55" s="230"/>
      <c r="H55" s="231"/>
      <c r="R55"/>
      <c r="S55" s="55" t="s">
        <v>251</v>
      </c>
      <c r="T55" s="55" t="s">
        <v>255</v>
      </c>
      <c r="U55" s="55" t="s">
        <v>265</v>
      </c>
      <c r="V55" s="71"/>
      <c r="W55" s="20"/>
      <c r="X55" s="20"/>
    </row>
    <row r="56" spans="1:24" s="22" customFormat="1" ht="34.5" hidden="1" customHeight="1" x14ac:dyDescent="0.25">
      <c r="A56" s="216" t="s">
        <v>275</v>
      </c>
      <c r="B56" s="217"/>
      <c r="C56" s="142" t="str">
        <f>C55</f>
        <v>Bldg No. 1 &amp; 2 = Gr + 1st to 26th Floor (83.15M Height)</v>
      </c>
      <c r="D56" s="222"/>
      <c r="E56" s="143"/>
      <c r="F56" s="17" t="s">
        <v>40</v>
      </c>
      <c r="G56" s="214">
        <f>G55</f>
        <v>0</v>
      </c>
      <c r="H56" s="215"/>
      <c r="R56"/>
      <c r="S56" s="71"/>
      <c r="T56" s="55" t="s">
        <v>256</v>
      </c>
      <c r="U56" s="55" t="s">
        <v>266</v>
      </c>
      <c r="V56" s="71"/>
      <c r="W56" s="20"/>
      <c r="X56" s="20"/>
    </row>
    <row r="57" spans="1:24" s="22" customFormat="1" ht="41.25" hidden="1" customHeight="1" x14ac:dyDescent="0.25">
      <c r="A57" s="220"/>
      <c r="B57" s="221"/>
      <c r="C57" s="142"/>
      <c r="D57" s="222"/>
      <c r="E57" s="222"/>
      <c r="F57" s="222"/>
      <c r="G57" s="222"/>
      <c r="H57" s="143"/>
      <c r="R57"/>
      <c r="S57" s="71"/>
      <c r="T57" s="55" t="s">
        <v>258</v>
      </c>
      <c r="U57" s="55" t="s">
        <v>267</v>
      </c>
      <c r="V57" s="71"/>
      <c r="W57" s="20"/>
      <c r="X57" s="20"/>
    </row>
    <row r="58" spans="1:24" s="22" customFormat="1" ht="15.75" hidden="1" customHeight="1" x14ac:dyDescent="0.25">
      <c r="A58" s="216" t="s">
        <v>344</v>
      </c>
      <c r="B58" s="217"/>
      <c r="C58" s="223"/>
      <c r="D58" s="224"/>
      <c r="E58" s="225"/>
      <c r="F58" s="17" t="s">
        <v>40</v>
      </c>
      <c r="G58" s="214"/>
      <c r="H58" s="215"/>
      <c r="R58"/>
      <c r="S58" s="71"/>
      <c r="T58" s="55" t="s">
        <v>259</v>
      </c>
      <c r="U58" s="71" t="s">
        <v>289</v>
      </c>
      <c r="V58" s="71"/>
      <c r="W58" s="20"/>
      <c r="X58" s="20"/>
    </row>
    <row r="59" spans="1:24" s="22" customFormat="1" ht="33.75" hidden="1" customHeight="1" x14ac:dyDescent="0.25">
      <c r="A59" s="218"/>
      <c r="B59" s="219"/>
      <c r="C59" s="226"/>
      <c r="D59" s="227"/>
      <c r="E59" s="228"/>
      <c r="F59" s="17" t="s">
        <v>345</v>
      </c>
      <c r="G59" s="214"/>
      <c r="H59" s="215"/>
      <c r="R59"/>
      <c r="S59" s="71"/>
      <c r="T59" s="55" t="s">
        <v>260</v>
      </c>
      <c r="U59" s="71"/>
      <c r="V59" s="71"/>
      <c r="W59" s="20"/>
      <c r="X59" s="20"/>
    </row>
    <row r="60" spans="1:24" s="22" customFormat="1" ht="33.75" hidden="1" customHeight="1" x14ac:dyDescent="0.25">
      <c r="A60" s="220"/>
      <c r="B60" s="221"/>
      <c r="C60" s="142" t="s">
        <v>367</v>
      </c>
      <c r="D60" s="222"/>
      <c r="E60" s="222"/>
      <c r="F60" s="222"/>
      <c r="G60" s="222"/>
      <c r="H60" s="143"/>
      <c r="R60"/>
      <c r="S60" s="71"/>
      <c r="T60" s="55"/>
      <c r="U60" s="71"/>
      <c r="V60" s="71"/>
      <c r="W60" s="20"/>
      <c r="X60" s="20"/>
    </row>
    <row r="61" spans="1:24" x14ac:dyDescent="0.25">
      <c r="A61" s="131" t="s">
        <v>42</v>
      </c>
      <c r="B61" s="132"/>
      <c r="C61" s="131" t="s">
        <v>102</v>
      </c>
      <c r="D61" s="133"/>
      <c r="E61" s="132"/>
      <c r="F61" s="44" t="s">
        <v>40</v>
      </c>
      <c r="G61" s="136" t="s">
        <v>28</v>
      </c>
      <c r="H61" s="137"/>
      <c r="R61"/>
      <c r="S61" s="71"/>
      <c r="T61" s="55" t="s">
        <v>262</v>
      </c>
      <c r="U61" s="71"/>
      <c r="V61" s="71"/>
    </row>
    <row r="62" spans="1:24" x14ac:dyDescent="0.25">
      <c r="A62" s="170" t="s">
        <v>44</v>
      </c>
      <c r="B62" s="170"/>
      <c r="C62" s="170"/>
      <c r="D62" s="170"/>
      <c r="E62" s="170"/>
      <c r="F62" s="170"/>
      <c r="G62" s="170"/>
      <c r="H62" s="170"/>
      <c r="S62" s="71"/>
      <c r="T62" s="55" t="s">
        <v>271</v>
      </c>
      <c r="U62" s="71"/>
      <c r="V62" s="71"/>
    </row>
    <row r="63" spans="1:24" x14ac:dyDescent="0.25">
      <c r="A63" s="134" t="s">
        <v>87</v>
      </c>
      <c r="B63" s="134"/>
      <c r="C63" s="134"/>
      <c r="D63" s="128">
        <f>E46</f>
        <v>13951.186</v>
      </c>
      <c r="E63" s="128"/>
      <c r="F63" s="128"/>
      <c r="G63" s="128"/>
      <c r="H63" s="128"/>
      <c r="R63"/>
    </row>
    <row r="64" spans="1:24" x14ac:dyDescent="0.25">
      <c r="A64" s="164" t="s">
        <v>45</v>
      </c>
      <c r="B64" s="135"/>
      <c r="C64" s="135"/>
      <c r="D64" s="135" t="s">
        <v>421</v>
      </c>
      <c r="E64" s="135"/>
      <c r="F64" s="135"/>
      <c r="G64" s="135"/>
      <c r="H64" s="135"/>
      <c r="I64" s="23"/>
      <c r="J64" s="20">
        <f>83.15/3</f>
        <v>27.716666666666669</v>
      </c>
      <c r="R64"/>
    </row>
    <row r="65" spans="1:19" ht="33" customHeight="1" x14ac:dyDescent="0.25">
      <c r="A65" s="204" t="s">
        <v>46</v>
      </c>
      <c r="B65" s="205"/>
      <c r="C65" s="250"/>
      <c r="D65" s="144" t="s">
        <v>395</v>
      </c>
      <c r="E65" s="249"/>
      <c r="F65" s="249"/>
      <c r="G65" s="249"/>
      <c r="H65" s="249"/>
      <c r="R65"/>
    </row>
    <row r="66" spans="1:19" ht="15.75" customHeight="1" x14ac:dyDescent="0.25">
      <c r="A66" s="204" t="s">
        <v>85</v>
      </c>
      <c r="B66" s="205"/>
      <c r="C66" s="205"/>
      <c r="D66" s="208" t="s">
        <v>431</v>
      </c>
      <c r="E66" s="209"/>
      <c r="F66" s="209"/>
      <c r="G66" s="209"/>
      <c r="H66" s="210"/>
      <c r="R66"/>
    </row>
    <row r="67" spans="1:19" ht="15.75" customHeight="1" x14ac:dyDescent="0.25">
      <c r="A67" s="206"/>
      <c r="B67" s="207"/>
      <c r="C67" s="207"/>
      <c r="D67" s="211" t="s">
        <v>396</v>
      </c>
      <c r="E67" s="212"/>
      <c r="F67" s="212"/>
      <c r="G67" s="212"/>
      <c r="H67" s="213"/>
      <c r="R67"/>
    </row>
    <row r="68" spans="1:19" ht="15.75" customHeight="1" x14ac:dyDescent="0.25">
      <c r="A68" s="128" t="s">
        <v>43</v>
      </c>
      <c r="B68" s="128"/>
      <c r="C68" s="128"/>
      <c r="D68" s="246" t="s">
        <v>397</v>
      </c>
      <c r="E68" s="246"/>
      <c r="F68" s="246"/>
      <c r="G68" s="246"/>
      <c r="H68" s="246"/>
      <c r="J68" s="24"/>
      <c r="K68" s="23"/>
      <c r="N68" s="23"/>
      <c r="S68"/>
    </row>
    <row r="69" spans="1:19" ht="15.75" customHeight="1" x14ac:dyDescent="0.25">
      <c r="A69" s="128" t="s">
        <v>83</v>
      </c>
      <c r="B69" s="128"/>
      <c r="C69" s="128"/>
      <c r="D69" s="247" t="str">
        <f>(IF(G61="NA","60 Years After Completion",IF(G61&lt;&gt;"NA",""&amp;60-ROUNDDOWN((E3-G61)/360,0)&amp;" Years"," ")))</f>
        <v>60 Years After Completion</v>
      </c>
      <c r="E69" s="247"/>
      <c r="F69" s="247"/>
      <c r="G69" s="247"/>
      <c r="H69" s="247"/>
      <c r="N69" s="23"/>
      <c r="S69"/>
    </row>
    <row r="70" spans="1:19" ht="15.75" customHeight="1" x14ac:dyDescent="0.25">
      <c r="A70" s="128" t="s">
        <v>84</v>
      </c>
      <c r="B70" s="128"/>
      <c r="C70" s="128"/>
      <c r="D70" s="134" t="s">
        <v>23</v>
      </c>
      <c r="E70" s="134"/>
      <c r="F70" s="134"/>
      <c r="G70" s="134"/>
      <c r="H70" s="134"/>
      <c r="J70" s="25"/>
      <c r="K70" s="25"/>
      <c r="S70"/>
    </row>
    <row r="71" spans="1:19" ht="33" customHeight="1" x14ac:dyDescent="0.25">
      <c r="A71" s="135" t="s">
        <v>399</v>
      </c>
      <c r="B71" s="135"/>
      <c r="C71" s="135"/>
      <c r="D71" s="164" t="s">
        <v>398</v>
      </c>
      <c r="E71" s="134"/>
      <c r="F71" s="134"/>
      <c r="G71" s="134"/>
      <c r="H71" s="134"/>
      <c r="S71"/>
    </row>
    <row r="72" spans="1:19" x14ac:dyDescent="0.25">
      <c r="A72" s="134" t="s">
        <v>142</v>
      </c>
      <c r="B72" s="134"/>
      <c r="C72" s="134"/>
      <c r="D72" s="134" t="s">
        <v>28</v>
      </c>
      <c r="E72" s="134"/>
      <c r="F72" s="134"/>
      <c r="G72" s="134"/>
      <c r="H72" s="134"/>
      <c r="I72" s="26"/>
      <c r="J72" s="26"/>
      <c r="K72" s="26"/>
      <c r="L72" s="26"/>
      <c r="M72" s="26"/>
      <c r="N72" s="26"/>
    </row>
    <row r="73" spans="1:19" ht="15.75" customHeight="1" x14ac:dyDescent="0.25">
      <c r="A73" s="203" t="s">
        <v>82</v>
      </c>
      <c r="B73" s="203"/>
      <c r="C73" s="203"/>
      <c r="D73" s="144" t="str">
        <f ca="1">(IF(G79&gt;95%,"Nothing",IF(G79&gt;0%,"Cement, Aggregate, Steel, etc",IF(G79=0%,"Work not yet Started"))))</f>
        <v>Cement, Aggregate, Steel, etc</v>
      </c>
      <c r="E73" s="144"/>
      <c r="F73" s="144"/>
      <c r="G73" s="144"/>
      <c r="H73" s="144"/>
      <c r="J73" s="25"/>
      <c r="S73"/>
    </row>
    <row r="74" spans="1:19" ht="33.75" customHeight="1" thickBot="1" x14ac:dyDescent="0.3">
      <c r="A74" s="202" t="s">
        <v>115</v>
      </c>
      <c r="B74" s="202"/>
      <c r="C74" s="202"/>
      <c r="D74" s="144" t="str">
        <f ca="1">(IF(D73="Nothing","Yes",IF(D73="Cement, Aggregate, Steel, etc","Under Construction",IF(D73="Work not yet Started","Work not yet Started"))))</f>
        <v>Under Construction</v>
      </c>
      <c r="E74" s="144"/>
      <c r="F74" s="144" t="str">
        <f ca="1">(IF(D73="Nothing","Yes",IF(D73="Cement, Aggregate, Steel, etc","Under Construction",IF(D73="Work not yet Started","Work not yet Started"))))</f>
        <v>Under Construction</v>
      </c>
      <c r="G74" s="144"/>
      <c r="H74" s="144"/>
      <c r="S74"/>
    </row>
    <row r="75" spans="1:19" ht="15.75" customHeight="1" x14ac:dyDescent="0.25">
      <c r="A75" s="195" t="s">
        <v>134</v>
      </c>
      <c r="B75" s="196"/>
      <c r="C75" s="197" t="str">
        <f>D66</f>
        <v>Building No. 1 = G + 1st Floor</v>
      </c>
      <c r="D75" s="198"/>
      <c r="E75" s="198"/>
      <c r="F75" s="198"/>
      <c r="G75" s="198"/>
      <c r="H75" s="199"/>
      <c r="I75" s="48" t="str">
        <f ca="1">IF(D88=100%,"All work Completed. Possession granted to the Building.",IF(D87=100%,"All work Completed, Waiting for OC",I76&amp;""&amp;I77&amp;""&amp;J76&amp;""&amp;J75&amp;" "&amp;J77))</f>
        <v xml:space="preserve">Excavation, Plinth Completed </v>
      </c>
      <c r="J75" s="49"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15" t="s">
        <v>136</v>
      </c>
      <c r="B76" s="46">
        <f>IF(AND(ISNUMBER(SEARCH("1B",C75))),1,IF(AND(ISNUMBER(SEARCH("2B",C75))),2,IF(AND(ISNUMBER(SEARCH("3B",C75))),3,IF(AND(ISNUMBER(SEARCH("4B",C75))),4,IF(ISNUMBER(SEARCH("5B",C75)),5,0)))))</f>
        <v>0</v>
      </c>
      <c r="C76" s="46" t="s">
        <v>68</v>
      </c>
      <c r="D76" s="46">
        <v>1</v>
      </c>
      <c r="E76" s="46" t="s">
        <v>67</v>
      </c>
      <c r="F76" s="46">
        <v>0</v>
      </c>
      <c r="G76" s="47" t="s">
        <v>76</v>
      </c>
      <c r="H76" s="16">
        <f ca="1">--TRIM(RIGHT(SUBSTITUTE(LEFT(C75,_xlfn.AGGREGATE(16,6,FIND({0,1,2,3,4,5,6,7,8,9},C75,ROW(INDIRECT("1:"&amp;LEN(C75)))),1))," ",REPT(" ",LEN(C75))),LEN(C75)))</f>
        <v>1</v>
      </c>
      <c r="I76" s="50" t="str">
        <f ca="1">IF(D79=100%,"Excavation","")&amp;IF(D80=100%,", Plinth","")&amp;IF(D81=100%,", RCC Slab","")&amp;IF(D82=100%,", Brickwork","")&amp;IF(D83=100%,", Internal Plaster","")&amp;IF(D84=100%,", External Plaster","")&amp;IF(D85=100%,", Flooring","")&amp;IF(D86=100%,", Painting","")&amp;IF(D87=100%,", Building common Amenities","")</f>
        <v>Excavation, Plinth</v>
      </c>
      <c r="J76" s="51"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25">
      <c r="A77" s="193" t="s">
        <v>86</v>
      </c>
      <c r="B77" s="194"/>
      <c r="C77" s="200" t="str">
        <f ca="1">I75</f>
        <v xml:space="preserve">Excavation, Plinth Completed </v>
      </c>
      <c r="D77" s="200"/>
      <c r="E77" s="200"/>
      <c r="F77" s="200"/>
      <c r="G77" s="200"/>
      <c r="H77" s="201"/>
      <c r="I77" s="50" t="str">
        <f ca="1">IF(I76&lt;&gt;""," Completed","")</f>
        <v xml:space="preserve"> Completed</v>
      </c>
      <c r="J77" s="51" t="str">
        <f ca="1">IF(J75&lt;&gt;"","Completed","")</f>
        <v/>
      </c>
      <c r="S77"/>
    </row>
    <row r="78" spans="1:19" ht="15.75" customHeight="1" x14ac:dyDescent="0.25">
      <c r="A78" s="103" t="s">
        <v>47</v>
      </c>
      <c r="B78" s="101"/>
      <c r="C78" s="42" t="s">
        <v>133</v>
      </c>
      <c r="D78" s="42" t="s">
        <v>79</v>
      </c>
      <c r="E78" s="101" t="s">
        <v>81</v>
      </c>
      <c r="F78" s="101"/>
      <c r="G78" s="101" t="s">
        <v>80</v>
      </c>
      <c r="H78" s="102"/>
      <c r="I78" s="13" t="s">
        <v>135</v>
      </c>
      <c r="J78" s="27">
        <f ca="1">H76*25%</f>
        <v>0.25</v>
      </c>
      <c r="S78"/>
    </row>
    <row r="79" spans="1:19" x14ac:dyDescent="0.25">
      <c r="A79" s="103" t="s">
        <v>122</v>
      </c>
      <c r="B79" s="101"/>
      <c r="C79" s="98">
        <f ca="1">J80</f>
        <v>1</v>
      </c>
      <c r="D79" s="18">
        <f ca="1">((100/H76)*C79)/100</f>
        <v>1</v>
      </c>
      <c r="E79" s="114">
        <f ca="1">(((C80/H76*10)+(40/(D76+F76+H76)*C81)+(7.5/(H76)*C82)+(7.5/(H76)*C83)+(10/H76*C84)+(10/H76*C85)+(5/H76*C86)+(5/H76*C87)+(5/H76*C88))/100)</f>
        <v>0.1</v>
      </c>
      <c r="F79" s="115"/>
      <c r="G79" s="114">
        <f ca="1">((((C79/H76)*20)+((C80/H76)*25)+(30/(H76+F76+D76)*C81)+(5/H76*C82)+(5/H76*C83)+(5/H76*C84)+(5/H76*C85)+(0/H76*C86)+(0/H76*C87)+(5/H76*C88))/100)</f>
        <v>0.45</v>
      </c>
      <c r="H79" s="120"/>
      <c r="I79" s="13" t="s">
        <v>97</v>
      </c>
      <c r="J79" s="28">
        <f ca="1">H76*50%</f>
        <v>0.5</v>
      </c>
    </row>
    <row r="80" spans="1:19" x14ac:dyDescent="0.25">
      <c r="A80" s="103" t="s">
        <v>48</v>
      </c>
      <c r="B80" s="101"/>
      <c r="C80" s="100">
        <f ca="1">J88</f>
        <v>1</v>
      </c>
      <c r="D80" s="18">
        <f ca="1">((100/H76)*C80)/100</f>
        <v>1</v>
      </c>
      <c r="E80" s="116"/>
      <c r="F80" s="117"/>
      <c r="G80" s="116"/>
      <c r="H80" s="121"/>
      <c r="I80" s="13" t="s">
        <v>98</v>
      </c>
      <c r="J80" s="28">
        <f ca="1">H76</f>
        <v>1</v>
      </c>
      <c r="S80"/>
    </row>
    <row r="81" spans="1:19" ht="15.75" customHeight="1" x14ac:dyDescent="0.25">
      <c r="A81" s="103" t="s">
        <v>123</v>
      </c>
      <c r="B81" s="101"/>
      <c r="C81" s="42">
        <v>0</v>
      </c>
      <c r="D81" s="18">
        <f ca="1">((100/(D76+F76+H76))*C81)/100</f>
        <v>0</v>
      </c>
      <c r="E81" s="116"/>
      <c r="F81" s="117"/>
      <c r="G81" s="116"/>
      <c r="H81" s="121"/>
      <c r="I81" s="13" t="s">
        <v>99</v>
      </c>
      <c r="J81" s="29">
        <f ca="1">(IF(B76&gt;1,(H76/(B76+2)),H76/4))</f>
        <v>0.25</v>
      </c>
      <c r="S81"/>
    </row>
    <row r="82" spans="1:19" ht="15.75" customHeight="1" x14ac:dyDescent="0.25">
      <c r="A82" s="103" t="s">
        <v>130</v>
      </c>
      <c r="B82" s="101" t="s">
        <v>124</v>
      </c>
      <c r="C82" s="42">
        <v>0</v>
      </c>
      <c r="D82" s="18">
        <f ca="1">((100/H76)*C82)/100</f>
        <v>0</v>
      </c>
      <c r="E82" s="116"/>
      <c r="F82" s="117"/>
      <c r="G82" s="116"/>
      <c r="H82" s="121"/>
      <c r="I82" s="13" t="s">
        <v>100</v>
      </c>
      <c r="J82" s="29">
        <f ca="1">(IF(B76&gt;1,(H76/(B76+2)+J81),H76/4+J81))</f>
        <v>0.5</v>
      </c>
    </row>
    <row r="83" spans="1:19" ht="15.75" customHeight="1" x14ac:dyDescent="0.25">
      <c r="A83" s="103" t="s">
        <v>131</v>
      </c>
      <c r="B83" s="101" t="s">
        <v>124</v>
      </c>
      <c r="C83" s="42">
        <v>0</v>
      </c>
      <c r="D83" s="18">
        <f ca="1">((100/H76)*C83)/100</f>
        <v>0</v>
      </c>
      <c r="E83" s="116"/>
      <c r="F83" s="117"/>
      <c r="G83" s="116"/>
      <c r="H83" s="121"/>
      <c r="I83" s="13" t="s">
        <v>140</v>
      </c>
      <c r="J83" s="29">
        <f>(IF(B76&gt;1,(H76/(B76+2)+J82),0))</f>
        <v>0</v>
      </c>
    </row>
    <row r="84" spans="1:19" ht="15" customHeight="1" x14ac:dyDescent="0.25">
      <c r="A84" s="103" t="s">
        <v>129</v>
      </c>
      <c r="B84" s="101" t="s">
        <v>126</v>
      </c>
      <c r="C84" s="42">
        <v>0</v>
      </c>
      <c r="D84" s="18">
        <f ca="1">((100/(H76))*C84)/100</f>
        <v>0</v>
      </c>
      <c r="E84" s="116"/>
      <c r="F84" s="117"/>
      <c r="G84" s="116"/>
      <c r="H84" s="121"/>
      <c r="I84" s="13" t="s">
        <v>137</v>
      </c>
      <c r="J84" s="29">
        <f>(IF(B76&gt;2,(H76/(B76+2)+J83),0))</f>
        <v>0</v>
      </c>
    </row>
    <row r="85" spans="1:19" ht="15.75" customHeight="1" x14ac:dyDescent="0.25">
      <c r="A85" s="103" t="s">
        <v>125</v>
      </c>
      <c r="B85" s="101" t="s">
        <v>125</v>
      </c>
      <c r="C85" s="42">
        <v>0</v>
      </c>
      <c r="D85" s="18">
        <f ca="1">((100/H76)*C85)/100</f>
        <v>0</v>
      </c>
      <c r="E85" s="116"/>
      <c r="F85" s="117"/>
      <c r="G85" s="116"/>
      <c r="H85" s="121"/>
      <c r="I85" s="13" t="s">
        <v>138</v>
      </c>
      <c r="J85" s="30">
        <f>(IF(B76&gt;3,(H76/(B76+2)+J84),0))</f>
        <v>0</v>
      </c>
    </row>
    <row r="86" spans="1:19" ht="15.75" customHeight="1" x14ac:dyDescent="0.25">
      <c r="A86" s="103" t="s">
        <v>132</v>
      </c>
      <c r="B86" s="101"/>
      <c r="C86" s="42">
        <v>0</v>
      </c>
      <c r="D86" s="18">
        <f ca="1">((100/H76)*C86)/100</f>
        <v>0</v>
      </c>
      <c r="E86" s="116"/>
      <c r="F86" s="117"/>
      <c r="G86" s="116"/>
      <c r="H86" s="121"/>
      <c r="I86" s="13" t="s">
        <v>139</v>
      </c>
      <c r="J86" s="29">
        <f>(IF(B76&gt;4,(H76/(B76+2)+J85),0))</f>
        <v>0</v>
      </c>
    </row>
    <row r="87" spans="1:19" ht="15.75" customHeight="1" x14ac:dyDescent="0.25">
      <c r="A87" s="103" t="s">
        <v>127</v>
      </c>
      <c r="B87" s="101" t="s">
        <v>127</v>
      </c>
      <c r="C87" s="42">
        <v>0</v>
      </c>
      <c r="D87" s="18">
        <f ca="1">((100/(H76))*C87)/100</f>
        <v>0</v>
      </c>
      <c r="E87" s="116"/>
      <c r="F87" s="117"/>
      <c r="G87" s="116"/>
      <c r="H87" s="121"/>
      <c r="I87" s="13" t="s">
        <v>141</v>
      </c>
      <c r="J87" s="29">
        <f ca="1">(IF(B76=1,(H76/(B76+3)+J82),IF(B76=0,(H76/4+J82),IF(B76&gt;1,0))))</f>
        <v>0.75</v>
      </c>
    </row>
    <row r="88" spans="1:19" ht="16.5" thickBot="1" x14ac:dyDescent="0.3">
      <c r="A88" s="104" t="s">
        <v>128</v>
      </c>
      <c r="B88" s="105"/>
      <c r="C88" s="43">
        <v>0</v>
      </c>
      <c r="D88" s="19">
        <f ca="1">((100/(H76))*C88)/100</f>
        <v>0</v>
      </c>
      <c r="E88" s="118"/>
      <c r="F88" s="119"/>
      <c r="G88" s="118"/>
      <c r="H88" s="122"/>
      <c r="I88" s="14" t="s">
        <v>101</v>
      </c>
      <c r="J88" s="31">
        <f ca="1">(IF(B76&gt;1.5,(H76/(B76+2)+J82+MAX(0,J83-J82)+MAX(0,J84-J83)+MAX(0,J85-J84)+MAX(0,J86-J85)+MAX(0,J87-J86)),IF(B76=1,(H76/(B76+3)+J87),IF(B76=0,H76/4+J87))))</f>
        <v>1</v>
      </c>
    </row>
    <row r="89" spans="1:19" ht="15.75" customHeight="1" x14ac:dyDescent="0.25">
      <c r="A89" s="195" t="s">
        <v>134</v>
      </c>
      <c r="B89" s="196"/>
      <c r="C89" s="197" t="str">
        <f>D67</f>
        <v>Building No. 2 = G + 1st to 27th Floor</v>
      </c>
      <c r="D89" s="198"/>
      <c r="E89" s="198"/>
      <c r="F89" s="198"/>
      <c r="G89" s="198"/>
      <c r="H89" s="199"/>
      <c r="I89" s="48" t="str">
        <f ca="1">IF(D102=100%,"All work Completed. Possession granted to the Building.",IF(D101=100%,"All work Completed, Waiting for OC",I90&amp;""&amp;I91&amp;""&amp;J90&amp;""&amp;J89&amp;" "&amp;J91))</f>
        <v xml:space="preserve">Excavation Completed, Footing work Completed </v>
      </c>
      <c r="J89" s="49"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x14ac:dyDescent="0.25">
      <c r="A90" s="15" t="s">
        <v>136</v>
      </c>
      <c r="B90" s="46">
        <f>IF(AND(ISNUMBER(SEARCH("1B",C89))),1,IF(AND(ISNUMBER(SEARCH("2B",C89))),2,IF(AND(ISNUMBER(SEARCH("3B",C89))),3,IF(AND(ISNUMBER(SEARCH("4B",C89))),4,IF(ISNUMBER(SEARCH("5B",C89)),5,0)))))</f>
        <v>0</v>
      </c>
      <c r="C90" s="46" t="s">
        <v>68</v>
      </c>
      <c r="D90" s="46">
        <v>1</v>
      </c>
      <c r="E90" s="46" t="s">
        <v>67</v>
      </c>
      <c r="F90" s="46">
        <v>0</v>
      </c>
      <c r="G90" s="47" t="s">
        <v>76</v>
      </c>
      <c r="H90" s="16">
        <f ca="1">--TRIM(RIGHT(SUBSTITUTE(LEFT(C89,_xlfn.AGGREGATE(16,6,FIND({0,1,2,3,4,5,6,7,8,9},C89,ROW(INDIRECT("1:"&amp;LEN(C89)))),1))," ",REPT(" ",LEN(C89))),LEN(C89)))</f>
        <v>27</v>
      </c>
      <c r="I90" s="50" t="str">
        <f ca="1">IF(D93=100%,"Excavation","")&amp;IF(D94=100%,", Plinth","")&amp;IF(D95=100%,", RCC Slab","")&amp;IF(D96=100%,", Brickwork","")&amp;IF(D97=100%,", Internal Plaster","")&amp;IF(D98=100%,", External Plaster","")&amp;IF(D99=100%,", Flooring","")&amp;IF(D100=100%,", Painting","")&amp;IF(D101=100%,", Building common Amenities","")</f>
        <v>Excavation</v>
      </c>
      <c r="J90" s="51"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Footing work Completed</v>
      </c>
      <c r="S90"/>
    </row>
    <row r="91" spans="1:19" x14ac:dyDescent="0.25">
      <c r="A91" s="193" t="s">
        <v>86</v>
      </c>
      <c r="B91" s="194"/>
      <c r="C91" s="200" t="str">
        <f ca="1">I89</f>
        <v xml:space="preserve">Excavation Completed, Footing work Completed </v>
      </c>
      <c r="D91" s="200"/>
      <c r="E91" s="200"/>
      <c r="F91" s="200"/>
      <c r="G91" s="200"/>
      <c r="H91" s="201"/>
      <c r="I91" s="50" t="str">
        <f ca="1">IF(I90&lt;&gt;""," Completed","")</f>
        <v xml:space="preserve"> Completed</v>
      </c>
      <c r="J91" s="51" t="str">
        <f ca="1">IF(J89&lt;&gt;"","Completed","")</f>
        <v/>
      </c>
      <c r="S91"/>
    </row>
    <row r="92" spans="1:19" ht="15.75" customHeight="1" x14ac:dyDescent="0.25">
      <c r="A92" s="103" t="s">
        <v>47</v>
      </c>
      <c r="B92" s="101"/>
      <c r="C92" s="42" t="s">
        <v>133</v>
      </c>
      <c r="D92" s="42" t="s">
        <v>79</v>
      </c>
      <c r="E92" s="101" t="s">
        <v>81</v>
      </c>
      <c r="F92" s="101"/>
      <c r="G92" s="101" t="s">
        <v>80</v>
      </c>
      <c r="H92" s="102"/>
      <c r="I92" s="13" t="s">
        <v>135</v>
      </c>
      <c r="J92" s="27">
        <f ca="1">H90*25%</f>
        <v>6.75</v>
      </c>
      <c r="S92"/>
    </row>
    <row r="93" spans="1:19" x14ac:dyDescent="0.25">
      <c r="A93" s="103" t="s">
        <v>122</v>
      </c>
      <c r="B93" s="101"/>
      <c r="C93" s="98">
        <f ca="1">J94</f>
        <v>27</v>
      </c>
      <c r="D93" s="18">
        <f ca="1">((100/H90)*C93)/100</f>
        <v>1</v>
      </c>
      <c r="E93" s="114">
        <f ca="1">(((C94/H90*10)+(40/(D90+F90+H90)*C95)+(7.5/(H90)*C96)+(7.5/(H90)*C97)+(10/H90*C98)+(10/H90*C99)+(5/H90*C100)+(5/H90*C101)+(5/H90*C102))/100)</f>
        <v>0.05</v>
      </c>
      <c r="F93" s="115"/>
      <c r="G93" s="114">
        <f ca="1">((((C93/H90)*20)+((C94/H90)*25)+(30/(H90+F90+D90)*C95)+(5/H90*C96)+(5/H90*C97)+(5/H90*C98)+(5/H90*C99)+(0/H90*C100)+(0/H90*C101)+(5/H90*C102))/100)</f>
        <v>0.32500000000000001</v>
      </c>
      <c r="H93" s="120"/>
      <c r="I93" s="13" t="s">
        <v>97</v>
      </c>
      <c r="J93" s="28">
        <f ca="1">H90*50%</f>
        <v>13.5</v>
      </c>
    </row>
    <row r="94" spans="1:19" x14ac:dyDescent="0.25">
      <c r="A94" s="103" t="s">
        <v>48</v>
      </c>
      <c r="B94" s="101"/>
      <c r="C94" s="99">
        <f ca="1">J96</f>
        <v>13.5</v>
      </c>
      <c r="D94" s="18">
        <f ca="1">((100/H90)*C94)/100</f>
        <v>0.5</v>
      </c>
      <c r="E94" s="116"/>
      <c r="F94" s="117"/>
      <c r="G94" s="116"/>
      <c r="H94" s="121"/>
      <c r="I94" s="13" t="s">
        <v>98</v>
      </c>
      <c r="J94" s="28">
        <f ca="1">H90</f>
        <v>27</v>
      </c>
      <c r="S94"/>
    </row>
    <row r="95" spans="1:19" ht="15.75" customHeight="1" x14ac:dyDescent="0.25">
      <c r="A95" s="103" t="s">
        <v>123</v>
      </c>
      <c r="B95" s="101"/>
      <c r="C95" s="42">
        <v>0</v>
      </c>
      <c r="D95" s="18">
        <f ca="1">((100/(D90+F90+H90))*C95)/100</f>
        <v>0</v>
      </c>
      <c r="E95" s="116"/>
      <c r="F95" s="117"/>
      <c r="G95" s="116"/>
      <c r="H95" s="121"/>
      <c r="I95" s="13" t="s">
        <v>99</v>
      </c>
      <c r="J95" s="29">
        <f ca="1">(IF(B90&gt;1,(H90/(B90+2)),H90/4))</f>
        <v>6.75</v>
      </c>
      <c r="S95"/>
    </row>
    <row r="96" spans="1:19" ht="15.75" customHeight="1" x14ac:dyDescent="0.25">
      <c r="A96" s="103" t="s">
        <v>130</v>
      </c>
      <c r="B96" s="101" t="s">
        <v>124</v>
      </c>
      <c r="C96" s="42">
        <v>0</v>
      </c>
      <c r="D96" s="18">
        <f ca="1">((100/H90)*C96)/100</f>
        <v>0</v>
      </c>
      <c r="E96" s="116"/>
      <c r="F96" s="117"/>
      <c r="G96" s="116"/>
      <c r="H96" s="121"/>
      <c r="I96" s="13" t="s">
        <v>100</v>
      </c>
      <c r="J96" s="29">
        <f ca="1">(IF(B90&gt;1,(H90/(B90+2)+J95),H90/4+J95))</f>
        <v>13.5</v>
      </c>
    </row>
    <row r="97" spans="1:22" ht="15.75" customHeight="1" x14ac:dyDescent="0.25">
      <c r="A97" s="103" t="s">
        <v>131</v>
      </c>
      <c r="B97" s="101" t="s">
        <v>124</v>
      </c>
      <c r="C97" s="42">
        <v>0</v>
      </c>
      <c r="D97" s="18">
        <f ca="1">((100/H90)*C97)/100</f>
        <v>0</v>
      </c>
      <c r="E97" s="116"/>
      <c r="F97" s="117"/>
      <c r="G97" s="116"/>
      <c r="H97" s="121"/>
      <c r="I97" s="13" t="s">
        <v>140</v>
      </c>
      <c r="J97" s="29">
        <f>(IF(B90&gt;1,(H90/(B90+2)+J96),0))</f>
        <v>0</v>
      </c>
    </row>
    <row r="98" spans="1:22" ht="15" customHeight="1" x14ac:dyDescent="0.25">
      <c r="A98" s="103" t="s">
        <v>129</v>
      </c>
      <c r="B98" s="101" t="s">
        <v>126</v>
      </c>
      <c r="C98" s="42">
        <v>0</v>
      </c>
      <c r="D98" s="18">
        <f ca="1">((100/(H90))*C98)/100</f>
        <v>0</v>
      </c>
      <c r="E98" s="116"/>
      <c r="F98" s="117"/>
      <c r="G98" s="116"/>
      <c r="H98" s="121"/>
      <c r="I98" s="13" t="s">
        <v>137</v>
      </c>
      <c r="J98" s="29">
        <f>(IF(B90&gt;2,(H90/(B90+2)+J97),0))</f>
        <v>0</v>
      </c>
    </row>
    <row r="99" spans="1:22" ht="15.75" customHeight="1" x14ac:dyDescent="0.25">
      <c r="A99" s="103" t="s">
        <v>125</v>
      </c>
      <c r="B99" s="101" t="s">
        <v>125</v>
      </c>
      <c r="C99" s="42">
        <v>0</v>
      </c>
      <c r="D99" s="18">
        <f ca="1">((100/H90)*C99)/100</f>
        <v>0</v>
      </c>
      <c r="E99" s="116"/>
      <c r="F99" s="117"/>
      <c r="G99" s="116"/>
      <c r="H99" s="121"/>
      <c r="I99" s="13" t="s">
        <v>138</v>
      </c>
      <c r="J99" s="30">
        <f>(IF(B90&gt;3,(H90/(B90+2)+J98),0))</f>
        <v>0</v>
      </c>
    </row>
    <row r="100" spans="1:22" ht="15.75" customHeight="1" x14ac:dyDescent="0.25">
      <c r="A100" s="103" t="s">
        <v>132</v>
      </c>
      <c r="B100" s="101"/>
      <c r="C100" s="42">
        <v>0</v>
      </c>
      <c r="D100" s="18">
        <f ca="1">((100/H90)*C100)/100</f>
        <v>0</v>
      </c>
      <c r="E100" s="116"/>
      <c r="F100" s="117"/>
      <c r="G100" s="116"/>
      <c r="H100" s="121"/>
      <c r="I100" s="13" t="s">
        <v>139</v>
      </c>
      <c r="J100" s="29">
        <f>(IF(B90&gt;4,(H90/(B90+2)+J99),0))</f>
        <v>0</v>
      </c>
    </row>
    <row r="101" spans="1:22" ht="15.75" customHeight="1" x14ac:dyDescent="0.25">
      <c r="A101" s="103" t="s">
        <v>127</v>
      </c>
      <c r="B101" s="101" t="s">
        <v>127</v>
      </c>
      <c r="C101" s="42">
        <v>0</v>
      </c>
      <c r="D101" s="18">
        <f ca="1">((100/(H90))*C101)/100</f>
        <v>0</v>
      </c>
      <c r="E101" s="116"/>
      <c r="F101" s="117"/>
      <c r="G101" s="116"/>
      <c r="H101" s="121"/>
      <c r="I101" s="13" t="s">
        <v>141</v>
      </c>
      <c r="J101" s="29">
        <f ca="1">(IF(B90=1,(H90/(B90+3)+J96),IF(B90=0,(H90/4+J96),IF(B90&gt;1,0))))</f>
        <v>20.25</v>
      </c>
    </row>
    <row r="102" spans="1:22" ht="16.5" thickBot="1" x14ac:dyDescent="0.3">
      <c r="A102" s="104" t="s">
        <v>128</v>
      </c>
      <c r="B102" s="105"/>
      <c r="C102" s="43">
        <v>0</v>
      </c>
      <c r="D102" s="19">
        <f ca="1">((100/(H90))*C102)/100</f>
        <v>0</v>
      </c>
      <c r="E102" s="118"/>
      <c r="F102" s="119"/>
      <c r="G102" s="118"/>
      <c r="H102" s="122"/>
      <c r="I102" s="14" t="s">
        <v>101</v>
      </c>
      <c r="J102" s="31">
        <f ca="1">(IF(B90&gt;1.5,(H90/(B90+2)+J96+MAX(0,J97-J96)+MAX(0,J98-J97)+MAX(0,J99-J98)+MAX(0,J100-J99)+MAX(0,J101-J100)),IF(B90=1,(H90/(B90+3)+J101),IF(B90=0,H90/4+J101))))</f>
        <v>27</v>
      </c>
    </row>
    <row r="103" spans="1:22" x14ac:dyDescent="0.25">
      <c r="A103" s="257" t="s">
        <v>150</v>
      </c>
      <c r="B103" s="257"/>
      <c r="C103" s="257"/>
      <c r="D103" s="257"/>
      <c r="E103" s="257"/>
      <c r="F103" s="113" t="s">
        <v>154</v>
      </c>
      <c r="G103" s="113"/>
      <c r="H103" s="113"/>
      <c r="R103" t="s">
        <v>246</v>
      </c>
      <c r="S103" t="s">
        <v>165</v>
      </c>
      <c r="T103" t="s">
        <v>173</v>
      </c>
      <c r="U103" t="s">
        <v>187</v>
      </c>
      <c r="V103" t="s">
        <v>182</v>
      </c>
    </row>
    <row r="104" spans="1:22" x14ac:dyDescent="0.25">
      <c r="A104" s="128" t="s">
        <v>152</v>
      </c>
      <c r="B104" s="128"/>
      <c r="C104" s="128"/>
      <c r="D104" s="128"/>
      <c r="E104" s="128"/>
      <c r="F104" s="108">
        <v>5500</v>
      </c>
      <c r="G104" s="108"/>
      <c r="H104" s="108"/>
      <c r="R104"/>
      <c r="S104">
        <v>800000</v>
      </c>
      <c r="T104">
        <v>150000</v>
      </c>
      <c r="U104">
        <v>100000</v>
      </c>
      <c r="V104">
        <v>100000</v>
      </c>
    </row>
    <row r="105" spans="1:22" x14ac:dyDescent="0.25">
      <c r="A105" s="128" t="s">
        <v>151</v>
      </c>
      <c r="B105" s="128"/>
      <c r="C105" s="128"/>
      <c r="D105" s="128"/>
      <c r="E105" s="128"/>
      <c r="F105" s="108">
        <v>7500</v>
      </c>
      <c r="G105" s="108"/>
      <c r="H105" s="108"/>
      <c r="R105"/>
      <c r="S105">
        <v>900000</v>
      </c>
      <c r="T105">
        <v>200000</v>
      </c>
      <c r="U105">
        <v>150000</v>
      </c>
      <c r="V105">
        <v>150000</v>
      </c>
    </row>
    <row r="106" spans="1:22" hidden="1" x14ac:dyDescent="0.25">
      <c r="A106" s="128" t="s">
        <v>153</v>
      </c>
      <c r="B106" s="128"/>
      <c r="C106" s="128"/>
      <c r="D106" s="128"/>
      <c r="E106" s="128"/>
      <c r="F106" s="108"/>
      <c r="G106" s="108"/>
      <c r="H106" s="108"/>
      <c r="R106"/>
      <c r="S106">
        <v>1000000</v>
      </c>
      <c r="T106">
        <v>250000</v>
      </c>
      <c r="U106">
        <v>200000</v>
      </c>
      <c r="V106">
        <v>200000</v>
      </c>
    </row>
    <row r="107" spans="1:22" s="32" customFormat="1" hidden="1" x14ac:dyDescent="0.25">
      <c r="A107" s="128" t="s">
        <v>168</v>
      </c>
      <c r="B107" s="128"/>
      <c r="C107" s="128"/>
      <c r="D107" s="128"/>
      <c r="E107" s="128"/>
      <c r="F107" s="108"/>
      <c r="G107" s="108"/>
      <c r="H107" s="108"/>
      <c r="R107"/>
      <c r="S107">
        <v>1100000</v>
      </c>
      <c r="T107">
        <v>300000</v>
      </c>
      <c r="U107">
        <v>250000</v>
      </c>
      <c r="V107" s="22">
        <v>250000</v>
      </c>
    </row>
    <row r="108" spans="1:22" s="32" customFormat="1" hidden="1" x14ac:dyDescent="0.25">
      <c r="A108" s="128" t="s">
        <v>91</v>
      </c>
      <c r="B108" s="128"/>
      <c r="C108" s="128"/>
      <c r="D108" s="128"/>
      <c r="E108" s="128"/>
      <c r="F108" s="108"/>
      <c r="G108" s="108"/>
      <c r="H108" s="108"/>
      <c r="R108"/>
      <c r="S108">
        <v>1200000</v>
      </c>
      <c r="T108">
        <v>350000</v>
      </c>
      <c r="U108">
        <v>300000</v>
      </c>
      <c r="V108">
        <v>300000</v>
      </c>
    </row>
    <row r="109" spans="1:22" s="32" customFormat="1" hidden="1" x14ac:dyDescent="0.25">
      <c r="A109" s="128" t="s">
        <v>92</v>
      </c>
      <c r="B109" s="128"/>
      <c r="C109" s="128"/>
      <c r="D109" s="128"/>
      <c r="E109" s="128"/>
      <c r="F109" s="108"/>
      <c r="G109" s="108"/>
      <c r="H109" s="108"/>
      <c r="R109"/>
      <c r="S109">
        <v>1300000</v>
      </c>
      <c r="T109">
        <v>400000</v>
      </c>
      <c r="U109">
        <v>350000</v>
      </c>
      <c r="V109" s="22">
        <v>400000</v>
      </c>
    </row>
    <row r="110" spans="1:22" s="32" customFormat="1" hidden="1" x14ac:dyDescent="0.25">
      <c r="A110" s="128" t="s">
        <v>93</v>
      </c>
      <c r="B110" s="128"/>
      <c r="C110" s="128"/>
      <c r="D110" s="128"/>
      <c r="E110" s="128"/>
      <c r="F110" s="108"/>
      <c r="G110" s="108"/>
      <c r="H110" s="108"/>
      <c r="R110"/>
      <c r="S110">
        <v>1400000</v>
      </c>
      <c r="T110">
        <v>500000</v>
      </c>
      <c r="U110">
        <v>400000</v>
      </c>
      <c r="V110"/>
    </row>
    <row r="111" spans="1:22" s="32" customFormat="1" hidden="1" x14ac:dyDescent="0.25">
      <c r="A111" s="128" t="s">
        <v>94</v>
      </c>
      <c r="B111" s="128"/>
      <c r="C111" s="128"/>
      <c r="D111" s="128"/>
      <c r="E111" s="128"/>
      <c r="F111" s="108"/>
      <c r="G111" s="108"/>
      <c r="H111" s="108"/>
      <c r="R111"/>
      <c r="S111">
        <v>1500000</v>
      </c>
      <c r="T111">
        <v>600000</v>
      </c>
      <c r="U111">
        <v>500000</v>
      </c>
      <c r="V111" s="22"/>
    </row>
    <row r="112" spans="1:22" s="32" customFormat="1" hidden="1" x14ac:dyDescent="0.25">
      <c r="A112" s="128" t="s">
        <v>95</v>
      </c>
      <c r="B112" s="128"/>
      <c r="C112" s="128"/>
      <c r="D112" s="128"/>
      <c r="E112" s="128"/>
      <c r="F112" s="108"/>
      <c r="G112" s="108"/>
      <c r="H112" s="108"/>
      <c r="R112"/>
      <c r="S112">
        <v>1600000</v>
      </c>
      <c r="T112">
        <v>700000</v>
      </c>
      <c r="U112">
        <v>600000</v>
      </c>
      <c r="V112"/>
    </row>
    <row r="113" spans="1:22" s="32" customFormat="1" hidden="1" x14ac:dyDescent="0.25">
      <c r="A113" s="128" t="s">
        <v>96</v>
      </c>
      <c r="B113" s="128"/>
      <c r="C113" s="128"/>
      <c r="D113" s="128"/>
      <c r="E113" s="128"/>
      <c r="F113" s="108"/>
      <c r="G113" s="108"/>
      <c r="H113" s="108"/>
      <c r="R113"/>
      <c r="S113">
        <v>1700000</v>
      </c>
      <c r="T113">
        <v>800000</v>
      </c>
      <c r="U113"/>
      <c r="V113" s="22"/>
    </row>
    <row r="114" spans="1:22" x14ac:dyDescent="0.25">
      <c r="A114" s="128" t="s">
        <v>49</v>
      </c>
      <c r="B114" s="128"/>
      <c r="C114" s="128"/>
      <c r="D114" s="128"/>
      <c r="E114" s="128"/>
      <c r="F114" s="108">
        <v>250000</v>
      </c>
      <c r="G114" s="108"/>
      <c r="H114" s="108"/>
      <c r="R114"/>
      <c r="S114">
        <v>1800000</v>
      </c>
      <c r="T114">
        <v>900000</v>
      </c>
      <c r="U114"/>
    </row>
    <row r="115" spans="1:22" s="33" customFormat="1" x14ac:dyDescent="0.25">
      <c r="A115" s="167" t="s">
        <v>50</v>
      </c>
      <c r="B115" s="167"/>
      <c r="C115" s="167"/>
      <c r="D115" s="167"/>
      <c r="E115" s="167"/>
      <c r="F115" s="168">
        <f>F104*0.8</f>
        <v>4400</v>
      </c>
      <c r="G115" s="168"/>
      <c r="H115" s="168"/>
      <c r="R115" s="20"/>
      <c r="S115" s="20"/>
      <c r="T115">
        <v>1000000</v>
      </c>
      <c r="U115"/>
      <c r="V115" s="20"/>
    </row>
    <row r="116" spans="1:22" s="34" customFormat="1" ht="15.75" customHeight="1" x14ac:dyDescent="0.25">
      <c r="A116" s="157" t="s">
        <v>71</v>
      </c>
      <c r="B116" s="157"/>
      <c r="C116" s="157"/>
      <c r="D116" s="157"/>
      <c r="E116" s="157"/>
      <c r="F116" s="157"/>
      <c r="G116" s="157"/>
      <c r="H116" s="157"/>
      <c r="R116"/>
      <c r="S116" s="20"/>
      <c r="T116"/>
      <c r="U116"/>
      <c r="V116" s="20"/>
    </row>
    <row r="117" spans="1:22" s="34" customFormat="1" ht="15.75" customHeight="1" x14ac:dyDescent="0.25">
      <c r="A117" s="127" t="s">
        <v>51</v>
      </c>
      <c r="B117" s="127"/>
      <c r="C117" s="110" t="s">
        <v>74</v>
      </c>
      <c r="D117" s="110"/>
      <c r="E117" s="106" t="s">
        <v>52</v>
      </c>
      <c r="F117" s="106"/>
      <c r="G117" s="127" t="s">
        <v>53</v>
      </c>
      <c r="H117" s="127"/>
      <c r="R117"/>
      <c r="S117" s="20"/>
      <c r="T117"/>
      <c r="U117" s="20"/>
      <c r="V117" s="20"/>
    </row>
    <row r="118" spans="1:22" s="34" customFormat="1" x14ac:dyDescent="0.25">
      <c r="A118" s="169" t="s">
        <v>400</v>
      </c>
      <c r="B118" s="169"/>
      <c r="C118" s="109">
        <f>COUNT(D131:D134)</f>
        <v>4</v>
      </c>
      <c r="D118" s="109"/>
      <c r="E118" s="109">
        <f t="shared" ref="E118" si="0">SUM(F131:F134)</f>
        <v>1223.00568</v>
      </c>
      <c r="F118" s="109"/>
      <c r="G118" s="109">
        <f>SUM(H131:H134)</f>
        <v>1834.5085199999999</v>
      </c>
      <c r="H118" s="109"/>
      <c r="I118" s="34" t="s">
        <v>419</v>
      </c>
      <c r="R118"/>
      <c r="S118" s="20"/>
      <c r="T118"/>
      <c r="U118" s="20"/>
      <c r="V118" s="20"/>
    </row>
    <row r="119" spans="1:22" s="34" customFormat="1" x14ac:dyDescent="0.25">
      <c r="A119" s="157" t="s">
        <v>144</v>
      </c>
      <c r="B119" s="157"/>
      <c r="C119" s="158">
        <f>SUM(C118)</f>
        <v>4</v>
      </c>
      <c r="D119" s="110"/>
      <c r="E119" s="159">
        <f>SUM(E118)</f>
        <v>1223.00568</v>
      </c>
      <c r="F119" s="106"/>
      <c r="G119" s="127">
        <f>SUM(G118)</f>
        <v>1834.5085199999999</v>
      </c>
      <c r="H119" s="127"/>
      <c r="R119"/>
      <c r="S119" s="20"/>
      <c r="T119"/>
      <c r="U119" s="20"/>
      <c r="V119" s="20"/>
    </row>
    <row r="120" spans="1:22" s="34" customFormat="1" x14ac:dyDescent="0.25">
      <c r="A120" s="157" t="s">
        <v>66</v>
      </c>
      <c r="B120" s="157"/>
      <c r="C120" s="157"/>
      <c r="D120" s="157"/>
      <c r="E120" s="157"/>
      <c r="F120" s="157"/>
      <c r="G120" s="157"/>
      <c r="H120" s="157"/>
      <c r="T120"/>
    </row>
    <row r="121" spans="1:22" s="34" customFormat="1" ht="15.75" customHeight="1" x14ac:dyDescent="0.25">
      <c r="A121" s="127" t="s">
        <v>51</v>
      </c>
      <c r="B121" s="127"/>
      <c r="C121" s="110" t="s">
        <v>74</v>
      </c>
      <c r="D121" s="110"/>
      <c r="E121" s="106" t="s">
        <v>52</v>
      </c>
      <c r="F121" s="106"/>
      <c r="G121" s="127" t="s">
        <v>53</v>
      </c>
      <c r="H121" s="127"/>
      <c r="T121"/>
    </row>
    <row r="122" spans="1:22" s="34" customFormat="1" x14ac:dyDescent="0.25">
      <c r="A122" s="123" t="s">
        <v>401</v>
      </c>
      <c r="B122" s="123"/>
      <c r="C122" s="109">
        <f>COUNT(D142:D151)*4+COUNT(D153:D162)*16+COUNT(D164:D167,D169:D173)*4+COUNT(D176,D179:D182,D185)</f>
        <v>242</v>
      </c>
      <c r="D122" s="109"/>
      <c r="E122" s="109">
        <f t="shared" ref="E122" si="1">SUM(F142:F151)*4+SUM(F153:F162)*16+SUM(F164:F167,F169:F173)*4+SUM(F176,F179:F182,F185)</f>
        <v>104643.06559199998</v>
      </c>
      <c r="F122" s="109"/>
      <c r="G122" s="109">
        <f>SUM(H142:H151)*4+SUM(H153:H162)*16+SUM(H164:H167,H169:H173)*4+SUM(H176,H179:H182,H185)</f>
        <v>156964.59838799998</v>
      </c>
      <c r="H122" s="109"/>
      <c r="I122" s="34" t="s">
        <v>419</v>
      </c>
      <c r="T122"/>
    </row>
    <row r="123" spans="1:22" s="34" customFormat="1" ht="16.5" thickBot="1" x14ac:dyDescent="0.3">
      <c r="A123" s="174" t="s">
        <v>144</v>
      </c>
      <c r="B123" s="174"/>
      <c r="C123" s="111">
        <f>SUM(C122)</f>
        <v>242</v>
      </c>
      <c r="D123" s="112"/>
      <c r="E123" s="175">
        <f>SUM(E122)</f>
        <v>104643.06559199998</v>
      </c>
      <c r="F123" s="176"/>
      <c r="G123" s="177">
        <f>SUM(G122)</f>
        <v>156964.59838799998</v>
      </c>
      <c r="H123" s="177"/>
      <c r="I123" s="34" t="s">
        <v>419</v>
      </c>
      <c r="T123"/>
    </row>
    <row r="124" spans="1:22" s="34" customFormat="1" ht="16.5" thickBot="1" x14ac:dyDescent="0.3">
      <c r="A124" s="255" t="s">
        <v>159</v>
      </c>
      <c r="B124" s="256"/>
      <c r="C124" s="251">
        <f>C119+C123</f>
        <v>246</v>
      </c>
      <c r="D124" s="251"/>
      <c r="E124" s="242">
        <f>E119+E123</f>
        <v>105866.07127199999</v>
      </c>
      <c r="F124" s="242"/>
      <c r="G124" s="244">
        <f>G119+G123</f>
        <v>158799.10690799999</v>
      </c>
      <c r="H124" s="245"/>
      <c r="T124"/>
    </row>
    <row r="125" spans="1:22" s="33" customFormat="1" x14ac:dyDescent="0.25">
      <c r="A125" s="107" t="s">
        <v>347</v>
      </c>
      <c r="B125" s="107"/>
      <c r="C125" s="107"/>
      <c r="D125" s="107"/>
      <c r="E125" s="107"/>
      <c r="F125" s="107"/>
      <c r="G125" s="107"/>
      <c r="H125" s="107"/>
      <c r="T125" s="34"/>
    </row>
    <row r="126" spans="1:22" x14ac:dyDescent="0.25">
      <c r="A126" s="126" t="s">
        <v>167</v>
      </c>
      <c r="B126" s="126"/>
      <c r="C126" s="126"/>
      <c r="D126" s="126"/>
      <c r="E126" s="126"/>
      <c r="F126" s="126"/>
      <c r="G126" s="126"/>
      <c r="H126" s="126"/>
      <c r="T126" s="34"/>
    </row>
    <row r="127" spans="1:22" ht="47.25" customHeight="1" x14ac:dyDescent="0.25">
      <c r="A127" s="155" t="s">
        <v>404</v>
      </c>
      <c r="B127" s="155" t="s">
        <v>169</v>
      </c>
      <c r="C127" s="155" t="s">
        <v>54</v>
      </c>
      <c r="D127" s="155" t="s">
        <v>225</v>
      </c>
      <c r="E127" s="240" t="s">
        <v>403</v>
      </c>
      <c r="F127" s="155" t="s">
        <v>55</v>
      </c>
      <c r="G127" s="240" t="s">
        <v>56</v>
      </c>
      <c r="H127" s="94" t="s">
        <v>143</v>
      </c>
      <c r="T127" s="34"/>
    </row>
    <row r="128" spans="1:22" s="36" customFormat="1" x14ac:dyDescent="0.25">
      <c r="A128" s="156"/>
      <c r="B128" s="156"/>
      <c r="C128" s="156"/>
      <c r="D128" s="156"/>
      <c r="E128" s="241"/>
      <c r="F128" s="156"/>
      <c r="G128" s="241"/>
      <c r="H128" s="95">
        <v>0.5</v>
      </c>
      <c r="T128" s="34"/>
    </row>
    <row r="129" spans="1:20" s="96" customFormat="1" ht="15" x14ac:dyDescent="0.25">
      <c r="A129" s="252" t="s">
        <v>400</v>
      </c>
      <c r="B129" s="253"/>
      <c r="C129" s="253"/>
      <c r="D129" s="253"/>
      <c r="E129" s="253"/>
      <c r="F129" s="253"/>
      <c r="G129" s="253"/>
      <c r="H129" s="254"/>
    </row>
    <row r="130" spans="1:20" s="96" customFormat="1" ht="15" x14ac:dyDescent="0.25">
      <c r="A130" s="252" t="s">
        <v>405</v>
      </c>
      <c r="B130" s="253"/>
      <c r="C130" s="253"/>
      <c r="D130" s="253"/>
      <c r="E130" s="253"/>
      <c r="F130" s="253"/>
      <c r="G130" s="253"/>
      <c r="H130" s="254"/>
      <c r="J130" s="96">
        <v>7000</v>
      </c>
    </row>
    <row r="131" spans="1:20" s="36" customFormat="1" ht="15.75" customHeight="1" x14ac:dyDescent="0.25">
      <c r="A131" s="129">
        <v>1</v>
      </c>
      <c r="B131" s="130"/>
      <c r="C131" s="92" t="s">
        <v>402</v>
      </c>
      <c r="D131" s="92">
        <f>(24.8)*(10.764)</f>
        <v>266.94720000000001</v>
      </c>
      <c r="E131" s="92">
        <f>(1.2*3.1)*(10.764)</f>
        <v>40.042079999999991</v>
      </c>
      <c r="F131" s="41">
        <f>D131+(IF(E131&lt;201,E131,IF(E131&lt;301,E131/2,E131/3)))</f>
        <v>306.98928000000001</v>
      </c>
      <c r="G131" s="41">
        <v>0</v>
      </c>
      <c r="H131" s="41">
        <f>(F131+(IF(G131&lt;101,G131,IF(G131&lt;201,G131/2,IF(G131&lt;=301,G131/3,G131/4)))))*(($H$128)+1)</f>
        <v>460.48392000000001</v>
      </c>
      <c r="I131" s="35">
        <f>F131*1.55</f>
        <v>475.83338400000002</v>
      </c>
      <c r="J131" s="36">
        <f>J$130*H131</f>
        <v>3223387.44</v>
      </c>
      <c r="L131" s="239"/>
      <c r="M131" s="239"/>
      <c r="N131" s="35"/>
      <c r="T131" s="34"/>
    </row>
    <row r="132" spans="1:20" s="36" customFormat="1" ht="15.75" customHeight="1" x14ac:dyDescent="0.25">
      <c r="A132" s="129">
        <f>A131+1</f>
        <v>2</v>
      </c>
      <c r="B132" s="130"/>
      <c r="C132" s="92" t="s">
        <v>402</v>
      </c>
      <c r="D132" s="92">
        <f>(24.8)*(10.764)</f>
        <v>266.94720000000001</v>
      </c>
      <c r="E132" s="92">
        <f>(1.2*3.1)*(10.764)</f>
        <v>40.042079999999991</v>
      </c>
      <c r="F132" s="41">
        <f>D132+(IF(E132&lt;201,E132,IF(E132&lt;301,E132/2,E132/3)))</f>
        <v>306.98928000000001</v>
      </c>
      <c r="G132" s="41">
        <v>0</v>
      </c>
      <c r="H132" s="41">
        <f>(F132+(IF(G132&lt;101,G132,IF(G132&lt;201,G132/2,IF(G132&lt;=301,G132/3,G132/4)))))*(($H$128)+1)</f>
        <v>460.48392000000001</v>
      </c>
      <c r="I132" s="35">
        <f t="shared" ref="I132:I134" si="2">F132*1.55</f>
        <v>475.83338400000002</v>
      </c>
      <c r="J132" s="93">
        <f t="shared" ref="J132:J134" si="3">J$130*H132</f>
        <v>3223387.44</v>
      </c>
      <c r="L132" s="239"/>
      <c r="M132" s="239"/>
      <c r="N132" s="35"/>
      <c r="T132" s="33"/>
    </row>
    <row r="133" spans="1:20" s="36" customFormat="1" ht="15.75" customHeight="1" x14ac:dyDescent="0.25">
      <c r="A133" s="129">
        <f>A132+1</f>
        <v>3</v>
      </c>
      <c r="B133" s="130"/>
      <c r="C133" s="92" t="s">
        <v>402</v>
      </c>
      <c r="D133" s="92">
        <f>(24.8)*(10.764)</f>
        <v>266.94720000000001</v>
      </c>
      <c r="E133" s="92">
        <f>(1.2*3.1)*(10.764)</f>
        <v>40.042079999999991</v>
      </c>
      <c r="F133" s="41">
        <f>D133+(IF(E133&lt;201,E133,IF(E133&lt;301,E133/2,E133/3)))</f>
        <v>306.98928000000001</v>
      </c>
      <c r="G133" s="41">
        <v>0</v>
      </c>
      <c r="H133" s="41">
        <f>(F133+(IF(G133&lt;101,G133,IF(G133&lt;201,G133/2,IF(G133&lt;=301,G133/3,G133/4)))))*(($H$128)+1)</f>
        <v>460.48392000000001</v>
      </c>
      <c r="I133" s="35">
        <f t="shared" si="2"/>
        <v>475.83338400000002</v>
      </c>
      <c r="J133" s="93">
        <f t="shared" si="3"/>
        <v>3223387.44</v>
      </c>
      <c r="L133" s="239"/>
      <c r="M133" s="239"/>
      <c r="N133" s="35"/>
      <c r="T133" s="20"/>
    </row>
    <row r="134" spans="1:20" s="36" customFormat="1" ht="15.75" customHeight="1" x14ac:dyDescent="0.25">
      <c r="A134" s="129">
        <f>A133+1</f>
        <v>4</v>
      </c>
      <c r="B134" s="130"/>
      <c r="C134" s="92" t="s">
        <v>402</v>
      </c>
      <c r="D134" s="92">
        <f>(24.4)*(10.764)</f>
        <v>262.64159999999998</v>
      </c>
      <c r="E134" s="92">
        <f>(1.2*3.05)*(10.764)</f>
        <v>39.396239999999992</v>
      </c>
      <c r="F134" s="41">
        <f>D134+(IF(E134&lt;201,E134,IF(E134&lt;301,E134/2,E134/3)))</f>
        <v>302.03783999999996</v>
      </c>
      <c r="G134" s="41">
        <v>0</v>
      </c>
      <c r="H134" s="41">
        <f>(F134+(IF(G134&lt;101,G134,IF(G134&lt;201,G134/2,IF(G134&lt;=301,G134/3,G134/4)))))*(($H$128)+1)</f>
        <v>453.05675999999994</v>
      </c>
      <c r="I134" s="35">
        <f t="shared" si="2"/>
        <v>468.15865199999996</v>
      </c>
      <c r="J134" s="93">
        <f t="shared" si="3"/>
        <v>3171397.3199999994</v>
      </c>
      <c r="L134" s="239"/>
      <c r="M134" s="239"/>
      <c r="N134" s="35"/>
      <c r="T134" s="20"/>
    </row>
    <row r="135" spans="1:20" s="96" customFormat="1" ht="15" x14ac:dyDescent="0.25">
      <c r="A135" s="252" t="s">
        <v>406</v>
      </c>
      <c r="B135" s="253"/>
      <c r="C135" s="253"/>
      <c r="D135" s="253"/>
      <c r="E135" s="253"/>
      <c r="F135" s="253"/>
      <c r="G135" s="253"/>
      <c r="H135" s="254"/>
    </row>
    <row r="136" spans="1:20" s="36" customFormat="1" x14ac:dyDescent="0.25">
      <c r="A136" s="129"/>
      <c r="B136" s="148"/>
      <c r="C136" s="148"/>
      <c r="D136" s="148"/>
      <c r="E136" s="148"/>
      <c r="F136" s="148"/>
      <c r="G136" s="148"/>
      <c r="H136" s="130"/>
      <c r="I136" s="35"/>
      <c r="N136" s="35"/>
    </row>
    <row r="137" spans="1:20" ht="47.25" customHeight="1" x14ac:dyDescent="0.25">
      <c r="A137" s="153" t="s">
        <v>418</v>
      </c>
      <c r="B137" s="155" t="s">
        <v>170</v>
      </c>
      <c r="C137" s="155" t="s">
        <v>54</v>
      </c>
      <c r="D137" s="155" t="s">
        <v>368</v>
      </c>
      <c r="E137" s="155" t="s">
        <v>410</v>
      </c>
      <c r="F137" s="155" t="s">
        <v>55</v>
      </c>
      <c r="G137" s="240" t="s">
        <v>56</v>
      </c>
      <c r="H137" s="94" t="s">
        <v>143</v>
      </c>
      <c r="I137" s="35"/>
      <c r="T137" s="36"/>
    </row>
    <row r="138" spans="1:20" s="36" customFormat="1" x14ac:dyDescent="0.25">
      <c r="A138" s="154"/>
      <c r="B138" s="156"/>
      <c r="C138" s="156"/>
      <c r="D138" s="156"/>
      <c r="E138" s="156"/>
      <c r="F138" s="156"/>
      <c r="G138" s="241"/>
      <c r="H138" s="95">
        <v>0.5</v>
      </c>
      <c r="I138" s="35"/>
    </row>
    <row r="139" spans="1:20" s="96" customFormat="1" ht="15" customHeight="1" x14ac:dyDescent="0.25">
      <c r="A139" s="150" t="s">
        <v>401</v>
      </c>
      <c r="B139" s="151"/>
      <c r="C139" s="151"/>
      <c r="D139" s="151"/>
      <c r="E139" s="151"/>
      <c r="F139" s="151"/>
      <c r="G139" s="151"/>
      <c r="H139" s="152"/>
    </row>
    <row r="140" spans="1:20" s="96" customFormat="1" ht="15" customHeight="1" x14ac:dyDescent="0.25">
      <c r="A140" s="150" t="s">
        <v>407</v>
      </c>
      <c r="B140" s="151"/>
      <c r="C140" s="151"/>
      <c r="D140" s="151"/>
      <c r="E140" s="151"/>
      <c r="F140" s="151"/>
      <c r="G140" s="151"/>
      <c r="H140" s="152"/>
    </row>
    <row r="141" spans="1:20" s="96" customFormat="1" ht="15" customHeight="1" x14ac:dyDescent="0.25">
      <c r="A141" s="150" t="s">
        <v>408</v>
      </c>
      <c r="B141" s="151"/>
      <c r="C141" s="151"/>
      <c r="D141" s="151"/>
      <c r="E141" s="151"/>
      <c r="F141" s="151"/>
      <c r="G141" s="151"/>
      <c r="H141" s="152"/>
      <c r="I141" s="97">
        <f>4</f>
        <v>4</v>
      </c>
      <c r="L141" s="258"/>
      <c r="M141" s="258"/>
    </row>
    <row r="142" spans="1:20" s="36" customFormat="1" ht="15.75" customHeight="1" x14ac:dyDescent="0.25">
      <c r="A142" s="129">
        <v>1</v>
      </c>
      <c r="B142" s="130"/>
      <c r="C142" s="92" t="s">
        <v>409</v>
      </c>
      <c r="D142" s="92">
        <f>(34.795)*(10.764)</f>
        <v>374.53338000000002</v>
      </c>
      <c r="E142" s="92">
        <f>(2.62+2.03)*(10.764)</f>
        <v>50.052599999999998</v>
      </c>
      <c r="F142" s="41">
        <f t="shared" ref="F142:F151" si="4">D142+E142</f>
        <v>424.58598000000001</v>
      </c>
      <c r="G142" s="41">
        <v>0</v>
      </c>
      <c r="H142" s="41">
        <f t="shared" ref="H142:H151" si="5">F142*(($H$138)+1)+(IF(G142&lt;101,G142,IF(G142&lt;201,G142/2,IF(G142&lt;=301,G142/3,G142/4))))</f>
        <v>636.87896999999998</v>
      </c>
      <c r="I142" s="35"/>
      <c r="L142" s="239"/>
      <c r="M142" s="239"/>
      <c r="N142" s="35"/>
    </row>
    <row r="143" spans="1:20" s="36" customFormat="1" ht="15.75" customHeight="1" x14ac:dyDescent="0.25">
      <c r="A143" s="129">
        <v>2</v>
      </c>
      <c r="B143" s="130"/>
      <c r="C143" s="92" t="s">
        <v>409</v>
      </c>
      <c r="D143" s="92">
        <f>(36.02)*(10.764)</f>
        <v>387.71928000000003</v>
      </c>
      <c r="E143" s="92">
        <f>(2.4+2.4)*(10.764)</f>
        <v>51.667199999999994</v>
      </c>
      <c r="F143" s="41">
        <f t="shared" si="4"/>
        <v>439.38648000000001</v>
      </c>
      <c r="G143" s="41">
        <v>0</v>
      </c>
      <c r="H143" s="41">
        <f t="shared" si="5"/>
        <v>659.07971999999995</v>
      </c>
      <c r="I143" s="35"/>
      <c r="L143" s="239"/>
      <c r="M143" s="239"/>
      <c r="N143" s="35"/>
    </row>
    <row r="144" spans="1:20" s="36" customFormat="1" ht="15.75" customHeight="1" x14ac:dyDescent="0.25">
      <c r="A144" s="129">
        <v>3</v>
      </c>
      <c r="B144" s="130"/>
      <c r="C144" s="92" t="s">
        <v>409</v>
      </c>
      <c r="D144" s="92">
        <f>(35.802)*(10.764)</f>
        <v>385.372728</v>
      </c>
      <c r="E144" s="92">
        <f t="shared" ref="E144:E151" si="6">(2.62+2.03)*(10.764)</f>
        <v>50.052599999999998</v>
      </c>
      <c r="F144" s="41">
        <f t="shared" si="4"/>
        <v>435.42532799999998</v>
      </c>
      <c r="G144" s="41">
        <v>0</v>
      </c>
      <c r="H144" s="41">
        <f t="shared" si="5"/>
        <v>653.13799199999994</v>
      </c>
      <c r="I144" s="35"/>
      <c r="L144" s="239"/>
      <c r="M144" s="239"/>
      <c r="N144" s="35"/>
    </row>
    <row r="145" spans="1:20" s="36" customFormat="1" ht="15.75" customHeight="1" x14ac:dyDescent="0.25">
      <c r="A145" s="129">
        <v>4</v>
      </c>
      <c r="B145" s="130"/>
      <c r="C145" s="92" t="s">
        <v>409</v>
      </c>
      <c r="D145" s="92">
        <f>(34.914)*(10.764)</f>
        <v>375.81429600000001</v>
      </c>
      <c r="E145" s="92">
        <f t="shared" si="6"/>
        <v>50.052599999999998</v>
      </c>
      <c r="F145" s="41">
        <f t="shared" si="4"/>
        <v>425.866896</v>
      </c>
      <c r="G145" s="41">
        <v>0</v>
      </c>
      <c r="H145" s="41">
        <f t="shared" si="5"/>
        <v>638.800344</v>
      </c>
      <c r="I145" s="35"/>
      <c r="L145" s="239"/>
      <c r="M145" s="239"/>
      <c r="N145" s="35"/>
      <c r="T145" s="20"/>
    </row>
    <row r="146" spans="1:20" s="91" customFormat="1" ht="15.75" customHeight="1" x14ac:dyDescent="0.25">
      <c r="A146" s="129">
        <v>5</v>
      </c>
      <c r="B146" s="130"/>
      <c r="C146" s="92" t="s">
        <v>409</v>
      </c>
      <c r="D146" s="92">
        <f>(34.914)*(10.764)</f>
        <v>375.81429600000001</v>
      </c>
      <c r="E146" s="92">
        <f t="shared" si="6"/>
        <v>50.052599999999998</v>
      </c>
      <c r="F146" s="92">
        <f t="shared" si="4"/>
        <v>425.866896</v>
      </c>
      <c r="G146" s="92">
        <v>0</v>
      </c>
      <c r="H146" s="92">
        <f t="shared" si="5"/>
        <v>638.800344</v>
      </c>
      <c r="I146" s="35"/>
      <c r="L146" s="239"/>
      <c r="M146" s="239"/>
      <c r="N146" s="35"/>
    </row>
    <row r="147" spans="1:20" s="91" customFormat="1" ht="15.75" customHeight="1" x14ac:dyDescent="0.25">
      <c r="A147" s="129">
        <v>6</v>
      </c>
      <c r="B147" s="130"/>
      <c r="C147" s="92" t="s">
        <v>409</v>
      </c>
      <c r="D147" s="92">
        <f>(34.914)*(10.764)</f>
        <v>375.81429600000001</v>
      </c>
      <c r="E147" s="92">
        <f t="shared" si="6"/>
        <v>50.052599999999998</v>
      </c>
      <c r="F147" s="92">
        <f t="shared" si="4"/>
        <v>425.866896</v>
      </c>
      <c r="G147" s="92">
        <v>0</v>
      </c>
      <c r="H147" s="92">
        <f t="shared" si="5"/>
        <v>638.800344</v>
      </c>
      <c r="I147" s="35"/>
      <c r="L147" s="239"/>
      <c r="M147" s="239"/>
      <c r="N147" s="35"/>
    </row>
    <row r="148" spans="1:20" s="91" customFormat="1" ht="15.75" customHeight="1" x14ac:dyDescent="0.25">
      <c r="A148" s="129">
        <v>7</v>
      </c>
      <c r="B148" s="130"/>
      <c r="C148" s="92" t="s">
        <v>409</v>
      </c>
      <c r="D148" s="92">
        <f>(34.914)*(10.764)</f>
        <v>375.81429600000001</v>
      </c>
      <c r="E148" s="92">
        <f t="shared" si="6"/>
        <v>50.052599999999998</v>
      </c>
      <c r="F148" s="92">
        <f t="shared" si="4"/>
        <v>425.866896</v>
      </c>
      <c r="G148" s="92">
        <v>0</v>
      </c>
      <c r="H148" s="92">
        <f t="shared" si="5"/>
        <v>638.800344</v>
      </c>
      <c r="I148" s="35"/>
      <c r="L148" s="239"/>
      <c r="M148" s="239"/>
      <c r="N148" s="35"/>
    </row>
    <row r="149" spans="1:20" s="91" customFormat="1" ht="15.75" customHeight="1" x14ac:dyDescent="0.25">
      <c r="A149" s="129">
        <v>8</v>
      </c>
      <c r="B149" s="130"/>
      <c r="C149" s="92" t="s">
        <v>409</v>
      </c>
      <c r="D149" s="92">
        <f>(35.802)*(10.764)</f>
        <v>385.372728</v>
      </c>
      <c r="E149" s="92">
        <f t="shared" si="6"/>
        <v>50.052599999999998</v>
      </c>
      <c r="F149" s="92">
        <f t="shared" si="4"/>
        <v>435.42532799999998</v>
      </c>
      <c r="G149" s="92">
        <v>0</v>
      </c>
      <c r="H149" s="92">
        <f t="shared" si="5"/>
        <v>653.13799199999994</v>
      </c>
      <c r="I149" s="35"/>
      <c r="L149" s="239"/>
      <c r="M149" s="239"/>
      <c r="N149" s="35"/>
      <c r="T149" s="20"/>
    </row>
    <row r="150" spans="1:20" s="91" customFormat="1" ht="15.75" customHeight="1" x14ac:dyDescent="0.25">
      <c r="A150" s="129">
        <v>9</v>
      </c>
      <c r="B150" s="130"/>
      <c r="C150" s="92" t="s">
        <v>409</v>
      </c>
      <c r="D150" s="92">
        <f>(35.802)*(10.764)</f>
        <v>385.372728</v>
      </c>
      <c r="E150" s="92">
        <f t="shared" si="6"/>
        <v>50.052599999999998</v>
      </c>
      <c r="F150" s="92">
        <f t="shared" si="4"/>
        <v>435.42532799999998</v>
      </c>
      <c r="G150" s="92">
        <v>0</v>
      </c>
      <c r="H150" s="92">
        <f t="shared" si="5"/>
        <v>653.13799199999994</v>
      </c>
      <c r="I150" s="35"/>
      <c r="L150" s="239"/>
      <c r="M150" s="239"/>
      <c r="N150" s="35"/>
    </row>
    <row r="151" spans="1:20" s="91" customFormat="1" ht="15.75" customHeight="1" x14ac:dyDescent="0.25">
      <c r="A151" s="129">
        <v>10</v>
      </c>
      <c r="B151" s="130"/>
      <c r="C151" s="92" t="s">
        <v>409</v>
      </c>
      <c r="D151" s="92">
        <f>(34.795)*(10.764)</f>
        <v>374.53338000000002</v>
      </c>
      <c r="E151" s="92">
        <f t="shared" si="6"/>
        <v>50.052599999999998</v>
      </c>
      <c r="F151" s="92">
        <f t="shared" si="4"/>
        <v>424.58598000000001</v>
      </c>
      <c r="G151" s="92">
        <v>0</v>
      </c>
      <c r="H151" s="92">
        <f t="shared" si="5"/>
        <v>636.87896999999998</v>
      </c>
      <c r="I151" s="35"/>
      <c r="L151" s="239"/>
      <c r="M151" s="239"/>
      <c r="N151" s="35"/>
    </row>
    <row r="152" spans="1:20" s="36" customFormat="1" ht="15.75" customHeight="1" x14ac:dyDescent="0.25">
      <c r="A152" s="150" t="s">
        <v>411</v>
      </c>
      <c r="B152" s="151"/>
      <c r="C152" s="151"/>
      <c r="D152" s="151"/>
      <c r="E152" s="151"/>
      <c r="F152" s="151"/>
      <c r="G152" s="151"/>
      <c r="H152" s="152"/>
      <c r="I152" s="35">
        <v>16</v>
      </c>
      <c r="L152" s="239"/>
      <c r="M152" s="239"/>
    </row>
    <row r="153" spans="1:20" s="91" customFormat="1" ht="15.75" customHeight="1" x14ac:dyDescent="0.25">
      <c r="A153" s="129">
        <v>1</v>
      </c>
      <c r="B153" s="130"/>
      <c r="C153" s="92" t="s">
        <v>409</v>
      </c>
      <c r="D153" s="92">
        <f>(35.065)*(10.764)</f>
        <v>377.43965999999995</v>
      </c>
      <c r="E153" s="92">
        <f>(2.62+2.1)*(10.764)</f>
        <v>50.806080000000001</v>
      </c>
      <c r="F153" s="92">
        <f t="shared" ref="F153:F162" si="7">D153+E153</f>
        <v>428.24573999999996</v>
      </c>
      <c r="G153" s="92">
        <v>0</v>
      </c>
      <c r="H153" s="92">
        <f t="shared" ref="H153:H162" si="8">F153*(($H$138)+1)+(IF(G153&lt;101,G153,IF(G153&lt;201,G153/2,IF(G153&lt;=301,G153/3,G153/4))))</f>
        <v>642.36860999999999</v>
      </c>
      <c r="I153" s="35"/>
      <c r="L153" s="239"/>
      <c r="M153" s="239"/>
      <c r="N153" s="35"/>
    </row>
    <row r="154" spans="1:20" s="91" customFormat="1" ht="15.75" customHeight="1" x14ac:dyDescent="0.25">
      <c r="A154" s="129">
        <v>2</v>
      </c>
      <c r="B154" s="130"/>
      <c r="C154" s="92" t="s">
        <v>409</v>
      </c>
      <c r="D154" s="92">
        <f>(36.296)*(10.764)</f>
        <v>390.69014399999998</v>
      </c>
      <c r="E154" s="92">
        <f>(2.4+2.4)*(10.764)</f>
        <v>51.667199999999994</v>
      </c>
      <c r="F154" s="92">
        <f t="shared" si="7"/>
        <v>442.35734399999996</v>
      </c>
      <c r="G154" s="92">
        <v>0</v>
      </c>
      <c r="H154" s="92">
        <f t="shared" si="8"/>
        <v>663.5360159999999</v>
      </c>
      <c r="I154" s="35"/>
      <c r="L154" s="239"/>
      <c r="M154" s="239"/>
      <c r="N154" s="35"/>
    </row>
    <row r="155" spans="1:20" s="91" customFormat="1" ht="15.75" customHeight="1" x14ac:dyDescent="0.25">
      <c r="A155" s="129">
        <v>3</v>
      </c>
      <c r="B155" s="130"/>
      <c r="C155" s="92" t="s">
        <v>409</v>
      </c>
      <c r="D155" s="92">
        <f>(36.11)*(10.764)</f>
        <v>388.68803999999994</v>
      </c>
      <c r="E155" s="92">
        <f t="shared" ref="E155:E162" si="9">(2.62+2.1)*(10.764)</f>
        <v>50.806080000000001</v>
      </c>
      <c r="F155" s="92">
        <f t="shared" si="7"/>
        <v>439.49411999999995</v>
      </c>
      <c r="G155" s="92">
        <v>0</v>
      </c>
      <c r="H155" s="92">
        <f t="shared" si="8"/>
        <v>659.24117999999999</v>
      </c>
      <c r="I155" s="35"/>
      <c r="L155" s="239"/>
      <c r="M155" s="239"/>
      <c r="N155" s="35"/>
    </row>
    <row r="156" spans="1:20" s="91" customFormat="1" ht="15.75" customHeight="1" x14ac:dyDescent="0.25">
      <c r="A156" s="129">
        <v>4</v>
      </c>
      <c r="B156" s="130"/>
      <c r="C156" s="92" t="s">
        <v>409</v>
      </c>
      <c r="D156" s="92">
        <f>(35.065)*(10.764)</f>
        <v>377.43965999999995</v>
      </c>
      <c r="E156" s="92">
        <f t="shared" si="9"/>
        <v>50.806080000000001</v>
      </c>
      <c r="F156" s="92">
        <f t="shared" si="7"/>
        <v>428.24573999999996</v>
      </c>
      <c r="G156" s="92">
        <v>0</v>
      </c>
      <c r="H156" s="92">
        <f t="shared" si="8"/>
        <v>642.36860999999999</v>
      </c>
      <c r="I156" s="35"/>
      <c r="L156" s="239"/>
      <c r="M156" s="239"/>
      <c r="N156" s="35"/>
      <c r="T156" s="20"/>
    </row>
    <row r="157" spans="1:20" s="91" customFormat="1" ht="15.75" customHeight="1" x14ac:dyDescent="0.25">
      <c r="A157" s="129">
        <v>5</v>
      </c>
      <c r="B157" s="130"/>
      <c r="C157" s="92" t="s">
        <v>409</v>
      </c>
      <c r="D157" s="92">
        <f>(35.065)*(10.764)</f>
        <v>377.43965999999995</v>
      </c>
      <c r="E157" s="92">
        <f t="shared" si="9"/>
        <v>50.806080000000001</v>
      </c>
      <c r="F157" s="92">
        <f t="shared" si="7"/>
        <v>428.24573999999996</v>
      </c>
      <c r="G157" s="92">
        <v>0</v>
      </c>
      <c r="H157" s="92">
        <f t="shared" si="8"/>
        <v>642.36860999999999</v>
      </c>
      <c r="I157" s="35"/>
      <c r="L157" s="239"/>
      <c r="M157" s="239"/>
      <c r="N157" s="35"/>
    </row>
    <row r="158" spans="1:20" s="91" customFormat="1" ht="15.75" customHeight="1" x14ac:dyDescent="0.25">
      <c r="A158" s="129">
        <v>6</v>
      </c>
      <c r="B158" s="130"/>
      <c r="C158" s="92" t="s">
        <v>409</v>
      </c>
      <c r="D158" s="92">
        <f>(35.065)*(10.764)</f>
        <v>377.43965999999995</v>
      </c>
      <c r="E158" s="92">
        <f t="shared" si="9"/>
        <v>50.806080000000001</v>
      </c>
      <c r="F158" s="92">
        <f t="shared" si="7"/>
        <v>428.24573999999996</v>
      </c>
      <c r="G158" s="92">
        <v>0</v>
      </c>
      <c r="H158" s="92">
        <f t="shared" si="8"/>
        <v>642.36860999999999</v>
      </c>
      <c r="I158" s="35"/>
      <c r="L158" s="239"/>
      <c r="M158" s="239"/>
      <c r="N158" s="35"/>
    </row>
    <row r="159" spans="1:20" s="91" customFormat="1" ht="15.75" customHeight="1" x14ac:dyDescent="0.25">
      <c r="A159" s="129">
        <v>7</v>
      </c>
      <c r="B159" s="130"/>
      <c r="C159" s="92" t="s">
        <v>409</v>
      </c>
      <c r="D159" s="92">
        <f>(35.065)*(10.764)</f>
        <v>377.43965999999995</v>
      </c>
      <c r="E159" s="92">
        <f t="shared" si="9"/>
        <v>50.806080000000001</v>
      </c>
      <c r="F159" s="92">
        <f t="shared" si="7"/>
        <v>428.24573999999996</v>
      </c>
      <c r="G159" s="92">
        <v>0</v>
      </c>
      <c r="H159" s="92">
        <f t="shared" si="8"/>
        <v>642.36860999999999</v>
      </c>
      <c r="I159" s="35"/>
      <c r="L159" s="239"/>
      <c r="M159" s="239"/>
      <c r="N159" s="35"/>
    </row>
    <row r="160" spans="1:20" s="91" customFormat="1" ht="15.75" customHeight="1" x14ac:dyDescent="0.25">
      <c r="A160" s="129">
        <v>8</v>
      </c>
      <c r="B160" s="130"/>
      <c r="C160" s="92" t="s">
        <v>409</v>
      </c>
      <c r="D160" s="92">
        <f>(36.11)*(10.764)</f>
        <v>388.68803999999994</v>
      </c>
      <c r="E160" s="92">
        <f t="shared" si="9"/>
        <v>50.806080000000001</v>
      </c>
      <c r="F160" s="92">
        <f t="shared" si="7"/>
        <v>439.49411999999995</v>
      </c>
      <c r="G160" s="92">
        <v>0</v>
      </c>
      <c r="H160" s="92">
        <f t="shared" si="8"/>
        <v>659.24117999999999</v>
      </c>
      <c r="I160" s="35"/>
      <c r="L160" s="239"/>
      <c r="M160" s="239"/>
      <c r="N160" s="35"/>
      <c r="T160" s="20"/>
    </row>
    <row r="161" spans="1:14" s="91" customFormat="1" ht="15.75" customHeight="1" x14ac:dyDescent="0.25">
      <c r="A161" s="129">
        <v>9</v>
      </c>
      <c r="B161" s="130"/>
      <c r="C161" s="92" t="s">
        <v>409</v>
      </c>
      <c r="D161" s="92">
        <f>(36.11)*(10.764)</f>
        <v>388.68803999999994</v>
      </c>
      <c r="E161" s="92">
        <f t="shared" si="9"/>
        <v>50.806080000000001</v>
      </c>
      <c r="F161" s="92">
        <f t="shared" si="7"/>
        <v>439.49411999999995</v>
      </c>
      <c r="G161" s="92">
        <v>0</v>
      </c>
      <c r="H161" s="92">
        <f t="shared" si="8"/>
        <v>659.24117999999999</v>
      </c>
      <c r="I161" s="35"/>
      <c r="L161" s="239"/>
      <c r="M161" s="239"/>
      <c r="N161" s="35"/>
    </row>
    <row r="162" spans="1:14" s="91" customFormat="1" ht="15.75" customHeight="1" x14ac:dyDescent="0.25">
      <c r="A162" s="129">
        <v>10</v>
      </c>
      <c r="B162" s="130"/>
      <c r="C162" s="92" t="s">
        <v>409</v>
      </c>
      <c r="D162" s="92">
        <f>(35.065)*(10.764)</f>
        <v>377.43965999999995</v>
      </c>
      <c r="E162" s="92">
        <f t="shared" si="9"/>
        <v>50.806080000000001</v>
      </c>
      <c r="F162" s="92">
        <f t="shared" si="7"/>
        <v>428.24573999999996</v>
      </c>
      <c r="G162" s="92">
        <v>0</v>
      </c>
      <c r="H162" s="92">
        <f t="shared" si="8"/>
        <v>642.36860999999999</v>
      </c>
      <c r="I162" s="35"/>
      <c r="L162" s="239"/>
      <c r="M162" s="239"/>
      <c r="N162" s="35"/>
    </row>
    <row r="163" spans="1:14" s="36" customFormat="1" ht="15.75" customHeight="1" x14ac:dyDescent="0.25">
      <c r="A163" s="150" t="s">
        <v>412</v>
      </c>
      <c r="B163" s="151"/>
      <c r="C163" s="151"/>
      <c r="D163" s="151"/>
      <c r="E163" s="151"/>
      <c r="F163" s="151"/>
      <c r="G163" s="151"/>
      <c r="H163" s="152"/>
      <c r="I163" s="35">
        <v>4</v>
      </c>
    </row>
    <row r="164" spans="1:14" s="36" customFormat="1" ht="15.75" customHeight="1" x14ac:dyDescent="0.25">
      <c r="A164" s="129">
        <v>1</v>
      </c>
      <c r="B164" s="130"/>
      <c r="C164" s="92" t="s">
        <v>409</v>
      </c>
      <c r="D164" s="92">
        <f>(35.065)*(10.764)</f>
        <v>377.43965999999995</v>
      </c>
      <c r="E164" s="92">
        <f>(2.62+2.1)*(10.764)</f>
        <v>50.806080000000001</v>
      </c>
      <c r="F164" s="92">
        <f>D164+E164</f>
        <v>428.24573999999996</v>
      </c>
      <c r="G164" s="92">
        <v>0</v>
      </c>
      <c r="H164" s="92">
        <f>F164*(($H$138)+1)+(IF(G164&lt;101,G164,IF(G164&lt;201,G164/2,IF(G164&lt;=301,G164/3,G164/4))))</f>
        <v>642.36860999999999</v>
      </c>
      <c r="I164" s="35"/>
    </row>
    <row r="165" spans="1:14" s="36" customFormat="1" ht="15.75" customHeight="1" x14ac:dyDescent="0.25">
      <c r="A165" s="129">
        <v>2</v>
      </c>
      <c r="B165" s="130"/>
      <c r="C165" s="92" t="s">
        <v>409</v>
      </c>
      <c r="D165" s="92">
        <f>(36.296)*(10.764)</f>
        <v>390.69014399999998</v>
      </c>
      <c r="E165" s="92">
        <f>(2.4+2.1)*(10.764)</f>
        <v>48.437999999999995</v>
      </c>
      <c r="F165" s="92">
        <f>D165+E165</f>
        <v>439.12814399999996</v>
      </c>
      <c r="G165" s="92">
        <v>0</v>
      </c>
      <c r="H165" s="92">
        <f>F165*(($H$138)+1)+(IF(G165&lt;101,G165,IF(G165&lt;201,G165/2,IF(G165&lt;=301,G165/3,G165/4))))</f>
        <v>658.69221599999992</v>
      </c>
      <c r="I165" s="35"/>
    </row>
    <row r="166" spans="1:14" s="36" customFormat="1" ht="15.75" customHeight="1" x14ac:dyDescent="0.25">
      <c r="A166" s="129">
        <v>3</v>
      </c>
      <c r="B166" s="130"/>
      <c r="C166" s="92" t="s">
        <v>409</v>
      </c>
      <c r="D166" s="92">
        <f>(36.11)*(10.764)</f>
        <v>388.68803999999994</v>
      </c>
      <c r="E166" s="92">
        <f>(2.62+2.1)*(10.764)</f>
        <v>50.806080000000001</v>
      </c>
      <c r="F166" s="92">
        <f>D166+E166</f>
        <v>439.49411999999995</v>
      </c>
      <c r="G166" s="92">
        <v>0</v>
      </c>
      <c r="H166" s="92">
        <f>F166*(($H$138)+1)+(IF(G166&lt;101,G166,IF(G166&lt;201,G166/2,IF(G166&lt;=301,G166/3,G166/4))))</f>
        <v>659.24117999999999</v>
      </c>
      <c r="I166" s="35"/>
    </row>
    <row r="167" spans="1:14" s="36" customFormat="1" ht="15.75" customHeight="1" x14ac:dyDescent="0.25">
      <c r="A167" s="129">
        <v>4</v>
      </c>
      <c r="B167" s="130"/>
      <c r="C167" s="92" t="s">
        <v>409</v>
      </c>
      <c r="D167" s="92">
        <f>(35.065)*(10.764)</f>
        <v>377.43965999999995</v>
      </c>
      <c r="E167" s="92">
        <f>(2.62+2.1)*(10.764)</f>
        <v>50.806080000000001</v>
      </c>
      <c r="F167" s="92">
        <f>D167+E167</f>
        <v>428.24573999999996</v>
      </c>
      <c r="G167" s="92">
        <v>0</v>
      </c>
      <c r="H167" s="92">
        <f>F167*(($H$138)+1)+(IF(G167&lt;101,G167,IF(G167&lt;201,G167/2,IF(G167&lt;=301,G167/3,G167/4))))</f>
        <v>642.36860999999999</v>
      </c>
      <c r="I167" s="35"/>
    </row>
    <row r="168" spans="1:14" s="36" customFormat="1" ht="15.75" customHeight="1" x14ac:dyDescent="0.25">
      <c r="A168" s="129">
        <v>5</v>
      </c>
      <c r="B168" s="130"/>
      <c r="C168" s="92" t="s">
        <v>413</v>
      </c>
      <c r="D168" s="129" t="s">
        <v>414</v>
      </c>
      <c r="E168" s="148"/>
      <c r="F168" s="148"/>
      <c r="G168" s="148"/>
      <c r="H168" s="130"/>
      <c r="I168" s="35"/>
    </row>
    <row r="169" spans="1:14" s="91" customFormat="1" ht="15.75" customHeight="1" x14ac:dyDescent="0.25">
      <c r="A169" s="129">
        <v>6</v>
      </c>
      <c r="B169" s="130"/>
      <c r="C169" s="92" t="s">
        <v>409</v>
      </c>
      <c r="D169" s="92">
        <f>(35.065)*(10.764)</f>
        <v>377.43965999999995</v>
      </c>
      <c r="E169" s="92">
        <f>(2.62+2.1)*(10.764)</f>
        <v>50.806080000000001</v>
      </c>
      <c r="F169" s="92">
        <f>D169+E169</f>
        <v>428.24573999999996</v>
      </c>
      <c r="G169" s="92">
        <v>0</v>
      </c>
      <c r="H169" s="92">
        <f>F169*(($H$138)+1)+(IF(G169&lt;101,G169,IF(G169&lt;201,G169/2,IF(G169&lt;=301,G169/3,G169/4))))</f>
        <v>642.36860999999999</v>
      </c>
      <c r="I169" s="35"/>
    </row>
    <row r="170" spans="1:14" s="91" customFormat="1" ht="15.75" customHeight="1" x14ac:dyDescent="0.25">
      <c r="A170" s="129">
        <v>7</v>
      </c>
      <c r="B170" s="130"/>
      <c r="C170" s="92" t="s">
        <v>409</v>
      </c>
      <c r="D170" s="92">
        <f>(35.065)*(10.764)</f>
        <v>377.43965999999995</v>
      </c>
      <c r="E170" s="92">
        <f>(2.62+2.1)*(10.764)</f>
        <v>50.806080000000001</v>
      </c>
      <c r="F170" s="92">
        <f>D170+E170</f>
        <v>428.24573999999996</v>
      </c>
      <c r="G170" s="92">
        <v>0</v>
      </c>
      <c r="H170" s="92">
        <f>F170*(($H$138)+1)+(IF(G170&lt;101,G170,IF(G170&lt;201,G170/2,IF(G170&lt;=301,G170/3,G170/4))))</f>
        <v>642.36860999999999</v>
      </c>
      <c r="I170" s="35"/>
    </row>
    <row r="171" spans="1:14" s="91" customFormat="1" ht="15.75" customHeight="1" x14ac:dyDescent="0.25">
      <c r="A171" s="129">
        <v>8</v>
      </c>
      <c r="B171" s="130"/>
      <c r="C171" s="92" t="s">
        <v>409</v>
      </c>
      <c r="D171" s="92">
        <f>(36.11)*(10.764)</f>
        <v>388.68803999999994</v>
      </c>
      <c r="E171" s="92">
        <f>(2.62+2.1)*(10.764)</f>
        <v>50.806080000000001</v>
      </c>
      <c r="F171" s="92">
        <f>D171+E171</f>
        <v>439.49411999999995</v>
      </c>
      <c r="G171" s="92">
        <v>0</v>
      </c>
      <c r="H171" s="92">
        <f>F171*(($H$138)+1)+(IF(G171&lt;101,G171,IF(G171&lt;201,G171/2,IF(G171&lt;=301,G171/3,G171/4))))</f>
        <v>659.24117999999999</v>
      </c>
      <c r="I171" s="35"/>
    </row>
    <row r="172" spans="1:14" s="91" customFormat="1" ht="15.75" customHeight="1" x14ac:dyDescent="0.25">
      <c r="A172" s="129">
        <v>9</v>
      </c>
      <c r="B172" s="130"/>
      <c r="C172" s="92" t="s">
        <v>409</v>
      </c>
      <c r="D172" s="92">
        <f>(36.11)*(10.764)</f>
        <v>388.68803999999994</v>
      </c>
      <c r="E172" s="92">
        <f>(2.62+2.1)*(10.764)</f>
        <v>50.806080000000001</v>
      </c>
      <c r="F172" s="92">
        <f>D172+E172</f>
        <v>439.49411999999995</v>
      </c>
      <c r="G172" s="92">
        <v>0</v>
      </c>
      <c r="H172" s="92">
        <f>F172*(($H$138)+1)+(IF(G172&lt;101,G172,IF(G172&lt;201,G172/2,IF(G172&lt;=301,G172/3,G172/4))))</f>
        <v>659.24117999999999</v>
      </c>
      <c r="I172" s="35"/>
    </row>
    <row r="173" spans="1:14" s="91" customFormat="1" ht="15.75" customHeight="1" x14ac:dyDescent="0.25">
      <c r="A173" s="129">
        <v>10</v>
      </c>
      <c r="B173" s="130"/>
      <c r="C173" s="92" t="s">
        <v>409</v>
      </c>
      <c r="D173" s="92">
        <f>(35.065)*(10.764)</f>
        <v>377.43965999999995</v>
      </c>
      <c r="E173" s="92">
        <f>(2.62+2.1)*(10.764)</f>
        <v>50.806080000000001</v>
      </c>
      <c r="F173" s="92">
        <f>D173+E173</f>
        <v>428.24573999999996</v>
      </c>
      <c r="G173" s="92">
        <v>0</v>
      </c>
      <c r="H173" s="92">
        <f>F173*(($H$138)+1)+(IF(G173&lt;101,G173,IF(G173&lt;201,G173/2,IF(G173&lt;=301,G173/3,G173/4))))</f>
        <v>642.36860999999999</v>
      </c>
      <c r="I173" s="35"/>
    </row>
    <row r="174" spans="1:14" s="36" customFormat="1" ht="15.75" customHeight="1" x14ac:dyDescent="0.25">
      <c r="A174" s="150" t="s">
        <v>415</v>
      </c>
      <c r="B174" s="151"/>
      <c r="C174" s="151"/>
      <c r="D174" s="151"/>
      <c r="E174" s="151"/>
      <c r="F174" s="151"/>
      <c r="G174" s="151"/>
      <c r="H174" s="152"/>
      <c r="I174" s="35">
        <v>1</v>
      </c>
    </row>
    <row r="175" spans="1:14" s="91" customFormat="1" ht="15.75" customHeight="1" x14ac:dyDescent="0.25">
      <c r="A175" s="150" t="s">
        <v>416</v>
      </c>
      <c r="B175" s="151"/>
      <c r="C175" s="151"/>
      <c r="D175" s="151"/>
      <c r="E175" s="151"/>
      <c r="F175" s="151"/>
      <c r="G175" s="151"/>
      <c r="H175" s="152"/>
      <c r="I175" s="35">
        <v>1</v>
      </c>
    </row>
    <row r="176" spans="1:14" s="91" customFormat="1" ht="15.75" customHeight="1" x14ac:dyDescent="0.25">
      <c r="A176" s="129">
        <v>1</v>
      </c>
      <c r="B176" s="130"/>
      <c r="C176" s="92" t="s">
        <v>409</v>
      </c>
      <c r="D176" s="92">
        <f>(35.065)*(10.764)</f>
        <v>377.43965999999995</v>
      </c>
      <c r="E176" s="92">
        <f>(2.62+2.1)*(10.764)</f>
        <v>50.806080000000001</v>
      </c>
      <c r="F176" s="92">
        <f>D176+E176</f>
        <v>428.24573999999996</v>
      </c>
      <c r="G176" s="92">
        <v>0</v>
      </c>
      <c r="H176" s="92">
        <f>F176*(($H$138)+1)+(IF(G176&lt;101,G176,IF(G176&lt;201,G176/2,IF(G176&lt;=301,G176/3,G176/4))))</f>
        <v>642.36860999999999</v>
      </c>
      <c r="I176" s="35"/>
    </row>
    <row r="177" spans="1:20" s="91" customFormat="1" ht="15.75" customHeight="1" x14ac:dyDescent="0.25">
      <c r="A177" s="129">
        <v>2</v>
      </c>
      <c r="B177" s="130"/>
      <c r="C177" s="92" t="s">
        <v>413</v>
      </c>
      <c r="D177" s="129" t="s">
        <v>417</v>
      </c>
      <c r="E177" s="148"/>
      <c r="F177" s="148"/>
      <c r="G177" s="148"/>
      <c r="H177" s="130"/>
      <c r="I177" s="35"/>
    </row>
    <row r="178" spans="1:20" s="91" customFormat="1" ht="15.75" customHeight="1" x14ac:dyDescent="0.25">
      <c r="A178" s="129">
        <v>3</v>
      </c>
      <c r="B178" s="130"/>
      <c r="C178" s="92" t="s">
        <v>413</v>
      </c>
      <c r="D178" s="129" t="s">
        <v>417</v>
      </c>
      <c r="E178" s="148"/>
      <c r="F178" s="148"/>
      <c r="G178" s="148"/>
      <c r="H178" s="130"/>
      <c r="I178" s="35"/>
    </row>
    <row r="179" spans="1:20" s="91" customFormat="1" ht="15.75" customHeight="1" x14ac:dyDescent="0.25">
      <c r="A179" s="129">
        <v>4</v>
      </c>
      <c r="B179" s="130"/>
      <c r="C179" s="92" t="s">
        <v>409</v>
      </c>
      <c r="D179" s="92">
        <f t="shared" ref="D179:D182" si="10">(35.065)*(10.764)</f>
        <v>377.43965999999995</v>
      </c>
      <c r="E179" s="92">
        <f>(2.62+2.1)*(10.764)</f>
        <v>50.806080000000001</v>
      </c>
      <c r="F179" s="92">
        <f>D179+E179</f>
        <v>428.24573999999996</v>
      </c>
      <c r="G179" s="92">
        <v>0</v>
      </c>
      <c r="H179" s="92">
        <f>F179*(($H$138)+1)+(IF(G179&lt;101,G179,IF(G179&lt;201,G179/2,IF(G179&lt;=301,G179/3,G179/4))))</f>
        <v>642.36860999999999</v>
      </c>
      <c r="I179" s="35"/>
    </row>
    <row r="180" spans="1:20" s="91" customFormat="1" ht="15.75" customHeight="1" x14ac:dyDescent="0.25">
      <c r="A180" s="129">
        <v>5</v>
      </c>
      <c r="B180" s="130"/>
      <c r="C180" s="92" t="s">
        <v>409</v>
      </c>
      <c r="D180" s="92">
        <f t="shared" si="10"/>
        <v>377.43965999999995</v>
      </c>
      <c r="E180" s="92">
        <f>(2.62+2.1)*(10.764)</f>
        <v>50.806080000000001</v>
      </c>
      <c r="F180" s="92">
        <f>D180+E180</f>
        <v>428.24573999999996</v>
      </c>
      <c r="G180" s="92">
        <v>0</v>
      </c>
      <c r="H180" s="92">
        <f>F180*(($H$138)+1)+(IF(G180&lt;101,G180,IF(G180&lt;201,G180/2,IF(G180&lt;=301,G180/3,G180/4))))</f>
        <v>642.36860999999999</v>
      </c>
      <c r="I180" s="35"/>
    </row>
    <row r="181" spans="1:20" s="36" customFormat="1" ht="15.75" customHeight="1" x14ac:dyDescent="0.25">
      <c r="A181" s="129">
        <v>6</v>
      </c>
      <c r="B181" s="130"/>
      <c r="C181" s="92" t="s">
        <v>409</v>
      </c>
      <c r="D181" s="92">
        <f t="shared" si="10"/>
        <v>377.43965999999995</v>
      </c>
      <c r="E181" s="92">
        <f>(2.62+2.1)*(10.764)</f>
        <v>50.806080000000001</v>
      </c>
      <c r="F181" s="41">
        <f>D181+E181</f>
        <v>428.24573999999996</v>
      </c>
      <c r="G181" s="41">
        <v>0</v>
      </c>
      <c r="H181" s="41">
        <f>F181*(($H$138)+1)+(IF(G181&lt;101,G181,IF(G181&lt;201,G181/2,IF(G181&lt;=301,G181/3,G181/4))))</f>
        <v>642.36860999999999</v>
      </c>
      <c r="I181" s="35"/>
    </row>
    <row r="182" spans="1:20" s="36" customFormat="1" ht="15.75" customHeight="1" x14ac:dyDescent="0.25">
      <c r="A182" s="129">
        <v>7</v>
      </c>
      <c r="B182" s="130"/>
      <c r="C182" s="92" t="s">
        <v>409</v>
      </c>
      <c r="D182" s="92">
        <f t="shared" si="10"/>
        <v>377.43965999999995</v>
      </c>
      <c r="E182" s="92">
        <f>(2.62+2.1)*(10.764)</f>
        <v>50.806080000000001</v>
      </c>
      <c r="F182" s="41">
        <f>D182+E182</f>
        <v>428.24573999999996</v>
      </c>
      <c r="G182" s="41">
        <v>0</v>
      </c>
      <c r="H182" s="41">
        <f>F182*(($H$138)+1)+(IF(G182&lt;101,G182,IF(G182&lt;201,G182/2,IF(G182&lt;=301,G182/3,G182/4))))</f>
        <v>642.36860999999999</v>
      </c>
      <c r="I182" s="35"/>
    </row>
    <row r="183" spans="1:20" s="36" customFormat="1" ht="15.75" customHeight="1" x14ac:dyDescent="0.25">
      <c r="A183" s="129">
        <v>8</v>
      </c>
      <c r="B183" s="130"/>
      <c r="C183" s="92" t="s">
        <v>413</v>
      </c>
      <c r="D183" s="129" t="s">
        <v>417</v>
      </c>
      <c r="E183" s="148"/>
      <c r="F183" s="148"/>
      <c r="G183" s="148"/>
      <c r="H183" s="130"/>
      <c r="I183" s="35"/>
    </row>
    <row r="184" spans="1:20" s="36" customFormat="1" ht="15.75" customHeight="1" x14ac:dyDescent="0.25">
      <c r="A184" s="129">
        <v>9</v>
      </c>
      <c r="B184" s="130"/>
      <c r="C184" s="92" t="s">
        <v>413</v>
      </c>
      <c r="D184" s="129" t="s">
        <v>417</v>
      </c>
      <c r="E184" s="148"/>
      <c r="F184" s="148"/>
      <c r="G184" s="148"/>
      <c r="H184" s="130"/>
      <c r="I184" s="35"/>
    </row>
    <row r="185" spans="1:20" s="36" customFormat="1" ht="15.75" customHeight="1" x14ac:dyDescent="0.25">
      <c r="A185" s="129">
        <v>10</v>
      </c>
      <c r="B185" s="130"/>
      <c r="C185" s="92" t="s">
        <v>409</v>
      </c>
      <c r="D185" s="92">
        <f>(35.065)*(10.764)</f>
        <v>377.43965999999995</v>
      </c>
      <c r="E185" s="92">
        <f>(2.62+2.1)*(10.764)</f>
        <v>50.806080000000001</v>
      </c>
      <c r="F185" s="41">
        <f>D185+E185</f>
        <v>428.24573999999996</v>
      </c>
      <c r="G185" s="41">
        <v>0</v>
      </c>
      <c r="H185" s="41">
        <f>F185*(($H$138)+1)+(IF(G185&lt;101,G185,IF(G185&lt;201,G185/2,IF(G185&lt;=301,G185/3,G185/4))))</f>
        <v>642.36860999999999</v>
      </c>
      <c r="I185" s="35"/>
    </row>
    <row r="186" spans="1:20" s="34" customFormat="1" x14ac:dyDescent="0.25">
      <c r="A186" s="149" t="s">
        <v>64</v>
      </c>
      <c r="B186" s="149"/>
      <c r="C186" s="149"/>
      <c r="D186" s="149"/>
      <c r="E186" s="149"/>
      <c r="F186" s="149"/>
      <c r="G186" s="149"/>
      <c r="H186" s="149"/>
      <c r="T186" s="36"/>
    </row>
    <row r="187" spans="1:20" s="34" customFormat="1" x14ac:dyDescent="0.25">
      <c r="A187" s="45" t="s">
        <v>147</v>
      </c>
      <c r="B187" s="171" t="s">
        <v>430</v>
      </c>
      <c r="C187" s="172"/>
      <c r="D187" s="172"/>
      <c r="E187" s="172"/>
      <c r="F187" s="172"/>
      <c r="G187" s="172"/>
      <c r="H187" s="173"/>
      <c r="T187" s="36"/>
    </row>
    <row r="188" spans="1:20" s="34" customFormat="1" x14ac:dyDescent="0.25">
      <c r="A188" s="45" t="s">
        <v>147</v>
      </c>
      <c r="B188" s="171" t="str">
        <f>(IF(H137="Saleable area Loading :","We have considered Saleable area of Flats as per our Calculation.","We considered Saleable area of Flat as per Builder area Sheet."))</f>
        <v>We have considered Saleable area of Flats as per our Calculation.</v>
      </c>
      <c r="C188" s="172"/>
      <c r="D188" s="172"/>
      <c r="E188" s="172"/>
      <c r="F188" s="172"/>
      <c r="G188" s="172"/>
      <c r="H188" s="173"/>
      <c r="T188" s="36"/>
    </row>
    <row r="189" spans="1:20" s="34" customFormat="1" x14ac:dyDescent="0.25">
      <c r="A189" s="45" t="s">
        <v>147</v>
      </c>
      <c r="B189" s="171" t="str">
        <f>(IF(H127="Saleable area Loading :","We have considered Saleable area of Commercial as per our Calculation.","We considered Saleable area of Commercial as per Builder area Sheet."))</f>
        <v>We have considered Saleable area of Commercial as per our Calculation.</v>
      </c>
      <c r="C189" s="172"/>
      <c r="D189" s="172"/>
      <c r="E189" s="172"/>
      <c r="F189" s="172"/>
      <c r="G189" s="172"/>
      <c r="H189" s="173"/>
      <c r="T189" s="36"/>
    </row>
    <row r="190" spans="1:20" s="34" customFormat="1" x14ac:dyDescent="0.25">
      <c r="A190" s="45" t="s">
        <v>147</v>
      </c>
      <c r="B190" s="145" t="s">
        <v>117</v>
      </c>
      <c r="C190" s="146"/>
      <c r="D190" s="146"/>
      <c r="E190" s="146"/>
      <c r="F190" s="146"/>
      <c r="G190" s="146"/>
      <c r="H190" s="147"/>
      <c r="T190" s="36"/>
    </row>
    <row r="191" spans="1:20" s="34" customFormat="1" x14ac:dyDescent="0.25">
      <c r="A191" s="45" t="s">
        <v>147</v>
      </c>
      <c r="B191" s="145" t="s">
        <v>420</v>
      </c>
      <c r="C191" s="146"/>
      <c r="D191" s="146"/>
      <c r="E191" s="146"/>
      <c r="F191" s="146"/>
      <c r="G191" s="146"/>
      <c r="H191" s="147"/>
      <c r="T191" s="36"/>
    </row>
    <row r="192" spans="1:20" s="34" customFormat="1" x14ac:dyDescent="0.25">
      <c r="A192" s="45" t="s">
        <v>147</v>
      </c>
      <c r="B192" s="145" t="s">
        <v>146</v>
      </c>
      <c r="C192" s="146"/>
      <c r="D192" s="146"/>
      <c r="E192" s="146"/>
      <c r="F192" s="146"/>
      <c r="G192" s="146"/>
      <c r="H192" s="147"/>
    </row>
    <row r="193" spans="1:20" s="34" customFormat="1" x14ac:dyDescent="0.25">
      <c r="A193" s="45" t="s">
        <v>147</v>
      </c>
      <c r="B193" s="145" t="s">
        <v>118</v>
      </c>
      <c r="C193" s="146"/>
      <c r="D193" s="146"/>
      <c r="E193" s="146"/>
      <c r="F193" s="146"/>
      <c r="G193" s="146"/>
      <c r="H193" s="147"/>
    </row>
    <row r="194" spans="1:20" s="34" customFormat="1" ht="34.5" customHeight="1" x14ac:dyDescent="0.25">
      <c r="A194" s="45" t="s">
        <v>147</v>
      </c>
      <c r="B194" s="171" t="s">
        <v>148</v>
      </c>
      <c r="C194" s="172"/>
      <c r="D194" s="172"/>
      <c r="E194" s="172"/>
      <c r="F194" s="172"/>
      <c r="G194" s="172"/>
      <c r="H194" s="173"/>
    </row>
    <row r="195" spans="1:20" s="34" customFormat="1" x14ac:dyDescent="0.25">
      <c r="A195" s="45" t="s">
        <v>147</v>
      </c>
      <c r="B195" s="145" t="s">
        <v>119</v>
      </c>
      <c r="C195" s="146"/>
      <c r="D195" s="146"/>
      <c r="E195" s="146"/>
      <c r="F195" s="146"/>
      <c r="G195" s="146"/>
      <c r="H195" s="147"/>
    </row>
    <row r="196" spans="1:20" s="34" customFormat="1" ht="32.25" hidden="1" customHeight="1" x14ac:dyDescent="0.25">
      <c r="A196" s="45" t="s">
        <v>147</v>
      </c>
      <c r="B196" s="161" t="s">
        <v>171</v>
      </c>
      <c r="C196" s="162"/>
      <c r="D196" s="162"/>
      <c r="E196" s="162"/>
      <c r="F196" s="162"/>
      <c r="G196" s="162"/>
      <c r="H196" s="163"/>
    </row>
    <row r="197" spans="1:20" s="34" customFormat="1" x14ac:dyDescent="0.25">
      <c r="A197" s="45" t="s">
        <v>147</v>
      </c>
      <c r="B197" s="171" t="s">
        <v>426</v>
      </c>
      <c r="C197" s="172"/>
      <c r="D197" s="172"/>
      <c r="E197" s="172"/>
      <c r="F197" s="172"/>
      <c r="G197" s="172"/>
      <c r="H197" s="173"/>
    </row>
    <row r="198" spans="1:20" s="34" customFormat="1" hidden="1" x14ac:dyDescent="0.25">
      <c r="A198" s="45" t="s">
        <v>147</v>
      </c>
      <c r="B198" s="161" t="s">
        <v>342</v>
      </c>
      <c r="C198" s="162"/>
      <c r="D198" s="162"/>
      <c r="E198" s="162"/>
      <c r="F198" s="162"/>
      <c r="G198" s="162"/>
      <c r="H198" s="163"/>
    </row>
    <row r="199" spans="1:20" s="34" customFormat="1" hidden="1" x14ac:dyDescent="0.25">
      <c r="A199" s="45" t="s">
        <v>147</v>
      </c>
      <c r="B199" s="161" t="str">
        <f ca="1">IF(G52&gt;EDATE(E3,-48),"NO REMARK FOR CC","REMARK FOR CC")</f>
        <v>NO REMARK FOR CC</v>
      </c>
      <c r="C199" s="162"/>
      <c r="D199" s="162"/>
      <c r="E199" s="162"/>
      <c r="F199" s="162"/>
      <c r="G199" s="162"/>
      <c r="H199" s="163"/>
    </row>
    <row r="200" spans="1:20" s="34" customFormat="1" ht="81.75" hidden="1" customHeight="1" x14ac:dyDescent="0.25">
      <c r="A200" s="45" t="s">
        <v>147</v>
      </c>
      <c r="B200" s="161" t="s">
        <v>343</v>
      </c>
      <c r="C200" s="162"/>
      <c r="D200" s="162"/>
      <c r="E200" s="162"/>
      <c r="F200" s="162"/>
      <c r="G200" s="162"/>
      <c r="H200" s="163"/>
    </row>
    <row r="201" spans="1:20" x14ac:dyDescent="0.25">
      <c r="A201" s="170" t="s">
        <v>57</v>
      </c>
      <c r="B201" s="170"/>
      <c r="C201" s="170"/>
      <c r="D201" s="170"/>
      <c r="E201" s="170"/>
      <c r="F201" s="170"/>
      <c r="G201" s="170"/>
      <c r="H201" s="170"/>
      <c r="T201" s="34"/>
    </row>
    <row r="202" spans="1:20" x14ac:dyDescent="0.25">
      <c r="A202" s="128" t="s">
        <v>58</v>
      </c>
      <c r="B202" s="128"/>
      <c r="C202" s="128"/>
      <c r="D202" s="128"/>
      <c r="E202" s="128"/>
      <c r="F202" s="128"/>
      <c r="G202" s="128"/>
      <c r="H202" s="128"/>
      <c r="T202" s="34"/>
    </row>
    <row r="203" spans="1:20" ht="15.75" customHeight="1" x14ac:dyDescent="0.25">
      <c r="A203" s="160" t="s">
        <v>59</v>
      </c>
      <c r="B203" s="160"/>
      <c r="C203" s="160"/>
      <c r="D203" s="160"/>
      <c r="E203" s="160"/>
      <c r="F203" s="160"/>
      <c r="G203" s="160"/>
      <c r="H203" s="160"/>
      <c r="T203" s="34"/>
    </row>
    <row r="204" spans="1:20" x14ac:dyDescent="0.25">
      <c r="A204" s="128" t="s">
        <v>60</v>
      </c>
      <c r="B204" s="128"/>
      <c r="C204" s="128"/>
      <c r="D204" s="128"/>
      <c r="E204" s="128"/>
      <c r="F204" s="128"/>
      <c r="G204" s="128"/>
      <c r="H204" s="128"/>
      <c r="T204" s="34"/>
    </row>
    <row r="205" spans="1:20" x14ac:dyDescent="0.25">
      <c r="A205" s="128" t="s">
        <v>61</v>
      </c>
      <c r="B205" s="128"/>
      <c r="C205" s="128"/>
      <c r="D205" s="128"/>
      <c r="E205" s="128"/>
      <c r="F205" s="128"/>
      <c r="G205" s="128"/>
      <c r="H205" s="128"/>
      <c r="T205" s="34"/>
    </row>
    <row r="206" spans="1:20" x14ac:dyDescent="0.25">
      <c r="A206" s="128" t="s">
        <v>120</v>
      </c>
      <c r="B206" s="128"/>
      <c r="C206" s="128"/>
      <c r="D206" s="128"/>
      <c r="E206" s="128"/>
      <c r="F206" s="128"/>
      <c r="G206" s="128"/>
      <c r="H206" s="128"/>
      <c r="T206" s="34"/>
    </row>
    <row r="207" spans="1:20" ht="33.950000000000003" customHeight="1" x14ac:dyDescent="0.25">
      <c r="A207" s="134" t="s">
        <v>121</v>
      </c>
      <c r="B207" s="134"/>
      <c r="C207" s="134"/>
      <c r="D207" s="134"/>
      <c r="E207" s="134"/>
      <c r="F207" s="134"/>
      <c r="G207" s="134"/>
      <c r="H207" s="134"/>
    </row>
    <row r="208" spans="1:20" x14ac:dyDescent="0.25">
      <c r="A208" s="166" t="s">
        <v>73</v>
      </c>
      <c r="B208" s="166"/>
      <c r="C208" s="166" t="s">
        <v>429</v>
      </c>
      <c r="D208" s="166"/>
      <c r="E208" s="166" t="s">
        <v>103</v>
      </c>
      <c r="F208" s="166"/>
      <c r="G208" s="166" t="s">
        <v>428</v>
      </c>
      <c r="H208" s="166"/>
    </row>
    <row r="209" spans="1:8" x14ac:dyDescent="0.25">
      <c r="A209" s="165" t="s">
        <v>75</v>
      </c>
      <c r="B209" s="165"/>
      <c r="C209" s="165"/>
      <c r="D209" s="165"/>
      <c r="E209" s="165"/>
      <c r="F209" s="165"/>
      <c r="G209" s="165"/>
      <c r="H209" s="165"/>
    </row>
    <row r="210" spans="1:8" x14ac:dyDescent="0.25">
      <c r="A210" s="165"/>
      <c r="B210" s="165"/>
      <c r="C210" s="165"/>
      <c r="D210" s="165"/>
      <c r="E210" s="165"/>
      <c r="F210" s="165"/>
      <c r="G210" s="165"/>
      <c r="H210" s="165"/>
    </row>
    <row r="211" spans="1:8" x14ac:dyDescent="0.25">
      <c r="A211" s="165"/>
      <c r="B211" s="165"/>
      <c r="C211" s="165"/>
      <c r="D211" s="165"/>
      <c r="E211" s="165"/>
      <c r="F211" s="165"/>
      <c r="G211" s="165"/>
      <c r="H211" s="165"/>
    </row>
    <row r="212" spans="1:8" x14ac:dyDescent="0.25">
      <c r="A212" s="165"/>
      <c r="B212" s="165"/>
      <c r="C212" s="165"/>
      <c r="D212" s="165"/>
      <c r="E212" s="165"/>
      <c r="F212" s="165"/>
      <c r="G212" s="165"/>
      <c r="H212" s="165"/>
    </row>
    <row r="213" spans="1:8" x14ac:dyDescent="0.25">
      <c r="A213" s="37" t="s">
        <v>62</v>
      </c>
      <c r="B213" s="38"/>
      <c r="C213" s="38"/>
      <c r="D213" s="37" t="str">
        <f>E9</f>
        <v>Konnark Stellar</v>
      </c>
      <c r="F213" s="38"/>
      <c r="G213" s="38"/>
      <c r="H213" s="38"/>
    </row>
    <row r="214" spans="1:8" x14ac:dyDescent="0.25">
      <c r="A214" s="38"/>
      <c r="B214" s="38"/>
      <c r="C214" s="38"/>
      <c r="D214" s="38"/>
      <c r="E214" s="38"/>
      <c r="F214" s="38"/>
      <c r="G214" s="38"/>
      <c r="H214" s="38"/>
    </row>
    <row r="215" spans="1:8" x14ac:dyDescent="0.25">
      <c r="A215" s="38"/>
      <c r="B215" s="38"/>
      <c r="C215" s="38"/>
      <c r="D215" s="38"/>
      <c r="E215" s="38"/>
      <c r="F215" s="38"/>
      <c r="G215" s="38"/>
      <c r="H215" s="38"/>
    </row>
    <row r="216" spans="1:8" ht="15" customHeight="1" x14ac:dyDescent="0.25"/>
    <row r="257" spans="1:1" x14ac:dyDescent="0.25">
      <c r="A257" s="40" t="s">
        <v>157</v>
      </c>
    </row>
    <row r="301" spans="1:1" x14ac:dyDescent="0.25">
      <c r="A301" s="40" t="s">
        <v>63</v>
      </c>
    </row>
  </sheetData>
  <mergeCells count="378">
    <mergeCell ref="L156:M156"/>
    <mergeCell ref="A157:B157"/>
    <mergeCell ref="L157:M157"/>
    <mergeCell ref="D168:H168"/>
    <mergeCell ref="A176:B176"/>
    <mergeCell ref="A177:B177"/>
    <mergeCell ref="A178:B178"/>
    <mergeCell ref="A158:B158"/>
    <mergeCell ref="L158:M158"/>
    <mergeCell ref="A159:B159"/>
    <mergeCell ref="L159:M159"/>
    <mergeCell ref="A160:B160"/>
    <mergeCell ref="L160:M160"/>
    <mergeCell ref="A161:B161"/>
    <mergeCell ref="L161:M161"/>
    <mergeCell ref="A162:B162"/>
    <mergeCell ref="L162:M162"/>
    <mergeCell ref="A175:H175"/>
    <mergeCell ref="D177:H177"/>
    <mergeCell ref="D178:H178"/>
    <mergeCell ref="A169:B169"/>
    <mergeCell ref="A170:B170"/>
    <mergeCell ref="A171:B171"/>
    <mergeCell ref="A172:B172"/>
    <mergeCell ref="L150:M150"/>
    <mergeCell ref="A151:B151"/>
    <mergeCell ref="L151:M151"/>
    <mergeCell ref="A153:B153"/>
    <mergeCell ref="L153:M153"/>
    <mergeCell ref="A154:B154"/>
    <mergeCell ref="L154:M154"/>
    <mergeCell ref="A155:B155"/>
    <mergeCell ref="L155:M155"/>
    <mergeCell ref="L152:M152"/>
    <mergeCell ref="L141:M141"/>
    <mergeCell ref="A146:B146"/>
    <mergeCell ref="L146:M146"/>
    <mergeCell ref="A147:B147"/>
    <mergeCell ref="L147:M147"/>
    <mergeCell ref="A148:B148"/>
    <mergeCell ref="L148:M148"/>
    <mergeCell ref="A149:B149"/>
    <mergeCell ref="L149:M149"/>
    <mergeCell ref="L145:M145"/>
    <mergeCell ref="L142:M142"/>
    <mergeCell ref="A143:B143"/>
    <mergeCell ref="L143:M143"/>
    <mergeCell ref="A144:B144"/>
    <mergeCell ref="L144:M144"/>
    <mergeCell ref="B200:H200"/>
    <mergeCell ref="C127:C128"/>
    <mergeCell ref="B137:B138"/>
    <mergeCell ref="B189:H189"/>
    <mergeCell ref="A92:B92"/>
    <mergeCell ref="E92:F92"/>
    <mergeCell ref="E93:F102"/>
    <mergeCell ref="G122:H122"/>
    <mergeCell ref="B196:H196"/>
    <mergeCell ref="A124:B124"/>
    <mergeCell ref="A101:B101"/>
    <mergeCell ref="A106:E106"/>
    <mergeCell ref="A103:E103"/>
    <mergeCell ref="F107:H107"/>
    <mergeCell ref="A168:B168"/>
    <mergeCell ref="A107:E107"/>
    <mergeCell ref="A145:B145"/>
    <mergeCell ref="B194:H194"/>
    <mergeCell ref="G127:G128"/>
    <mergeCell ref="A182:B182"/>
    <mergeCell ref="B187:H187"/>
    <mergeCell ref="B188:H188"/>
    <mergeCell ref="A129:H129"/>
    <mergeCell ref="A130:H130"/>
    <mergeCell ref="A98:B98"/>
    <mergeCell ref="G92:H92"/>
    <mergeCell ref="B195:H195"/>
    <mergeCell ref="B193:H193"/>
    <mergeCell ref="A131:B131"/>
    <mergeCell ref="C124:D124"/>
    <mergeCell ref="A183:B183"/>
    <mergeCell ref="D127:D128"/>
    <mergeCell ref="A100:B100"/>
    <mergeCell ref="A164:B164"/>
    <mergeCell ref="A135:H135"/>
    <mergeCell ref="A139:H139"/>
    <mergeCell ref="A140:H140"/>
    <mergeCell ref="A141:H141"/>
    <mergeCell ref="A150:B150"/>
    <mergeCell ref="A156:B156"/>
    <mergeCell ref="A179:B179"/>
    <mergeCell ref="A180:B180"/>
    <mergeCell ref="D183:H183"/>
    <mergeCell ref="D184:H184"/>
    <mergeCell ref="A173:B173"/>
    <mergeCell ref="A167:B167"/>
    <mergeCell ref="A165:B165"/>
    <mergeCell ref="A181:B181"/>
    <mergeCell ref="A40:B40"/>
    <mergeCell ref="C40:H40"/>
    <mergeCell ref="F127:F128"/>
    <mergeCell ref="C118:D118"/>
    <mergeCell ref="E118:F118"/>
    <mergeCell ref="B127:B128"/>
    <mergeCell ref="A127:A128"/>
    <mergeCell ref="C137:C138"/>
    <mergeCell ref="G137:G138"/>
    <mergeCell ref="G124:H124"/>
    <mergeCell ref="D68:H68"/>
    <mergeCell ref="A64:C64"/>
    <mergeCell ref="G59:H59"/>
    <mergeCell ref="A78:B78"/>
    <mergeCell ref="D69:H69"/>
    <mergeCell ref="A44:D44"/>
    <mergeCell ref="E44:H44"/>
    <mergeCell ref="E45:H45"/>
    <mergeCell ref="E46:H46"/>
    <mergeCell ref="E47:H47"/>
    <mergeCell ref="C57:H57"/>
    <mergeCell ref="A48:H48"/>
    <mergeCell ref="D65:H65"/>
    <mergeCell ref="A65:C65"/>
    <mergeCell ref="A38:H38"/>
    <mergeCell ref="L134:M134"/>
    <mergeCell ref="L133:M133"/>
    <mergeCell ref="L132:M132"/>
    <mergeCell ref="L131:M131"/>
    <mergeCell ref="A86:B86"/>
    <mergeCell ref="A104:E104"/>
    <mergeCell ref="A89:B89"/>
    <mergeCell ref="C89:H89"/>
    <mergeCell ref="E127:E128"/>
    <mergeCell ref="A93:B93"/>
    <mergeCell ref="C91:H91"/>
    <mergeCell ref="A94:B94"/>
    <mergeCell ref="A95:B95"/>
    <mergeCell ref="G93:H102"/>
    <mergeCell ref="A96:B96"/>
    <mergeCell ref="F105:H105"/>
    <mergeCell ref="A105:E105"/>
    <mergeCell ref="E124:F124"/>
    <mergeCell ref="A91:B91"/>
    <mergeCell ref="C53:H53"/>
    <mergeCell ref="A63:C63"/>
    <mergeCell ref="A68:C68"/>
    <mergeCell ref="A69:C69"/>
    <mergeCell ref="F37:H37"/>
    <mergeCell ref="C51:E51"/>
    <mergeCell ref="C50:E50"/>
    <mergeCell ref="G50:H50"/>
    <mergeCell ref="A51:B51"/>
    <mergeCell ref="G56:H56"/>
    <mergeCell ref="G58:H58"/>
    <mergeCell ref="G51:H51"/>
    <mergeCell ref="A39:B39"/>
    <mergeCell ref="C39:H39"/>
    <mergeCell ref="C55:H55"/>
    <mergeCell ref="A52:B53"/>
    <mergeCell ref="C54:E54"/>
    <mergeCell ref="C52:E52"/>
    <mergeCell ref="C56:E56"/>
    <mergeCell ref="G54:H54"/>
    <mergeCell ref="A56:B57"/>
    <mergeCell ref="E42:H42"/>
    <mergeCell ref="A41:H41"/>
    <mergeCell ref="A46:D46"/>
    <mergeCell ref="A47:D47"/>
    <mergeCell ref="E43:H43"/>
    <mergeCell ref="A43:D43"/>
    <mergeCell ref="A37:B37"/>
    <mergeCell ref="A45:D45"/>
    <mergeCell ref="A49:B49"/>
    <mergeCell ref="C49:H49"/>
    <mergeCell ref="A66:C67"/>
    <mergeCell ref="D66:H66"/>
    <mergeCell ref="D67:H67"/>
    <mergeCell ref="G52:H52"/>
    <mergeCell ref="A62:H62"/>
    <mergeCell ref="A58:B60"/>
    <mergeCell ref="C60:H60"/>
    <mergeCell ref="C58:E59"/>
    <mergeCell ref="A77:B77"/>
    <mergeCell ref="A75:B75"/>
    <mergeCell ref="C75:H75"/>
    <mergeCell ref="A70:C70"/>
    <mergeCell ref="D70:H70"/>
    <mergeCell ref="C77:H77"/>
    <mergeCell ref="A71:C71"/>
    <mergeCell ref="D71:H71"/>
    <mergeCell ref="A74:C74"/>
    <mergeCell ref="D74:H74"/>
    <mergeCell ref="A73:C7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C37:E37"/>
    <mergeCell ref="A42:D42"/>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09:H212"/>
    <mergeCell ref="A208:B208"/>
    <mergeCell ref="E208:F208"/>
    <mergeCell ref="C208:D208"/>
    <mergeCell ref="G208:H208"/>
    <mergeCell ref="A116:H116"/>
    <mergeCell ref="A114:E114"/>
    <mergeCell ref="F114:H114"/>
    <mergeCell ref="A115:E115"/>
    <mergeCell ref="F115:H115"/>
    <mergeCell ref="A152:H152"/>
    <mergeCell ref="A166:B166"/>
    <mergeCell ref="A118:B118"/>
    <mergeCell ref="A204:H204"/>
    <mergeCell ref="A120:H120"/>
    <mergeCell ref="A207:H207"/>
    <mergeCell ref="A205:H205"/>
    <mergeCell ref="A201:H201"/>
    <mergeCell ref="G121:H121"/>
    <mergeCell ref="B192:H192"/>
    <mergeCell ref="B197:H197"/>
    <mergeCell ref="A123:B123"/>
    <mergeCell ref="E123:F123"/>
    <mergeCell ref="G123:H123"/>
    <mergeCell ref="A206:H206"/>
    <mergeCell ref="A203:H203"/>
    <mergeCell ref="A121:B121"/>
    <mergeCell ref="D137:D138"/>
    <mergeCell ref="E137:E138"/>
    <mergeCell ref="B199:H199"/>
    <mergeCell ref="B198:H198"/>
    <mergeCell ref="A202:H202"/>
    <mergeCell ref="A11:D11"/>
    <mergeCell ref="E11:H11"/>
    <mergeCell ref="A23:D24"/>
    <mergeCell ref="A111:E111"/>
    <mergeCell ref="E28:H28"/>
    <mergeCell ref="A12:D12"/>
    <mergeCell ref="E12:H12"/>
    <mergeCell ref="A17:B17"/>
    <mergeCell ref="A14:D14"/>
    <mergeCell ref="A19:B19"/>
    <mergeCell ref="C19:D19"/>
    <mergeCell ref="E19:F19"/>
    <mergeCell ref="G19:H19"/>
    <mergeCell ref="A20:B20"/>
    <mergeCell ref="C20:D20"/>
    <mergeCell ref="E15:H15"/>
    <mergeCell ref="B191:H191"/>
    <mergeCell ref="F106:H106"/>
    <mergeCell ref="A110:E110"/>
    <mergeCell ref="A109:E109"/>
    <mergeCell ref="A136:H136"/>
    <mergeCell ref="A186:H186"/>
    <mergeCell ref="A184:B184"/>
    <mergeCell ref="A185:B185"/>
    <mergeCell ref="A174:H174"/>
    <mergeCell ref="A163:H163"/>
    <mergeCell ref="A137:A138"/>
    <mergeCell ref="F137:F138"/>
    <mergeCell ref="B190:H190"/>
    <mergeCell ref="F108:H108"/>
    <mergeCell ref="A142:B142"/>
    <mergeCell ref="A134:B134"/>
    <mergeCell ref="A133:B133"/>
    <mergeCell ref="F109:H109"/>
    <mergeCell ref="A108:E108"/>
    <mergeCell ref="A113:E113"/>
    <mergeCell ref="A119:B119"/>
    <mergeCell ref="C119:D119"/>
    <mergeCell ref="E119:F119"/>
    <mergeCell ref="G119:H119"/>
    <mergeCell ref="I15:P15"/>
    <mergeCell ref="F113:H113"/>
    <mergeCell ref="F111:H111"/>
    <mergeCell ref="A126:H126"/>
    <mergeCell ref="G117:H117"/>
    <mergeCell ref="A112:E112"/>
    <mergeCell ref="A132:B132"/>
    <mergeCell ref="A61:B61"/>
    <mergeCell ref="C61:E61"/>
    <mergeCell ref="D63:H63"/>
    <mergeCell ref="F112:H112"/>
    <mergeCell ref="E117:F117"/>
    <mergeCell ref="A117:B117"/>
    <mergeCell ref="C121:D121"/>
    <mergeCell ref="D72:H72"/>
    <mergeCell ref="D64:H64"/>
    <mergeCell ref="G61:H61"/>
    <mergeCell ref="A54:B55"/>
    <mergeCell ref="A84:B84"/>
    <mergeCell ref="A50:B50"/>
    <mergeCell ref="A72:C72"/>
    <mergeCell ref="D73:H73"/>
    <mergeCell ref="A79:B79"/>
    <mergeCell ref="A97:B97"/>
    <mergeCell ref="G78:H78"/>
    <mergeCell ref="A87:B87"/>
    <mergeCell ref="A88:B88"/>
    <mergeCell ref="A83:B83"/>
    <mergeCell ref="A82:B82"/>
    <mergeCell ref="E78:F78"/>
    <mergeCell ref="A80:B80"/>
    <mergeCell ref="E121:F121"/>
    <mergeCell ref="A125:H125"/>
    <mergeCell ref="A85:B85"/>
    <mergeCell ref="A99:B99"/>
    <mergeCell ref="F104:H104"/>
    <mergeCell ref="G118:H118"/>
    <mergeCell ref="A102:B102"/>
    <mergeCell ref="F110:H110"/>
    <mergeCell ref="C117:D117"/>
    <mergeCell ref="C123:D123"/>
    <mergeCell ref="F103:H103"/>
    <mergeCell ref="A81:B81"/>
    <mergeCell ref="E79:F88"/>
    <mergeCell ref="G79:H88"/>
    <mergeCell ref="A122:B122"/>
    <mergeCell ref="C122:D122"/>
    <mergeCell ref="E122:F122"/>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7:E128">
      <formula1>"Attached Loft area,Attached Otla area,Attached Mezzanine area"</formula1>
    </dataValidation>
    <dataValidation type="list" allowBlank="1" showInputMessage="1" showErrorMessage="1" sqref="G208:H208">
      <formula1>"Kunal Kadam,Pranita Mhatre,Shruti Fule,Pooja Kawale,Gaurav Panchal,Shruti Tathare, Dipti Gothawade,Saurav Panse, Sachin Sawant"</formula1>
    </dataValidation>
    <dataValidation type="list" allowBlank="1" showInputMessage="1" showErrorMessage="1" sqref="F103:H103">
      <formula1>"On Saleable Area,On Builtup Area,On Carpet Area,On Plot Area"</formula1>
    </dataValidation>
    <dataValidation type="list" allowBlank="1" showInputMessage="1" showErrorMessage="1" sqref="F114:H114">
      <formula1>OFFSET($S$103,1,MATCH($G20,$S$103:$W$103,0)-1,15,1)</formula1>
    </dataValidation>
    <dataValidation type="list" allowBlank="1" showInputMessage="1" showErrorMessage="1" sqref="B127:B128">
      <formula1>"Shop No. (Sale Plan),Sale / Rehab,Sale / Mhada"</formula1>
    </dataValidation>
    <dataValidation type="list" allowBlank="1" showInputMessage="1" showErrorMessage="1" sqref="B137:B13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7:E138">
      <formula1>"Fungible area,Balcony Area,Chajja Area,Cornice Area,AP Area,WS Area"</formula1>
    </dataValidation>
    <dataValidation type="list" allowBlank="1" showInputMessage="1" showErrorMessage="1" sqref="H128 H13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7 H137">
      <formula1>"Saleable area Loading :,Builder Saleable Area"</formula1>
    </dataValidation>
    <dataValidation type="list" allowBlank="1" showInputMessage="1" showErrorMessage="1" sqref="D127:D128">
      <formula1>"Carpet area,RERA Carpet area"</formula1>
    </dataValidation>
    <dataValidation type="list" allowBlank="1" showInputMessage="1" showErrorMessage="1" sqref="D137:D138">
      <formula1>"Carpet Area,Carpet + Encl Balcony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74" max="7" man="1"/>
    <brk id="124" max="7" man="1"/>
    <brk id="197" max="7" man="1"/>
    <brk id="212" max="16383" man="1"/>
    <brk id="256" max="16383" man="1"/>
    <brk id="30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9" t="s">
        <v>104</v>
      </c>
      <c r="C3" s="259"/>
      <c r="D3" s="259"/>
      <c r="E3" s="259"/>
      <c r="F3" s="259"/>
      <c r="G3" s="259"/>
      <c r="H3" s="259"/>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2"/>
      <c r="C4" s="52" t="s">
        <v>11</v>
      </c>
      <c r="D4" s="53" t="s">
        <v>172</v>
      </c>
      <c r="E4" s="53" t="s">
        <v>182</v>
      </c>
      <c r="F4" s="53" t="s">
        <v>165</v>
      </c>
      <c r="G4" s="53" t="s">
        <v>187</v>
      </c>
      <c r="H4" s="53" t="s">
        <v>205</v>
      </c>
      <c r="J4" t="s">
        <v>187</v>
      </c>
      <c r="K4" t="s">
        <v>203</v>
      </c>
    </row>
    <row r="5" spans="2:11" x14ac:dyDescent="0.25">
      <c r="B5" s="52"/>
      <c r="C5" s="52"/>
      <c r="D5" s="53" t="s">
        <v>173</v>
      </c>
      <c r="E5" s="53" t="s">
        <v>180</v>
      </c>
      <c r="F5" s="53" t="s">
        <v>202</v>
      </c>
      <c r="G5" s="53" t="s">
        <v>188</v>
      </c>
      <c r="H5" s="53" t="s">
        <v>206</v>
      </c>
    </row>
    <row r="6" spans="2:11" x14ac:dyDescent="0.25">
      <c r="B6" s="52"/>
      <c r="C6" s="52"/>
      <c r="D6" s="53" t="s">
        <v>174</v>
      </c>
      <c r="E6" s="53" t="s">
        <v>181</v>
      </c>
      <c r="F6" s="53" t="s">
        <v>203</v>
      </c>
      <c r="G6" s="53" t="s">
        <v>189</v>
      </c>
      <c r="H6" s="53" t="s">
        <v>219</v>
      </c>
    </row>
    <row r="7" spans="2:11" x14ac:dyDescent="0.25">
      <c r="B7" s="52"/>
      <c r="C7" s="52"/>
      <c r="D7" s="53" t="s">
        <v>175</v>
      </c>
      <c r="E7" s="53" t="s">
        <v>183</v>
      </c>
      <c r="F7" s="53" t="s">
        <v>204</v>
      </c>
      <c r="G7" s="53" t="s">
        <v>190</v>
      </c>
      <c r="H7" s="53" t="s">
        <v>207</v>
      </c>
    </row>
    <row r="8" spans="2:11" x14ac:dyDescent="0.25">
      <c r="B8" s="52"/>
      <c r="C8" s="52"/>
      <c r="D8" s="53" t="s">
        <v>176</v>
      </c>
      <c r="E8" s="53" t="s">
        <v>184</v>
      </c>
      <c r="F8" s="53"/>
      <c r="G8" s="53" t="s">
        <v>191</v>
      </c>
      <c r="H8" s="53" t="s">
        <v>208</v>
      </c>
    </row>
    <row r="9" spans="2:11" x14ac:dyDescent="0.25">
      <c r="B9" s="52"/>
      <c r="C9" s="52"/>
      <c r="D9" s="53" t="s">
        <v>177</v>
      </c>
      <c r="E9" s="53" t="s">
        <v>182</v>
      </c>
      <c r="F9" s="53"/>
      <c r="G9" s="53" t="s">
        <v>192</v>
      </c>
      <c r="H9" s="53" t="s">
        <v>209</v>
      </c>
    </row>
    <row r="10" spans="2:11" x14ac:dyDescent="0.25">
      <c r="B10" s="52"/>
      <c r="C10" s="52"/>
      <c r="D10" s="53" t="s">
        <v>178</v>
      </c>
      <c r="E10" s="53" t="s">
        <v>185</v>
      </c>
      <c r="F10" s="53"/>
      <c r="G10" s="53" t="s">
        <v>193</v>
      </c>
      <c r="H10" s="53" t="s">
        <v>210</v>
      </c>
    </row>
    <row r="11" spans="2:11" x14ac:dyDescent="0.25">
      <c r="B11" s="52"/>
      <c r="C11" s="52"/>
      <c r="D11" s="53" t="s">
        <v>179</v>
      </c>
      <c r="E11" s="53" t="s">
        <v>186</v>
      </c>
      <c r="F11" s="53"/>
      <c r="G11" s="53" t="s">
        <v>194</v>
      </c>
      <c r="H11" s="53" t="s">
        <v>211</v>
      </c>
    </row>
    <row r="12" spans="2:11" x14ac:dyDescent="0.25">
      <c r="B12" s="52"/>
      <c r="C12" s="52"/>
      <c r="D12" s="53"/>
      <c r="E12" s="53"/>
      <c r="F12" s="53"/>
      <c r="G12" s="53" t="s">
        <v>195</v>
      </c>
      <c r="H12" s="53" t="s">
        <v>212</v>
      </c>
    </row>
    <row r="13" spans="2:11" x14ac:dyDescent="0.25">
      <c r="B13" s="52"/>
      <c r="C13" s="52"/>
      <c r="D13" s="53"/>
      <c r="E13" s="53"/>
      <c r="F13" s="53"/>
      <c r="G13" s="53" t="s">
        <v>196</v>
      </c>
      <c r="H13" s="53" t="s">
        <v>213</v>
      </c>
    </row>
    <row r="14" spans="2:11" x14ac:dyDescent="0.25">
      <c r="B14" s="52"/>
      <c r="C14" s="52"/>
      <c r="D14" s="53"/>
      <c r="E14" s="53"/>
      <c r="F14" s="53"/>
      <c r="G14" s="53" t="s">
        <v>197</v>
      </c>
      <c r="H14" s="53" t="s">
        <v>214</v>
      </c>
    </row>
    <row r="15" spans="2:11" x14ac:dyDescent="0.25">
      <c r="B15" s="52"/>
      <c r="C15" s="52"/>
      <c r="D15" s="53"/>
      <c r="E15" s="53"/>
      <c r="F15" s="53"/>
      <c r="G15" s="53" t="s">
        <v>198</v>
      </c>
      <c r="H15" s="53" t="s">
        <v>215</v>
      </c>
    </row>
    <row r="16" spans="2:11" x14ac:dyDescent="0.25">
      <c r="B16" s="52"/>
      <c r="C16" s="52"/>
      <c r="D16" s="53"/>
      <c r="E16" s="53"/>
      <c r="F16" s="53"/>
      <c r="G16" s="53" t="s">
        <v>199</v>
      </c>
      <c r="H16" s="53" t="s">
        <v>216</v>
      </c>
    </row>
    <row r="17" spans="2:8" x14ac:dyDescent="0.25">
      <c r="B17" s="52"/>
      <c r="C17" s="52"/>
      <c r="D17" s="53"/>
      <c r="E17" s="53"/>
      <c r="F17" s="53"/>
      <c r="G17" s="53" t="s">
        <v>200</v>
      </c>
      <c r="H17" s="53" t="s">
        <v>217</v>
      </c>
    </row>
    <row r="18" spans="2:8" x14ac:dyDescent="0.25">
      <c r="B18" s="52"/>
      <c r="C18" s="52"/>
      <c r="D18" s="53"/>
      <c r="E18" s="53"/>
      <c r="F18" s="53"/>
      <c r="G18" s="53" t="s">
        <v>201</v>
      </c>
      <c r="H18" s="53" t="s">
        <v>218</v>
      </c>
    </row>
    <row r="24" spans="2:8" x14ac:dyDescent="0.25">
      <c r="C24" t="s">
        <v>162</v>
      </c>
    </row>
    <row r="25" spans="2:8" x14ac:dyDescent="0.25">
      <c r="C25" t="s">
        <v>220</v>
      </c>
    </row>
    <row r="26" spans="2:8" x14ac:dyDescent="0.25">
      <c r="C26" t="s">
        <v>221</v>
      </c>
    </row>
    <row r="27" spans="2:8" x14ac:dyDescent="0.25">
      <c r="C27" t="s">
        <v>222</v>
      </c>
    </row>
    <row r="28" spans="2:8" x14ac:dyDescent="0.25">
      <c r="C28" t="s">
        <v>223</v>
      </c>
    </row>
    <row r="29" spans="2:8" x14ac:dyDescent="0.25">
      <c r="C29" t="s">
        <v>224</v>
      </c>
    </row>
    <row r="30" spans="2:8" x14ac:dyDescent="0.25">
      <c r="C30" t="s">
        <v>162</v>
      </c>
    </row>
    <row r="33" spans="3:11" x14ac:dyDescent="0.25">
      <c r="J33">
        <v>1</v>
      </c>
      <c r="K33">
        <v>2</v>
      </c>
    </row>
    <row r="34" spans="3:11" x14ac:dyDescent="0.25">
      <c r="C34" s="54" t="s">
        <v>229</v>
      </c>
      <c r="D34" s="53" t="s">
        <v>227</v>
      </c>
      <c r="E34" s="53" t="s">
        <v>232</v>
      </c>
      <c r="F34" s="53" t="s">
        <v>230</v>
      </c>
      <c r="G34" s="53" t="s">
        <v>231</v>
      </c>
      <c r="H34" s="53" t="s">
        <v>233</v>
      </c>
      <c r="J34" t="s">
        <v>187</v>
      </c>
      <c r="K34" t="s">
        <v>203</v>
      </c>
    </row>
    <row r="35" spans="3:11" x14ac:dyDescent="0.25">
      <c r="C35" s="52" t="s">
        <v>228</v>
      </c>
      <c r="D35" s="53" t="s">
        <v>163</v>
      </c>
      <c r="E35" s="53" t="s">
        <v>237</v>
      </c>
      <c r="F35" s="53" t="s">
        <v>239</v>
      </c>
      <c r="G35" s="53" t="s">
        <v>241</v>
      </c>
      <c r="H35" s="53"/>
    </row>
    <row r="36" spans="3:11" x14ac:dyDescent="0.25">
      <c r="C36" s="52"/>
      <c r="D36" s="53" t="s">
        <v>234</v>
      </c>
      <c r="E36" s="53" t="s">
        <v>238</v>
      </c>
      <c r="F36" s="53" t="s">
        <v>240</v>
      </c>
      <c r="G36" s="53" t="s">
        <v>242</v>
      </c>
      <c r="H36" s="53"/>
    </row>
    <row r="37" spans="3:11" x14ac:dyDescent="0.25">
      <c r="C37" s="52"/>
      <c r="D37" s="53" t="s">
        <v>235</v>
      </c>
      <c r="E37" s="53"/>
      <c r="F37" s="53"/>
      <c r="G37" s="53" t="s">
        <v>243</v>
      </c>
      <c r="H37" s="53"/>
    </row>
    <row r="38" spans="3:11" x14ac:dyDescent="0.25">
      <c r="C38" s="52"/>
      <c r="D38" s="53" t="s">
        <v>236</v>
      </c>
      <c r="E38" s="53"/>
      <c r="F38" s="53"/>
      <c r="G38" s="53" t="s">
        <v>243</v>
      </c>
      <c r="H38" s="53"/>
    </row>
    <row r="39" spans="3:11" x14ac:dyDescent="0.25">
      <c r="C39" s="52"/>
      <c r="D39" s="53"/>
      <c r="E39" s="53"/>
      <c r="F39" s="53"/>
      <c r="G39" s="53" t="s">
        <v>244</v>
      </c>
      <c r="H39" s="53"/>
    </row>
    <row r="40" spans="3:11" x14ac:dyDescent="0.25">
      <c r="C40" s="52"/>
      <c r="D40" s="53"/>
      <c r="E40" s="53"/>
      <c r="F40" s="53"/>
      <c r="G40" s="53" t="s">
        <v>245</v>
      </c>
      <c r="H40" s="53"/>
    </row>
    <row r="41" spans="3:11" x14ac:dyDescent="0.25">
      <c r="C41" s="52"/>
      <c r="D41" s="53"/>
      <c r="E41" s="53"/>
      <c r="F41" s="53"/>
      <c r="G41" s="53"/>
      <c r="H41" s="53"/>
    </row>
    <row r="43" spans="3:11" x14ac:dyDescent="0.25">
      <c r="C43" t="s">
        <v>246</v>
      </c>
    </row>
    <row r="44" spans="3:11" x14ac:dyDescent="0.25">
      <c r="C44" t="s">
        <v>165</v>
      </c>
      <c r="D44" t="s">
        <v>247</v>
      </c>
    </row>
    <row r="45" spans="3:11" x14ac:dyDescent="0.25">
      <c r="D45" t="s">
        <v>248</v>
      </c>
    </row>
    <row r="46" spans="3:11" x14ac:dyDescent="0.25">
      <c r="D46" t="s">
        <v>249</v>
      </c>
    </row>
    <row r="47" spans="3:11" x14ac:dyDescent="0.25">
      <c r="D47" t="s">
        <v>250</v>
      </c>
    </row>
    <row r="48" spans="3:11" x14ac:dyDescent="0.25">
      <c r="D48" t="s">
        <v>251</v>
      </c>
    </row>
    <row r="49" spans="3:4" x14ac:dyDescent="0.25">
      <c r="C49" t="s">
        <v>172</v>
      </c>
      <c r="D49" t="s">
        <v>252</v>
      </c>
    </row>
    <row r="50" spans="3:4" x14ac:dyDescent="0.25">
      <c r="D50" t="s">
        <v>253</v>
      </c>
    </row>
    <row r="51" spans="3:4" x14ac:dyDescent="0.25">
      <c r="D51" t="s">
        <v>254</v>
      </c>
    </row>
    <row r="52" spans="3:4" x14ac:dyDescent="0.25">
      <c r="D52" t="s">
        <v>257</v>
      </c>
    </row>
    <row r="53" spans="3:4" x14ac:dyDescent="0.25">
      <c r="D53" t="s">
        <v>255</v>
      </c>
    </row>
    <row r="54" spans="3:4" x14ac:dyDescent="0.25">
      <c r="D54" t="s">
        <v>256</v>
      </c>
    </row>
    <row r="55" spans="3:4" x14ac:dyDescent="0.25">
      <c r="D55" t="s">
        <v>258</v>
      </c>
    </row>
    <row r="56" spans="3:4" x14ac:dyDescent="0.25">
      <c r="D56" t="s">
        <v>259</v>
      </c>
    </row>
    <row r="57" spans="3:4" x14ac:dyDescent="0.25">
      <c r="D57" t="s">
        <v>260</v>
      </c>
    </row>
    <row r="58" spans="3:4" x14ac:dyDescent="0.25">
      <c r="D58" t="s">
        <v>262</v>
      </c>
    </row>
    <row r="59" spans="3:4" x14ac:dyDescent="0.25">
      <c r="D59" t="s">
        <v>271</v>
      </c>
    </row>
    <row r="60" spans="3:4" x14ac:dyDescent="0.25">
      <c r="C60" t="s">
        <v>187</v>
      </c>
      <c r="D60" t="s">
        <v>263</v>
      </c>
    </row>
    <row r="61" spans="3:4" x14ac:dyDescent="0.25">
      <c r="D61" t="s">
        <v>261</v>
      </c>
    </row>
    <row r="62" spans="3:4" x14ac:dyDescent="0.25">
      <c r="D62" t="s">
        <v>251</v>
      </c>
    </row>
    <row r="63" spans="3:4" x14ac:dyDescent="0.25">
      <c r="D63" t="s">
        <v>264</v>
      </c>
    </row>
    <row r="64" spans="3:4" x14ac:dyDescent="0.25">
      <c r="D64" t="s">
        <v>265</v>
      </c>
    </row>
    <row r="65" spans="3:4" x14ac:dyDescent="0.25">
      <c r="D65" t="s">
        <v>266</v>
      </c>
    </row>
    <row r="66" spans="3:4" x14ac:dyDescent="0.25">
      <c r="D66" t="s">
        <v>267</v>
      </c>
    </row>
    <row r="67" spans="3:4" x14ac:dyDescent="0.25">
      <c r="C67" t="s">
        <v>182</v>
      </c>
      <c r="D67" t="s">
        <v>268</v>
      </c>
    </row>
    <row r="68" spans="3:4" x14ac:dyDescent="0.25">
      <c r="D68" t="s">
        <v>269</v>
      </c>
    </row>
    <row r="69" spans="3:4" x14ac:dyDescent="0.25">
      <c r="D69" t="s">
        <v>270</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45" zoomScale="85" zoomScaleNormal="85" workbookViewId="0">
      <selection activeCell="C57" sqref="C57"/>
    </sheetView>
  </sheetViews>
  <sheetFormatPr defaultRowHeight="15" x14ac:dyDescent="0.25"/>
  <cols>
    <col min="2" max="2" width="3" bestFit="1" customWidth="1"/>
    <col min="3" max="3" width="155.28515625" customWidth="1"/>
  </cols>
  <sheetData>
    <row r="2" spans="2:3" ht="15" customHeight="1" x14ac:dyDescent="0.25">
      <c r="B2" s="55">
        <v>1</v>
      </c>
      <c r="C2" s="57" t="s">
        <v>276</v>
      </c>
    </row>
    <row r="3" spans="2:3" x14ac:dyDescent="0.25">
      <c r="B3" s="55">
        <v>2</v>
      </c>
      <c r="C3" s="56" t="s">
        <v>277</v>
      </c>
    </row>
    <row r="4" spans="2:3" x14ac:dyDescent="0.25">
      <c r="B4" s="55">
        <v>3</v>
      </c>
      <c r="C4" s="55" t="s">
        <v>278</v>
      </c>
    </row>
    <row r="5" spans="2:3" x14ac:dyDescent="0.25">
      <c r="B5" s="55">
        <v>4</v>
      </c>
      <c r="C5" s="56" t="s">
        <v>279</v>
      </c>
    </row>
    <row r="6" spans="2:3" x14ac:dyDescent="0.25">
      <c r="B6" s="55">
        <v>5</v>
      </c>
      <c r="C6" s="55" t="s">
        <v>280</v>
      </c>
    </row>
    <row r="7" spans="2:3" ht="30" x14ac:dyDescent="0.25">
      <c r="B7" s="55">
        <v>6</v>
      </c>
      <c r="C7" s="56" t="s">
        <v>281</v>
      </c>
    </row>
    <row r="8" spans="2:3" ht="75" x14ac:dyDescent="0.25">
      <c r="B8" s="55">
        <v>7</v>
      </c>
      <c r="C8" s="56" t="s">
        <v>282</v>
      </c>
    </row>
    <row r="9" spans="2:3" x14ac:dyDescent="0.25">
      <c r="B9" s="55">
        <v>8</v>
      </c>
      <c r="C9" s="55" t="s">
        <v>283</v>
      </c>
    </row>
    <row r="10" spans="2:3" x14ac:dyDescent="0.25">
      <c r="B10" s="55">
        <v>9</v>
      </c>
      <c r="C10" s="55" t="s">
        <v>284</v>
      </c>
    </row>
    <row r="11" spans="2:3" x14ac:dyDescent="0.25">
      <c r="B11" s="55">
        <v>10</v>
      </c>
      <c r="C11" s="55" t="s">
        <v>285</v>
      </c>
    </row>
    <row r="12" spans="2:3" x14ac:dyDescent="0.25">
      <c r="B12" s="55">
        <v>11</v>
      </c>
      <c r="C12" s="55" t="s">
        <v>286</v>
      </c>
    </row>
    <row r="13" spans="2:3" x14ac:dyDescent="0.25">
      <c r="B13" s="55">
        <v>12</v>
      </c>
      <c r="C13" s="55" t="s">
        <v>287</v>
      </c>
    </row>
    <row r="14" spans="2:3" x14ac:dyDescent="0.25">
      <c r="B14" s="55">
        <v>13</v>
      </c>
      <c r="C14" s="55" t="s">
        <v>288</v>
      </c>
    </row>
    <row r="15" spans="2:3" x14ac:dyDescent="0.25">
      <c r="B15" s="55">
        <v>14</v>
      </c>
      <c r="C15" s="55" t="s">
        <v>278</v>
      </c>
    </row>
    <row r="16" spans="2:3" x14ac:dyDescent="0.25">
      <c r="B16" s="55">
        <v>15</v>
      </c>
      <c r="C16" s="55" t="s">
        <v>290</v>
      </c>
    </row>
    <row r="17" spans="2:3" x14ac:dyDescent="0.25">
      <c r="B17" s="73">
        <v>16</v>
      </c>
      <c r="C17" s="60" t="s">
        <v>291</v>
      </c>
    </row>
    <row r="18" spans="2:3" x14ac:dyDescent="0.25">
      <c r="B18" s="59">
        <v>17</v>
      </c>
      <c r="C18" s="60" t="s">
        <v>292</v>
      </c>
    </row>
    <row r="19" spans="2:3" x14ac:dyDescent="0.25">
      <c r="B19" s="58">
        <v>18</v>
      </c>
      <c r="C19" s="55" t="s">
        <v>293</v>
      </c>
    </row>
    <row r="20" spans="2:3" x14ac:dyDescent="0.25">
      <c r="B20" s="59">
        <v>19</v>
      </c>
      <c r="C20" s="55" t="s">
        <v>329</v>
      </c>
    </row>
    <row r="21" spans="2:3" x14ac:dyDescent="0.25">
      <c r="B21" s="55">
        <v>20</v>
      </c>
      <c r="C21" s="55" t="s">
        <v>294</v>
      </c>
    </row>
    <row r="22" spans="2:3" x14ac:dyDescent="0.25">
      <c r="B22" s="59">
        <v>21</v>
      </c>
      <c r="C22" s="55" t="s">
        <v>293</v>
      </c>
    </row>
    <row r="23" spans="2:3" s="68" customFormat="1" ht="29.25" customHeight="1" x14ac:dyDescent="0.25">
      <c r="B23" s="67">
        <v>22</v>
      </c>
      <c r="C23" s="57" t="s">
        <v>321</v>
      </c>
    </row>
    <row r="24" spans="2:3" s="68" customFormat="1" ht="30.75" customHeight="1" x14ac:dyDescent="0.25">
      <c r="B24" s="69">
        <v>23</v>
      </c>
      <c r="C24" s="57" t="s">
        <v>322</v>
      </c>
    </row>
    <row r="25" spans="2:3" x14ac:dyDescent="0.25">
      <c r="B25" s="55">
        <v>24</v>
      </c>
      <c r="C25" s="55" t="s">
        <v>325</v>
      </c>
    </row>
    <row r="26" spans="2:3" x14ac:dyDescent="0.25">
      <c r="B26" s="59">
        <v>25</v>
      </c>
      <c r="C26" s="55" t="s">
        <v>323</v>
      </c>
    </row>
    <row r="27" spans="2:3" x14ac:dyDescent="0.25">
      <c r="B27" s="69">
        <v>26</v>
      </c>
      <c r="C27" s="55" t="s">
        <v>324</v>
      </c>
    </row>
    <row r="28" spans="2:3" x14ac:dyDescent="0.25">
      <c r="B28" s="59">
        <v>27</v>
      </c>
      <c r="C28" s="55" t="s">
        <v>326</v>
      </c>
    </row>
    <row r="29" spans="2:3" ht="60" x14ac:dyDescent="0.25">
      <c r="B29" s="72">
        <v>28</v>
      </c>
      <c r="C29" s="56" t="s">
        <v>327</v>
      </c>
    </row>
    <row r="30" spans="2:3" x14ac:dyDescent="0.25">
      <c r="B30" s="69">
        <v>29</v>
      </c>
      <c r="C30" s="55" t="s">
        <v>328</v>
      </c>
    </row>
    <row r="31" spans="2:3" ht="30" x14ac:dyDescent="0.25">
      <c r="B31" s="69">
        <v>30</v>
      </c>
      <c r="C31" s="56" t="s">
        <v>330</v>
      </c>
    </row>
    <row r="32" spans="2:3" x14ac:dyDescent="0.25">
      <c r="B32" s="69">
        <v>31</v>
      </c>
      <c r="C32" s="55" t="s">
        <v>331</v>
      </c>
    </row>
    <row r="33" spans="2:4" x14ac:dyDescent="0.25">
      <c r="B33" s="69">
        <v>32</v>
      </c>
      <c r="C33" s="55" t="s">
        <v>332</v>
      </c>
    </row>
    <row r="34" spans="2:4" ht="36.75" customHeight="1" x14ac:dyDescent="0.25">
      <c r="B34" s="69">
        <v>33</v>
      </c>
      <c r="C34" s="60" t="s">
        <v>333</v>
      </c>
    </row>
    <row r="35" spans="2:4" x14ac:dyDescent="0.25">
      <c r="B35" s="67">
        <v>34</v>
      </c>
      <c r="C35" s="55" t="s">
        <v>341</v>
      </c>
    </row>
    <row r="36" spans="2:4" ht="60" x14ac:dyDescent="0.25">
      <c r="B36" s="67">
        <v>35</v>
      </c>
      <c r="C36" s="56" t="s">
        <v>343</v>
      </c>
    </row>
    <row r="37" spans="2:4" x14ac:dyDescent="0.25">
      <c r="B37" s="55">
        <v>36</v>
      </c>
      <c r="C37" s="56" t="s">
        <v>354</v>
      </c>
    </row>
    <row r="38" spans="2:4" x14ac:dyDescent="0.25">
      <c r="B38" s="55">
        <f t="shared" ref="B38:B44" si="0">B37+1</f>
        <v>37</v>
      </c>
      <c r="C38" s="55" t="s">
        <v>350</v>
      </c>
    </row>
    <row r="39" spans="2:4" x14ac:dyDescent="0.25">
      <c r="B39" s="55">
        <f t="shared" si="0"/>
        <v>38</v>
      </c>
      <c r="C39" s="55" t="s">
        <v>351</v>
      </c>
    </row>
    <row r="40" spans="2:4" x14ac:dyDescent="0.25">
      <c r="B40" s="55">
        <f t="shared" si="0"/>
        <v>39</v>
      </c>
      <c r="C40" s="55" t="s">
        <v>352</v>
      </c>
    </row>
    <row r="41" spans="2:4" x14ac:dyDescent="0.25">
      <c r="B41" s="55">
        <f t="shared" si="0"/>
        <v>40</v>
      </c>
      <c r="C41" s="55" t="s">
        <v>353</v>
      </c>
    </row>
    <row r="42" spans="2:4" ht="30.75" thickBot="1" x14ac:dyDescent="0.3">
      <c r="B42" s="76">
        <f t="shared" si="0"/>
        <v>41</v>
      </c>
      <c r="C42" s="77" t="s">
        <v>355</v>
      </c>
    </row>
    <row r="43" spans="2:4" ht="30" x14ac:dyDescent="0.25">
      <c r="B43" s="80">
        <f t="shared" si="0"/>
        <v>42</v>
      </c>
      <c r="C43" s="85" t="s">
        <v>360</v>
      </c>
      <c r="D43" t="s">
        <v>361</v>
      </c>
    </row>
    <row r="44" spans="2:4" ht="15.75" thickBot="1" x14ac:dyDescent="0.3">
      <c r="B44" s="82">
        <f t="shared" si="0"/>
        <v>43</v>
      </c>
      <c r="C44" s="84" t="s">
        <v>356</v>
      </c>
    </row>
    <row r="45" spans="2:4" ht="15.75" thickBot="1" x14ac:dyDescent="0.3">
      <c r="B45" s="78">
        <f t="shared" ref="B45:B54" si="1">B44+1</f>
        <v>44</v>
      </c>
      <c r="C45" s="79" t="s">
        <v>357</v>
      </c>
    </row>
    <row r="46" spans="2:4" ht="30" x14ac:dyDescent="0.25">
      <c r="B46" s="80">
        <f t="shared" si="1"/>
        <v>45</v>
      </c>
      <c r="C46" s="81" t="s">
        <v>358</v>
      </c>
    </row>
    <row r="47" spans="2:4" ht="15.75" thickBot="1" x14ac:dyDescent="0.3">
      <c r="B47" s="82">
        <f t="shared" si="1"/>
        <v>46</v>
      </c>
      <c r="C47" s="83" t="s">
        <v>359</v>
      </c>
    </row>
    <row r="48" spans="2:4" x14ac:dyDescent="0.25">
      <c r="B48" s="86">
        <f t="shared" si="1"/>
        <v>47</v>
      </c>
      <c r="C48" s="87" t="s">
        <v>362</v>
      </c>
    </row>
    <row r="49" spans="2:4" x14ac:dyDescent="0.25">
      <c r="B49" s="86">
        <f t="shared" si="1"/>
        <v>48</v>
      </c>
      <c r="C49" s="87" t="s">
        <v>363</v>
      </c>
    </row>
    <row r="50" spans="2:4" x14ac:dyDescent="0.25">
      <c r="B50" s="86">
        <f t="shared" si="1"/>
        <v>49</v>
      </c>
      <c r="C50" s="87" t="s">
        <v>365</v>
      </c>
      <c r="D50" t="s">
        <v>364</v>
      </c>
    </row>
    <row r="51" spans="2:4" ht="30" x14ac:dyDescent="0.25">
      <c r="B51" s="88">
        <f t="shared" si="1"/>
        <v>50</v>
      </c>
      <c r="C51" s="89" t="s">
        <v>366</v>
      </c>
    </row>
    <row r="52" spans="2:4" x14ac:dyDescent="0.25">
      <c r="B52" s="88">
        <f t="shared" si="1"/>
        <v>51</v>
      </c>
      <c r="C52" s="90" t="s">
        <v>369</v>
      </c>
      <c r="D52" t="s">
        <v>370</v>
      </c>
    </row>
    <row r="53" spans="2:4" x14ac:dyDescent="0.25">
      <c r="B53" s="88">
        <f t="shared" si="1"/>
        <v>52</v>
      </c>
      <c r="C53" s="90" t="s">
        <v>372</v>
      </c>
      <c r="D53" t="s">
        <v>373</v>
      </c>
    </row>
    <row r="54" spans="2:4" x14ac:dyDescent="0.25">
      <c r="B54" s="88">
        <f t="shared" si="1"/>
        <v>53</v>
      </c>
      <c r="C54" s="55" t="s">
        <v>374</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RowHeight="15" x14ac:dyDescent="0.25"/>
  <cols>
    <col min="1" max="1" width="9.140625" style="52"/>
    <col min="2" max="2" width="12.28515625" style="52" customWidth="1"/>
    <col min="3" max="16384" width="9.140625" style="52"/>
  </cols>
  <sheetData>
    <row r="2" spans="1:12" x14ac:dyDescent="0.25">
      <c r="B2" s="61" t="s">
        <v>295</v>
      </c>
      <c r="C2" s="260"/>
      <c r="D2" s="260"/>
    </row>
    <row r="3" spans="1:12" x14ac:dyDescent="0.25">
      <c r="D3" s="62"/>
      <c r="E3" s="62"/>
      <c r="F3" s="62"/>
      <c r="G3" s="62"/>
      <c r="H3" s="62"/>
      <c r="I3" s="62"/>
    </row>
    <row r="4" spans="1:12" x14ac:dyDescent="0.25">
      <c r="A4" s="61" t="s">
        <v>65</v>
      </c>
      <c r="B4" s="63" t="s">
        <v>296</v>
      </c>
      <c r="C4" s="261" t="s">
        <v>297</v>
      </c>
      <c r="D4" s="261"/>
      <c r="E4" s="261"/>
      <c r="F4" s="63"/>
      <c r="G4" s="262" t="s">
        <v>298</v>
      </c>
      <c r="H4" s="262"/>
      <c r="I4" s="262"/>
      <c r="J4" s="263" t="s">
        <v>299</v>
      </c>
      <c r="K4" s="263"/>
      <c r="L4" s="263"/>
    </row>
    <row r="5" spans="1:12" x14ac:dyDescent="0.25">
      <c r="A5" s="61"/>
      <c r="B5" s="63"/>
      <c r="C5" s="63" t="s">
        <v>300</v>
      </c>
      <c r="D5" s="63" t="s">
        <v>301</v>
      </c>
      <c r="E5" s="63" t="s">
        <v>302</v>
      </c>
      <c r="F5" s="63"/>
      <c r="G5" s="63" t="s">
        <v>300</v>
      </c>
      <c r="H5" s="63" t="s">
        <v>301</v>
      </c>
      <c r="I5" s="63" t="s">
        <v>302</v>
      </c>
      <c r="J5" s="63" t="s">
        <v>300</v>
      </c>
      <c r="K5" s="63" t="s">
        <v>301</v>
      </c>
      <c r="L5" s="63" t="s">
        <v>302</v>
      </c>
    </row>
    <row r="6" spans="1:12" x14ac:dyDescent="0.25">
      <c r="B6" s="53" t="s">
        <v>303</v>
      </c>
      <c r="C6" s="53"/>
      <c r="D6" s="53"/>
      <c r="E6" s="53">
        <f>C6*D6</f>
        <v>0</v>
      </c>
      <c r="F6" s="53" t="s">
        <v>320</v>
      </c>
      <c r="G6" s="53"/>
      <c r="H6" s="53"/>
      <c r="I6" s="53">
        <f>G6*H6</f>
        <v>0</v>
      </c>
      <c r="J6" s="53"/>
      <c r="K6" s="53"/>
      <c r="L6" s="53">
        <f>J6*K6</f>
        <v>0</v>
      </c>
    </row>
    <row r="7" spans="1:12" x14ac:dyDescent="0.25">
      <c r="B7" s="53"/>
      <c r="C7" s="53"/>
      <c r="D7" s="53"/>
      <c r="E7" s="53">
        <f t="shared" ref="E7:E41" si="0">C7*D7</f>
        <v>0</v>
      </c>
      <c r="F7" s="53" t="s">
        <v>320</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304</v>
      </c>
      <c r="G9" s="53"/>
      <c r="H9" s="53"/>
      <c r="I9" s="53">
        <f t="shared" si="1"/>
        <v>0</v>
      </c>
      <c r="J9" s="53"/>
      <c r="K9" s="53"/>
      <c r="L9" s="53">
        <f t="shared" si="2"/>
        <v>0</v>
      </c>
    </row>
    <row r="10" spans="1:12" x14ac:dyDescent="0.25">
      <c r="B10" s="53" t="s">
        <v>305</v>
      </c>
      <c r="C10" s="53"/>
      <c r="D10" s="53"/>
      <c r="E10" s="53">
        <f t="shared" si="0"/>
        <v>0</v>
      </c>
      <c r="F10" s="53" t="s">
        <v>304</v>
      </c>
      <c r="G10" s="53"/>
      <c r="H10" s="53"/>
      <c r="I10" s="53">
        <f t="shared" si="1"/>
        <v>0</v>
      </c>
      <c r="J10" s="53"/>
      <c r="K10" s="53"/>
      <c r="L10" s="53">
        <f t="shared" si="2"/>
        <v>0</v>
      </c>
    </row>
    <row r="11" spans="1:12" x14ac:dyDescent="0.25">
      <c r="B11" s="53"/>
      <c r="C11" s="53"/>
      <c r="D11" s="53"/>
      <c r="E11" s="53">
        <f t="shared" si="0"/>
        <v>0</v>
      </c>
      <c r="F11" s="53" t="s">
        <v>306</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307</v>
      </c>
      <c r="C14" s="53"/>
      <c r="D14" s="53"/>
      <c r="E14" s="53">
        <f t="shared" si="0"/>
        <v>0</v>
      </c>
      <c r="F14" s="53" t="s">
        <v>304</v>
      </c>
      <c r="G14" s="53"/>
      <c r="H14" s="53"/>
      <c r="I14" s="53">
        <f t="shared" si="1"/>
        <v>0</v>
      </c>
      <c r="J14" s="53"/>
      <c r="K14" s="53"/>
      <c r="L14" s="53">
        <f t="shared" si="2"/>
        <v>0</v>
      </c>
    </row>
    <row r="15" spans="1:12" x14ac:dyDescent="0.25">
      <c r="B15" s="53"/>
      <c r="C15" s="53"/>
      <c r="D15" s="53"/>
      <c r="E15" s="53">
        <f t="shared" si="0"/>
        <v>0</v>
      </c>
      <c r="F15" s="53" t="s">
        <v>306</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308</v>
      </c>
      <c r="C18" s="53"/>
      <c r="D18" s="53"/>
      <c r="E18" s="53">
        <f t="shared" si="0"/>
        <v>0</v>
      </c>
      <c r="F18" s="53" t="s">
        <v>304</v>
      </c>
      <c r="G18" s="53"/>
      <c r="H18" s="53"/>
      <c r="I18" s="53">
        <f t="shared" si="1"/>
        <v>0</v>
      </c>
      <c r="J18" s="53"/>
      <c r="K18" s="53"/>
      <c r="L18" s="53">
        <f t="shared" si="2"/>
        <v>0</v>
      </c>
    </row>
    <row r="19" spans="2:12" x14ac:dyDescent="0.25">
      <c r="B19" s="53"/>
      <c r="C19" s="53"/>
      <c r="D19" s="53"/>
      <c r="E19" s="53">
        <f t="shared" si="0"/>
        <v>0</v>
      </c>
      <c r="F19" s="53" t="s">
        <v>306</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309</v>
      </c>
      <c r="C21" s="53"/>
      <c r="D21" s="53"/>
      <c r="E21" s="53">
        <f t="shared" si="0"/>
        <v>0</v>
      </c>
      <c r="F21" s="53" t="s">
        <v>304</v>
      </c>
      <c r="G21" s="53"/>
      <c r="H21" s="53"/>
      <c r="I21" s="53">
        <f t="shared" si="1"/>
        <v>0</v>
      </c>
      <c r="J21" s="53"/>
      <c r="K21" s="53"/>
      <c r="L21" s="53">
        <f t="shared" si="2"/>
        <v>0</v>
      </c>
    </row>
    <row r="22" spans="2:12" x14ac:dyDescent="0.25">
      <c r="B22" s="53"/>
      <c r="C22" s="53"/>
      <c r="D22" s="53"/>
      <c r="E22" s="53">
        <f t="shared" si="0"/>
        <v>0</v>
      </c>
      <c r="F22" s="53" t="s">
        <v>306</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310</v>
      </c>
      <c r="C24" s="53"/>
      <c r="D24" s="53"/>
      <c r="E24" s="53">
        <f t="shared" si="0"/>
        <v>0</v>
      </c>
      <c r="F24" s="53" t="s">
        <v>311</v>
      </c>
      <c r="G24" s="53"/>
      <c r="H24" s="53"/>
      <c r="I24" s="53">
        <f t="shared" si="1"/>
        <v>0</v>
      </c>
      <c r="J24" s="53"/>
      <c r="K24" s="53"/>
      <c r="L24" s="53">
        <f t="shared" si="2"/>
        <v>0</v>
      </c>
    </row>
    <row r="25" spans="2:12" x14ac:dyDescent="0.25">
      <c r="B25" s="53"/>
      <c r="C25" s="53"/>
      <c r="D25" s="53"/>
      <c r="E25" s="53">
        <f>C25*D25</f>
        <v>0</v>
      </c>
      <c r="F25" s="53" t="s">
        <v>311</v>
      </c>
      <c r="G25" s="53"/>
      <c r="H25" s="53"/>
      <c r="I25" s="53">
        <f>G25*H25</f>
        <v>0</v>
      </c>
      <c r="J25" s="53"/>
      <c r="K25" s="53"/>
      <c r="L25" s="53">
        <f>J25*K25</f>
        <v>0</v>
      </c>
    </row>
    <row r="26" spans="2:12" x14ac:dyDescent="0.25">
      <c r="B26" s="53"/>
      <c r="C26" s="53"/>
      <c r="D26" s="53"/>
      <c r="E26" s="53">
        <f>C26*D26</f>
        <v>0</v>
      </c>
      <c r="F26" s="53" t="s">
        <v>311</v>
      </c>
      <c r="G26" s="53"/>
      <c r="H26" s="53"/>
      <c r="I26" s="53">
        <f>G26*H26</f>
        <v>0</v>
      </c>
      <c r="J26" s="53"/>
      <c r="K26" s="53"/>
      <c r="L26" s="53">
        <f>J26*K26</f>
        <v>0</v>
      </c>
    </row>
    <row r="27" spans="2:12" x14ac:dyDescent="0.25">
      <c r="B27" s="53"/>
      <c r="C27" s="53"/>
      <c r="D27" s="53"/>
      <c r="E27" s="53">
        <f>C27*D27</f>
        <v>0</v>
      </c>
      <c r="F27" s="53" t="s">
        <v>311</v>
      </c>
      <c r="G27" s="53"/>
      <c r="H27" s="53"/>
      <c r="I27" s="53">
        <f>G27*H27</f>
        <v>0</v>
      </c>
      <c r="J27" s="53"/>
      <c r="K27" s="53"/>
      <c r="L27" s="53">
        <f>J27*K27</f>
        <v>0</v>
      </c>
    </row>
    <row r="28" spans="2:12" x14ac:dyDescent="0.25">
      <c r="B28" s="53" t="s">
        <v>312</v>
      </c>
      <c r="C28" s="53"/>
      <c r="D28" s="53"/>
      <c r="E28" s="53">
        <f t="shared" si="0"/>
        <v>0</v>
      </c>
      <c r="F28" s="53" t="s">
        <v>311</v>
      </c>
      <c r="G28" s="53"/>
      <c r="H28" s="53"/>
      <c r="I28" s="53">
        <f t="shared" si="1"/>
        <v>0</v>
      </c>
      <c r="J28" s="53"/>
      <c r="K28" s="53"/>
      <c r="L28" s="53">
        <f t="shared" si="2"/>
        <v>0</v>
      </c>
    </row>
    <row r="29" spans="2:12" x14ac:dyDescent="0.25">
      <c r="B29" s="53" t="s">
        <v>313</v>
      </c>
      <c r="C29" s="53"/>
      <c r="D29" s="53"/>
      <c r="E29" s="53">
        <f t="shared" si="0"/>
        <v>0</v>
      </c>
      <c r="F29" s="53" t="s">
        <v>311</v>
      </c>
      <c r="G29" s="53"/>
      <c r="H29" s="53"/>
      <c r="I29" s="53">
        <f t="shared" si="1"/>
        <v>0</v>
      </c>
      <c r="J29" s="53"/>
      <c r="K29" s="53"/>
      <c r="L29" s="53">
        <f t="shared" si="2"/>
        <v>0</v>
      </c>
    </row>
    <row r="30" spans="2:12" x14ac:dyDescent="0.25">
      <c r="B30" s="53" t="s">
        <v>317</v>
      </c>
      <c r="C30" s="53"/>
      <c r="D30" s="53"/>
      <c r="E30" s="53">
        <f t="shared" si="0"/>
        <v>0</v>
      </c>
      <c r="F30" s="53"/>
      <c r="G30" s="53"/>
      <c r="H30" s="53"/>
      <c r="I30" s="53">
        <f t="shared" si="1"/>
        <v>0</v>
      </c>
      <c r="J30" s="53"/>
      <c r="K30" s="53"/>
      <c r="L30" s="53">
        <f t="shared" si="2"/>
        <v>0</v>
      </c>
    </row>
    <row r="31" spans="2:12" x14ac:dyDescent="0.25">
      <c r="B31" s="53"/>
      <c r="C31" s="53"/>
      <c r="D31" s="53"/>
      <c r="E31" s="53">
        <f>C31*D31</f>
        <v>0</v>
      </c>
      <c r="F31" s="53"/>
      <c r="G31" s="53"/>
      <c r="H31" s="53"/>
      <c r="I31" s="53">
        <f>G31*H31</f>
        <v>0</v>
      </c>
      <c r="J31" s="53"/>
      <c r="K31" s="53"/>
      <c r="L31" s="53">
        <f>J31*K31</f>
        <v>0</v>
      </c>
    </row>
    <row r="32" spans="2:12" x14ac:dyDescent="0.25">
      <c r="B32" s="53"/>
      <c r="C32" s="53"/>
      <c r="D32" s="53"/>
      <c r="E32" s="53">
        <f>C32*D32</f>
        <v>0</v>
      </c>
      <c r="F32" s="53"/>
      <c r="G32" s="53"/>
      <c r="H32" s="53"/>
      <c r="I32" s="53">
        <f>G32*H32</f>
        <v>0</v>
      </c>
      <c r="J32" s="53"/>
      <c r="K32" s="53"/>
      <c r="L32" s="53">
        <f>J32*K32</f>
        <v>0</v>
      </c>
    </row>
    <row r="33" spans="2:12" x14ac:dyDescent="0.25">
      <c r="B33" s="53" t="s">
        <v>314</v>
      </c>
      <c r="C33" s="53"/>
      <c r="D33" s="53"/>
      <c r="E33" s="53">
        <f t="shared" si="0"/>
        <v>0</v>
      </c>
      <c r="F33" s="53"/>
      <c r="G33" s="53"/>
      <c r="H33" s="53"/>
      <c r="I33" s="53">
        <f t="shared" si="1"/>
        <v>0</v>
      </c>
      <c r="J33" s="53"/>
      <c r="K33" s="53"/>
      <c r="L33" s="53">
        <f t="shared" si="2"/>
        <v>0</v>
      </c>
    </row>
    <row r="34" spans="2:12" x14ac:dyDescent="0.25">
      <c r="B34" s="53" t="s">
        <v>318</v>
      </c>
      <c r="C34" s="53"/>
      <c r="D34" s="53"/>
      <c r="E34" s="53">
        <f t="shared" si="0"/>
        <v>0</v>
      </c>
      <c r="F34" s="53"/>
      <c r="G34" s="53"/>
      <c r="H34" s="53"/>
      <c r="I34" s="53">
        <f t="shared" si="1"/>
        <v>0</v>
      </c>
      <c r="J34" s="53"/>
      <c r="K34" s="53"/>
      <c r="L34" s="53">
        <f t="shared" si="2"/>
        <v>0</v>
      </c>
    </row>
    <row r="35" spans="2:12" x14ac:dyDescent="0.25">
      <c r="B35" s="53" t="s">
        <v>315</v>
      </c>
      <c r="C35" s="53"/>
      <c r="D35" s="53"/>
      <c r="E35" s="53">
        <f t="shared" si="0"/>
        <v>0</v>
      </c>
      <c r="F35" s="53"/>
      <c r="G35" s="53"/>
      <c r="H35" s="53"/>
      <c r="I35" s="53">
        <f t="shared" si="1"/>
        <v>0</v>
      </c>
      <c r="J35" s="53"/>
      <c r="K35" s="53"/>
      <c r="L35" s="53">
        <f t="shared" si="2"/>
        <v>0</v>
      </c>
    </row>
    <row r="36" spans="2:12" x14ac:dyDescent="0.25">
      <c r="B36" s="53" t="s">
        <v>316</v>
      </c>
      <c r="C36" s="53"/>
      <c r="D36" s="53"/>
      <c r="E36" s="53">
        <f t="shared" si="0"/>
        <v>0</v>
      </c>
      <c r="F36" s="53"/>
      <c r="G36" s="53"/>
      <c r="H36" s="53"/>
      <c r="I36" s="53">
        <f t="shared" ref="I36:I41" si="3">G36*H36</f>
        <v>0</v>
      </c>
      <c r="J36" s="53"/>
      <c r="K36" s="53"/>
      <c r="L36" s="53">
        <f t="shared" ref="L36:L41" si="4">J36*K36</f>
        <v>0</v>
      </c>
    </row>
    <row r="37" spans="2:12" x14ac:dyDescent="0.25">
      <c r="B37" s="53"/>
      <c r="C37" s="53"/>
      <c r="D37" s="53"/>
      <c r="E37" s="53">
        <f>C37*D37</f>
        <v>0</v>
      </c>
      <c r="F37" s="53"/>
      <c r="G37" s="53"/>
      <c r="H37" s="53"/>
      <c r="I37" s="53">
        <f t="shared" si="3"/>
        <v>0</v>
      </c>
      <c r="J37" s="53"/>
      <c r="K37" s="53"/>
      <c r="L37" s="53">
        <f t="shared" si="4"/>
        <v>0</v>
      </c>
    </row>
    <row r="38" spans="2:12" x14ac:dyDescent="0.25">
      <c r="B38" s="53" t="s">
        <v>319</v>
      </c>
      <c r="C38" s="53"/>
      <c r="D38" s="53"/>
      <c r="E38" s="53">
        <f>C38*D38</f>
        <v>0</v>
      </c>
      <c r="F38" s="53"/>
      <c r="G38" s="53"/>
      <c r="H38" s="53"/>
      <c r="I38" s="53">
        <f t="shared" si="3"/>
        <v>0</v>
      </c>
      <c r="J38" s="53"/>
      <c r="K38" s="53"/>
      <c r="L38" s="53">
        <f t="shared" si="4"/>
        <v>0</v>
      </c>
    </row>
    <row r="39" spans="2:12" x14ac:dyDescent="0.25">
      <c r="B39" s="53"/>
      <c r="C39" s="53"/>
      <c r="D39" s="53"/>
      <c r="E39" s="53">
        <f t="shared" si="0"/>
        <v>0</v>
      </c>
      <c r="F39" s="53"/>
      <c r="G39" s="53"/>
      <c r="H39" s="53"/>
      <c r="I39" s="53">
        <f t="shared" si="3"/>
        <v>0</v>
      </c>
      <c r="J39" s="53"/>
      <c r="K39" s="53"/>
      <c r="L39" s="53">
        <f t="shared" si="4"/>
        <v>0</v>
      </c>
    </row>
    <row r="40" spans="2:12" x14ac:dyDescent="0.25">
      <c r="B40" s="53"/>
      <c r="C40" s="53"/>
      <c r="D40" s="53"/>
      <c r="E40" s="53">
        <f t="shared" si="0"/>
        <v>0</v>
      </c>
      <c r="F40" s="53"/>
      <c r="G40" s="53"/>
      <c r="H40" s="53"/>
      <c r="I40" s="53">
        <f t="shared" si="3"/>
        <v>0</v>
      </c>
      <c r="J40" s="53"/>
      <c r="K40" s="53"/>
      <c r="L40" s="53">
        <f t="shared" si="4"/>
        <v>0</v>
      </c>
    </row>
    <row r="41" spans="2:12" x14ac:dyDescent="0.25">
      <c r="B41" s="53"/>
      <c r="C41" s="53"/>
      <c r="D41" s="53"/>
      <c r="E41" s="53">
        <f t="shared" si="0"/>
        <v>0</v>
      </c>
      <c r="F41" s="53"/>
      <c r="G41" s="53"/>
      <c r="H41" s="53"/>
      <c r="I41" s="53">
        <f t="shared" si="3"/>
        <v>0</v>
      </c>
      <c r="J41" s="53"/>
      <c r="K41" s="53"/>
      <c r="L41" s="53">
        <f t="shared" si="4"/>
        <v>0</v>
      </c>
    </row>
    <row r="42" spans="2:12" x14ac:dyDescent="0.25">
      <c r="B42" s="53" t="s">
        <v>144</v>
      </c>
      <c r="C42" s="53"/>
      <c r="D42" s="53">
        <f>E42*10.764</f>
        <v>0</v>
      </c>
      <c r="E42" s="66">
        <f>SUM(E6:E41)</f>
        <v>0</v>
      </c>
      <c r="F42" s="53"/>
      <c r="G42" s="53"/>
      <c r="H42" s="53">
        <f>I42*10.764</f>
        <v>0</v>
      </c>
      <c r="I42" s="65">
        <f>SUM(I6:I41)</f>
        <v>0</v>
      </c>
      <c r="J42" s="53"/>
      <c r="K42" s="53">
        <f>L42*10.764</f>
        <v>0</v>
      </c>
      <c r="L42" s="64">
        <f>SUM(L6:L41)</f>
        <v>0</v>
      </c>
    </row>
    <row r="44" spans="2:12" x14ac:dyDescent="0.2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2025-09-11T06:32:58Z</cp:lastPrinted>
  <dcterms:created xsi:type="dcterms:W3CDTF">2019-07-16T09:29:46Z</dcterms:created>
  <dcterms:modified xsi:type="dcterms:W3CDTF">2025-09-11T06:32:59Z</dcterms:modified>
</cp:coreProperties>
</file>