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rani\Downloads\13.09\"/>
    </mc:Choice>
  </mc:AlternateContent>
  <xr:revisionPtr revIDLastSave="0" documentId="13_ncr:1_{92923B93-AB69-4F67-91ED-75067F19990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" sheetId="1" r:id="rId1"/>
    <sheet name="Flat detail" sheetId="3" r:id="rId2"/>
    <sheet name="valuation" sheetId="5" r:id="rId3"/>
    <sheet name="Note" sheetId="4" r:id="rId4"/>
  </sheets>
  <definedNames>
    <definedName name="_xlnm.Print_Area" localSheetId="0">Report!$A$1:$H$772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5" i="1" l="1"/>
  <c r="E251" i="1"/>
  <c r="I252" i="1"/>
  <c r="D251" i="1"/>
  <c r="F251" i="1" s="1"/>
  <c r="D259" i="1"/>
  <c r="E458" i="1" l="1"/>
  <c r="E459" i="1"/>
  <c r="E460" i="1"/>
  <c r="E461" i="1"/>
  <c r="E462" i="1"/>
  <c r="J222" i="1"/>
  <c r="K222" i="1" s="1"/>
  <c r="D258" i="1"/>
  <c r="E43" i="1"/>
  <c r="I266" i="1" l="1"/>
  <c r="I261" i="1"/>
  <c r="I253" i="1"/>
  <c r="R462" i="1"/>
  <c r="R461" i="1"/>
  <c r="R460" i="1"/>
  <c r="R459" i="1"/>
  <c r="R458" i="1"/>
  <c r="I469" i="1" l="1"/>
  <c r="D492" i="1"/>
  <c r="F492" i="1" s="1"/>
  <c r="D491" i="1"/>
  <c r="F491" i="1" s="1"/>
  <c r="D490" i="1"/>
  <c r="F490" i="1" s="1"/>
  <c r="D488" i="1"/>
  <c r="F488" i="1" s="1"/>
  <c r="D487" i="1"/>
  <c r="F487" i="1" s="1"/>
  <c r="D486" i="1"/>
  <c r="F486" i="1" s="1"/>
  <c r="D485" i="1"/>
  <c r="F485" i="1" s="1"/>
  <c r="D484" i="1"/>
  <c r="F484" i="1" s="1"/>
  <c r="D483" i="1"/>
  <c r="F483" i="1" s="1"/>
  <c r="A483" i="1"/>
  <c r="A484" i="1" s="1"/>
  <c r="A485" i="1" s="1"/>
  <c r="A486" i="1" s="1"/>
  <c r="A487" i="1" s="1"/>
  <c r="A488" i="1" s="1"/>
  <c r="A489" i="1" s="1"/>
  <c r="A490" i="1" s="1"/>
  <c r="A491" i="1" s="1"/>
  <c r="A492" i="1" s="1"/>
  <c r="G482" i="1"/>
  <c r="D482" i="1"/>
  <c r="F482" i="1" s="1"/>
  <c r="D478" i="1"/>
  <c r="F478" i="1" s="1"/>
  <c r="D477" i="1"/>
  <c r="F477" i="1" s="1"/>
  <c r="D480" i="1"/>
  <c r="F480" i="1" s="1"/>
  <c r="D479" i="1"/>
  <c r="F479" i="1" s="1"/>
  <c r="D476" i="1"/>
  <c r="F476" i="1" s="1"/>
  <c r="D475" i="1"/>
  <c r="F475" i="1" s="1"/>
  <c r="D474" i="1"/>
  <c r="F474" i="1" s="1"/>
  <c r="D473" i="1"/>
  <c r="F473" i="1" s="1"/>
  <c r="D472" i="1"/>
  <c r="F472" i="1" s="1"/>
  <c r="D471" i="1"/>
  <c r="F471" i="1" s="1"/>
  <c r="A471" i="1"/>
  <c r="A472" i="1" s="1"/>
  <c r="A473" i="1" s="1"/>
  <c r="A474" i="1" s="1"/>
  <c r="A475" i="1" s="1"/>
  <c r="A476" i="1" s="1"/>
  <c r="A477" i="1" s="1"/>
  <c r="A478" i="1" s="1"/>
  <c r="A479" i="1" s="1"/>
  <c r="A480" i="1" s="1"/>
  <c r="G470" i="1"/>
  <c r="D470" i="1"/>
  <c r="F470" i="1" s="1"/>
  <c r="D468" i="1"/>
  <c r="F468" i="1" s="1"/>
  <c r="D467" i="1"/>
  <c r="F467" i="1" s="1"/>
  <c r="D464" i="1"/>
  <c r="F464" i="1" s="1"/>
  <c r="D463" i="1"/>
  <c r="F463" i="1" s="1"/>
  <c r="D462" i="1"/>
  <c r="F462" i="1" s="1"/>
  <c r="D461" i="1"/>
  <c r="F461" i="1" s="1"/>
  <c r="D460" i="1"/>
  <c r="F460" i="1" s="1"/>
  <c r="D459" i="1"/>
  <c r="F459" i="1" s="1"/>
  <c r="D458" i="1"/>
  <c r="F458" i="1" s="1"/>
  <c r="G458" i="1"/>
  <c r="A459" i="1"/>
  <c r="A460" i="1" s="1"/>
  <c r="A461" i="1" s="1"/>
  <c r="A462" i="1" s="1"/>
  <c r="A463" i="1" s="1"/>
  <c r="A464" i="1" s="1"/>
  <c r="A465" i="1" s="1"/>
  <c r="A466" i="1" s="1"/>
  <c r="A467" i="1" s="1"/>
  <c r="A468" i="1" s="1"/>
  <c r="D267" i="1"/>
  <c r="F267" i="1" s="1"/>
  <c r="D266" i="1"/>
  <c r="F266" i="1" s="1"/>
  <c r="D265" i="1"/>
  <c r="F265" i="1" s="1"/>
  <c r="D264" i="1"/>
  <c r="F264" i="1" s="1"/>
  <c r="D263" i="1"/>
  <c r="F263" i="1" s="1"/>
  <c r="D262" i="1"/>
  <c r="F262" i="1" s="1"/>
  <c r="D261" i="1"/>
  <c r="F261" i="1" s="1"/>
  <c r="D260" i="1"/>
  <c r="F260" i="1" s="1"/>
  <c r="F259" i="1"/>
  <c r="F258" i="1"/>
  <c r="D257" i="1"/>
  <c r="F257" i="1" s="1"/>
  <c r="D256" i="1"/>
  <c r="F256" i="1" s="1"/>
  <c r="D255" i="1"/>
  <c r="F255" i="1" s="1"/>
  <c r="D254" i="1"/>
  <c r="F254" i="1" s="1"/>
  <c r="D253" i="1"/>
  <c r="F253" i="1" s="1"/>
  <c r="D252" i="1"/>
  <c r="F252" i="1" s="1"/>
  <c r="I255" i="1" s="1"/>
  <c r="G251" i="1"/>
  <c r="A252" i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J156" i="1"/>
  <c r="J155" i="1"/>
  <c r="J154" i="1"/>
  <c r="J153" i="1"/>
  <c r="C152" i="1"/>
  <c r="C153" i="1" l="1"/>
  <c r="C154" i="1"/>
  <c r="C215" i="1"/>
  <c r="G208" i="1"/>
  <c r="E215" i="1"/>
  <c r="E208" i="1"/>
  <c r="C208" i="1"/>
  <c r="G215" i="1"/>
  <c r="C175" i="1"/>
  <c r="C75" i="1"/>
  <c r="C131" i="1" l="1"/>
  <c r="C138" i="1" l="1"/>
  <c r="D607" i="1" l="1"/>
  <c r="F607" i="1" s="1"/>
  <c r="D606" i="1"/>
  <c r="F606" i="1" s="1"/>
  <c r="D605" i="1"/>
  <c r="F605" i="1" s="1"/>
  <c r="D604" i="1"/>
  <c r="F604" i="1" s="1"/>
  <c r="D603" i="1"/>
  <c r="F603" i="1" s="1"/>
  <c r="D602" i="1"/>
  <c r="F602" i="1" s="1"/>
  <c r="D601" i="1"/>
  <c r="F601" i="1" s="1"/>
  <c r="D600" i="1"/>
  <c r="F600" i="1" s="1"/>
  <c r="D599" i="1"/>
  <c r="F599" i="1" s="1"/>
  <c r="D598" i="1"/>
  <c r="F598" i="1" s="1"/>
  <c r="D597" i="1"/>
  <c r="F597" i="1" s="1"/>
  <c r="D596" i="1"/>
  <c r="F596" i="1" s="1"/>
  <c r="D595" i="1"/>
  <c r="F595" i="1" s="1"/>
  <c r="D594" i="1"/>
  <c r="F594" i="1" s="1"/>
  <c r="D593" i="1"/>
  <c r="F593" i="1" s="1"/>
  <c r="A593" i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I592" i="1"/>
  <c r="G592" i="1"/>
  <c r="D592" i="1"/>
  <c r="F592" i="1" s="1"/>
  <c r="M166" i="1" l="1"/>
  <c r="A627" i="1" l="1"/>
  <c r="A628" i="1" s="1"/>
  <c r="A629" i="1" s="1"/>
  <c r="A630" i="1" s="1"/>
  <c r="A631" i="1" s="1"/>
  <c r="A632" i="1" s="1"/>
  <c r="A633" i="1" s="1"/>
  <c r="A634" i="1" s="1"/>
  <c r="A636" i="1" s="1"/>
  <c r="D455" i="1"/>
  <c r="F455" i="1" s="1"/>
  <c r="D454" i="1"/>
  <c r="F454" i="1" s="1"/>
  <c r="D453" i="1"/>
  <c r="F453" i="1" s="1"/>
  <c r="D451" i="1"/>
  <c r="F451" i="1" s="1"/>
  <c r="D450" i="1"/>
  <c r="F450" i="1" s="1"/>
  <c r="D449" i="1"/>
  <c r="F449" i="1" s="1"/>
  <c r="D448" i="1"/>
  <c r="F448" i="1" s="1"/>
  <c r="D447" i="1"/>
  <c r="F447" i="1" s="1"/>
  <c r="D446" i="1"/>
  <c r="F446" i="1" s="1"/>
  <c r="D445" i="1"/>
  <c r="F445" i="1" s="1"/>
  <c r="D443" i="1"/>
  <c r="F443" i="1" s="1"/>
  <c r="D442" i="1"/>
  <c r="F442" i="1" s="1"/>
  <c r="D441" i="1"/>
  <c r="F441" i="1" s="1"/>
  <c r="D440" i="1"/>
  <c r="F440" i="1" s="1"/>
  <c r="D439" i="1"/>
  <c r="F439" i="1" s="1"/>
  <c r="D438" i="1"/>
  <c r="F438" i="1" s="1"/>
  <c r="D437" i="1"/>
  <c r="F437" i="1" s="1"/>
  <c r="D436" i="1"/>
  <c r="F436" i="1" s="1"/>
  <c r="D435" i="1"/>
  <c r="F435" i="1" s="1"/>
  <c r="D434" i="1"/>
  <c r="F434" i="1" s="1"/>
  <c r="D433" i="1"/>
  <c r="F433" i="1" s="1"/>
  <c r="D431" i="1"/>
  <c r="F431" i="1" s="1"/>
  <c r="D430" i="1"/>
  <c r="F430" i="1" s="1"/>
  <c r="D427" i="1"/>
  <c r="F427" i="1" s="1"/>
  <c r="D426" i="1"/>
  <c r="F426" i="1" s="1"/>
  <c r="D425" i="1"/>
  <c r="F425" i="1" s="1"/>
  <c r="D424" i="1"/>
  <c r="F424" i="1" s="1"/>
  <c r="D423" i="1"/>
  <c r="F423" i="1" s="1"/>
  <c r="D422" i="1"/>
  <c r="F422" i="1" s="1"/>
  <c r="D421" i="1"/>
  <c r="F421" i="1" s="1"/>
  <c r="A446" i="1"/>
  <c r="A447" i="1" s="1"/>
  <c r="A448" i="1" s="1"/>
  <c r="A449" i="1" s="1"/>
  <c r="A450" i="1" s="1"/>
  <c r="A451" i="1" s="1"/>
  <c r="A452" i="1" s="1"/>
  <c r="A453" i="1" s="1"/>
  <c r="A454" i="1" s="1"/>
  <c r="A455" i="1" s="1"/>
  <c r="G445" i="1"/>
  <c r="A434" i="1"/>
  <c r="A435" i="1" s="1"/>
  <c r="A436" i="1" s="1"/>
  <c r="A437" i="1" s="1"/>
  <c r="A438" i="1" s="1"/>
  <c r="A439" i="1" s="1"/>
  <c r="A440" i="1" s="1"/>
  <c r="A441" i="1" s="1"/>
  <c r="A442" i="1" s="1"/>
  <c r="A443" i="1" s="1"/>
  <c r="G433" i="1"/>
  <c r="A422" i="1"/>
  <c r="A423" i="1" s="1"/>
  <c r="A424" i="1" s="1"/>
  <c r="A425" i="1" s="1"/>
  <c r="A426" i="1" s="1"/>
  <c r="A427" i="1" s="1"/>
  <c r="A428" i="1" s="1"/>
  <c r="A429" i="1" s="1"/>
  <c r="A430" i="1" s="1"/>
  <c r="A431" i="1" s="1"/>
  <c r="G421" i="1"/>
  <c r="D248" i="1"/>
  <c r="F248" i="1" s="1"/>
  <c r="D247" i="1"/>
  <c r="F247" i="1" s="1"/>
  <c r="D246" i="1"/>
  <c r="F246" i="1" s="1"/>
  <c r="D245" i="1"/>
  <c r="F245" i="1" s="1"/>
  <c r="D244" i="1"/>
  <c r="F244" i="1" s="1"/>
  <c r="D243" i="1"/>
  <c r="F243" i="1" s="1"/>
  <c r="D242" i="1"/>
  <c r="F242" i="1" s="1"/>
  <c r="D241" i="1"/>
  <c r="F241" i="1" s="1"/>
  <c r="D240" i="1"/>
  <c r="F240" i="1" s="1"/>
  <c r="D239" i="1"/>
  <c r="F239" i="1" s="1"/>
  <c r="D238" i="1"/>
  <c r="F238" i="1" s="1"/>
  <c r="D237" i="1"/>
  <c r="D236" i="1"/>
  <c r="D235" i="1"/>
  <c r="D234" i="1"/>
  <c r="D233" i="1"/>
  <c r="D232" i="1"/>
  <c r="D231" i="1"/>
  <c r="C207" i="1" l="1"/>
  <c r="C209" i="1" s="1"/>
  <c r="G214" i="1"/>
  <c r="E207" i="1"/>
  <c r="E209" i="1" s="1"/>
  <c r="C214" i="1"/>
  <c r="E214" i="1"/>
  <c r="J142" i="1"/>
  <c r="J141" i="1"/>
  <c r="J140" i="1"/>
  <c r="J139" i="1"/>
  <c r="D59" i="1"/>
  <c r="C14" i="1"/>
  <c r="C124" i="1" l="1"/>
  <c r="J503" i="1" l="1"/>
  <c r="E40" i="1"/>
  <c r="Q268" i="1"/>
  <c r="L268" i="1"/>
  <c r="I40" i="1"/>
  <c r="I212" i="1" l="1"/>
  <c r="I216" i="1"/>
  <c r="D500" i="1" l="1"/>
  <c r="D504" i="1"/>
  <c r="D503" i="1"/>
  <c r="F503" i="1" s="1"/>
  <c r="K219" i="1"/>
  <c r="I220" i="1"/>
  <c r="I59" i="1"/>
  <c r="I519" i="1"/>
  <c r="I219" i="1"/>
  <c r="D555" i="1"/>
  <c r="F555" i="1" s="1"/>
  <c r="D554" i="1"/>
  <c r="F554" i="1" s="1"/>
  <c r="D553" i="1"/>
  <c r="F553" i="1" s="1"/>
  <c r="D552" i="1"/>
  <c r="F552" i="1" s="1"/>
  <c r="D551" i="1"/>
  <c r="F551" i="1" s="1"/>
  <c r="D550" i="1"/>
  <c r="F550" i="1" s="1"/>
  <c r="D549" i="1"/>
  <c r="F549" i="1" s="1"/>
  <c r="D548" i="1"/>
  <c r="F548" i="1" s="1"/>
  <c r="D547" i="1"/>
  <c r="F547" i="1" s="1"/>
  <c r="D546" i="1"/>
  <c r="F546" i="1" s="1"/>
  <c r="D545" i="1"/>
  <c r="F545" i="1" s="1"/>
  <c r="D542" i="1"/>
  <c r="F542" i="1" s="1"/>
  <c r="D541" i="1"/>
  <c r="F541" i="1" s="1"/>
  <c r="D540" i="1"/>
  <c r="F540" i="1" s="1"/>
  <c r="D539" i="1"/>
  <c r="F539" i="1" s="1"/>
  <c r="D538" i="1"/>
  <c r="F538" i="1" s="1"/>
  <c r="D537" i="1"/>
  <c r="F537" i="1" s="1"/>
  <c r="D536" i="1"/>
  <c r="F536" i="1" s="1"/>
  <c r="D535" i="1"/>
  <c r="F535" i="1" s="1"/>
  <c r="D534" i="1"/>
  <c r="F534" i="1" s="1"/>
  <c r="D533" i="1"/>
  <c r="F533" i="1" s="1"/>
  <c r="D532" i="1"/>
  <c r="F532" i="1" s="1"/>
  <c r="D530" i="1"/>
  <c r="F530" i="1" s="1"/>
  <c r="D529" i="1"/>
  <c r="F529" i="1" s="1"/>
  <c r="D528" i="1"/>
  <c r="F528" i="1" s="1"/>
  <c r="D527" i="1"/>
  <c r="F527" i="1" s="1"/>
  <c r="D526" i="1"/>
  <c r="F526" i="1" s="1"/>
  <c r="D525" i="1"/>
  <c r="F525" i="1" s="1"/>
  <c r="D524" i="1"/>
  <c r="F524" i="1" s="1"/>
  <c r="D523" i="1"/>
  <c r="F523" i="1" s="1"/>
  <c r="D522" i="1"/>
  <c r="F522" i="1" s="1"/>
  <c r="D521" i="1"/>
  <c r="F521" i="1" s="1"/>
  <c r="D520" i="1"/>
  <c r="F520" i="1" s="1"/>
  <c r="D518" i="1"/>
  <c r="F518" i="1" s="1"/>
  <c r="D517" i="1"/>
  <c r="F517" i="1" s="1"/>
  <c r="D516" i="1"/>
  <c r="F516" i="1" s="1"/>
  <c r="D515" i="1"/>
  <c r="F515" i="1" s="1"/>
  <c r="D514" i="1"/>
  <c r="F514" i="1" s="1"/>
  <c r="E513" i="1"/>
  <c r="D513" i="1"/>
  <c r="D512" i="1"/>
  <c r="F512" i="1" s="1"/>
  <c r="D511" i="1"/>
  <c r="F511" i="1" s="1"/>
  <c r="D510" i="1"/>
  <c r="F510" i="1" s="1"/>
  <c r="D509" i="1"/>
  <c r="F509" i="1" s="1"/>
  <c r="D508" i="1"/>
  <c r="F508" i="1" s="1"/>
  <c r="D506" i="1"/>
  <c r="F506" i="1" s="1"/>
  <c r="D505" i="1"/>
  <c r="F505" i="1" s="1"/>
  <c r="E504" i="1"/>
  <c r="D502" i="1"/>
  <c r="F502" i="1" s="1"/>
  <c r="E500" i="1"/>
  <c r="D499" i="1"/>
  <c r="F499" i="1" s="1"/>
  <c r="D498" i="1"/>
  <c r="F498" i="1" s="1"/>
  <c r="D497" i="1"/>
  <c r="F497" i="1" s="1"/>
  <c r="D496" i="1"/>
  <c r="F496" i="1" s="1"/>
  <c r="A546" i="1"/>
  <c r="A547" i="1" s="1"/>
  <c r="A548" i="1" s="1"/>
  <c r="A549" i="1" s="1"/>
  <c r="A550" i="1" s="1"/>
  <c r="A551" i="1" s="1"/>
  <c r="A552" i="1" s="1"/>
  <c r="A553" i="1" s="1"/>
  <c r="G545" i="1"/>
  <c r="A497" i="1"/>
  <c r="A498" i="1" s="1"/>
  <c r="A499" i="1" s="1"/>
  <c r="A500" i="1" s="1"/>
  <c r="A501" i="1" s="1"/>
  <c r="A502" i="1" s="1"/>
  <c r="A503" i="1" s="1"/>
  <c r="A504" i="1" s="1"/>
  <c r="G496" i="1"/>
  <c r="A533" i="1"/>
  <c r="A534" i="1" s="1"/>
  <c r="A535" i="1" s="1"/>
  <c r="A536" i="1" s="1"/>
  <c r="A537" i="1" s="1"/>
  <c r="A538" i="1" s="1"/>
  <c r="A539" i="1" s="1"/>
  <c r="A540" i="1" s="1"/>
  <c r="G532" i="1"/>
  <c r="A509" i="1"/>
  <c r="A510" i="1" s="1"/>
  <c r="A511" i="1" s="1"/>
  <c r="A512" i="1" s="1"/>
  <c r="A513" i="1" s="1"/>
  <c r="A514" i="1" s="1"/>
  <c r="A515" i="1" s="1"/>
  <c r="A516" i="1" s="1"/>
  <c r="A521" i="1"/>
  <c r="A522" i="1" s="1"/>
  <c r="A523" i="1" s="1"/>
  <c r="A524" i="1" s="1"/>
  <c r="A525" i="1" s="1"/>
  <c r="A526" i="1" s="1"/>
  <c r="A527" i="1" s="1"/>
  <c r="A528" i="1" s="1"/>
  <c r="G520" i="1"/>
  <c r="G508" i="1"/>
  <c r="C159" i="1"/>
  <c r="C88" i="1"/>
  <c r="J170" i="1"/>
  <c r="J169" i="1"/>
  <c r="J168" i="1"/>
  <c r="J167" i="1"/>
  <c r="C220" i="1" l="1"/>
  <c r="E220" i="1"/>
  <c r="E219" i="1"/>
  <c r="C219" i="1"/>
  <c r="F500" i="1"/>
  <c r="F504" i="1"/>
  <c r="F513" i="1"/>
  <c r="G220" i="1" s="1"/>
  <c r="C95" i="1"/>
  <c r="G219" i="1" l="1"/>
  <c r="G395" i="1"/>
  <c r="J219" i="1"/>
  <c r="J218" i="1"/>
  <c r="D384" i="1"/>
  <c r="D390" i="1"/>
  <c r="D381" i="1"/>
  <c r="D380" i="1"/>
  <c r="D377" i="1"/>
  <c r="D373" i="1"/>
  <c r="D372" i="1"/>
  <c r="D371" i="1"/>
  <c r="C54" i="1"/>
  <c r="G54" i="1"/>
  <c r="G55" i="1" s="1"/>
  <c r="D417" i="1" l="1"/>
  <c r="F417" i="1" s="1"/>
  <c r="D416" i="1"/>
  <c r="F416" i="1" s="1"/>
  <c r="D414" i="1"/>
  <c r="F414" i="1" s="1"/>
  <c r="D413" i="1"/>
  <c r="F413" i="1" s="1"/>
  <c r="D412" i="1"/>
  <c r="D411" i="1"/>
  <c r="F411" i="1" s="1"/>
  <c r="D410" i="1"/>
  <c r="F410" i="1" s="1"/>
  <c r="D409" i="1"/>
  <c r="F409" i="1" s="1"/>
  <c r="D408" i="1"/>
  <c r="F408" i="1" s="1"/>
  <c r="D407" i="1"/>
  <c r="F407" i="1" s="1"/>
  <c r="D405" i="1"/>
  <c r="F405" i="1" s="1"/>
  <c r="D404" i="1"/>
  <c r="F404" i="1" s="1"/>
  <c r="D403" i="1"/>
  <c r="F403" i="1" s="1"/>
  <c r="D402" i="1"/>
  <c r="F402" i="1" s="1"/>
  <c r="D401" i="1"/>
  <c r="F401" i="1" s="1"/>
  <c r="D400" i="1"/>
  <c r="F400" i="1" s="1"/>
  <c r="D399" i="1"/>
  <c r="F399" i="1" s="1"/>
  <c r="D398" i="1"/>
  <c r="F398" i="1" s="1"/>
  <c r="D397" i="1"/>
  <c r="D396" i="1"/>
  <c r="F396" i="1" s="1"/>
  <c r="D395" i="1"/>
  <c r="D393" i="1"/>
  <c r="F393" i="1" s="1"/>
  <c r="D392" i="1"/>
  <c r="F392" i="1" s="1"/>
  <c r="D391" i="1"/>
  <c r="F391" i="1" s="1"/>
  <c r="D389" i="1"/>
  <c r="F389" i="1" s="1"/>
  <c r="D388" i="1"/>
  <c r="F388" i="1" s="1"/>
  <c r="D387" i="1"/>
  <c r="F387" i="1" s="1"/>
  <c r="D386" i="1"/>
  <c r="F386" i="1" s="1"/>
  <c r="D385" i="1"/>
  <c r="F385" i="1" s="1"/>
  <c r="F384" i="1"/>
  <c r="D383" i="1"/>
  <c r="F383" i="1" s="1"/>
  <c r="F381" i="1"/>
  <c r="F380" i="1"/>
  <c r="F377" i="1"/>
  <c r="D376" i="1"/>
  <c r="F376" i="1" s="1"/>
  <c r="D375" i="1"/>
  <c r="F375" i="1" s="1"/>
  <c r="D374" i="1"/>
  <c r="F374" i="1" s="1"/>
  <c r="F372" i="1"/>
  <c r="G383" i="1"/>
  <c r="F390" i="1"/>
  <c r="A384" i="1"/>
  <c r="A385" i="1" s="1"/>
  <c r="A386" i="1" s="1"/>
  <c r="A387" i="1" s="1"/>
  <c r="A388" i="1" s="1"/>
  <c r="A389" i="1" s="1"/>
  <c r="A390" i="1" s="1"/>
  <c r="A391" i="1" s="1"/>
  <c r="F373" i="1"/>
  <c r="G371" i="1"/>
  <c r="A372" i="1"/>
  <c r="A373" i="1" s="1"/>
  <c r="A374" i="1" s="1"/>
  <c r="A375" i="1" s="1"/>
  <c r="A376" i="1" s="1"/>
  <c r="A377" i="1" s="1"/>
  <c r="A378" i="1" s="1"/>
  <c r="A379" i="1" s="1"/>
  <c r="F371" i="1"/>
  <c r="G407" i="1"/>
  <c r="F412" i="1"/>
  <c r="A408" i="1"/>
  <c r="A409" i="1" s="1"/>
  <c r="A410" i="1" s="1"/>
  <c r="A411" i="1" s="1"/>
  <c r="A412" i="1" s="1"/>
  <c r="A413" i="1" s="1"/>
  <c r="A414" i="1" s="1"/>
  <c r="A415" i="1" s="1"/>
  <c r="A396" i="1"/>
  <c r="A397" i="1" s="1"/>
  <c r="A398" i="1" s="1"/>
  <c r="A399" i="1" s="1"/>
  <c r="A400" i="1" s="1"/>
  <c r="A401" i="1" s="1"/>
  <c r="A402" i="1" s="1"/>
  <c r="A403" i="1" s="1"/>
  <c r="F397" i="1" l="1"/>
  <c r="E217" i="1"/>
  <c r="E222" i="1" s="1"/>
  <c r="F395" i="1"/>
  <c r="E218" i="1"/>
  <c r="C218" i="1"/>
  <c r="G217" i="1"/>
  <c r="G222" i="1" s="1"/>
  <c r="C217" i="1"/>
  <c r="C222" i="1" s="1"/>
  <c r="E3" i="1"/>
  <c r="D70" i="1" s="1"/>
  <c r="G218" i="1" l="1"/>
  <c r="J113" i="1"/>
  <c r="J112" i="1"/>
  <c r="J111" i="1"/>
  <c r="J116" i="1" s="1"/>
  <c r="J110" i="1"/>
  <c r="C117" i="1"/>
  <c r="J128" i="1"/>
  <c r="J127" i="1"/>
  <c r="J126" i="1"/>
  <c r="J125" i="1"/>
  <c r="C81" i="1"/>
  <c r="D367" i="1"/>
  <c r="F367" i="1" s="1"/>
  <c r="D366" i="1"/>
  <c r="F366" i="1" s="1"/>
  <c r="D365" i="1"/>
  <c r="F365" i="1" s="1"/>
  <c r="D363" i="1"/>
  <c r="D362" i="1"/>
  <c r="D361" i="1"/>
  <c r="D360" i="1"/>
  <c r="D359" i="1"/>
  <c r="D358" i="1"/>
  <c r="D357" i="1"/>
  <c r="D341" i="1"/>
  <c r="D355" i="1"/>
  <c r="D354" i="1"/>
  <c r="D353" i="1"/>
  <c r="D352" i="1"/>
  <c r="D351" i="1"/>
  <c r="D350" i="1"/>
  <c r="D349" i="1"/>
  <c r="D348" i="1"/>
  <c r="D347" i="1"/>
  <c r="D346" i="1"/>
  <c r="D345" i="1"/>
  <c r="E341" i="1"/>
  <c r="D340" i="1"/>
  <c r="D343" i="1"/>
  <c r="D342" i="1"/>
  <c r="D339" i="1"/>
  <c r="D338" i="1"/>
  <c r="D337" i="1"/>
  <c r="D336" i="1"/>
  <c r="D335" i="1"/>
  <c r="D334" i="1"/>
  <c r="D333" i="1"/>
  <c r="D330" i="1"/>
  <c r="D331" i="1"/>
  <c r="D329" i="1"/>
  <c r="D328" i="1"/>
  <c r="D327" i="1"/>
  <c r="D326" i="1"/>
  <c r="D324" i="1"/>
  <c r="D323" i="1"/>
  <c r="D325" i="1"/>
  <c r="C213" i="1" l="1"/>
  <c r="E213" i="1"/>
  <c r="J364" i="1"/>
  <c r="F363" i="1"/>
  <c r="F362" i="1"/>
  <c r="F361" i="1"/>
  <c r="F360" i="1"/>
  <c r="J358" i="1" s="1"/>
  <c r="F359" i="1"/>
  <c r="F358" i="1"/>
  <c r="A358" i="1"/>
  <c r="A359" i="1" s="1"/>
  <c r="A360" i="1" s="1"/>
  <c r="A361" i="1" s="1"/>
  <c r="A362" i="1" s="1"/>
  <c r="A363" i="1" s="1"/>
  <c r="A364" i="1" s="1"/>
  <c r="A365" i="1" s="1"/>
  <c r="A366" i="1" s="1"/>
  <c r="A367" i="1" s="1"/>
  <c r="G357" i="1"/>
  <c r="F357" i="1"/>
  <c r="F355" i="1"/>
  <c r="I353" i="1" s="1"/>
  <c r="F354" i="1"/>
  <c r="F353" i="1"/>
  <c r="J351" i="1" s="1"/>
  <c r="F352" i="1"/>
  <c r="J350" i="1" s="1"/>
  <c r="F351" i="1"/>
  <c r="F350" i="1"/>
  <c r="F349" i="1"/>
  <c r="I347" i="1" s="1"/>
  <c r="F348" i="1"/>
  <c r="F347" i="1"/>
  <c r="I345" i="1" s="1"/>
  <c r="F346" i="1"/>
  <c r="A346" i="1"/>
  <c r="A347" i="1" s="1"/>
  <c r="A348" i="1" s="1"/>
  <c r="A349" i="1" s="1"/>
  <c r="A350" i="1" s="1"/>
  <c r="A351" i="1" s="1"/>
  <c r="A352" i="1" s="1"/>
  <c r="A353" i="1" s="1"/>
  <c r="A354" i="1" s="1"/>
  <c r="A355" i="1" s="1"/>
  <c r="G345" i="1"/>
  <c r="F345" i="1"/>
  <c r="F343" i="1"/>
  <c r="F342" i="1"/>
  <c r="F341" i="1"/>
  <c r="F340" i="1"/>
  <c r="F339" i="1"/>
  <c r="F338" i="1"/>
  <c r="F337" i="1"/>
  <c r="F336" i="1"/>
  <c r="F335" i="1"/>
  <c r="I333" i="1" s="1"/>
  <c r="F334" i="1"/>
  <c r="I332" i="1" s="1"/>
  <c r="A334" i="1"/>
  <c r="A335" i="1" s="1"/>
  <c r="A336" i="1" s="1"/>
  <c r="A337" i="1" s="1"/>
  <c r="A338" i="1" s="1"/>
  <c r="A339" i="1" s="1"/>
  <c r="A340" i="1" s="1"/>
  <c r="A341" i="1" s="1"/>
  <c r="A342" i="1" s="1"/>
  <c r="A343" i="1" s="1"/>
  <c r="G333" i="1"/>
  <c r="F333" i="1"/>
  <c r="I331" i="1" s="1"/>
  <c r="F331" i="1"/>
  <c r="F330" i="1"/>
  <c r="F329" i="1"/>
  <c r="F328" i="1"/>
  <c r="F327" i="1"/>
  <c r="F326" i="1"/>
  <c r="F325" i="1"/>
  <c r="F324" i="1"/>
  <c r="A324" i="1"/>
  <c r="A325" i="1" s="1"/>
  <c r="A326" i="1" s="1"/>
  <c r="A327" i="1" s="1"/>
  <c r="A328" i="1" s="1"/>
  <c r="A329" i="1" s="1"/>
  <c r="G323" i="1"/>
  <c r="F323" i="1"/>
  <c r="I321" i="1" s="1"/>
  <c r="C173" i="1"/>
  <c r="J99" i="1"/>
  <c r="J98" i="1"/>
  <c r="J97" i="1"/>
  <c r="J96" i="1"/>
  <c r="H89" i="1"/>
  <c r="G213" i="1" l="1"/>
  <c r="J365" i="1"/>
  <c r="I365" i="1"/>
  <c r="D98" i="1"/>
  <c r="J92" i="1"/>
  <c r="J91" i="1"/>
  <c r="D101" i="1"/>
  <c r="D95" i="1"/>
  <c r="J94" i="1"/>
  <c r="D97" i="1"/>
  <c r="D94" i="1"/>
  <c r="J93" i="1"/>
  <c r="C92" i="1" s="1"/>
  <c r="D99" i="1"/>
  <c r="D96" i="1"/>
  <c r="D100" i="1"/>
  <c r="D319" i="1"/>
  <c r="C73" i="1"/>
  <c r="D624" i="1"/>
  <c r="D623" i="1"/>
  <c r="D622" i="1"/>
  <c r="D621" i="1"/>
  <c r="D620" i="1"/>
  <c r="D619" i="1"/>
  <c r="D618" i="1"/>
  <c r="D617" i="1"/>
  <c r="D616" i="1"/>
  <c r="D615" i="1"/>
  <c r="D613" i="1"/>
  <c r="D612" i="1"/>
  <c r="D611" i="1"/>
  <c r="D610" i="1"/>
  <c r="D609" i="1"/>
  <c r="D590" i="1"/>
  <c r="D589" i="1"/>
  <c r="D588" i="1"/>
  <c r="D587" i="1"/>
  <c r="D586" i="1"/>
  <c r="D585" i="1"/>
  <c r="D569" i="1"/>
  <c r="D584" i="1"/>
  <c r="D583" i="1"/>
  <c r="D582" i="1"/>
  <c r="D581" i="1"/>
  <c r="D580" i="1"/>
  <c r="D579" i="1"/>
  <c r="D578" i="1"/>
  <c r="D577" i="1"/>
  <c r="D576" i="1"/>
  <c r="D575" i="1"/>
  <c r="D573" i="1"/>
  <c r="D572" i="1"/>
  <c r="D571" i="1"/>
  <c r="D570" i="1"/>
  <c r="D568" i="1"/>
  <c r="D567" i="1"/>
  <c r="D566" i="1"/>
  <c r="D565" i="1"/>
  <c r="D564" i="1"/>
  <c r="D563" i="1"/>
  <c r="D562" i="1"/>
  <c r="D561" i="1"/>
  <c r="D560" i="1"/>
  <c r="D559" i="1"/>
  <c r="C216" i="1" l="1"/>
  <c r="J95" i="1"/>
  <c r="J100" i="1" s="1"/>
  <c r="D92" i="1"/>
  <c r="I554" i="1"/>
  <c r="J101" i="1" l="1"/>
  <c r="E92" i="1"/>
  <c r="D318" i="1"/>
  <c r="D316" i="1"/>
  <c r="D315" i="1"/>
  <c r="D314" i="1"/>
  <c r="D313" i="1"/>
  <c r="D312" i="1"/>
  <c r="D311" i="1"/>
  <c r="D310" i="1"/>
  <c r="D309" i="1"/>
  <c r="D307" i="1"/>
  <c r="D306" i="1"/>
  <c r="D305" i="1"/>
  <c r="D304" i="1"/>
  <c r="D303" i="1"/>
  <c r="D302" i="1"/>
  <c r="D301" i="1"/>
  <c r="D300" i="1"/>
  <c r="D299" i="1"/>
  <c r="D298" i="1"/>
  <c r="D297" i="1"/>
  <c r="D295" i="1"/>
  <c r="D294" i="1"/>
  <c r="D293" i="1"/>
  <c r="D292" i="1"/>
  <c r="D291" i="1"/>
  <c r="D290" i="1"/>
  <c r="D289" i="1"/>
  <c r="D288" i="1"/>
  <c r="D287" i="1"/>
  <c r="D286" i="1"/>
  <c r="D285" i="1"/>
  <c r="D283" i="1"/>
  <c r="D282" i="1"/>
  <c r="D281" i="1"/>
  <c r="D280" i="1"/>
  <c r="D279" i="1"/>
  <c r="D278" i="1"/>
  <c r="D277" i="1"/>
  <c r="D276" i="1"/>
  <c r="D275" i="1"/>
  <c r="D93" i="1" l="1"/>
  <c r="G92" i="1"/>
  <c r="I575" i="1"/>
  <c r="I88" i="1" l="1"/>
  <c r="C90" i="1" s="1"/>
  <c r="F573" i="1"/>
  <c r="F572" i="1"/>
  <c r="I570" i="1" s="1"/>
  <c r="F571" i="1"/>
  <c r="F570" i="1"/>
  <c r="F569" i="1"/>
  <c r="F568" i="1"/>
  <c r="F567" i="1"/>
  <c r="F566" i="1"/>
  <c r="F565" i="1"/>
  <c r="F564" i="1"/>
  <c r="F563" i="1"/>
  <c r="J562" i="1" s="1"/>
  <c r="F562" i="1"/>
  <c r="F561" i="1"/>
  <c r="F560" i="1"/>
  <c r="I558" i="1" s="1"/>
  <c r="A560" i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2" i="1" s="1"/>
  <c r="A573" i="1" s="1"/>
  <c r="G559" i="1"/>
  <c r="F559" i="1"/>
  <c r="I557" i="1" s="1"/>
  <c r="F624" i="1"/>
  <c r="I622" i="1" s="1"/>
  <c r="F623" i="1"/>
  <c r="I621" i="1" s="1"/>
  <c r="F622" i="1"/>
  <c r="F621" i="1"/>
  <c r="F620" i="1"/>
  <c r="F619" i="1"/>
  <c r="F618" i="1"/>
  <c r="F617" i="1"/>
  <c r="F616" i="1"/>
  <c r="F615" i="1"/>
  <c r="F613" i="1"/>
  <c r="F612" i="1"/>
  <c r="I610" i="1" s="1"/>
  <c r="F611" i="1"/>
  <c r="F610" i="1"/>
  <c r="A610" i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G609" i="1"/>
  <c r="F609" i="1"/>
  <c r="F575" i="1"/>
  <c r="F590" i="1"/>
  <c r="F587" i="1"/>
  <c r="F586" i="1"/>
  <c r="F589" i="1"/>
  <c r="F588" i="1"/>
  <c r="F579" i="1"/>
  <c r="F580" i="1"/>
  <c r="F581" i="1"/>
  <c r="F582" i="1"/>
  <c r="F583" i="1"/>
  <c r="F584" i="1"/>
  <c r="F578" i="1"/>
  <c r="F577" i="1"/>
  <c r="F576" i="1"/>
  <c r="A576" i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G575" i="1"/>
  <c r="F319" i="1"/>
  <c r="I317" i="1" s="1"/>
  <c r="F318" i="1"/>
  <c r="J316" i="1" s="1"/>
  <c r="F316" i="1"/>
  <c r="F315" i="1"/>
  <c r="F314" i="1"/>
  <c r="F313" i="1"/>
  <c r="F312" i="1"/>
  <c r="J310" i="1" s="1"/>
  <c r="F311" i="1"/>
  <c r="F310" i="1"/>
  <c r="A310" i="1"/>
  <c r="A311" i="1" s="1"/>
  <c r="A312" i="1" s="1"/>
  <c r="A313" i="1" s="1"/>
  <c r="A314" i="1" s="1"/>
  <c r="A315" i="1" s="1"/>
  <c r="A316" i="1" s="1"/>
  <c r="A317" i="1" s="1"/>
  <c r="A318" i="1" s="1"/>
  <c r="A319" i="1" s="1"/>
  <c r="G309" i="1"/>
  <c r="F309" i="1"/>
  <c r="F305" i="1"/>
  <c r="J303" i="1" s="1"/>
  <c r="F307" i="1"/>
  <c r="I305" i="1" s="1"/>
  <c r="F306" i="1"/>
  <c r="F304" i="1"/>
  <c r="J302" i="1" s="1"/>
  <c r="F303" i="1"/>
  <c r="F302" i="1"/>
  <c r="F301" i="1"/>
  <c r="I299" i="1" s="1"/>
  <c r="F300" i="1"/>
  <c r="F299" i="1"/>
  <c r="I297" i="1" s="1"/>
  <c r="F298" i="1"/>
  <c r="A298" i="1"/>
  <c r="A299" i="1" s="1"/>
  <c r="A300" i="1" s="1"/>
  <c r="A301" i="1" s="1"/>
  <c r="A302" i="1" s="1"/>
  <c r="A303" i="1" s="1"/>
  <c r="A304" i="1" s="1"/>
  <c r="A305" i="1" s="1"/>
  <c r="A306" i="1" s="1"/>
  <c r="A307" i="1" s="1"/>
  <c r="G297" i="1"/>
  <c r="F297" i="1"/>
  <c r="E293" i="1"/>
  <c r="F292" i="1"/>
  <c r="F295" i="1"/>
  <c r="F294" i="1"/>
  <c r="F291" i="1"/>
  <c r="F290" i="1"/>
  <c r="F289" i="1"/>
  <c r="F288" i="1"/>
  <c r="F287" i="1"/>
  <c r="I285" i="1" s="1"/>
  <c r="F286" i="1"/>
  <c r="I284" i="1" s="1"/>
  <c r="A286" i="1"/>
  <c r="A287" i="1" s="1"/>
  <c r="A288" i="1" s="1"/>
  <c r="A289" i="1" s="1"/>
  <c r="A290" i="1" s="1"/>
  <c r="A291" i="1" s="1"/>
  <c r="A292" i="1" s="1"/>
  <c r="A293" i="1" s="1"/>
  <c r="A294" i="1" s="1"/>
  <c r="A295" i="1" s="1"/>
  <c r="G285" i="1"/>
  <c r="F285" i="1"/>
  <c r="I283" i="1" s="1"/>
  <c r="F283" i="1"/>
  <c r="F282" i="1"/>
  <c r="F281" i="1"/>
  <c r="J570" i="1" l="1"/>
  <c r="J317" i="1"/>
  <c r="C212" i="1"/>
  <c r="C221" i="1" s="1"/>
  <c r="C223" i="1" s="1"/>
  <c r="E212" i="1"/>
  <c r="E216" i="1"/>
  <c r="G216" i="1"/>
  <c r="F293" i="1"/>
  <c r="E221" i="1" l="1"/>
  <c r="E223" i="1" s="1"/>
  <c r="J185" i="1"/>
  <c r="J184" i="1"/>
  <c r="J85" i="1"/>
  <c r="J84" i="1"/>
  <c r="H174" i="1"/>
  <c r="H74" i="1"/>
  <c r="D180" i="1" l="1"/>
  <c r="J178" i="1"/>
  <c r="J180" i="1"/>
  <c r="D187" i="1"/>
  <c r="D183" i="1"/>
  <c r="J179" i="1"/>
  <c r="C178" i="1" s="1"/>
  <c r="J177" i="1"/>
  <c r="D185" i="1"/>
  <c r="D181" i="1"/>
  <c r="D184" i="1"/>
  <c r="D186" i="1"/>
  <c r="D182" i="1"/>
  <c r="D80" i="1"/>
  <c r="D86" i="1"/>
  <c r="J78" i="1"/>
  <c r="D87" i="1"/>
  <c r="D83" i="1"/>
  <c r="J79" i="1"/>
  <c r="J77" i="1"/>
  <c r="D82" i="1"/>
  <c r="D85" i="1"/>
  <c r="D81" i="1"/>
  <c r="J80" i="1"/>
  <c r="D84" i="1"/>
  <c r="G49" i="1"/>
  <c r="G50" i="1" s="1"/>
  <c r="H146" i="1"/>
  <c r="H132" i="1"/>
  <c r="H118" i="1"/>
  <c r="H103" i="1"/>
  <c r="O624" i="1"/>
  <c r="H160" i="1"/>
  <c r="D151" i="1" l="1"/>
  <c r="J149" i="1"/>
  <c r="J151" i="1"/>
  <c r="J152" i="1" s="1"/>
  <c r="J157" i="1" s="1"/>
  <c r="J158" i="1" s="1"/>
  <c r="C150" i="1" s="1"/>
  <c r="D158" i="1"/>
  <c r="D156" i="1"/>
  <c r="D154" i="1"/>
  <c r="D152" i="1"/>
  <c r="J150" i="1"/>
  <c r="C149" i="1" s="1"/>
  <c r="D149" i="1" s="1"/>
  <c r="J148" i="1"/>
  <c r="D157" i="1"/>
  <c r="D153" i="1"/>
  <c r="D155" i="1"/>
  <c r="J136" i="1"/>
  <c r="C135" i="1" s="1"/>
  <c r="D135" i="1" s="1"/>
  <c r="J134" i="1"/>
  <c r="D144" i="1"/>
  <c r="D140" i="1"/>
  <c r="J137" i="1"/>
  <c r="J138" i="1" s="1"/>
  <c r="J143" i="1" s="1"/>
  <c r="J144" i="1" s="1"/>
  <c r="C136" i="1" s="1"/>
  <c r="D143" i="1"/>
  <c r="D139" i="1"/>
  <c r="J135" i="1"/>
  <c r="D142" i="1"/>
  <c r="D138" i="1"/>
  <c r="D137" i="1"/>
  <c r="D141" i="1"/>
  <c r="D172" i="1"/>
  <c r="D170" i="1"/>
  <c r="D168" i="1"/>
  <c r="D166" i="1"/>
  <c r="D163" i="1"/>
  <c r="D169" i="1"/>
  <c r="D165" i="1"/>
  <c r="J164" i="1"/>
  <c r="J165" i="1"/>
  <c r="J166" i="1" s="1"/>
  <c r="J171" i="1" s="1"/>
  <c r="D171" i="1"/>
  <c r="D167" i="1"/>
  <c r="J163" i="1"/>
  <c r="J162" i="1"/>
  <c r="E106" i="1"/>
  <c r="J107" i="1"/>
  <c r="C106" i="1" s="1"/>
  <c r="G106" i="1" s="1"/>
  <c r="H116" i="1" s="1"/>
  <c r="J105" i="1"/>
  <c r="D112" i="1"/>
  <c r="J106" i="1"/>
  <c r="D115" i="1"/>
  <c r="D113" i="1"/>
  <c r="D111" i="1"/>
  <c r="D109" i="1"/>
  <c r="D114" i="1"/>
  <c r="D110" i="1"/>
  <c r="D108" i="1"/>
  <c r="J108" i="1"/>
  <c r="J109" i="1" s="1"/>
  <c r="J114" i="1" s="1"/>
  <c r="J122" i="1"/>
  <c r="D126" i="1"/>
  <c r="J123" i="1"/>
  <c r="J121" i="1"/>
  <c r="D129" i="1"/>
  <c r="D127" i="1"/>
  <c r="D125" i="1"/>
  <c r="D123" i="1"/>
  <c r="J120" i="1"/>
  <c r="D130" i="1"/>
  <c r="D128" i="1"/>
  <c r="D124" i="1"/>
  <c r="J181" i="1"/>
  <c r="J186" i="1" s="1"/>
  <c r="J81" i="1"/>
  <c r="J86" i="1" s="1"/>
  <c r="D178" i="1"/>
  <c r="D78" i="1"/>
  <c r="J182" i="1"/>
  <c r="J183" i="1" s="1"/>
  <c r="J82" i="1"/>
  <c r="J83" i="1" s="1"/>
  <c r="E149" i="1" l="1"/>
  <c r="I145" i="1" s="1"/>
  <c r="C147" i="1" s="1"/>
  <c r="D150" i="1"/>
  <c r="G149" i="1"/>
  <c r="D72" i="1" s="1"/>
  <c r="E135" i="1"/>
  <c r="I131" i="1" s="1"/>
  <c r="C133" i="1" s="1"/>
  <c r="D136" i="1"/>
  <c r="G135" i="1"/>
  <c r="J172" i="1"/>
  <c r="C164" i="1" s="1"/>
  <c r="G163" i="1" s="1"/>
  <c r="J124" i="1"/>
  <c r="E116" i="1"/>
  <c r="D107" i="1"/>
  <c r="D106" i="1"/>
  <c r="J115" i="1"/>
  <c r="D121" i="1"/>
  <c r="J187" i="1"/>
  <c r="C179" i="1" s="1"/>
  <c r="J87" i="1"/>
  <c r="A276" i="1"/>
  <c r="A277" i="1" s="1"/>
  <c r="A278" i="1" s="1"/>
  <c r="A279" i="1" s="1"/>
  <c r="A280" i="1" s="1"/>
  <c r="A281" i="1" s="1"/>
  <c r="P624" i="1"/>
  <c r="D164" i="1" l="1"/>
  <c r="E163" i="1"/>
  <c r="I159" i="1" s="1"/>
  <c r="C161" i="1" s="1"/>
  <c r="J129" i="1"/>
  <c r="J130" i="1" s="1"/>
  <c r="C122" i="1" s="1"/>
  <c r="G121" i="1" s="1"/>
  <c r="I102" i="1"/>
  <c r="C104" i="1" s="1"/>
  <c r="E178" i="1"/>
  <c r="D179" i="1"/>
  <c r="G178" i="1"/>
  <c r="G176" i="1" s="1"/>
  <c r="E78" i="1"/>
  <c r="D79" i="1"/>
  <c r="G78" i="1"/>
  <c r="G76" i="1" s="1"/>
  <c r="N624" i="1"/>
  <c r="I173" i="1" l="1"/>
  <c r="C176" i="1"/>
  <c r="I73" i="1"/>
  <c r="C76" i="1"/>
  <c r="E121" i="1"/>
  <c r="I117" i="1" s="1"/>
  <c r="C119" i="1" s="1"/>
  <c r="D122" i="1"/>
  <c r="F188" i="1"/>
  <c r="E41" i="1" l="1"/>
  <c r="E42" i="1" s="1"/>
  <c r="F276" i="1" l="1"/>
  <c r="F277" i="1"/>
  <c r="F278" i="1"/>
  <c r="F279" i="1"/>
  <c r="F280" i="1"/>
  <c r="F275" i="1"/>
  <c r="I273" i="1" s="1"/>
  <c r="F231" i="1"/>
  <c r="G231" i="1"/>
  <c r="A232" i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F232" i="1"/>
  <c r="F233" i="1"/>
  <c r="F234" i="1"/>
  <c r="F235" i="1"/>
  <c r="F236" i="1"/>
  <c r="F237" i="1"/>
  <c r="G207" i="1" l="1"/>
  <c r="G209" i="1" s="1"/>
  <c r="G212" i="1"/>
  <c r="G221" i="1" s="1"/>
  <c r="G223" i="1" l="1"/>
  <c r="G275" i="1"/>
  <c r="E25" i="1"/>
  <c r="E23" i="1"/>
  <c r="F6" i="5" l="1"/>
  <c r="G6" i="5" s="1"/>
  <c r="F7" i="5"/>
  <c r="G7" i="5" s="1"/>
  <c r="F8" i="5"/>
  <c r="G8" i="5" s="1"/>
  <c r="F9" i="5"/>
  <c r="G9" i="5" s="1"/>
  <c r="F10" i="5"/>
  <c r="G10" i="5" s="1"/>
  <c r="F11" i="5"/>
  <c r="G11" i="5" s="1"/>
  <c r="F5" i="5"/>
  <c r="G5" i="5" s="1"/>
  <c r="G12" i="5" l="1"/>
  <c r="E7" i="1" l="1"/>
  <c r="D654" i="1" l="1"/>
  <c r="F204" i="1"/>
  <c r="C49" i="1"/>
  <c r="C50" i="1" s="1"/>
  <c r="L33" i="3" l="1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L34" i="3" l="1"/>
  <c r="K34" i="3" s="1"/>
  <c r="E34" i="3"/>
  <c r="I34" i="3"/>
  <c r="H34" i="3" s="1"/>
  <c r="D34" i="3" l="1"/>
  <c r="D36" i="3" s="1"/>
  <c r="E36" i="3"/>
  <c r="A637" i="1"/>
  <c r="A638" i="1" s="1"/>
  <c r="A639" i="1" s="1"/>
  <c r="A640" i="1" s="1"/>
  <c r="A641" i="1" s="1"/>
  <c r="A642" i="1" s="1"/>
</calcChain>
</file>

<file path=xl/sharedStrings.xml><?xml version="1.0" encoding="utf-8"?>
<sst xmlns="http://schemas.openxmlformats.org/spreadsheetml/2006/main" count="1082" uniqueCount="333">
  <si>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</si>
  <si>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</si>
  <si>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</si>
  <si>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</si>
  <si>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</si>
  <si>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</si>
  <si>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</si>
  <si>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</si>
  <si>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</si>
  <si>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</si>
  <si>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</si>
  <si>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</si>
  <si>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</si>
  <si>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</si>
  <si>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</si>
  <si>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</si>
  <si>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</si>
  <si>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</si>
  <si>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</si>
  <si>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</si>
  <si>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</si>
  <si>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</si>
  <si>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</si>
  <si>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</si>
  <si>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</si>
  <si>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</si>
  <si>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</si>
  <si>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</si>
  <si>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</si>
  <si>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</si>
  <si>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</si>
  <si>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</si>
  <si>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</si>
  <si>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</si>
  <si>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</si>
  <si>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</si>
  <si>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</si>
  <si>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</si>
  <si>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</si>
  <si>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</si>
  <si>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</si>
  <si>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</si>
  <si>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</si>
  <si>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</si>
  <si>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</si>
  <si>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</si>
  <si>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</si>
  <si>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</si>
  <si>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</si>
  <si>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</si>
  <si>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</si>
  <si>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</si>
  <si>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</si>
  <si>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</si>
  <si>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</si>
  <si>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</si>
  <si>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</si>
  <si>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</si>
  <si>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</si>
  <si>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</si>
  <si>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</si>
  <si>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</si>
  <si>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</si>
  <si>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</si>
  <si>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</si>
  <si>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</si>
  <si>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</si>
  <si>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</si>
  <si>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</si>
  <si>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</si>
  <si>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</si>
  <si>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</si>
  <si>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</si>
  <si>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</si>
  <si>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</si>
  <si>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</si>
  <si>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</si>
  <si>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</si>
  <si>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</si>
  <si>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</si>
  <si>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</si>
  <si>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</si>
  <si>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</si>
  <si>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</si>
  <si>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</si>
  <si>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</si>
  <si>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</si>
  <si>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</si>
  <si>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</si>
  <si>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</si>
  <si>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</si>
  <si>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</si>
  <si>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</si>
  <si>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</si>
  <si>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</si>
  <si>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</si>
  <si>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</si>
  <si>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</si>
  <si>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</si>
  <si>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</si>
  <si>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</si>
  <si>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</si>
  <si>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</si>
  <si>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</si>
  <si>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</si>
  <si>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</si>
  <si>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Recommended rate of the shop Per Sq. Ft. ( on Saleable area)</t>
  </si>
  <si>
    <t>Recommended rate of the Office Per Sq. Ft. ( on Saleable area)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</si>
  <si>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</si>
  <si>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</si>
  <si>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</si>
  <si>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</si>
  <si>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</si>
  <si>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</si>
  <si>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</si>
  <si>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</si>
  <si>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</si>
  <si>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</si>
  <si>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</si>
  <si>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</si>
  <si>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</si>
  <si>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</si>
  <si>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</si>
  <si>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</si>
  <si>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Club Charges</t>
  </si>
  <si>
    <t>Legal Services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</si>
  <si>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</si>
  <si>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</si>
  <si>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</si>
  <si>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</si>
  <si>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</si>
  <si>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</si>
  <si>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</si>
  <si>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</si>
  <si>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</si>
  <si>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</si>
  <si>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</si>
  <si>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</si>
  <si>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</si>
  <si>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</si>
  <si>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</si>
  <si>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</si>
  <si>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</si>
  <si>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3BHK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</si>
  <si>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</si>
  <si>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</si>
  <si>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</si>
  <si>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</si>
  <si>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</si>
  <si>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</si>
  <si>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Saleable area
Loading :</t>
  </si>
  <si>
    <t>2nd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</si>
  <si>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</si>
  <si>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</si>
  <si>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</si>
  <si>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</si>
  <si>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</si>
  <si>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</si>
  <si>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</si>
  <si>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</si>
  <si>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</si>
  <si>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</si>
  <si>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</si>
  <si>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</si>
  <si>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</si>
  <si>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</si>
  <si>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</si>
  <si>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</si>
  <si>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</si>
  <si>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</si>
  <si>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</si>
  <si>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</si>
  <si>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</si>
  <si>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</si>
  <si>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</si>
  <si>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</si>
  <si>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</si>
  <si>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</si>
  <si>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</si>
  <si>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</si>
  <si>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</si>
  <si>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</si>
  <si>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Axis Sanpada</t>
  </si>
  <si>
    <t>KDMC/TPD/BP/27Village/2021-22/01/219</t>
  </si>
  <si>
    <t>Adivali Dhokali</t>
  </si>
  <si>
    <t>Thane</t>
  </si>
  <si>
    <t>Open Plot</t>
  </si>
  <si>
    <t>1st Floor</t>
  </si>
  <si>
    <t>2BHK</t>
  </si>
  <si>
    <t>1BHK</t>
  </si>
  <si>
    <t xml:space="preserve"> 3rd to 7th, 9th to 12th, 14th to 17th &amp; 19th to 23rd Floor</t>
  </si>
  <si>
    <t>Refuge Area</t>
  </si>
  <si>
    <t>Ground Floor For Parking</t>
  </si>
  <si>
    <t xml:space="preserve">1st Floor </t>
  </si>
  <si>
    <t>Residential</t>
  </si>
  <si>
    <t>We considered  Saleable area  as per our calculation.</t>
  </si>
  <si>
    <t>Approved Plans, CC, Sale Plans, Cost Sheet</t>
  </si>
  <si>
    <t>Survey No</t>
  </si>
  <si>
    <t>36/23/3 &amp; 36/24</t>
  </si>
  <si>
    <t>Triveni Apartments</t>
  </si>
  <si>
    <t>Malangad Road</t>
  </si>
  <si>
    <t xml:space="preserve"> Plot B</t>
  </si>
  <si>
    <t>5.6 KM from Kalyan Railway Station</t>
  </si>
  <si>
    <t>Kalyan East</t>
  </si>
  <si>
    <t>Ambernath</t>
  </si>
  <si>
    <t>chajja is not considered as per info given by site person ( Rajesh)</t>
  </si>
  <si>
    <t>Building No.1</t>
  </si>
  <si>
    <t>Building No.7</t>
  </si>
  <si>
    <t xml:space="preserve"> Building No.1</t>
  </si>
  <si>
    <t>10000/-</t>
  </si>
  <si>
    <t>8th, 13th &amp; 18th Floor ( Part Refuge Area)</t>
  </si>
  <si>
    <t>5800 to 6400</t>
  </si>
  <si>
    <t>Abhishek</t>
  </si>
  <si>
    <t>igr</t>
  </si>
  <si>
    <t>Building No.2</t>
  </si>
  <si>
    <t>chajja is considered since chajja are big in size</t>
  </si>
  <si>
    <t>We have updated Approved Plans &amp; CC of plot B - Building No. 2 (on 18/07/2022)</t>
  </si>
  <si>
    <t>1) We have personally visited the property &amp; identified the same based on the documents provided.</t>
  </si>
  <si>
    <t>Plot B - Building No.2 Part II = G + 1st to 23rd Floor</t>
  </si>
  <si>
    <t>Building No.2 
Average of Part I &amp;
Part II</t>
  </si>
  <si>
    <t>We have updated CC &amp; given subsequent (only Stage) report for plot B - Building No. 3.</t>
  </si>
  <si>
    <t>Site Meet Person Details ( Name &amp; Contact No.)</t>
  </si>
  <si>
    <t>Building No. 3</t>
  </si>
  <si>
    <t>Society Office</t>
  </si>
  <si>
    <t>Void Area</t>
  </si>
  <si>
    <t>1st Floor for Residential &amp; Society Office (MHADA)</t>
  </si>
  <si>
    <t>2nd, 3rd &amp; 23rd Floor (MHADA)</t>
  </si>
  <si>
    <t>Building No.3</t>
  </si>
  <si>
    <t>Mhada</t>
  </si>
  <si>
    <t>Sale</t>
  </si>
  <si>
    <t>KDMC/TPD/BP/27Village/2021-22/01/338</t>
  </si>
  <si>
    <t>We considered Gross carpet area = Net carpet + C.B Area + Balcony.</t>
  </si>
  <si>
    <t xml:space="preserve"> Building No. 1, 2 &amp; 7</t>
  </si>
  <si>
    <t>Layout Approval No</t>
  </si>
  <si>
    <t xml:space="preserve">Approved Floor plan No.
</t>
  </si>
  <si>
    <t xml:space="preserve">Commencement Certificate No.
</t>
  </si>
  <si>
    <t>Sale Flats - 939, Madha Flats - 42</t>
  </si>
  <si>
    <t>We have update Approved floor plans &amp; CC of Plot B - Building No.3 ( On 17/01/2023).</t>
  </si>
  <si>
    <t>4th to 7th, 9th to 12th, 14th to 17th &amp; 19th to 22nd Floor</t>
  </si>
  <si>
    <t xml:space="preserve">Dev &amp; other 250000
</t>
  </si>
  <si>
    <t>Rushikesh</t>
  </si>
  <si>
    <t>6400 to 6500</t>
  </si>
  <si>
    <t>Location Link</t>
  </si>
  <si>
    <t>https://goo.gl/maps/Ahco42ogWaDA8xf8A</t>
  </si>
  <si>
    <t xml:space="preserve">Office No. 1031, Wing J, Akshar Business Park, Plot No. 03 Sector 25, Near APMC Market, Vashi, Navi Mumbai, Maharashtra 400703 TEL: 022-46090378/79/80                                                                                                                                      E mail : vsjcapf@gmail.com. Web site : www.vsjadon.com
</t>
  </si>
  <si>
    <t>As per Layout</t>
  </si>
  <si>
    <t>H.No. 23/2</t>
  </si>
  <si>
    <t>24.0 M.W Road</t>
  </si>
  <si>
    <t>H.No.12</t>
  </si>
  <si>
    <t>Building No.4 &amp; 5/24.0 M. W.Road</t>
  </si>
  <si>
    <t>Latitude &amp; Longitude</t>
  </si>
  <si>
    <t>RERA Name &amp; No.</t>
  </si>
  <si>
    <t>https://housing.com/in/buy/projects/page/271935-kohinoor-eden-by-kohinoor-group-in-kalyan-east</t>
  </si>
  <si>
    <t>Layout :</t>
  </si>
  <si>
    <t>19.203806,73.129944</t>
  </si>
  <si>
    <t>Building No.6</t>
  </si>
  <si>
    <t>We have update Approved floor plans &amp; CC of Plot B - Building No.6 ( On 31/12/2023).</t>
  </si>
  <si>
    <t>Sale/MHADA</t>
  </si>
  <si>
    <t>3rd to 7th, 9th to 12th, 14th to 17th, 19th to 22nd Floor</t>
  </si>
  <si>
    <t>8th, 13th &amp; 18th Floor (Part Refuge Area)</t>
  </si>
  <si>
    <t>-</t>
  </si>
  <si>
    <t>MHADA</t>
  </si>
  <si>
    <t>1st Floor for Residential (Part Society Office)</t>
  </si>
  <si>
    <t>Society Office &amp; Void</t>
  </si>
  <si>
    <t>23rd Floor</t>
  </si>
  <si>
    <t>Sale Flats - 1170, Madha Flats - 63</t>
  </si>
  <si>
    <t xml:space="preserve">Recreation Facilities, Cycling &amp; Jogging Track, Pergola, Acupressure Center, Solar Water Heating, Solar Lighting, Steam Room, Sewage Treatment Plant, Rain Water Harvesting, Footpaths/Pedestrian, Multipurpose Hall, Jacuzzi, Entrance Lobby, Senior Citizen Siteout, Party Lawn, Mini Theatre, Fountains, Gazebo, Club House, CCTV, Storm Water Drains, Solid Waste Management And Disposal, Landscaping &amp; Tree Planting, Energy management, Meter Room, Temple, Fire Fighting System, Amphitheater, Indoor Games, Yoga/Meditation Area, Squash Court, Cricket, Pitch, Football Field, Basketball Court, Badminton Court, 24x7 Security, Kid's Pool, Children's Play Area, Internal Roads, Library, Lift(s), Gymnasium, Swimming Pool etc.                                                                                                                                                                                                                                                           </t>
  </si>
  <si>
    <t>S</t>
  </si>
  <si>
    <t>8th &amp; 13th Floor (Part Refuge Area)</t>
  </si>
  <si>
    <t>Miss. Roma Khemani 766440551/9867575441.</t>
  </si>
  <si>
    <t>Building No.4</t>
  </si>
  <si>
    <t>Building No.2 = Gr + 1st to 23rd Floor</t>
  </si>
  <si>
    <t>Building No.3 = Gr + 1st to 23rd Floor</t>
  </si>
  <si>
    <t>Building No.6 = Gr + 1st to 23rd Floor</t>
  </si>
  <si>
    <t>Building No.7 = Gr+ 1st to 15th Floor</t>
  </si>
  <si>
    <t>Building No.4 = Gr+ 1st to 23rd Floor</t>
  </si>
  <si>
    <t xml:space="preserve">Details of Residential &amp; Commercial in Building   </t>
  </si>
  <si>
    <t>Plot B</t>
  </si>
  <si>
    <t>Building No. 4</t>
  </si>
  <si>
    <t>Ground Floor For Commercial, Meter Room, Entrance Lobby &amp; Parking</t>
  </si>
  <si>
    <t>Shop</t>
  </si>
  <si>
    <t>Society Office &amp; Entrance Lobby Below</t>
  </si>
  <si>
    <t>1st Floor For Residential, Society Office &amp; Entrance Lobby Below</t>
  </si>
  <si>
    <t xml:space="preserve"> 2nd to 7th, 9th to 12th &amp; 14th to 17th, 19th to 23rd Floor</t>
  </si>
  <si>
    <t>Grand Total</t>
  </si>
  <si>
    <t>Sale Flats - 1418, Madha Flats - 63, Shop =18</t>
  </si>
  <si>
    <t>Valid Up to:  Plot B - Building 1 &amp; 2 = Gr + 1st to 23rd Floor
                                  Building 7 = Gr + 1st to 15th Floor</t>
  </si>
  <si>
    <t>Terrace Area not considered on 1st floor because of Dimensions not provided and staircase issue from Shop</t>
  </si>
  <si>
    <t>We have updated Building No. 4 (On 22/04/2024).</t>
  </si>
  <si>
    <t>3rd to 7th, 9th to 12th &amp; 14th to 15th Floor</t>
  </si>
  <si>
    <t xml:space="preserve"> 2nd Floor</t>
  </si>
  <si>
    <t>B7 Flat No. 211 area changed by Akash Mote on 29/07/2024 for staff case</t>
  </si>
  <si>
    <t>B7 Flat No. 211 area changed by Akash Mote on 29/07/2024 for staff case Total Value 40L</t>
  </si>
  <si>
    <t>6500 to 6700</t>
  </si>
  <si>
    <t>Akash Mote</t>
  </si>
  <si>
    <t xml:space="preserve">Staff case </t>
  </si>
  <si>
    <t>Recommended Rates / Other charges of the Property have been revised on 13/05/2022, 27/02/2023, 25/03/2023 &amp; 30/07/2024.</t>
  </si>
  <si>
    <t xml:space="preserve"> SHop rate 17K bhargav cost sheet    12/11/2024</t>
  </si>
  <si>
    <t>Recommended Rates / Other charges of the Property have been revised on 12/11/2024.</t>
  </si>
  <si>
    <t>Building No.1 &amp; 2 = Gr + 1st to 23rd Floor</t>
  </si>
  <si>
    <t>Miss. Jagruti : 8007219699</t>
  </si>
  <si>
    <t>KDMCC/PO/2025/APL/00102
Approved upto : Bldg No.1 &amp; 2 = Gr/St + 1st to 23rd Floor
Bldg No.7 = Gr/St + 1st to 7th Floor</t>
  </si>
  <si>
    <t>We have updated OC from rera for Bldg No. 1, 2 &amp; 7 (On 30/05/2025).</t>
  </si>
  <si>
    <t>Plot B - Building No.1, 2, 3, 4, 5, 6 &amp; 7</t>
  </si>
  <si>
    <t>07 Buildings</t>
  </si>
  <si>
    <t>Valid Up to: Plot B - Building No.3 = Gr/Stilt + 4th to 22nd Floor
                                                           (1st to 3rd &amp; 23rd Floor for MHADA.)
                    Plot B - Building No.6 = Gr/Stilt + 2nd to 22nd Floor (Residential)
                                                           (1st &amp; 23rd Floor for MHADA.)
                    Plot B - Building No. 4 = Gr/Stilt + 1st to 23rd Floor
                    Plot B - Building No. 5 = Gr/Stilt + 1st to 23rd Floor</t>
  </si>
  <si>
    <t>Building No.5 = Gr+ 1st to 23rd Floor</t>
  </si>
  <si>
    <t>Building No.1, 2, 3, 4, 5 &amp; 6 = Gr + 1st to 23rd Floor
Building No.7 = Gr + 1st to 15th Floor</t>
  </si>
  <si>
    <t>As per RERA (Building No.1, 2 &amp; 7) - Completed
                                 (Building No.3) - 30/09/2026 
                                 (Building No.6) - 30/06/2026
                                 (Building No.4) - 31/12/2026
                                 (Building No.5) - 30/06/2027</t>
  </si>
  <si>
    <t>Building No. 5</t>
  </si>
  <si>
    <t>Building No.5</t>
  </si>
  <si>
    <t>Toilet dimension not given</t>
  </si>
  <si>
    <t>19, 20, 27</t>
  </si>
  <si>
    <t xml:space="preserve">Please Check for Environmental Clearance Certificate &amp; Fire Noc.
</t>
  </si>
  <si>
    <t>Sale Flats - 1666, Mhada Flats - 63, Shops - 35</t>
  </si>
  <si>
    <t xml:space="preserve"> staircase issue from Shop &amp; Shop No. 26 Toilet dimensions not mentioned in plan</t>
  </si>
  <si>
    <t xml:space="preserve"> Building No. 3, 4, 5 &amp; 6</t>
  </si>
  <si>
    <t>Name of Municipal Corporation/Authority</t>
  </si>
  <si>
    <t>Kalyan Dombivli Municipal Corporation (KMDC)</t>
  </si>
  <si>
    <t>Total land area of the project in Sq. Mt. (Plot B)</t>
  </si>
  <si>
    <t>Approved Builtup Area of Plot B Building No.1 to 7 (Sq.Mt)</t>
  </si>
  <si>
    <t>Saleable area Loading :</t>
  </si>
  <si>
    <t>Total Sale Flat</t>
  </si>
  <si>
    <t>Total Mhada Flat</t>
  </si>
  <si>
    <t>We have not considered terrace area provided on the 1st floor of Building No.4, Because dimensions are not mentioned.</t>
  </si>
  <si>
    <t>M/s. Kgi Realty Private Limited</t>
  </si>
  <si>
    <t>We have added Project Kohinoor Eden B5 (Building No.5)  (20/06/2025).</t>
  </si>
  <si>
    <t xml:space="preserve">2nd to 7th, 9th to 12th, 14th to 17th &amp; 19th to 23rd Floor </t>
  </si>
  <si>
    <t>Kohinoor Eden (Building No. 1 to 7)</t>
  </si>
  <si>
    <t>Kohinoor Eden - (B1 &amp; B2) = P51700030888
Kohinoor Eden B7= P51700030963
Kohinoor Eden Ph 2 - (B3) = P51700034683
Kohinoor Eden B6 = P51700052179
Kohinoor Eden B4 = P51700050022
Kohinoor Eden B5 = P51700077032</t>
  </si>
  <si>
    <t>Mangesh Laxman Bapardekar</t>
  </si>
  <si>
    <t>Pranita Mhatre</t>
  </si>
  <si>
    <t>Bldg No. 1, 2 &amp; 7 = All work Completed. OC Received.
Bldg No. 3, 4, 5 &amp; 6 = Construction work was in process at the time of visit. (Internal photographs was not allowed.)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</si>
</sst>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dd\/mm\/yyyy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1"/>
      <name val="Calibri"/>
      <family val="2"/>
    </font>
    <font>
      <u/>
      <sz val="11"/>
      <color theme="10"/>
      <name val="Calibri"/>
      <family val="2"/>
    </font>
    <font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sz val="12"/>
      <color rgb="FFFF0000"/>
      <name val="Times New Roman"/>
      <family val="1"/>
    </font>
    <font>
      <sz val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18" fillId="0" borderId="0"/>
    <xf numFmtId="9" fontId="19" fillId="0" borderId="0" applyFont="0" applyFill="0" applyBorder="0" applyAlignment="0" applyProtection="0"/>
    <xf numFmtId="0" fontId="22" fillId="0" borderId="0" applyNumberFormat="0" applyFill="0" applyBorder="0" applyAlignment="0" applyProtection="0"/>
  </cellStyleXfs>
  <cellXfs count="285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0" fillId="3" borderId="1" xfId="0" applyFill="1" applyBorder="1"/>
    <xf numFmtId="0" fontId="0" fillId="0" borderId="2" xfId="0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/>
    <xf numFmtId="0" fontId="7" fillId="0" borderId="0" xfId="1" applyFont="1"/>
    <xf numFmtId="0" fontId="6" fillId="0" borderId="0" xfId="2" applyFont="1"/>
    <xf numFmtId="0" fontId="12" fillId="0" borderId="0" xfId="1" applyFont="1"/>
    <xf numFmtId="0" fontId="15" fillId="0" borderId="0" xfId="1" applyFont="1"/>
    <xf numFmtId="0" fontId="12" fillId="2" borderId="1" xfId="1" applyFont="1" applyFill="1" applyBorder="1" applyAlignment="1" applyProtection="1">
      <alignment vertical="top"/>
      <protection locked="0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7" fillId="0" borderId="0" xfId="1" applyFont="1" applyProtection="1">
      <protection hidden="1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2" xfId="1" applyFont="1" applyBorder="1" applyProtection="1">
      <protection hidden="1"/>
    </xf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7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6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9" fontId="8" fillId="0" borderId="19" xfId="8" applyFont="1" applyFill="1" applyBorder="1" applyAlignment="1" applyProtection="1">
      <alignment horizontal="center" vertical="top" wrapText="1"/>
      <protection locked="0"/>
    </xf>
    <xf numFmtId="1" fontId="7" fillId="0" borderId="0" xfId="1" applyNumberFormat="1" applyFont="1" applyAlignment="1">
      <alignment horizontal="center" vertical="center"/>
    </xf>
    <xf numFmtId="14" fontId="7" fillId="0" borderId="0" xfId="1" applyNumberFormat="1" applyFont="1"/>
    <xf numFmtId="1" fontId="7" fillId="0" borderId="0" xfId="1" applyNumberFormat="1" applyFont="1"/>
    <xf numFmtId="0" fontId="7" fillId="0" borderId="11" xfId="1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10" fillId="2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0" fillId="0" borderId="0" xfId="0" applyFont="1" applyAlignment="1">
      <alignment horizontal="center" vertical="center"/>
    </xf>
    <xf numFmtId="0" fontId="12" fillId="0" borderId="0" xfId="1" applyFont="1" applyProtection="1">
      <protection hidden="1"/>
    </xf>
    <xf numFmtId="0" fontId="12" fillId="0" borderId="13" xfId="1" applyFont="1" applyBorder="1" applyProtection="1">
      <protection hidden="1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4" fillId="0" borderId="0" xfId="0" applyFont="1" applyProtection="1">
      <protection hidden="1"/>
    </xf>
    <xf numFmtId="0" fontId="12" fillId="0" borderId="13" xfId="1" applyFont="1" applyBorder="1"/>
    <xf numFmtId="0" fontId="12" fillId="0" borderId="1" xfId="1" applyFont="1" applyBorder="1" applyAlignment="1" applyProtection="1">
      <alignment horizontal="center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13" xfId="0" applyFont="1" applyBorder="1" applyProtection="1">
      <protection hidden="1"/>
    </xf>
    <xf numFmtId="1" fontId="12" fillId="0" borderId="1" xfId="1" applyNumberFormat="1" applyFont="1" applyBorder="1" applyAlignment="1" applyProtection="1">
      <alignment horizontal="center" wrapText="1"/>
      <protection locked="0"/>
    </xf>
    <xf numFmtId="1" fontId="21" fillId="0" borderId="13" xfId="0" applyNumberFormat="1" applyFont="1" applyBorder="1"/>
    <xf numFmtId="1" fontId="21" fillId="0" borderId="13" xfId="0" applyNumberFormat="1" applyFont="1" applyBorder="1" applyAlignment="1">
      <alignment horizontal="right"/>
    </xf>
    <xf numFmtId="0" fontId="12" fillId="0" borderId="7" xfId="1" applyFont="1" applyBorder="1" applyAlignment="1" applyProtection="1">
      <alignment horizontal="center" wrapText="1"/>
      <protection locked="0"/>
    </xf>
    <xf numFmtId="9" fontId="12" fillId="2" borderId="7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14" xfId="0" applyFont="1" applyBorder="1" applyProtection="1">
      <protection hidden="1"/>
    </xf>
    <xf numFmtId="1" fontId="21" fillId="0" borderId="15" xfId="0" applyNumberFormat="1" applyFont="1" applyBorder="1"/>
    <xf numFmtId="0" fontId="12" fillId="0" borderId="11" xfId="1" applyFont="1" applyBorder="1" applyProtection="1">
      <protection hidden="1"/>
    </xf>
    <xf numFmtId="0" fontId="12" fillId="0" borderId="12" xfId="1" applyFont="1" applyBorder="1" applyProtection="1">
      <protection hidden="1"/>
    </xf>
    <xf numFmtId="1" fontId="13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/>
    </xf>
    <xf numFmtId="0" fontId="12" fillId="2" borderId="1" xfId="1" applyFont="1" applyFill="1" applyBorder="1" applyAlignment="1" applyProtection="1">
      <alignment horizontal="left" vertical="top"/>
      <protection locked="0"/>
    </xf>
    <xf numFmtId="1" fontId="7" fillId="0" borderId="0" xfId="1" applyNumberFormat="1" applyFont="1" applyAlignment="1">
      <alignment horizontal="left" vertical="center"/>
    </xf>
    <xf numFmtId="0" fontId="7" fillId="3" borderId="0" xfId="1" applyFont="1" applyFill="1"/>
    <xf numFmtId="14" fontId="7" fillId="3" borderId="0" xfId="1" applyNumberFormat="1" applyFont="1" applyFill="1"/>
    <xf numFmtId="0" fontId="12" fillId="0" borderId="3" xfId="1" applyFont="1" applyBorder="1" applyAlignment="1" applyProtection="1">
      <alignment horizontal="center" wrapText="1"/>
      <protection locked="0"/>
    </xf>
    <xf numFmtId="9" fontId="12" fillId="2" borderId="3" xfId="1" applyNumberFormat="1" applyFont="1" applyFill="1" applyBorder="1" applyAlignment="1" applyProtection="1">
      <alignment horizontal="center" vertical="center" wrapText="1"/>
      <protection hidden="1"/>
    </xf>
    <xf numFmtId="9" fontId="13" fillId="2" borderId="1" xfId="1" applyNumberFormat="1" applyFont="1" applyFill="1" applyBorder="1" applyAlignment="1" applyProtection="1">
      <alignment horizontal="center" vertical="center" wrapText="1"/>
      <protection hidden="1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0" fontId="15" fillId="4" borderId="0" xfId="1" applyFont="1" applyFill="1"/>
    <xf numFmtId="14" fontId="15" fillId="4" borderId="0" xfId="1" applyNumberFormat="1" applyFont="1" applyFill="1"/>
    <xf numFmtId="0" fontId="15" fillId="5" borderId="0" xfId="1" applyFont="1" applyFill="1"/>
    <xf numFmtId="14" fontId="15" fillId="5" borderId="0" xfId="1" applyNumberFormat="1" applyFont="1" applyFill="1"/>
    <xf numFmtId="0" fontId="22" fillId="0" borderId="0" xfId="9"/>
    <xf numFmtId="0" fontId="23" fillId="0" borderId="0" xfId="1" applyFont="1" applyAlignment="1" applyProtection="1">
      <alignment vertical="top"/>
      <protection locked="0"/>
    </xf>
    <xf numFmtId="0" fontId="23" fillId="0" borderId="0" xfId="1" applyFont="1"/>
    <xf numFmtId="0" fontId="24" fillId="0" borderId="0" xfId="1" applyFont="1"/>
    <xf numFmtId="1" fontId="23" fillId="0" borderId="0" xfId="1" applyNumberFormat="1" applyFont="1" applyAlignment="1">
      <alignment horizontal="left" vertical="center"/>
    </xf>
    <xf numFmtId="0" fontId="23" fillId="0" borderId="0" xfId="1" applyFont="1" applyAlignment="1">
      <alignment horizontal="left" vertical="center"/>
    </xf>
    <xf numFmtId="1" fontId="13" fillId="6" borderId="1" xfId="0" applyNumberFormat="1" applyFont="1" applyFill="1" applyBorder="1" applyAlignment="1" applyProtection="1">
      <alignment horizontal="center" vertical="center" wrapText="1"/>
      <protection locked="0"/>
    </xf>
    <xf numFmtId="9" fontId="12" fillId="0" borderId="1" xfId="1" applyNumberFormat="1" applyFont="1" applyBorder="1" applyAlignment="1" applyProtection="1">
      <alignment horizontal="center" vertical="center" wrapText="1"/>
      <protection hidden="1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9" fontId="8" fillId="0" borderId="1" xfId="8" applyFont="1" applyFill="1" applyBorder="1" applyAlignment="1" applyProtection="1">
      <alignment horizontal="center" vertical="top" wrapText="1"/>
      <protection locked="0"/>
    </xf>
    <xf numFmtId="1" fontId="25" fillId="0" borderId="0" xfId="1" applyNumberFormat="1" applyFont="1" applyAlignment="1">
      <alignment horizontal="center" vertical="center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wrapText="1"/>
      <protection locked="0"/>
    </xf>
    <xf numFmtId="1" fontId="7" fillId="0" borderId="1" xfId="1" applyNumberFormat="1" applyFont="1" applyBorder="1" applyAlignment="1" applyProtection="1">
      <alignment horizontal="center" wrapText="1"/>
      <protection locked="0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9" fontId="25" fillId="0" borderId="19" xfId="8" applyFont="1" applyFill="1" applyBorder="1" applyAlignment="1" applyProtection="1">
      <alignment horizontal="center" vertical="top" wrapText="1"/>
      <protection locked="0"/>
    </xf>
    <xf numFmtId="1" fontId="25" fillId="0" borderId="3" xfId="1" applyNumberFormat="1" applyFont="1" applyBorder="1" applyAlignment="1" applyProtection="1">
      <alignment horizontal="center" vertical="top"/>
      <protection locked="0"/>
    </xf>
    <xf numFmtId="2" fontId="10" fillId="0" borderId="0" xfId="1" applyNumberFormat="1" applyFont="1" applyAlignment="1">
      <alignment horizontal="center" vertical="center"/>
    </xf>
    <xf numFmtId="0" fontId="12" fillId="0" borderId="19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13" fillId="0" borderId="24" xfId="0" applyNumberFormat="1" applyFont="1" applyBorder="1" applyAlignment="1" applyProtection="1">
      <alignment vertical="top" wrapText="1"/>
      <protection locked="0"/>
    </xf>
    <xf numFmtId="1" fontId="13" fillId="0" borderId="10" xfId="0" applyNumberFormat="1" applyFont="1" applyBorder="1" applyAlignment="1" applyProtection="1">
      <alignment vertical="top" wrapText="1"/>
      <protection locked="0"/>
    </xf>
    <xf numFmtId="0" fontId="15" fillId="4" borderId="28" xfId="1" applyFont="1" applyFill="1" applyBorder="1" applyAlignment="1">
      <alignment horizontal="left" vertical="top" wrapText="1"/>
    </xf>
    <xf numFmtId="0" fontId="15" fillId="4" borderId="0" xfId="1" applyFont="1" applyFill="1" applyAlignment="1">
      <alignment horizontal="left" vertical="top" wrapText="1"/>
    </xf>
    <xf numFmtId="0" fontId="23" fillId="3" borderId="0" xfId="1" applyFont="1" applyFill="1" applyAlignment="1">
      <alignment horizontal="center" vertical="center" wrapText="1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24" xfId="1" applyNumberFormat="1" applyFont="1" applyBorder="1" applyAlignment="1" applyProtection="1">
      <alignment horizontal="center" vertical="center" wrapText="1"/>
      <protection locked="0"/>
    </xf>
    <xf numFmtId="1" fontId="8" fillId="0" borderId="10" xfId="1" applyNumberFormat="1" applyFont="1" applyBorder="1" applyAlignment="1" applyProtection="1">
      <alignment horizontal="center" vertical="center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6" fillId="0" borderId="10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8" fillId="0" borderId="24" xfId="1" applyFont="1" applyBorder="1" applyAlignment="1" applyProtection="1">
      <alignment horizontal="left" vertical="top"/>
      <protection locked="0"/>
    </xf>
    <xf numFmtId="0" fontId="8" fillId="0" borderId="10" xfId="1" applyFont="1" applyBorder="1" applyAlignment="1" applyProtection="1">
      <alignment horizontal="left" vertical="top"/>
      <protection locked="0"/>
    </xf>
    <xf numFmtId="2" fontId="7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9" xfId="1" applyFont="1" applyBorder="1" applyAlignment="1" applyProtection="1">
      <alignment horizontal="left" vertical="top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167" fontId="12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1" fontId="10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28" xfId="1" applyNumberFormat="1" applyFont="1" applyBorder="1" applyAlignment="1" applyProtection="1">
      <alignment horizontal="center" vertical="center" wrapText="1"/>
      <protection locked="0"/>
    </xf>
    <xf numFmtId="1" fontId="6" fillId="0" borderId="29" xfId="1" applyNumberFormat="1" applyFont="1" applyBorder="1" applyAlignment="1" applyProtection="1">
      <alignment horizontal="center" vertical="center" wrapText="1"/>
      <protection locked="0"/>
    </xf>
    <xf numFmtId="1" fontId="8" fillId="8" borderId="9" xfId="1" applyNumberFormat="1" applyFont="1" applyFill="1" applyBorder="1" applyAlignment="1" applyProtection="1">
      <alignment horizontal="center" vertical="center" wrapText="1"/>
      <protection locked="0"/>
    </xf>
    <xf numFmtId="1" fontId="8" fillId="8" borderId="24" xfId="1" applyNumberFormat="1" applyFont="1" applyFill="1" applyBorder="1" applyAlignment="1" applyProtection="1">
      <alignment horizontal="center" vertical="center" wrapText="1"/>
      <protection locked="0"/>
    </xf>
    <xf numFmtId="1" fontId="8" fillId="8" borderId="10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10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8" fillId="7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8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6" fillId="0" borderId="3" xfId="0" applyNumberFormat="1" applyFont="1" applyBorder="1" applyAlignment="1" applyProtection="1">
      <alignment horizontal="center" vertical="center" wrapText="1"/>
      <protection locked="0"/>
    </xf>
    <xf numFmtId="1" fontId="6" fillId="0" borderId="19" xfId="0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25" xfId="1" applyFont="1" applyBorder="1" applyAlignment="1" applyProtection="1">
      <alignment horizontal="left" vertical="top" wrapText="1"/>
      <protection locked="0"/>
    </xf>
    <xf numFmtId="0" fontId="13" fillId="0" borderId="18" xfId="1" applyFont="1" applyBorder="1" applyAlignment="1" applyProtection="1">
      <alignment horizontal="left" vertical="top" wrapText="1"/>
      <protection locked="0"/>
    </xf>
    <xf numFmtId="0" fontId="13" fillId="0" borderId="16" xfId="1" applyFont="1" applyBorder="1" applyAlignment="1" applyProtection="1">
      <alignment horizontal="left" vertical="top" wrapText="1"/>
      <protection locked="0"/>
    </xf>
    <xf numFmtId="0" fontId="13" fillId="0" borderId="17" xfId="1" applyFont="1" applyBorder="1" applyAlignment="1" applyProtection="1">
      <alignment horizontal="left" vertical="top" wrapText="1"/>
      <protection locked="0"/>
    </xf>
    <xf numFmtId="0" fontId="13" fillId="0" borderId="26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9" fontId="12" fillId="2" borderId="3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1" applyFont="1" applyAlignment="1">
      <alignment horizontal="center" vertical="center"/>
    </xf>
    <xf numFmtId="1" fontId="10" fillId="8" borderId="9" xfId="1" applyNumberFormat="1" applyFont="1" applyFill="1" applyBorder="1" applyAlignment="1" applyProtection="1">
      <alignment horizontal="center" vertical="center" wrapText="1"/>
      <protection locked="0"/>
    </xf>
    <xf numFmtId="1" fontId="10" fillId="8" borderId="24" xfId="1" applyNumberFormat="1" applyFont="1" applyFill="1" applyBorder="1" applyAlignment="1" applyProtection="1">
      <alignment horizontal="center" vertical="center" wrapText="1"/>
      <protection locked="0"/>
    </xf>
    <xf numFmtId="1" fontId="10" fillId="8" borderId="10" xfId="1" applyNumberFormat="1" applyFont="1" applyFill="1" applyBorder="1" applyAlignment="1" applyProtection="1">
      <alignment horizontal="center" vertical="center" wrapText="1"/>
      <protection locked="0"/>
    </xf>
    <xf numFmtId="1" fontId="10" fillId="0" borderId="9" xfId="1" applyNumberFormat="1" applyFont="1" applyBorder="1" applyAlignment="1" applyProtection="1">
      <alignment horizontal="center" vertical="center" wrapText="1"/>
      <protection locked="0"/>
    </xf>
    <xf numFmtId="1" fontId="10" fillId="0" borderId="24" xfId="1" applyNumberFormat="1" applyFont="1" applyBorder="1" applyAlignment="1" applyProtection="1">
      <alignment horizontal="center" vertical="center" wrapText="1"/>
      <protection locked="0"/>
    </xf>
    <xf numFmtId="1" fontId="10" fillId="0" borderId="10" xfId="1" applyNumberFormat="1" applyFont="1" applyBorder="1" applyAlignment="1" applyProtection="1">
      <alignment horizontal="center" vertical="center" wrapText="1"/>
      <protection locked="0"/>
    </xf>
    <xf numFmtId="9" fontId="12" fillId="2" borderId="7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5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8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1" fontId="13" fillId="8" borderId="9" xfId="1" applyNumberFormat="1" applyFont="1" applyFill="1" applyBorder="1" applyAlignment="1" applyProtection="1">
      <alignment horizontal="center" vertical="center" wrapText="1"/>
      <protection locked="0"/>
    </xf>
    <xf numFmtId="1" fontId="13" fillId="8" borderId="24" xfId="1" applyNumberFormat="1" applyFont="1" applyFill="1" applyBorder="1" applyAlignment="1" applyProtection="1">
      <alignment horizontal="center" vertical="center" wrapText="1"/>
      <protection locked="0"/>
    </xf>
    <xf numFmtId="1" fontId="13" fillId="8" borderId="10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7" xfId="1" applyNumberFormat="1" applyFont="1" applyBorder="1" applyAlignment="1" applyProtection="1">
      <alignment horizontal="center" vertical="center" wrapText="1"/>
      <protection locked="0"/>
    </xf>
    <xf numFmtId="1" fontId="6" fillId="0" borderId="2" xfId="1" applyNumberFormat="1" applyFont="1" applyBorder="1" applyAlignment="1" applyProtection="1">
      <alignment horizontal="center" vertical="center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8" fillId="0" borderId="24" xfId="0" applyNumberFormat="1" applyFont="1" applyBorder="1" applyAlignment="1" applyProtection="1">
      <alignment vertical="top" wrapText="1"/>
      <protection locked="0"/>
    </xf>
    <xf numFmtId="1" fontId="8" fillId="0" borderId="10" xfId="0" applyNumberFormat="1" applyFont="1" applyBorder="1" applyAlignment="1" applyProtection="1">
      <alignment vertical="top" wrapText="1"/>
      <protection locked="0"/>
    </xf>
    <xf numFmtId="1" fontId="10" fillId="0" borderId="9" xfId="0" applyNumberFormat="1" applyFont="1" applyBorder="1" applyAlignment="1" applyProtection="1">
      <alignment vertical="top" wrapText="1"/>
      <protection locked="0"/>
    </xf>
    <xf numFmtId="1" fontId="10" fillId="0" borderId="24" xfId="0" applyNumberFormat="1" applyFont="1" applyBorder="1" applyAlignment="1" applyProtection="1">
      <alignment vertical="top" wrapText="1"/>
      <protection locked="0"/>
    </xf>
    <xf numFmtId="1" fontId="10" fillId="0" borderId="10" xfId="0" applyNumberFormat="1" applyFont="1" applyBorder="1" applyAlignment="1" applyProtection="1">
      <alignment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3" fontId="12" fillId="2" borderId="1" xfId="1" applyNumberFormat="1" applyFont="1" applyFill="1" applyBorder="1" applyAlignment="1" applyProtection="1">
      <alignment horizontal="left" vertical="top"/>
      <protection locked="0"/>
    </xf>
    <xf numFmtId="2" fontId="12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22" fillId="0" borderId="1" xfId="9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3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0" fontId="12" fillId="2" borderId="1" xfId="1" applyFont="1" applyFill="1" applyBorder="1" applyAlignment="1" applyProtection="1">
      <alignment horizontal="left" vertical="top" wrapText="1"/>
      <protection locked="0"/>
    </xf>
    <xf numFmtId="167" fontId="7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67" fontId="6" fillId="0" borderId="1" xfId="1" applyNumberFormat="1" applyFont="1" applyBorder="1" applyAlignment="1" applyProtection="1">
      <alignment horizontal="left" vertical="top"/>
      <protection locked="0"/>
    </xf>
    <xf numFmtId="9" fontId="13" fillId="0" borderId="9" xfId="1" applyNumberFormat="1" applyFont="1" applyBorder="1" applyAlignment="1" applyProtection="1">
      <alignment horizontal="center" vertical="center" wrapText="1"/>
      <protection locked="0"/>
    </xf>
    <xf numFmtId="0" fontId="13" fillId="0" borderId="10" xfId="1" applyFont="1" applyBorder="1" applyAlignment="1" applyProtection="1">
      <alignment horizontal="center" vertical="center" wrapText="1"/>
      <protection locked="0"/>
    </xf>
    <xf numFmtId="164" fontId="12" fillId="0" borderId="1" xfId="1" applyNumberFormat="1" applyFont="1" applyBorder="1" applyAlignment="1" applyProtection="1">
      <alignment horizontal="left" vertical="top"/>
      <protection locked="0"/>
    </xf>
    <xf numFmtId="0" fontId="8" fillId="8" borderId="1" xfId="1" applyFont="1" applyFill="1" applyBorder="1" applyAlignment="1" applyProtection="1">
      <alignment horizontal="center" vertical="top"/>
      <protection locked="0"/>
    </xf>
    <xf numFmtId="14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center"/>
      <protection locked="0"/>
    </xf>
    <xf numFmtId="0" fontId="13" fillId="0" borderId="9" xfId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4" fillId="0" borderId="1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9" fontId="12" fillId="2" borderId="31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3" fontId="12" fillId="2" borderId="1" xfId="1" applyNumberFormat="1" applyFont="1" applyFill="1" applyBorder="1" applyAlignment="1" applyProtection="1">
      <alignment horizontal="left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0" fillId="0" borderId="1" xfId="1" applyFont="1" applyBorder="1" applyAlignment="1" applyProtection="1">
      <alignment horizontal="left" vertical="top" wrapText="1"/>
      <protection locked="0"/>
    </xf>
    <xf numFmtId="0" fontId="12" fillId="2" borderId="1" xfId="1" applyFont="1" applyFill="1" applyBorder="1" applyAlignment="1" applyProtection="1">
      <alignment horizontal="left"/>
      <protection locked="0"/>
    </xf>
    <xf numFmtId="0" fontId="10" fillId="2" borderId="1" xfId="1" applyFont="1" applyFill="1" applyBorder="1" applyAlignment="1" applyProtection="1">
      <alignment horizontal="left" vertical="top" wrapText="1"/>
      <protection locked="0"/>
    </xf>
    <xf numFmtId="0" fontId="10" fillId="2" borderId="1" xfId="1" applyFont="1" applyFill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center"/>
      <protection locked="0"/>
    </xf>
    <xf numFmtId="167" fontId="10" fillId="0" borderId="1" xfId="1" applyNumberFormat="1" applyFont="1" applyBorder="1" applyAlignment="1" applyProtection="1">
      <alignment horizontal="left" vertical="top" wrapText="1"/>
      <protection locked="0"/>
    </xf>
    <xf numFmtId="0" fontId="12" fillId="2" borderId="9" xfId="1" applyFont="1" applyFill="1" applyBorder="1" applyAlignment="1" applyProtection="1">
      <alignment horizontal="left" vertical="top" wrapText="1"/>
      <protection locked="0"/>
    </xf>
    <xf numFmtId="0" fontId="12" fillId="2" borderId="24" xfId="1" applyFont="1" applyFill="1" applyBorder="1" applyAlignment="1" applyProtection="1">
      <alignment horizontal="left" vertical="top" wrapText="1"/>
      <protection locked="0"/>
    </xf>
    <xf numFmtId="0" fontId="12" fillId="2" borderId="10" xfId="1" applyFont="1" applyFill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2" fillId="0" borderId="27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center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2" xfId="1" applyFont="1" applyBorder="1" applyAlignment="1" applyProtection="1">
      <alignment horizontal="left" vertical="top" wrapText="1"/>
      <protection locked="0"/>
    </xf>
    <xf numFmtId="0" fontId="13" fillId="0" borderId="33" xfId="1" applyFont="1" applyBorder="1" applyAlignment="1" applyProtection="1">
      <alignment horizontal="left" vertical="top" wrapText="1"/>
      <protection locked="0"/>
    </xf>
    <xf numFmtId="0" fontId="13" fillId="0" borderId="32" xfId="1" applyFont="1" applyBorder="1" applyAlignment="1" applyProtection="1">
      <alignment horizontal="left" vertical="top" wrapText="1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9" fontId="13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2" fillId="0" borderId="1" xfId="1" applyNumberFormat="1" applyFont="1" applyBorder="1" applyAlignment="1" applyProtection="1">
      <alignment horizontal="center" vertical="center" wrapText="1"/>
      <protection hidden="1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8" fillId="0" borderId="21" xfId="1" applyNumberFormat="1" applyFont="1" applyBorder="1" applyAlignment="1" applyProtection="1">
      <alignment horizontal="center" vertical="top" wrapText="1"/>
      <protection locked="0"/>
    </xf>
    <xf numFmtId="1" fontId="8" fillId="0" borderId="22" xfId="1" applyNumberFormat="1" applyFont="1" applyBorder="1" applyAlignment="1" applyProtection="1">
      <alignment horizontal="center" vertical="top" wrapText="1"/>
      <protection locked="0"/>
    </xf>
    <xf numFmtId="1" fontId="8" fillId="0" borderId="23" xfId="1" applyNumberFormat="1" applyFont="1" applyBorder="1" applyAlignment="1" applyProtection="1">
      <alignment horizontal="center" vertical="top" wrapText="1"/>
      <protection locked="0"/>
    </xf>
    <xf numFmtId="1" fontId="13" fillId="6" borderId="9" xfId="0" applyNumberFormat="1" applyFont="1" applyFill="1" applyBorder="1" applyAlignment="1" applyProtection="1">
      <alignment vertical="top" wrapText="1"/>
      <protection locked="0"/>
    </xf>
    <xf numFmtId="1" fontId="13" fillId="6" borderId="24" xfId="0" applyNumberFormat="1" applyFont="1" applyFill="1" applyBorder="1" applyAlignment="1" applyProtection="1">
      <alignment vertical="top" wrapText="1"/>
      <protection locked="0"/>
    </xf>
    <xf numFmtId="1" fontId="13" fillId="6" borderId="10" xfId="0" applyNumberFormat="1" applyFont="1" applyFill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horizontal="center" vertical="center" wrapText="1"/>
      <protection locked="0"/>
    </xf>
    <xf numFmtId="1" fontId="8" fillId="0" borderId="10" xfId="0" applyNumberFormat="1" applyFont="1" applyBorder="1" applyAlignment="1" applyProtection="1">
      <alignment horizontal="center" vertical="center" wrapText="1"/>
      <protection locked="0"/>
    </xf>
    <xf numFmtId="1" fontId="10" fillId="0" borderId="9" xfId="0" applyNumberFormat="1" applyFont="1" applyBorder="1" applyAlignment="1" applyProtection="1">
      <alignment horizontal="center" vertical="center"/>
      <protection locked="0"/>
    </xf>
    <xf numFmtId="1" fontId="10" fillId="0" borderId="10" xfId="0" applyNumberFormat="1" applyFont="1" applyBorder="1" applyAlignment="1" applyProtection="1">
      <alignment horizontal="center" vertical="center"/>
      <protection locked="0"/>
    </xf>
    <xf numFmtId="0" fontId="12" fillId="0" borderId="28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29" xfId="1" applyFont="1" applyBorder="1" applyAlignment="1" applyProtection="1">
      <alignment horizontal="left" vertical="top" wrapText="1"/>
      <protection locked="0"/>
    </xf>
    <xf numFmtId="0" fontId="12" fillId="0" borderId="2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3" fillId="0" borderId="9" xfId="1" applyFont="1" applyBorder="1" applyAlignment="1" applyProtection="1">
      <alignment horizontal="left" vertical="top" wrapText="1"/>
      <protection locked="0"/>
    </xf>
    <xf numFmtId="0" fontId="10" fillId="0" borderId="9" xfId="1" applyFont="1" applyBorder="1" applyAlignment="1" applyProtection="1">
      <alignment horizontal="left" vertical="top" wrapText="1"/>
      <protection locked="0"/>
    </xf>
    <xf numFmtId="0" fontId="10" fillId="0" borderId="24" xfId="1" applyFont="1" applyBorder="1" applyAlignment="1" applyProtection="1">
      <alignment horizontal="left" vertical="top" wrapText="1"/>
      <protection locked="0"/>
    </xf>
    <xf numFmtId="0" fontId="10" fillId="0" borderId="10" xfId="1" applyFont="1" applyBorder="1" applyAlignment="1" applyProtection="1">
      <alignment horizontal="left" vertical="top" wrapText="1"/>
      <protection locked="0"/>
    </xf>
    <xf numFmtId="0" fontId="12" fillId="0" borderId="30" xfId="1" applyFont="1" applyBorder="1" applyAlignment="1" applyProtection="1">
      <alignment horizontal="center" vertical="top" wrapText="1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center" wrapText="1"/>
      <protection locked="0"/>
    </xf>
    <xf numFmtId="1" fontId="13" fillId="0" borderId="1" xfId="1" applyNumberFormat="1" applyFont="1" applyBorder="1" applyAlignment="1" applyProtection="1">
      <alignment horizontal="center" vertical="center" wrapText="1"/>
      <protection locked="0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9" xfId="0" applyNumberFormat="1" applyFont="1" applyBorder="1" applyAlignment="1" applyProtection="1">
      <alignment horizontal="center" vertical="center"/>
      <protection locked="0"/>
    </xf>
    <xf numFmtId="1" fontId="7" fillId="0" borderId="10" xfId="0" applyNumberFormat="1" applyFont="1" applyBorder="1" applyAlignment="1" applyProtection="1">
      <alignment horizontal="center" vertical="center"/>
      <protection locked="0"/>
    </xf>
    <xf numFmtId="1" fontId="7" fillId="0" borderId="9" xfId="0" applyNumberFormat="1" applyFont="1" applyBorder="1" applyAlignment="1" applyProtection="1">
      <alignment horizontal="center" vertical="top" wrapText="1"/>
      <protection locked="0"/>
    </xf>
    <xf numFmtId="1" fontId="7" fillId="0" borderId="10" xfId="0" applyNumberFormat="1" applyFont="1" applyBorder="1" applyAlignment="1" applyProtection="1">
      <alignment horizontal="center" vertical="top" wrapText="1"/>
      <protection locked="0"/>
    </xf>
    <xf numFmtId="1" fontId="12" fillId="0" borderId="20" xfId="1" applyNumberFormat="1" applyFont="1" applyBorder="1" applyAlignment="1" applyProtection="1">
      <alignment horizontal="center" vertical="center" wrapText="1"/>
      <protection locked="0"/>
    </xf>
    <xf numFmtId="1" fontId="12" fillId="0" borderId="21" xfId="1" applyNumberFormat="1" applyFont="1" applyBorder="1" applyAlignment="1" applyProtection="1">
      <alignment horizontal="center" vertical="center" wrapText="1"/>
      <protection locked="0"/>
    </xf>
    <xf numFmtId="1" fontId="12" fillId="0" borderId="28" xfId="1" applyNumberFormat="1" applyFont="1" applyBorder="1" applyAlignment="1" applyProtection="1">
      <alignment horizontal="center" vertical="center" wrapText="1"/>
      <protection locked="0"/>
    </xf>
    <xf numFmtId="1" fontId="12" fillId="0" borderId="29" xfId="1" applyNumberFormat="1" applyFont="1" applyBorder="1" applyAlignment="1" applyProtection="1">
      <alignment horizontal="center" vertical="center" wrapText="1"/>
      <protection locked="0"/>
    </xf>
    <xf numFmtId="1" fontId="12" fillId="0" borderId="22" xfId="1" applyNumberFormat="1" applyFont="1" applyBorder="1" applyAlignment="1" applyProtection="1">
      <alignment horizontal="center" vertical="center" wrapText="1"/>
      <protection locked="0"/>
    </xf>
    <xf numFmtId="1" fontId="12" fillId="0" borderId="23" xfId="1" applyNumberFormat="1" applyFont="1" applyBorder="1" applyAlignment="1" applyProtection="1">
      <alignment horizontal="center" vertical="center" wrapText="1"/>
      <protection locked="0"/>
    </xf>
    <xf numFmtId="0" fontId="25" fillId="3" borderId="0" xfId="1" applyFont="1" applyFill="1" applyAlignment="1">
      <alignment horizontal="center" vertical="center" wrapText="1"/>
    </xf>
    <xf numFmtId="0" fontId="0" fillId="3" borderId="1" xfId="0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1" xfId="5" applyFont="1" applyBorder="1" applyAlignment="1">
      <alignment horizontal="left"/>
    </xf>
  </cellXfs>
  <cellStyles count="10">
    <cellStyle name="Comma 2" xfId="6" xr:uid="{00000000-0005-0000-0000-000000000000}"/>
    <cellStyle name="Excel Built-in Normal" xfId="2" xr:uid="{00000000-0005-0000-0000-000001000000}"/>
    <cellStyle name="Excel Built-in Normal 2" xfId="4" xr:uid="{00000000-0005-0000-0000-000002000000}"/>
    <cellStyle name="Hyperlink" xfId="9" builtinId="8"/>
    <cellStyle name="Normal" xfId="0" builtinId="0"/>
    <cellStyle name="Normal 2" xfId="3" xr:uid="{00000000-0005-0000-0000-000005000000}"/>
    <cellStyle name="Normal 3" xfId="1" xr:uid="{00000000-0005-0000-0000-000006000000}"/>
    <cellStyle name="Normal 3 3" xfId="7" xr:uid="{00000000-0005-0000-0000-000007000000}"/>
    <cellStyle name="Normal 4" xfId="5" xr:uid="{00000000-0005-0000-0000-000008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9.png"/><Relationship Id="rId1" Type="http://schemas.openxmlformats.org/officeDocument/2006/relationships/image" Target="../media/image28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70042</xdr:colOff>
      <xdr:row>733</xdr:row>
      <xdr:rowOff>160466</xdr:rowOff>
    </xdr:from>
    <xdr:to>
      <xdr:col>7</xdr:col>
      <xdr:colOff>4642</xdr:colOff>
      <xdr:row>749</xdr:row>
      <xdr:rowOff>187648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32042" y="100643613"/>
          <a:ext cx="5044482" cy="3254477"/>
        </a:xfrm>
        <a:prstGeom prst="rect">
          <a:avLst/>
        </a:prstGeom>
        <a:ln w="9525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19050</xdr:colOff>
      <xdr:row>698</xdr:row>
      <xdr:rowOff>38100</xdr:rowOff>
    </xdr:from>
    <xdr:to>
      <xdr:col>7</xdr:col>
      <xdr:colOff>313650</xdr:colOff>
      <xdr:row>729</xdr:row>
      <xdr:rowOff>19050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1584" b="-138"/>
        <a:stretch/>
      </xdr:blipFill>
      <xdr:spPr>
        <a:xfrm>
          <a:off x="781050" y="92763975"/>
          <a:ext cx="5400000" cy="6181724"/>
        </a:xfrm>
        <a:prstGeom prst="rect">
          <a:avLst/>
        </a:prstGeom>
        <a:ln w="9525">
          <a:solidFill>
            <a:schemeClr val="tx1"/>
          </a:solidFill>
        </a:ln>
      </xdr:spPr>
    </xdr:pic>
    <xdr:clientData/>
  </xdr:twoCellAnchor>
  <xdr:twoCellAnchor>
    <xdr:from>
      <xdr:col>2</xdr:col>
      <xdr:colOff>486390</xdr:colOff>
      <xdr:row>702</xdr:row>
      <xdr:rowOff>157162</xdr:rowOff>
    </xdr:from>
    <xdr:to>
      <xdr:col>3</xdr:col>
      <xdr:colOff>301605</xdr:colOff>
      <xdr:row>709</xdr:row>
      <xdr:rowOff>136207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 rot="381067">
          <a:off x="2048490" y="93683137"/>
          <a:ext cx="662940" cy="1379220"/>
        </a:xfrm>
        <a:prstGeom prst="rect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>
    <xdr:from>
      <xdr:col>2</xdr:col>
      <xdr:colOff>412138</xdr:colOff>
      <xdr:row>709</xdr:row>
      <xdr:rowOff>135968</xdr:rowOff>
    </xdr:from>
    <xdr:to>
      <xdr:col>3</xdr:col>
      <xdr:colOff>263505</xdr:colOff>
      <xdr:row>715</xdr:row>
      <xdr:rowOff>193357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1974238" y="95062118"/>
          <a:ext cx="699092" cy="1257539"/>
        </a:xfrm>
        <a:prstGeom prst="rect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>
    <xdr:from>
      <xdr:col>2</xdr:col>
      <xdr:colOff>630525</xdr:colOff>
      <xdr:row>715</xdr:row>
      <xdr:rowOff>180200</xdr:rowOff>
    </xdr:from>
    <xdr:to>
      <xdr:col>3</xdr:col>
      <xdr:colOff>521036</xdr:colOff>
      <xdr:row>722</xdr:row>
      <xdr:rowOff>37487</xdr:rowOff>
    </xdr:to>
    <xdr:sp macro="" textlink="">
      <xdr:nvSpPr>
        <xdr:cNvPr id="42" name="Rectangl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 rot="20920903">
          <a:off x="2192625" y="96306500"/>
          <a:ext cx="738236" cy="1257462"/>
        </a:xfrm>
        <a:prstGeom prst="rect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>
    <xdr:from>
      <xdr:col>4</xdr:col>
      <xdr:colOff>340316</xdr:colOff>
      <xdr:row>713</xdr:row>
      <xdr:rowOff>129530</xdr:rowOff>
    </xdr:from>
    <xdr:to>
      <xdr:col>5</xdr:col>
      <xdr:colOff>319584</xdr:colOff>
      <xdr:row>720</xdr:row>
      <xdr:rowOff>5980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 rot="19356262">
          <a:off x="3693116" y="95855780"/>
          <a:ext cx="941293" cy="1276625"/>
        </a:xfrm>
        <a:prstGeom prst="rect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>
    <xdr:from>
      <xdr:col>3</xdr:col>
      <xdr:colOff>590164</xdr:colOff>
      <xdr:row>700</xdr:row>
      <xdr:rowOff>162237</xdr:rowOff>
    </xdr:from>
    <xdr:to>
      <xdr:col>4</xdr:col>
      <xdr:colOff>795044</xdr:colOff>
      <xdr:row>708</xdr:row>
      <xdr:rowOff>159511</xdr:rowOff>
    </xdr:to>
    <xdr:sp macro="" textlink="">
      <xdr:nvSpPr>
        <xdr:cNvPr id="44" name="L-Shap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 rot="14521549" flipH="1">
          <a:off x="2775180" y="93512971"/>
          <a:ext cx="1597474" cy="1147855"/>
        </a:xfrm>
        <a:prstGeom prst="corner">
          <a:avLst/>
        </a:prstGeom>
        <a:noFill/>
        <a:ln>
          <a:solidFill>
            <a:srgbClr val="CC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>
    <xdr:from>
      <xdr:col>2</xdr:col>
      <xdr:colOff>204994</xdr:colOff>
      <xdr:row>702</xdr:row>
      <xdr:rowOff>140852</xdr:rowOff>
    </xdr:from>
    <xdr:to>
      <xdr:col>2</xdr:col>
      <xdr:colOff>481993</xdr:colOff>
      <xdr:row>708</xdr:row>
      <xdr:rowOff>110415</xdr:rowOff>
    </xdr:to>
    <xdr:sp macro="" textlink="">
      <xdr:nvSpPr>
        <xdr:cNvPr id="45" name="TextBox 1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 rot="16778445">
          <a:off x="1320737" y="94113184"/>
          <a:ext cx="1169713" cy="27699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200" b="1">
              <a:solidFill>
                <a:srgbClr val="C00000"/>
              </a:solidFill>
            </a:rPr>
            <a:t>Building No.1</a:t>
          </a:r>
          <a:endParaRPr lang="en-IN" sz="1200" b="1">
            <a:solidFill>
              <a:srgbClr val="C00000"/>
            </a:solidFill>
          </a:endParaRPr>
        </a:p>
      </xdr:txBody>
    </xdr:sp>
    <xdr:clientData/>
  </xdr:twoCellAnchor>
  <xdr:twoCellAnchor>
    <xdr:from>
      <xdr:col>2</xdr:col>
      <xdr:colOff>112547</xdr:colOff>
      <xdr:row>709</xdr:row>
      <xdr:rowOff>112690</xdr:rowOff>
    </xdr:from>
    <xdr:to>
      <xdr:col>2</xdr:col>
      <xdr:colOff>389546</xdr:colOff>
      <xdr:row>715</xdr:row>
      <xdr:rowOff>82253</xdr:rowOff>
    </xdr:to>
    <xdr:sp macro="" textlink="">
      <xdr:nvSpPr>
        <xdr:cNvPr id="46" name="TextBox 13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 rot="16200000">
          <a:off x="1228290" y="95485197"/>
          <a:ext cx="1169713" cy="27699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200" b="1">
              <a:solidFill>
                <a:srgbClr val="C00000"/>
              </a:solidFill>
            </a:rPr>
            <a:t>Building No.2</a:t>
          </a:r>
          <a:endParaRPr lang="en-IN" sz="1200" b="1">
            <a:solidFill>
              <a:srgbClr val="C00000"/>
            </a:solidFill>
          </a:endParaRPr>
        </a:p>
      </xdr:txBody>
    </xdr:sp>
    <xdr:clientData/>
  </xdr:twoCellAnchor>
  <xdr:twoCellAnchor>
    <xdr:from>
      <xdr:col>2</xdr:col>
      <xdr:colOff>359970</xdr:colOff>
      <xdr:row>716</xdr:row>
      <xdr:rowOff>98909</xdr:rowOff>
    </xdr:from>
    <xdr:to>
      <xdr:col>2</xdr:col>
      <xdr:colOff>636969</xdr:colOff>
      <xdr:row>722</xdr:row>
      <xdr:rowOff>68472</xdr:rowOff>
    </xdr:to>
    <xdr:sp macro="" textlink="">
      <xdr:nvSpPr>
        <xdr:cNvPr id="47" name="TextBox 14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 rot="15705812">
          <a:off x="1475713" y="96871591"/>
          <a:ext cx="1169713" cy="27699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200" b="1">
              <a:solidFill>
                <a:srgbClr val="C00000"/>
              </a:solidFill>
            </a:rPr>
            <a:t>Building No.3</a:t>
          </a:r>
          <a:endParaRPr lang="en-IN" sz="1200" b="1">
            <a:solidFill>
              <a:srgbClr val="C00000"/>
            </a:solidFill>
          </a:endParaRPr>
        </a:p>
      </xdr:txBody>
    </xdr:sp>
    <xdr:clientData/>
  </xdr:twoCellAnchor>
  <xdr:twoCellAnchor>
    <xdr:from>
      <xdr:col>3</xdr:col>
      <xdr:colOff>737472</xdr:colOff>
      <xdr:row>713</xdr:row>
      <xdr:rowOff>620</xdr:rowOff>
    </xdr:from>
    <xdr:to>
      <xdr:col>5</xdr:col>
      <xdr:colOff>2185</xdr:colOff>
      <xdr:row>714</xdr:row>
      <xdr:rowOff>77594</xdr:rowOff>
    </xdr:to>
    <xdr:sp macro="" textlink="">
      <xdr:nvSpPr>
        <xdr:cNvPr id="48" name="TextBox 1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 rot="19475961">
          <a:off x="3147297" y="95726870"/>
          <a:ext cx="1169713" cy="27699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200" b="1">
              <a:solidFill>
                <a:srgbClr val="C00000"/>
              </a:solidFill>
            </a:rPr>
            <a:t>Building No.6</a:t>
          </a:r>
          <a:endParaRPr lang="en-IN" sz="1200" b="1">
            <a:solidFill>
              <a:srgbClr val="C00000"/>
            </a:solidFill>
          </a:endParaRPr>
        </a:p>
      </xdr:txBody>
    </xdr:sp>
    <xdr:clientData/>
  </xdr:twoCellAnchor>
  <xdr:twoCellAnchor>
    <xdr:from>
      <xdr:col>3</xdr:col>
      <xdr:colOff>220196</xdr:colOff>
      <xdr:row>699</xdr:row>
      <xdr:rowOff>140465</xdr:rowOff>
    </xdr:from>
    <xdr:to>
      <xdr:col>4</xdr:col>
      <xdr:colOff>446934</xdr:colOff>
      <xdr:row>701</xdr:row>
      <xdr:rowOff>17414</xdr:rowOff>
    </xdr:to>
    <xdr:sp macro="" textlink="">
      <xdr:nvSpPr>
        <xdr:cNvPr id="49" name="TextBox 1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 rot="19794610">
          <a:off x="2630021" y="93066365"/>
          <a:ext cx="1169713" cy="27699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200" b="1">
              <a:solidFill>
                <a:srgbClr val="C00000"/>
              </a:solidFill>
            </a:rPr>
            <a:t>Building No.7</a:t>
          </a:r>
          <a:endParaRPr lang="en-IN" sz="1200" b="1">
            <a:solidFill>
              <a:srgbClr val="C00000"/>
            </a:solidFill>
          </a:endParaRPr>
        </a:p>
      </xdr:txBody>
    </xdr:sp>
    <xdr:clientData/>
  </xdr:twoCellAnchor>
  <xdr:twoCellAnchor>
    <xdr:from>
      <xdr:col>3</xdr:col>
      <xdr:colOff>318212</xdr:colOff>
      <xdr:row>721</xdr:row>
      <xdr:rowOff>32458</xdr:rowOff>
    </xdr:from>
    <xdr:to>
      <xdr:col>4</xdr:col>
      <xdr:colOff>677345</xdr:colOff>
      <xdr:row>724</xdr:row>
      <xdr:rowOff>182906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440293">
          <a:off x="2728037" y="127753183"/>
          <a:ext cx="1302108" cy="75052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4</xdr:col>
      <xdr:colOff>613486</xdr:colOff>
      <xdr:row>719</xdr:row>
      <xdr:rowOff>146757</xdr:rowOff>
    </xdr:from>
    <xdr:to>
      <xdr:col>6</xdr:col>
      <xdr:colOff>182044</xdr:colOff>
      <xdr:row>723</xdr:row>
      <xdr:rowOff>97180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 rot="18934506">
          <a:off x="3966286" y="127467432"/>
          <a:ext cx="1302108" cy="75052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oneCellAnchor>
    <xdr:from>
      <xdr:col>3</xdr:col>
      <xdr:colOff>390525</xdr:colOff>
      <xdr:row>724</xdr:row>
      <xdr:rowOff>142875</xdr:rowOff>
    </xdr:from>
    <xdr:ext cx="1003352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 rot="465940">
          <a:off x="2800350" y="128463675"/>
          <a:ext cx="100335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>
              <a:solidFill>
                <a:srgbClr val="C00000"/>
              </a:solidFill>
            </a:rPr>
            <a:t>Buidling</a:t>
          </a:r>
          <a:r>
            <a:rPr lang="en-IN" sz="1100" b="1" baseline="0">
              <a:solidFill>
                <a:srgbClr val="C00000"/>
              </a:solidFill>
            </a:rPr>
            <a:t> No. 4</a:t>
          </a:r>
          <a:endParaRPr lang="en-IN" sz="1100" b="1">
            <a:solidFill>
              <a:srgbClr val="C00000"/>
            </a:solidFill>
          </a:endParaRPr>
        </a:p>
      </xdr:txBody>
    </xdr:sp>
    <xdr:clientData/>
  </xdr:oneCellAnchor>
  <xdr:oneCellAnchor>
    <xdr:from>
      <xdr:col>5</xdr:col>
      <xdr:colOff>200025</xdr:colOff>
      <xdr:row>722</xdr:row>
      <xdr:rowOff>142875</xdr:rowOff>
    </xdr:from>
    <xdr:ext cx="1003352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 rot="18968121">
          <a:off x="4514850" y="128063625"/>
          <a:ext cx="100335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>
              <a:solidFill>
                <a:srgbClr val="C00000"/>
              </a:solidFill>
            </a:rPr>
            <a:t>Buidling</a:t>
          </a:r>
          <a:r>
            <a:rPr lang="en-IN" sz="1100" b="1" baseline="0">
              <a:solidFill>
                <a:srgbClr val="C00000"/>
              </a:solidFill>
            </a:rPr>
            <a:t> No. 5</a:t>
          </a:r>
          <a:endParaRPr lang="en-IN" sz="1100" b="1">
            <a:solidFill>
              <a:srgbClr val="C00000"/>
            </a:solidFill>
          </a:endParaRPr>
        </a:p>
      </xdr:txBody>
    </xdr:sp>
    <xdr:clientData/>
  </xdr:oneCellAnchor>
  <xdr:twoCellAnchor>
    <xdr:from>
      <xdr:col>0</xdr:col>
      <xdr:colOff>647700</xdr:colOff>
      <xdr:row>750</xdr:row>
      <xdr:rowOff>142875</xdr:rowOff>
    </xdr:from>
    <xdr:to>
      <xdr:col>7</xdr:col>
      <xdr:colOff>198300</xdr:colOff>
      <xdr:row>770</xdr:row>
      <xdr:rowOff>18669</xdr:rowOff>
    </xdr:to>
    <xdr:grpSp>
      <xdr:nvGrpSpPr>
        <xdr:cNvPr id="25" name="Group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/>
      </xdr:nvGrpSpPr>
      <xdr:grpSpPr>
        <a:xfrm>
          <a:off x="647700" y="147186015"/>
          <a:ext cx="5578020" cy="3838194"/>
          <a:chOff x="207034" y="2173857"/>
          <a:chExt cx="5418000" cy="3876294"/>
        </a:xfrm>
      </xdr:grpSpPr>
      <xdr:pic>
        <xdr:nvPicPr>
          <xdr:cNvPr id="26" name="Picture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207034" y="2173857"/>
            <a:ext cx="5418000" cy="3876294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27" name="Rectangle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/>
        </xdr:nvSpPr>
        <xdr:spPr>
          <a:xfrm rot="20281131">
            <a:off x="2579133" y="2887335"/>
            <a:ext cx="1984076" cy="2662234"/>
          </a:xfrm>
          <a:prstGeom prst="rect">
            <a:avLst/>
          </a:prstGeom>
          <a:noFill/>
          <a:ln w="38100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</xdr:grpSp>
    <xdr:clientData/>
  </xdr:twoCellAnchor>
  <xdr:twoCellAnchor editAs="oneCell">
    <xdr:from>
      <xdr:col>16</xdr:col>
      <xdr:colOff>200025</xdr:colOff>
      <xdr:row>412</xdr:row>
      <xdr:rowOff>171450</xdr:rowOff>
    </xdr:from>
    <xdr:to>
      <xdr:col>23</xdr:col>
      <xdr:colOff>252825</xdr:colOff>
      <xdr:row>430</xdr:row>
      <xdr:rowOff>17740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344275" y="77676375"/>
          <a:ext cx="4320000" cy="344673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16</xdr:col>
      <xdr:colOff>200025</xdr:colOff>
      <xdr:row>430</xdr:row>
      <xdr:rowOff>63058</xdr:rowOff>
    </xdr:from>
    <xdr:to>
      <xdr:col>23</xdr:col>
      <xdr:colOff>252825</xdr:colOff>
      <xdr:row>444</xdr:row>
      <xdr:rowOff>79298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344275" y="81168433"/>
          <a:ext cx="4320000" cy="281659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10</xdr:col>
      <xdr:colOff>23533</xdr:colOff>
      <xdr:row>203</xdr:row>
      <xdr:rowOff>190499</xdr:rowOff>
    </xdr:from>
    <xdr:to>
      <xdr:col>17</xdr:col>
      <xdr:colOff>395292</xdr:colOff>
      <xdr:row>220</xdr:row>
      <xdr:rowOff>100852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87386" y="38413764"/>
          <a:ext cx="3274082" cy="3339353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>
    <xdr:from>
      <xdr:col>8</xdr:col>
      <xdr:colOff>590550</xdr:colOff>
      <xdr:row>682</xdr:row>
      <xdr:rowOff>85725</xdr:rowOff>
    </xdr:from>
    <xdr:to>
      <xdr:col>9</xdr:col>
      <xdr:colOff>302457</xdr:colOff>
      <xdr:row>685</xdr:row>
      <xdr:rowOff>39648</xdr:rowOff>
    </xdr:to>
    <xdr:sp macro="" textlink="">
      <xdr:nvSpPr>
        <xdr:cNvPr id="51" name="TextBox 12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7524750" y="120767475"/>
          <a:ext cx="873957" cy="553998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500" b="1"/>
            <a:t>Building </a:t>
          </a:r>
        </a:p>
        <a:p>
          <a:r>
            <a:rPr lang="en-US" sz="1500" b="1"/>
            <a:t>No. 6</a:t>
          </a:r>
          <a:endParaRPr lang="en-IN" sz="1500" b="1"/>
        </a:p>
      </xdr:txBody>
    </xdr:sp>
    <xdr:clientData/>
  </xdr:twoCellAnchor>
  <xdr:twoCellAnchor>
    <xdr:from>
      <xdr:col>9</xdr:col>
      <xdr:colOff>0</xdr:colOff>
      <xdr:row>652</xdr:row>
      <xdr:rowOff>0</xdr:rowOff>
    </xdr:from>
    <xdr:to>
      <xdr:col>9</xdr:col>
      <xdr:colOff>738728</xdr:colOff>
      <xdr:row>652</xdr:row>
      <xdr:rowOff>264560</xdr:rowOff>
    </xdr:to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8489950" y="113531650"/>
          <a:ext cx="73872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IN" sz="11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Bldg No.4</a:t>
          </a:r>
        </a:p>
      </xdr:txBody>
    </xdr:sp>
    <xdr:clientData/>
  </xdr:twoCellAnchor>
  <xdr:twoCellAnchor editAs="oneCell">
    <xdr:from>
      <xdr:col>8</xdr:col>
      <xdr:colOff>1066800</xdr:colOff>
      <xdr:row>463</xdr:row>
      <xdr:rowOff>66675</xdr:rowOff>
    </xdr:from>
    <xdr:to>
      <xdr:col>27</xdr:col>
      <xdr:colOff>277638</xdr:colOff>
      <xdr:row>487</xdr:row>
      <xdr:rowOff>48290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001000" y="90458925"/>
          <a:ext cx="10126488" cy="4782217"/>
        </a:xfrm>
        <a:prstGeom prst="rect">
          <a:avLst/>
        </a:prstGeom>
      </xdr:spPr>
    </xdr:pic>
    <xdr:clientData/>
  </xdr:twoCellAnchor>
  <xdr:twoCellAnchor editAs="oneCell">
    <xdr:from>
      <xdr:col>10</xdr:col>
      <xdr:colOff>603997</xdr:colOff>
      <xdr:row>253</xdr:row>
      <xdr:rowOff>100293</xdr:rowOff>
    </xdr:from>
    <xdr:to>
      <xdr:col>17</xdr:col>
      <xdr:colOff>591199</xdr:colOff>
      <xdr:row>268</xdr:row>
      <xdr:rowOff>1025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467850" y="48812264"/>
          <a:ext cx="2889525" cy="2922734"/>
        </a:xfrm>
        <a:prstGeom prst="rect">
          <a:avLst/>
        </a:prstGeom>
      </xdr:spPr>
    </xdr:pic>
    <xdr:clientData/>
  </xdr:twoCellAnchor>
  <xdr:twoCellAnchor>
    <xdr:from>
      <xdr:col>8</xdr:col>
      <xdr:colOff>619870</xdr:colOff>
      <xdr:row>654</xdr:row>
      <xdr:rowOff>143620</xdr:rowOff>
    </xdr:from>
    <xdr:to>
      <xdr:col>20</xdr:col>
      <xdr:colOff>270971</xdr:colOff>
      <xdr:row>695</xdr:row>
      <xdr:rowOff>106514</xdr:rowOff>
    </xdr:to>
    <xdr:grpSp>
      <xdr:nvGrpSpPr>
        <xdr:cNvPr id="69" name="Group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GrpSpPr/>
      </xdr:nvGrpSpPr>
      <xdr:grpSpPr>
        <a:xfrm>
          <a:off x="7744570" y="128167240"/>
          <a:ext cx="6486241" cy="8085814"/>
          <a:chOff x="200488" y="304800"/>
          <a:chExt cx="6326221" cy="8926389"/>
        </a:xfrm>
      </xdr:grpSpPr>
      <xdr:pic>
        <xdr:nvPicPr>
          <xdr:cNvPr id="70" name="Picture 69">
            <a:extLst>
              <a:ext uri="{FF2B5EF4-FFF2-40B4-BE49-F238E27FC236}">
                <a16:creationId xmlns:a16="http://schemas.microsoft.com/office/drawing/2014/main" id="{00000000-0008-0000-0000-00004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29000" y="304800"/>
            <a:ext cx="2157750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1" name="Picture 70">
            <a:extLst>
              <a:ext uri="{FF2B5EF4-FFF2-40B4-BE49-F238E27FC236}">
                <a16:creationId xmlns:a16="http://schemas.microsoft.com/office/drawing/2014/main" id="{00000000-0008-0000-0000-00004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40447" y="304800"/>
            <a:ext cx="2157750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2" name="Picture 71">
            <a:extLst>
              <a:ext uri="{FF2B5EF4-FFF2-40B4-BE49-F238E27FC236}">
                <a16:creationId xmlns:a16="http://schemas.microsoft.com/office/drawing/2014/main" id="{00000000-0008-0000-0000-00004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0488" y="3353157"/>
            <a:ext cx="1483453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3" name="Picture 72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14744" y="3353157"/>
            <a:ext cx="1483453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4" name="Picture 73">
            <a:extLst>
              <a:ext uri="{FF2B5EF4-FFF2-40B4-BE49-F238E27FC236}">
                <a16:creationId xmlns:a16="http://schemas.microsoft.com/office/drawing/2014/main" id="{00000000-0008-0000-0000-00004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29000" y="3353157"/>
            <a:ext cx="1483453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5" name="Picture 74">
            <a:extLst>
              <a:ext uri="{FF2B5EF4-FFF2-40B4-BE49-F238E27FC236}">
                <a16:creationId xmlns:a16="http://schemas.microsoft.com/office/drawing/2014/main" id="{00000000-0008-0000-0000-00004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043256" y="3353157"/>
            <a:ext cx="1483453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6" name="Picture 75">
            <a:extLst>
              <a:ext uri="{FF2B5EF4-FFF2-40B4-BE49-F238E27FC236}">
                <a16:creationId xmlns:a16="http://schemas.microsoft.com/office/drawing/2014/main" id="{00000000-0008-0000-0000-00004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1497" y="5482173"/>
            <a:ext cx="1483453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7" name="Picture 76">
            <a:extLst>
              <a:ext uri="{FF2B5EF4-FFF2-40B4-BE49-F238E27FC236}">
                <a16:creationId xmlns:a16="http://schemas.microsoft.com/office/drawing/2014/main" id="{00000000-0008-0000-0000-00004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42189" y="5482173"/>
            <a:ext cx="1483453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8" name="Picture 77">
            <a:extLst>
              <a:ext uri="{FF2B5EF4-FFF2-40B4-BE49-F238E27FC236}">
                <a16:creationId xmlns:a16="http://schemas.microsoft.com/office/drawing/2014/main" id="{00000000-0008-0000-0000-00004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80009" y="5482173"/>
            <a:ext cx="2637905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9" name="Picture 78">
            <a:extLst>
              <a:ext uri="{FF2B5EF4-FFF2-40B4-BE49-F238E27FC236}">
                <a16:creationId xmlns:a16="http://schemas.microsoft.com/office/drawing/2014/main" id="{00000000-0008-0000-0000-00004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79400" y="7611189"/>
            <a:ext cx="1218797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0" name="Picture 79">
            <a:extLst>
              <a:ext uri="{FF2B5EF4-FFF2-40B4-BE49-F238E27FC236}">
                <a16:creationId xmlns:a16="http://schemas.microsoft.com/office/drawing/2014/main" id="{00000000-0008-0000-0000-00005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29000" y="7611189"/>
            <a:ext cx="1213734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 editAs="oneCell">
    <xdr:from>
      <xdr:col>8</xdr:col>
      <xdr:colOff>276225</xdr:colOff>
      <xdr:row>12</xdr:row>
      <xdr:rowOff>314325</xdr:rowOff>
    </xdr:from>
    <xdr:to>
      <xdr:col>23</xdr:col>
      <xdr:colOff>77355</xdr:colOff>
      <xdr:row>19</xdr:row>
      <xdr:rowOff>57519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210425" y="3124200"/>
          <a:ext cx="8278380" cy="2638793"/>
        </a:xfrm>
        <a:prstGeom prst="rect">
          <a:avLst/>
        </a:prstGeom>
      </xdr:spPr>
    </xdr:pic>
    <xdr:clientData/>
  </xdr:twoCellAnchor>
  <xdr:twoCellAnchor>
    <xdr:from>
      <xdr:col>0</xdr:col>
      <xdr:colOff>365760</xdr:colOff>
      <xdr:row>654</xdr:row>
      <xdr:rowOff>144780</xdr:rowOff>
    </xdr:from>
    <xdr:to>
      <xdr:col>7</xdr:col>
      <xdr:colOff>594360</xdr:colOff>
      <xdr:row>695</xdr:row>
      <xdr:rowOff>152400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365760" y="128168400"/>
          <a:ext cx="6256020" cy="8130540"/>
          <a:chOff x="549712" y="0"/>
          <a:chExt cx="5171955" cy="7044782"/>
        </a:xfrm>
      </xdr:grpSpPr>
      <xdr:pic>
        <xdr:nvPicPr>
          <xdr:cNvPr id="6" name="Picture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106374" y="4884782"/>
            <a:ext cx="161850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03167" y="2584502"/>
            <a:ext cx="161850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54999" y="2584502"/>
            <a:ext cx="161850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90517" y="2584502"/>
            <a:ext cx="161850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72489" y="4884782"/>
            <a:ext cx="161850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90198" y="0"/>
            <a:ext cx="1831469" cy="244422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49712" y="0"/>
            <a:ext cx="3255948" cy="244422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0</xdr:rowOff>
        </xdr:from>
        <xdr:to>
          <xdr:col>4</xdr:col>
          <xdr:colOff>304800</xdr:colOff>
          <xdr:row>4</xdr:row>
          <xdr:rowOff>7620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housing.com/in/buy/projects/page/271935-kohinoor-eden-by-kohinoor-group-in-kalyan-east" TargetMode="External"/><Relationship Id="rId1" Type="http://schemas.openxmlformats.org/officeDocument/2006/relationships/hyperlink" Target="https://goo.gl/maps/Ahco42ogWaDA8xf8A" TargetMode="Externa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image" Target="../media/image30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R733"/>
  <sheetViews>
    <sheetView tabSelected="1" view="pageBreakPreview" zoomScaleNormal="100" zoomScaleSheetLayoutView="100" zoomScalePageLayoutView="82" workbookViewId="0">
      <selection activeCell="L12" sqref="L12"/>
    </sheetView>
  </sheetViews>
  <sheetFormatPr defaultColWidth="9.109375" defaultRowHeight="15.6" x14ac:dyDescent="0.3"/>
  <cols>
    <col min="1" max="1" width="11.44140625" style="15" customWidth="1"/>
    <col min="2" max="2" width="12" style="15" customWidth="1"/>
    <col min="3" max="3" width="12.6640625" style="15" customWidth="1"/>
    <col min="4" max="4" width="14.109375" style="15" customWidth="1"/>
    <col min="5" max="5" width="14.44140625" style="15" customWidth="1"/>
    <col min="6" max="6" width="11.5546875" style="15" customWidth="1"/>
    <col min="7" max="7" width="11.6640625" style="15" customWidth="1"/>
    <col min="8" max="8" width="16" style="15" customWidth="1"/>
    <col min="9" max="9" width="17.44140625" style="8" customWidth="1"/>
    <col min="10" max="10" width="11.44140625" style="8" customWidth="1"/>
    <col min="11" max="11" width="10.5546875" style="8" bestFit="1" customWidth="1"/>
    <col min="12" max="12" width="11.88671875" style="8" bestFit="1" customWidth="1"/>
    <col min="13" max="13" width="11.88671875" style="8" customWidth="1"/>
    <col min="14" max="14" width="12.5546875" style="8" hidden="1" customWidth="1"/>
    <col min="15" max="15" width="9.88671875" style="8" hidden="1" customWidth="1"/>
    <col min="16" max="16" width="10.44140625" style="8" hidden="1" customWidth="1"/>
    <col min="17" max="247" width="9.109375" style="8"/>
    <col min="248" max="248" width="8.6640625" style="8" customWidth="1"/>
    <col min="249" max="249" width="9.88671875" style="8" customWidth="1"/>
    <col min="250" max="250" width="14.44140625" style="8" customWidth="1"/>
    <col min="251" max="251" width="7.33203125" style="8" customWidth="1"/>
    <col min="252" max="252" width="5.5546875" style="8" customWidth="1"/>
    <col min="253" max="253" width="9" style="8" customWidth="1"/>
    <col min="254" max="255" width="9.88671875" style="8" customWidth="1"/>
    <col min="256" max="256" width="11.109375" style="8" customWidth="1"/>
    <col min="257" max="257" width="2.88671875" style="8" customWidth="1"/>
    <col min="258" max="258" width="3.5546875" style="8" customWidth="1"/>
    <col min="259" max="503" width="9.109375" style="8"/>
    <col min="504" max="504" width="8.6640625" style="8" customWidth="1"/>
    <col min="505" max="505" width="9.88671875" style="8" customWidth="1"/>
    <col min="506" max="506" width="14.44140625" style="8" customWidth="1"/>
    <col min="507" max="507" width="7.33203125" style="8" customWidth="1"/>
    <col min="508" max="508" width="5.5546875" style="8" customWidth="1"/>
    <col min="509" max="509" width="9" style="8" customWidth="1"/>
    <col min="510" max="511" width="9.88671875" style="8" customWidth="1"/>
    <col min="512" max="512" width="11.109375" style="8" customWidth="1"/>
    <col min="513" max="513" width="2.88671875" style="8" customWidth="1"/>
    <col min="514" max="514" width="3.5546875" style="8" customWidth="1"/>
    <col min="515" max="759" width="9.109375" style="8"/>
    <col min="760" max="760" width="8.6640625" style="8" customWidth="1"/>
    <col min="761" max="761" width="9.88671875" style="8" customWidth="1"/>
    <col min="762" max="762" width="14.44140625" style="8" customWidth="1"/>
    <col min="763" max="763" width="7.33203125" style="8" customWidth="1"/>
    <col min="764" max="764" width="5.5546875" style="8" customWidth="1"/>
    <col min="765" max="765" width="9" style="8" customWidth="1"/>
    <col min="766" max="767" width="9.88671875" style="8" customWidth="1"/>
    <col min="768" max="768" width="11.109375" style="8" customWidth="1"/>
    <col min="769" max="769" width="2.88671875" style="8" customWidth="1"/>
    <col min="770" max="770" width="3.5546875" style="8" customWidth="1"/>
    <col min="771" max="1015" width="9.109375" style="8"/>
    <col min="1016" max="1016" width="8.6640625" style="8" customWidth="1"/>
    <col min="1017" max="1017" width="9.88671875" style="8" customWidth="1"/>
    <col min="1018" max="1018" width="14.44140625" style="8" customWidth="1"/>
    <col min="1019" max="1019" width="7.33203125" style="8" customWidth="1"/>
    <col min="1020" max="1020" width="5.5546875" style="8" customWidth="1"/>
    <col min="1021" max="1021" width="9" style="8" customWidth="1"/>
    <col min="1022" max="1023" width="9.88671875" style="8" customWidth="1"/>
    <col min="1024" max="1024" width="11.109375" style="8" customWidth="1"/>
    <col min="1025" max="1025" width="2.88671875" style="8" customWidth="1"/>
    <col min="1026" max="1026" width="3.5546875" style="8" customWidth="1"/>
    <col min="1027" max="1271" width="9.109375" style="8"/>
    <col min="1272" max="1272" width="8.6640625" style="8" customWidth="1"/>
    <col min="1273" max="1273" width="9.88671875" style="8" customWidth="1"/>
    <col min="1274" max="1274" width="14.44140625" style="8" customWidth="1"/>
    <col min="1275" max="1275" width="7.33203125" style="8" customWidth="1"/>
    <col min="1276" max="1276" width="5.5546875" style="8" customWidth="1"/>
    <col min="1277" max="1277" width="9" style="8" customWidth="1"/>
    <col min="1278" max="1279" width="9.88671875" style="8" customWidth="1"/>
    <col min="1280" max="1280" width="11.109375" style="8" customWidth="1"/>
    <col min="1281" max="1281" width="2.88671875" style="8" customWidth="1"/>
    <col min="1282" max="1282" width="3.5546875" style="8" customWidth="1"/>
    <col min="1283" max="1527" width="9.109375" style="8"/>
    <col min="1528" max="1528" width="8.6640625" style="8" customWidth="1"/>
    <col min="1529" max="1529" width="9.88671875" style="8" customWidth="1"/>
    <col min="1530" max="1530" width="14.44140625" style="8" customWidth="1"/>
    <col min="1531" max="1531" width="7.33203125" style="8" customWidth="1"/>
    <col min="1532" max="1532" width="5.5546875" style="8" customWidth="1"/>
    <col min="1533" max="1533" width="9" style="8" customWidth="1"/>
    <col min="1534" max="1535" width="9.88671875" style="8" customWidth="1"/>
    <col min="1536" max="1536" width="11.109375" style="8" customWidth="1"/>
    <col min="1537" max="1537" width="2.88671875" style="8" customWidth="1"/>
    <col min="1538" max="1538" width="3.5546875" style="8" customWidth="1"/>
    <col min="1539" max="1783" width="9.109375" style="8"/>
    <col min="1784" max="1784" width="8.6640625" style="8" customWidth="1"/>
    <col min="1785" max="1785" width="9.88671875" style="8" customWidth="1"/>
    <col min="1786" max="1786" width="14.44140625" style="8" customWidth="1"/>
    <col min="1787" max="1787" width="7.33203125" style="8" customWidth="1"/>
    <col min="1788" max="1788" width="5.5546875" style="8" customWidth="1"/>
    <col min="1789" max="1789" width="9" style="8" customWidth="1"/>
    <col min="1790" max="1791" width="9.88671875" style="8" customWidth="1"/>
    <col min="1792" max="1792" width="11.109375" style="8" customWidth="1"/>
    <col min="1793" max="1793" width="2.88671875" style="8" customWidth="1"/>
    <col min="1794" max="1794" width="3.5546875" style="8" customWidth="1"/>
    <col min="1795" max="2039" width="9.109375" style="8"/>
    <col min="2040" max="2040" width="8.6640625" style="8" customWidth="1"/>
    <col min="2041" max="2041" width="9.88671875" style="8" customWidth="1"/>
    <col min="2042" max="2042" width="14.44140625" style="8" customWidth="1"/>
    <col min="2043" max="2043" width="7.33203125" style="8" customWidth="1"/>
    <col min="2044" max="2044" width="5.5546875" style="8" customWidth="1"/>
    <col min="2045" max="2045" width="9" style="8" customWidth="1"/>
    <col min="2046" max="2047" width="9.88671875" style="8" customWidth="1"/>
    <col min="2048" max="2048" width="11.109375" style="8" customWidth="1"/>
    <col min="2049" max="2049" width="2.88671875" style="8" customWidth="1"/>
    <col min="2050" max="2050" width="3.5546875" style="8" customWidth="1"/>
    <col min="2051" max="2295" width="9.109375" style="8"/>
    <col min="2296" max="2296" width="8.6640625" style="8" customWidth="1"/>
    <col min="2297" max="2297" width="9.88671875" style="8" customWidth="1"/>
    <col min="2298" max="2298" width="14.44140625" style="8" customWidth="1"/>
    <col min="2299" max="2299" width="7.33203125" style="8" customWidth="1"/>
    <col min="2300" max="2300" width="5.5546875" style="8" customWidth="1"/>
    <col min="2301" max="2301" width="9" style="8" customWidth="1"/>
    <col min="2302" max="2303" width="9.88671875" style="8" customWidth="1"/>
    <col min="2304" max="2304" width="11.109375" style="8" customWidth="1"/>
    <col min="2305" max="2305" width="2.88671875" style="8" customWidth="1"/>
    <col min="2306" max="2306" width="3.5546875" style="8" customWidth="1"/>
    <col min="2307" max="2551" width="9.109375" style="8"/>
    <col min="2552" max="2552" width="8.6640625" style="8" customWidth="1"/>
    <col min="2553" max="2553" width="9.88671875" style="8" customWidth="1"/>
    <col min="2554" max="2554" width="14.44140625" style="8" customWidth="1"/>
    <col min="2555" max="2555" width="7.33203125" style="8" customWidth="1"/>
    <col min="2556" max="2556" width="5.5546875" style="8" customWidth="1"/>
    <col min="2557" max="2557" width="9" style="8" customWidth="1"/>
    <col min="2558" max="2559" width="9.88671875" style="8" customWidth="1"/>
    <col min="2560" max="2560" width="11.109375" style="8" customWidth="1"/>
    <col min="2561" max="2561" width="2.88671875" style="8" customWidth="1"/>
    <col min="2562" max="2562" width="3.5546875" style="8" customWidth="1"/>
    <col min="2563" max="2807" width="9.109375" style="8"/>
    <col min="2808" max="2808" width="8.6640625" style="8" customWidth="1"/>
    <col min="2809" max="2809" width="9.88671875" style="8" customWidth="1"/>
    <col min="2810" max="2810" width="14.44140625" style="8" customWidth="1"/>
    <col min="2811" max="2811" width="7.33203125" style="8" customWidth="1"/>
    <col min="2812" max="2812" width="5.5546875" style="8" customWidth="1"/>
    <col min="2813" max="2813" width="9" style="8" customWidth="1"/>
    <col min="2814" max="2815" width="9.88671875" style="8" customWidth="1"/>
    <col min="2816" max="2816" width="11.109375" style="8" customWidth="1"/>
    <col min="2817" max="2817" width="2.88671875" style="8" customWidth="1"/>
    <col min="2818" max="2818" width="3.5546875" style="8" customWidth="1"/>
    <col min="2819" max="3063" width="9.109375" style="8"/>
    <col min="3064" max="3064" width="8.6640625" style="8" customWidth="1"/>
    <col min="3065" max="3065" width="9.88671875" style="8" customWidth="1"/>
    <col min="3066" max="3066" width="14.44140625" style="8" customWidth="1"/>
    <col min="3067" max="3067" width="7.33203125" style="8" customWidth="1"/>
    <col min="3068" max="3068" width="5.5546875" style="8" customWidth="1"/>
    <col min="3069" max="3069" width="9" style="8" customWidth="1"/>
    <col min="3070" max="3071" width="9.88671875" style="8" customWidth="1"/>
    <col min="3072" max="3072" width="11.109375" style="8" customWidth="1"/>
    <col min="3073" max="3073" width="2.88671875" style="8" customWidth="1"/>
    <col min="3074" max="3074" width="3.5546875" style="8" customWidth="1"/>
    <col min="3075" max="3319" width="9.109375" style="8"/>
    <col min="3320" max="3320" width="8.6640625" style="8" customWidth="1"/>
    <col min="3321" max="3321" width="9.88671875" style="8" customWidth="1"/>
    <col min="3322" max="3322" width="14.44140625" style="8" customWidth="1"/>
    <col min="3323" max="3323" width="7.33203125" style="8" customWidth="1"/>
    <col min="3324" max="3324" width="5.5546875" style="8" customWidth="1"/>
    <col min="3325" max="3325" width="9" style="8" customWidth="1"/>
    <col min="3326" max="3327" width="9.88671875" style="8" customWidth="1"/>
    <col min="3328" max="3328" width="11.109375" style="8" customWidth="1"/>
    <col min="3329" max="3329" width="2.88671875" style="8" customWidth="1"/>
    <col min="3330" max="3330" width="3.5546875" style="8" customWidth="1"/>
    <col min="3331" max="3575" width="9.109375" style="8"/>
    <col min="3576" max="3576" width="8.6640625" style="8" customWidth="1"/>
    <col min="3577" max="3577" width="9.88671875" style="8" customWidth="1"/>
    <col min="3578" max="3578" width="14.44140625" style="8" customWidth="1"/>
    <col min="3579" max="3579" width="7.33203125" style="8" customWidth="1"/>
    <col min="3580" max="3580" width="5.5546875" style="8" customWidth="1"/>
    <col min="3581" max="3581" width="9" style="8" customWidth="1"/>
    <col min="3582" max="3583" width="9.88671875" style="8" customWidth="1"/>
    <col min="3584" max="3584" width="11.109375" style="8" customWidth="1"/>
    <col min="3585" max="3585" width="2.88671875" style="8" customWidth="1"/>
    <col min="3586" max="3586" width="3.5546875" style="8" customWidth="1"/>
    <col min="3587" max="3831" width="9.109375" style="8"/>
    <col min="3832" max="3832" width="8.6640625" style="8" customWidth="1"/>
    <col min="3833" max="3833" width="9.88671875" style="8" customWidth="1"/>
    <col min="3834" max="3834" width="14.44140625" style="8" customWidth="1"/>
    <col min="3835" max="3835" width="7.33203125" style="8" customWidth="1"/>
    <col min="3836" max="3836" width="5.5546875" style="8" customWidth="1"/>
    <col min="3837" max="3837" width="9" style="8" customWidth="1"/>
    <col min="3838" max="3839" width="9.88671875" style="8" customWidth="1"/>
    <col min="3840" max="3840" width="11.109375" style="8" customWidth="1"/>
    <col min="3841" max="3841" width="2.88671875" style="8" customWidth="1"/>
    <col min="3842" max="3842" width="3.5546875" style="8" customWidth="1"/>
    <col min="3843" max="4087" width="9.109375" style="8"/>
    <col min="4088" max="4088" width="8.6640625" style="8" customWidth="1"/>
    <col min="4089" max="4089" width="9.88671875" style="8" customWidth="1"/>
    <col min="4090" max="4090" width="14.44140625" style="8" customWidth="1"/>
    <col min="4091" max="4091" width="7.33203125" style="8" customWidth="1"/>
    <col min="4092" max="4092" width="5.5546875" style="8" customWidth="1"/>
    <col min="4093" max="4093" width="9" style="8" customWidth="1"/>
    <col min="4094" max="4095" width="9.88671875" style="8" customWidth="1"/>
    <col min="4096" max="4096" width="11.109375" style="8" customWidth="1"/>
    <col min="4097" max="4097" width="2.88671875" style="8" customWidth="1"/>
    <col min="4098" max="4098" width="3.5546875" style="8" customWidth="1"/>
    <col min="4099" max="4343" width="9.109375" style="8"/>
    <col min="4344" max="4344" width="8.6640625" style="8" customWidth="1"/>
    <col min="4345" max="4345" width="9.88671875" style="8" customWidth="1"/>
    <col min="4346" max="4346" width="14.44140625" style="8" customWidth="1"/>
    <col min="4347" max="4347" width="7.33203125" style="8" customWidth="1"/>
    <col min="4348" max="4348" width="5.5546875" style="8" customWidth="1"/>
    <col min="4349" max="4349" width="9" style="8" customWidth="1"/>
    <col min="4350" max="4351" width="9.88671875" style="8" customWidth="1"/>
    <col min="4352" max="4352" width="11.109375" style="8" customWidth="1"/>
    <col min="4353" max="4353" width="2.88671875" style="8" customWidth="1"/>
    <col min="4354" max="4354" width="3.5546875" style="8" customWidth="1"/>
    <col min="4355" max="4599" width="9.109375" style="8"/>
    <col min="4600" max="4600" width="8.6640625" style="8" customWidth="1"/>
    <col min="4601" max="4601" width="9.88671875" style="8" customWidth="1"/>
    <col min="4602" max="4602" width="14.44140625" style="8" customWidth="1"/>
    <col min="4603" max="4603" width="7.33203125" style="8" customWidth="1"/>
    <col min="4604" max="4604" width="5.5546875" style="8" customWidth="1"/>
    <col min="4605" max="4605" width="9" style="8" customWidth="1"/>
    <col min="4606" max="4607" width="9.88671875" style="8" customWidth="1"/>
    <col min="4608" max="4608" width="11.109375" style="8" customWidth="1"/>
    <col min="4609" max="4609" width="2.88671875" style="8" customWidth="1"/>
    <col min="4610" max="4610" width="3.5546875" style="8" customWidth="1"/>
    <col min="4611" max="4855" width="9.109375" style="8"/>
    <col min="4856" max="4856" width="8.6640625" style="8" customWidth="1"/>
    <col min="4857" max="4857" width="9.88671875" style="8" customWidth="1"/>
    <col min="4858" max="4858" width="14.44140625" style="8" customWidth="1"/>
    <col min="4859" max="4859" width="7.33203125" style="8" customWidth="1"/>
    <col min="4860" max="4860" width="5.5546875" style="8" customWidth="1"/>
    <col min="4861" max="4861" width="9" style="8" customWidth="1"/>
    <col min="4862" max="4863" width="9.88671875" style="8" customWidth="1"/>
    <col min="4864" max="4864" width="11.109375" style="8" customWidth="1"/>
    <col min="4865" max="4865" width="2.88671875" style="8" customWidth="1"/>
    <col min="4866" max="4866" width="3.5546875" style="8" customWidth="1"/>
    <col min="4867" max="5111" width="9.109375" style="8"/>
    <col min="5112" max="5112" width="8.6640625" style="8" customWidth="1"/>
    <col min="5113" max="5113" width="9.88671875" style="8" customWidth="1"/>
    <col min="5114" max="5114" width="14.44140625" style="8" customWidth="1"/>
    <col min="5115" max="5115" width="7.33203125" style="8" customWidth="1"/>
    <col min="5116" max="5116" width="5.5546875" style="8" customWidth="1"/>
    <col min="5117" max="5117" width="9" style="8" customWidth="1"/>
    <col min="5118" max="5119" width="9.88671875" style="8" customWidth="1"/>
    <col min="5120" max="5120" width="11.109375" style="8" customWidth="1"/>
    <col min="5121" max="5121" width="2.88671875" style="8" customWidth="1"/>
    <col min="5122" max="5122" width="3.5546875" style="8" customWidth="1"/>
    <col min="5123" max="5367" width="9.109375" style="8"/>
    <col min="5368" max="5368" width="8.6640625" style="8" customWidth="1"/>
    <col min="5369" max="5369" width="9.88671875" style="8" customWidth="1"/>
    <col min="5370" max="5370" width="14.44140625" style="8" customWidth="1"/>
    <col min="5371" max="5371" width="7.33203125" style="8" customWidth="1"/>
    <col min="5372" max="5372" width="5.5546875" style="8" customWidth="1"/>
    <col min="5373" max="5373" width="9" style="8" customWidth="1"/>
    <col min="5374" max="5375" width="9.88671875" style="8" customWidth="1"/>
    <col min="5376" max="5376" width="11.109375" style="8" customWidth="1"/>
    <col min="5377" max="5377" width="2.88671875" style="8" customWidth="1"/>
    <col min="5378" max="5378" width="3.5546875" style="8" customWidth="1"/>
    <col min="5379" max="5623" width="9.109375" style="8"/>
    <col min="5624" max="5624" width="8.6640625" style="8" customWidth="1"/>
    <col min="5625" max="5625" width="9.88671875" style="8" customWidth="1"/>
    <col min="5626" max="5626" width="14.44140625" style="8" customWidth="1"/>
    <col min="5627" max="5627" width="7.33203125" style="8" customWidth="1"/>
    <col min="5628" max="5628" width="5.5546875" style="8" customWidth="1"/>
    <col min="5629" max="5629" width="9" style="8" customWidth="1"/>
    <col min="5630" max="5631" width="9.88671875" style="8" customWidth="1"/>
    <col min="5632" max="5632" width="11.109375" style="8" customWidth="1"/>
    <col min="5633" max="5633" width="2.88671875" style="8" customWidth="1"/>
    <col min="5634" max="5634" width="3.5546875" style="8" customWidth="1"/>
    <col min="5635" max="5879" width="9.109375" style="8"/>
    <col min="5880" max="5880" width="8.6640625" style="8" customWidth="1"/>
    <col min="5881" max="5881" width="9.88671875" style="8" customWidth="1"/>
    <col min="5882" max="5882" width="14.44140625" style="8" customWidth="1"/>
    <col min="5883" max="5883" width="7.33203125" style="8" customWidth="1"/>
    <col min="5884" max="5884" width="5.5546875" style="8" customWidth="1"/>
    <col min="5885" max="5885" width="9" style="8" customWidth="1"/>
    <col min="5886" max="5887" width="9.88671875" style="8" customWidth="1"/>
    <col min="5888" max="5888" width="11.109375" style="8" customWidth="1"/>
    <col min="5889" max="5889" width="2.88671875" style="8" customWidth="1"/>
    <col min="5890" max="5890" width="3.5546875" style="8" customWidth="1"/>
    <col min="5891" max="6135" width="9.109375" style="8"/>
    <col min="6136" max="6136" width="8.6640625" style="8" customWidth="1"/>
    <col min="6137" max="6137" width="9.88671875" style="8" customWidth="1"/>
    <col min="6138" max="6138" width="14.44140625" style="8" customWidth="1"/>
    <col min="6139" max="6139" width="7.33203125" style="8" customWidth="1"/>
    <col min="6140" max="6140" width="5.5546875" style="8" customWidth="1"/>
    <col min="6141" max="6141" width="9" style="8" customWidth="1"/>
    <col min="6142" max="6143" width="9.88671875" style="8" customWidth="1"/>
    <col min="6144" max="6144" width="11.109375" style="8" customWidth="1"/>
    <col min="6145" max="6145" width="2.88671875" style="8" customWidth="1"/>
    <col min="6146" max="6146" width="3.5546875" style="8" customWidth="1"/>
    <col min="6147" max="6391" width="9.109375" style="8"/>
    <col min="6392" max="6392" width="8.6640625" style="8" customWidth="1"/>
    <col min="6393" max="6393" width="9.88671875" style="8" customWidth="1"/>
    <col min="6394" max="6394" width="14.44140625" style="8" customWidth="1"/>
    <col min="6395" max="6395" width="7.33203125" style="8" customWidth="1"/>
    <col min="6396" max="6396" width="5.5546875" style="8" customWidth="1"/>
    <col min="6397" max="6397" width="9" style="8" customWidth="1"/>
    <col min="6398" max="6399" width="9.88671875" style="8" customWidth="1"/>
    <col min="6400" max="6400" width="11.109375" style="8" customWidth="1"/>
    <col min="6401" max="6401" width="2.88671875" style="8" customWidth="1"/>
    <col min="6402" max="6402" width="3.5546875" style="8" customWidth="1"/>
    <col min="6403" max="6647" width="9.109375" style="8"/>
    <col min="6648" max="6648" width="8.6640625" style="8" customWidth="1"/>
    <col min="6649" max="6649" width="9.88671875" style="8" customWidth="1"/>
    <col min="6650" max="6650" width="14.44140625" style="8" customWidth="1"/>
    <col min="6651" max="6651" width="7.33203125" style="8" customWidth="1"/>
    <col min="6652" max="6652" width="5.5546875" style="8" customWidth="1"/>
    <col min="6653" max="6653" width="9" style="8" customWidth="1"/>
    <col min="6654" max="6655" width="9.88671875" style="8" customWidth="1"/>
    <col min="6656" max="6656" width="11.109375" style="8" customWidth="1"/>
    <col min="6657" max="6657" width="2.88671875" style="8" customWidth="1"/>
    <col min="6658" max="6658" width="3.5546875" style="8" customWidth="1"/>
    <col min="6659" max="6903" width="9.109375" style="8"/>
    <col min="6904" max="6904" width="8.6640625" style="8" customWidth="1"/>
    <col min="6905" max="6905" width="9.88671875" style="8" customWidth="1"/>
    <col min="6906" max="6906" width="14.44140625" style="8" customWidth="1"/>
    <col min="6907" max="6907" width="7.33203125" style="8" customWidth="1"/>
    <col min="6908" max="6908" width="5.5546875" style="8" customWidth="1"/>
    <col min="6909" max="6909" width="9" style="8" customWidth="1"/>
    <col min="6910" max="6911" width="9.88671875" style="8" customWidth="1"/>
    <col min="6912" max="6912" width="11.109375" style="8" customWidth="1"/>
    <col min="6913" max="6913" width="2.88671875" style="8" customWidth="1"/>
    <col min="6914" max="6914" width="3.5546875" style="8" customWidth="1"/>
    <col min="6915" max="7159" width="9.109375" style="8"/>
    <col min="7160" max="7160" width="8.6640625" style="8" customWidth="1"/>
    <col min="7161" max="7161" width="9.88671875" style="8" customWidth="1"/>
    <col min="7162" max="7162" width="14.44140625" style="8" customWidth="1"/>
    <col min="7163" max="7163" width="7.33203125" style="8" customWidth="1"/>
    <col min="7164" max="7164" width="5.5546875" style="8" customWidth="1"/>
    <col min="7165" max="7165" width="9" style="8" customWidth="1"/>
    <col min="7166" max="7167" width="9.88671875" style="8" customWidth="1"/>
    <col min="7168" max="7168" width="11.109375" style="8" customWidth="1"/>
    <col min="7169" max="7169" width="2.88671875" style="8" customWidth="1"/>
    <col min="7170" max="7170" width="3.5546875" style="8" customWidth="1"/>
    <col min="7171" max="7415" width="9.109375" style="8"/>
    <col min="7416" max="7416" width="8.6640625" style="8" customWidth="1"/>
    <col min="7417" max="7417" width="9.88671875" style="8" customWidth="1"/>
    <col min="7418" max="7418" width="14.44140625" style="8" customWidth="1"/>
    <col min="7419" max="7419" width="7.33203125" style="8" customWidth="1"/>
    <col min="7420" max="7420" width="5.5546875" style="8" customWidth="1"/>
    <col min="7421" max="7421" width="9" style="8" customWidth="1"/>
    <col min="7422" max="7423" width="9.88671875" style="8" customWidth="1"/>
    <col min="7424" max="7424" width="11.109375" style="8" customWidth="1"/>
    <col min="7425" max="7425" width="2.88671875" style="8" customWidth="1"/>
    <col min="7426" max="7426" width="3.5546875" style="8" customWidth="1"/>
    <col min="7427" max="7671" width="9.109375" style="8"/>
    <col min="7672" max="7672" width="8.6640625" style="8" customWidth="1"/>
    <col min="7673" max="7673" width="9.88671875" style="8" customWidth="1"/>
    <col min="7674" max="7674" width="14.44140625" style="8" customWidth="1"/>
    <col min="7675" max="7675" width="7.33203125" style="8" customWidth="1"/>
    <col min="7676" max="7676" width="5.5546875" style="8" customWidth="1"/>
    <col min="7677" max="7677" width="9" style="8" customWidth="1"/>
    <col min="7678" max="7679" width="9.88671875" style="8" customWidth="1"/>
    <col min="7680" max="7680" width="11.109375" style="8" customWidth="1"/>
    <col min="7681" max="7681" width="2.88671875" style="8" customWidth="1"/>
    <col min="7682" max="7682" width="3.5546875" style="8" customWidth="1"/>
    <col min="7683" max="7927" width="9.109375" style="8"/>
    <col min="7928" max="7928" width="8.6640625" style="8" customWidth="1"/>
    <col min="7929" max="7929" width="9.88671875" style="8" customWidth="1"/>
    <col min="7930" max="7930" width="14.44140625" style="8" customWidth="1"/>
    <col min="7931" max="7931" width="7.33203125" style="8" customWidth="1"/>
    <col min="7932" max="7932" width="5.5546875" style="8" customWidth="1"/>
    <col min="7933" max="7933" width="9" style="8" customWidth="1"/>
    <col min="7934" max="7935" width="9.88671875" style="8" customWidth="1"/>
    <col min="7936" max="7936" width="11.109375" style="8" customWidth="1"/>
    <col min="7937" max="7937" width="2.88671875" style="8" customWidth="1"/>
    <col min="7938" max="7938" width="3.5546875" style="8" customWidth="1"/>
    <col min="7939" max="8183" width="9.109375" style="8"/>
    <col min="8184" max="8184" width="8.6640625" style="8" customWidth="1"/>
    <col min="8185" max="8185" width="9.88671875" style="8" customWidth="1"/>
    <col min="8186" max="8186" width="14.44140625" style="8" customWidth="1"/>
    <col min="8187" max="8187" width="7.33203125" style="8" customWidth="1"/>
    <col min="8188" max="8188" width="5.5546875" style="8" customWidth="1"/>
    <col min="8189" max="8189" width="9" style="8" customWidth="1"/>
    <col min="8190" max="8191" width="9.88671875" style="8" customWidth="1"/>
    <col min="8192" max="8192" width="11.109375" style="8" customWidth="1"/>
    <col min="8193" max="8193" width="2.88671875" style="8" customWidth="1"/>
    <col min="8194" max="8194" width="3.5546875" style="8" customWidth="1"/>
    <col min="8195" max="8439" width="9.109375" style="8"/>
    <col min="8440" max="8440" width="8.6640625" style="8" customWidth="1"/>
    <col min="8441" max="8441" width="9.88671875" style="8" customWidth="1"/>
    <col min="8442" max="8442" width="14.44140625" style="8" customWidth="1"/>
    <col min="8443" max="8443" width="7.33203125" style="8" customWidth="1"/>
    <col min="8444" max="8444" width="5.5546875" style="8" customWidth="1"/>
    <col min="8445" max="8445" width="9" style="8" customWidth="1"/>
    <col min="8446" max="8447" width="9.88671875" style="8" customWidth="1"/>
    <col min="8448" max="8448" width="11.109375" style="8" customWidth="1"/>
    <col min="8449" max="8449" width="2.88671875" style="8" customWidth="1"/>
    <col min="8450" max="8450" width="3.5546875" style="8" customWidth="1"/>
    <col min="8451" max="8695" width="9.109375" style="8"/>
    <col min="8696" max="8696" width="8.6640625" style="8" customWidth="1"/>
    <col min="8697" max="8697" width="9.88671875" style="8" customWidth="1"/>
    <col min="8698" max="8698" width="14.44140625" style="8" customWidth="1"/>
    <col min="8699" max="8699" width="7.33203125" style="8" customWidth="1"/>
    <col min="8700" max="8700" width="5.5546875" style="8" customWidth="1"/>
    <col min="8701" max="8701" width="9" style="8" customWidth="1"/>
    <col min="8702" max="8703" width="9.88671875" style="8" customWidth="1"/>
    <col min="8704" max="8704" width="11.109375" style="8" customWidth="1"/>
    <col min="8705" max="8705" width="2.88671875" style="8" customWidth="1"/>
    <col min="8706" max="8706" width="3.5546875" style="8" customWidth="1"/>
    <col min="8707" max="8951" width="9.109375" style="8"/>
    <col min="8952" max="8952" width="8.6640625" style="8" customWidth="1"/>
    <col min="8953" max="8953" width="9.88671875" style="8" customWidth="1"/>
    <col min="8954" max="8954" width="14.44140625" style="8" customWidth="1"/>
    <col min="8955" max="8955" width="7.33203125" style="8" customWidth="1"/>
    <col min="8956" max="8956" width="5.5546875" style="8" customWidth="1"/>
    <col min="8957" max="8957" width="9" style="8" customWidth="1"/>
    <col min="8958" max="8959" width="9.88671875" style="8" customWidth="1"/>
    <col min="8960" max="8960" width="11.109375" style="8" customWidth="1"/>
    <col min="8961" max="8961" width="2.88671875" style="8" customWidth="1"/>
    <col min="8962" max="8962" width="3.5546875" style="8" customWidth="1"/>
    <col min="8963" max="9207" width="9.109375" style="8"/>
    <col min="9208" max="9208" width="8.6640625" style="8" customWidth="1"/>
    <col min="9209" max="9209" width="9.88671875" style="8" customWidth="1"/>
    <col min="9210" max="9210" width="14.44140625" style="8" customWidth="1"/>
    <col min="9211" max="9211" width="7.33203125" style="8" customWidth="1"/>
    <col min="9212" max="9212" width="5.5546875" style="8" customWidth="1"/>
    <col min="9213" max="9213" width="9" style="8" customWidth="1"/>
    <col min="9214" max="9215" width="9.88671875" style="8" customWidth="1"/>
    <col min="9216" max="9216" width="11.109375" style="8" customWidth="1"/>
    <col min="9217" max="9217" width="2.88671875" style="8" customWidth="1"/>
    <col min="9218" max="9218" width="3.5546875" style="8" customWidth="1"/>
    <col min="9219" max="9463" width="9.109375" style="8"/>
    <col min="9464" max="9464" width="8.6640625" style="8" customWidth="1"/>
    <col min="9465" max="9465" width="9.88671875" style="8" customWidth="1"/>
    <col min="9466" max="9466" width="14.44140625" style="8" customWidth="1"/>
    <col min="9467" max="9467" width="7.33203125" style="8" customWidth="1"/>
    <col min="9468" max="9468" width="5.5546875" style="8" customWidth="1"/>
    <col min="9469" max="9469" width="9" style="8" customWidth="1"/>
    <col min="9470" max="9471" width="9.88671875" style="8" customWidth="1"/>
    <col min="9472" max="9472" width="11.109375" style="8" customWidth="1"/>
    <col min="9473" max="9473" width="2.88671875" style="8" customWidth="1"/>
    <col min="9474" max="9474" width="3.5546875" style="8" customWidth="1"/>
    <col min="9475" max="9719" width="9.109375" style="8"/>
    <col min="9720" max="9720" width="8.6640625" style="8" customWidth="1"/>
    <col min="9721" max="9721" width="9.88671875" style="8" customWidth="1"/>
    <col min="9722" max="9722" width="14.44140625" style="8" customWidth="1"/>
    <col min="9723" max="9723" width="7.33203125" style="8" customWidth="1"/>
    <col min="9724" max="9724" width="5.5546875" style="8" customWidth="1"/>
    <col min="9725" max="9725" width="9" style="8" customWidth="1"/>
    <col min="9726" max="9727" width="9.88671875" style="8" customWidth="1"/>
    <col min="9728" max="9728" width="11.109375" style="8" customWidth="1"/>
    <col min="9729" max="9729" width="2.88671875" style="8" customWidth="1"/>
    <col min="9730" max="9730" width="3.5546875" style="8" customWidth="1"/>
    <col min="9731" max="9975" width="9.109375" style="8"/>
    <col min="9976" max="9976" width="8.6640625" style="8" customWidth="1"/>
    <col min="9977" max="9977" width="9.88671875" style="8" customWidth="1"/>
    <col min="9978" max="9978" width="14.44140625" style="8" customWidth="1"/>
    <col min="9979" max="9979" width="7.33203125" style="8" customWidth="1"/>
    <col min="9980" max="9980" width="5.5546875" style="8" customWidth="1"/>
    <col min="9981" max="9981" width="9" style="8" customWidth="1"/>
    <col min="9982" max="9983" width="9.88671875" style="8" customWidth="1"/>
    <col min="9984" max="9984" width="11.109375" style="8" customWidth="1"/>
    <col min="9985" max="9985" width="2.88671875" style="8" customWidth="1"/>
    <col min="9986" max="9986" width="3.5546875" style="8" customWidth="1"/>
    <col min="9987" max="10231" width="9.109375" style="8"/>
    <col min="10232" max="10232" width="8.6640625" style="8" customWidth="1"/>
    <col min="10233" max="10233" width="9.88671875" style="8" customWidth="1"/>
    <col min="10234" max="10234" width="14.44140625" style="8" customWidth="1"/>
    <col min="10235" max="10235" width="7.33203125" style="8" customWidth="1"/>
    <col min="10236" max="10236" width="5.5546875" style="8" customWidth="1"/>
    <col min="10237" max="10237" width="9" style="8" customWidth="1"/>
    <col min="10238" max="10239" width="9.88671875" style="8" customWidth="1"/>
    <col min="10240" max="10240" width="11.109375" style="8" customWidth="1"/>
    <col min="10241" max="10241" width="2.88671875" style="8" customWidth="1"/>
    <col min="10242" max="10242" width="3.5546875" style="8" customWidth="1"/>
    <col min="10243" max="10487" width="9.109375" style="8"/>
    <col min="10488" max="10488" width="8.6640625" style="8" customWidth="1"/>
    <col min="10489" max="10489" width="9.88671875" style="8" customWidth="1"/>
    <col min="10490" max="10490" width="14.44140625" style="8" customWidth="1"/>
    <col min="10491" max="10491" width="7.33203125" style="8" customWidth="1"/>
    <col min="10492" max="10492" width="5.5546875" style="8" customWidth="1"/>
    <col min="10493" max="10493" width="9" style="8" customWidth="1"/>
    <col min="10494" max="10495" width="9.88671875" style="8" customWidth="1"/>
    <col min="10496" max="10496" width="11.109375" style="8" customWidth="1"/>
    <col min="10497" max="10497" width="2.88671875" style="8" customWidth="1"/>
    <col min="10498" max="10498" width="3.5546875" style="8" customWidth="1"/>
    <col min="10499" max="10743" width="9.109375" style="8"/>
    <col min="10744" max="10744" width="8.6640625" style="8" customWidth="1"/>
    <col min="10745" max="10745" width="9.88671875" style="8" customWidth="1"/>
    <col min="10746" max="10746" width="14.44140625" style="8" customWidth="1"/>
    <col min="10747" max="10747" width="7.33203125" style="8" customWidth="1"/>
    <col min="10748" max="10748" width="5.5546875" style="8" customWidth="1"/>
    <col min="10749" max="10749" width="9" style="8" customWidth="1"/>
    <col min="10750" max="10751" width="9.88671875" style="8" customWidth="1"/>
    <col min="10752" max="10752" width="11.109375" style="8" customWidth="1"/>
    <col min="10753" max="10753" width="2.88671875" style="8" customWidth="1"/>
    <col min="10754" max="10754" width="3.5546875" style="8" customWidth="1"/>
    <col min="10755" max="10999" width="9.109375" style="8"/>
    <col min="11000" max="11000" width="8.6640625" style="8" customWidth="1"/>
    <col min="11001" max="11001" width="9.88671875" style="8" customWidth="1"/>
    <col min="11002" max="11002" width="14.44140625" style="8" customWidth="1"/>
    <col min="11003" max="11003" width="7.33203125" style="8" customWidth="1"/>
    <col min="11004" max="11004" width="5.5546875" style="8" customWidth="1"/>
    <col min="11005" max="11005" width="9" style="8" customWidth="1"/>
    <col min="11006" max="11007" width="9.88671875" style="8" customWidth="1"/>
    <col min="11008" max="11008" width="11.109375" style="8" customWidth="1"/>
    <col min="11009" max="11009" width="2.88671875" style="8" customWidth="1"/>
    <col min="11010" max="11010" width="3.5546875" style="8" customWidth="1"/>
    <col min="11011" max="11255" width="9.109375" style="8"/>
    <col min="11256" max="11256" width="8.6640625" style="8" customWidth="1"/>
    <col min="11257" max="11257" width="9.88671875" style="8" customWidth="1"/>
    <col min="11258" max="11258" width="14.44140625" style="8" customWidth="1"/>
    <col min="11259" max="11259" width="7.33203125" style="8" customWidth="1"/>
    <col min="11260" max="11260" width="5.5546875" style="8" customWidth="1"/>
    <col min="11261" max="11261" width="9" style="8" customWidth="1"/>
    <col min="11262" max="11263" width="9.88671875" style="8" customWidth="1"/>
    <col min="11264" max="11264" width="11.109375" style="8" customWidth="1"/>
    <col min="11265" max="11265" width="2.88671875" style="8" customWidth="1"/>
    <col min="11266" max="11266" width="3.5546875" style="8" customWidth="1"/>
    <col min="11267" max="11511" width="9.109375" style="8"/>
    <col min="11512" max="11512" width="8.6640625" style="8" customWidth="1"/>
    <col min="11513" max="11513" width="9.88671875" style="8" customWidth="1"/>
    <col min="11514" max="11514" width="14.44140625" style="8" customWidth="1"/>
    <col min="11515" max="11515" width="7.33203125" style="8" customWidth="1"/>
    <col min="11516" max="11516" width="5.5546875" style="8" customWidth="1"/>
    <col min="11517" max="11517" width="9" style="8" customWidth="1"/>
    <col min="11518" max="11519" width="9.88671875" style="8" customWidth="1"/>
    <col min="11520" max="11520" width="11.109375" style="8" customWidth="1"/>
    <col min="11521" max="11521" width="2.88671875" style="8" customWidth="1"/>
    <col min="11522" max="11522" width="3.5546875" style="8" customWidth="1"/>
    <col min="11523" max="11767" width="9.109375" style="8"/>
    <col min="11768" max="11768" width="8.6640625" style="8" customWidth="1"/>
    <col min="11769" max="11769" width="9.88671875" style="8" customWidth="1"/>
    <col min="11770" max="11770" width="14.44140625" style="8" customWidth="1"/>
    <col min="11771" max="11771" width="7.33203125" style="8" customWidth="1"/>
    <col min="11772" max="11772" width="5.5546875" style="8" customWidth="1"/>
    <col min="11773" max="11773" width="9" style="8" customWidth="1"/>
    <col min="11774" max="11775" width="9.88671875" style="8" customWidth="1"/>
    <col min="11776" max="11776" width="11.109375" style="8" customWidth="1"/>
    <col min="11777" max="11777" width="2.88671875" style="8" customWidth="1"/>
    <col min="11778" max="11778" width="3.5546875" style="8" customWidth="1"/>
    <col min="11779" max="12023" width="9.109375" style="8"/>
    <col min="12024" max="12024" width="8.6640625" style="8" customWidth="1"/>
    <col min="12025" max="12025" width="9.88671875" style="8" customWidth="1"/>
    <col min="12026" max="12026" width="14.44140625" style="8" customWidth="1"/>
    <col min="12027" max="12027" width="7.33203125" style="8" customWidth="1"/>
    <col min="12028" max="12028" width="5.5546875" style="8" customWidth="1"/>
    <col min="12029" max="12029" width="9" style="8" customWidth="1"/>
    <col min="12030" max="12031" width="9.88671875" style="8" customWidth="1"/>
    <col min="12032" max="12032" width="11.109375" style="8" customWidth="1"/>
    <col min="12033" max="12033" width="2.88671875" style="8" customWidth="1"/>
    <col min="12034" max="12034" width="3.5546875" style="8" customWidth="1"/>
    <col min="12035" max="12279" width="9.109375" style="8"/>
    <col min="12280" max="12280" width="8.6640625" style="8" customWidth="1"/>
    <col min="12281" max="12281" width="9.88671875" style="8" customWidth="1"/>
    <col min="12282" max="12282" width="14.44140625" style="8" customWidth="1"/>
    <col min="12283" max="12283" width="7.33203125" style="8" customWidth="1"/>
    <col min="12284" max="12284" width="5.5546875" style="8" customWidth="1"/>
    <col min="12285" max="12285" width="9" style="8" customWidth="1"/>
    <col min="12286" max="12287" width="9.88671875" style="8" customWidth="1"/>
    <col min="12288" max="12288" width="11.109375" style="8" customWidth="1"/>
    <col min="12289" max="12289" width="2.88671875" style="8" customWidth="1"/>
    <col min="12290" max="12290" width="3.5546875" style="8" customWidth="1"/>
    <col min="12291" max="12535" width="9.109375" style="8"/>
    <col min="12536" max="12536" width="8.6640625" style="8" customWidth="1"/>
    <col min="12537" max="12537" width="9.88671875" style="8" customWidth="1"/>
    <col min="12538" max="12538" width="14.44140625" style="8" customWidth="1"/>
    <col min="12539" max="12539" width="7.33203125" style="8" customWidth="1"/>
    <col min="12540" max="12540" width="5.5546875" style="8" customWidth="1"/>
    <col min="12541" max="12541" width="9" style="8" customWidth="1"/>
    <col min="12542" max="12543" width="9.88671875" style="8" customWidth="1"/>
    <col min="12544" max="12544" width="11.109375" style="8" customWidth="1"/>
    <col min="12545" max="12545" width="2.88671875" style="8" customWidth="1"/>
    <col min="12546" max="12546" width="3.5546875" style="8" customWidth="1"/>
    <col min="12547" max="12791" width="9.109375" style="8"/>
    <col min="12792" max="12792" width="8.6640625" style="8" customWidth="1"/>
    <col min="12793" max="12793" width="9.88671875" style="8" customWidth="1"/>
    <col min="12794" max="12794" width="14.44140625" style="8" customWidth="1"/>
    <col min="12795" max="12795" width="7.33203125" style="8" customWidth="1"/>
    <col min="12796" max="12796" width="5.5546875" style="8" customWidth="1"/>
    <col min="12797" max="12797" width="9" style="8" customWidth="1"/>
    <col min="12798" max="12799" width="9.88671875" style="8" customWidth="1"/>
    <col min="12800" max="12800" width="11.109375" style="8" customWidth="1"/>
    <col min="12801" max="12801" width="2.88671875" style="8" customWidth="1"/>
    <col min="12802" max="12802" width="3.5546875" style="8" customWidth="1"/>
    <col min="12803" max="13047" width="9.109375" style="8"/>
    <col min="13048" max="13048" width="8.6640625" style="8" customWidth="1"/>
    <col min="13049" max="13049" width="9.88671875" style="8" customWidth="1"/>
    <col min="13050" max="13050" width="14.44140625" style="8" customWidth="1"/>
    <col min="13051" max="13051" width="7.33203125" style="8" customWidth="1"/>
    <col min="13052" max="13052" width="5.5546875" style="8" customWidth="1"/>
    <col min="13053" max="13053" width="9" style="8" customWidth="1"/>
    <col min="13054" max="13055" width="9.88671875" style="8" customWidth="1"/>
    <col min="13056" max="13056" width="11.109375" style="8" customWidth="1"/>
    <col min="13057" max="13057" width="2.88671875" style="8" customWidth="1"/>
    <col min="13058" max="13058" width="3.5546875" style="8" customWidth="1"/>
    <col min="13059" max="13303" width="9.109375" style="8"/>
    <col min="13304" max="13304" width="8.6640625" style="8" customWidth="1"/>
    <col min="13305" max="13305" width="9.88671875" style="8" customWidth="1"/>
    <col min="13306" max="13306" width="14.44140625" style="8" customWidth="1"/>
    <col min="13307" max="13307" width="7.33203125" style="8" customWidth="1"/>
    <col min="13308" max="13308" width="5.5546875" style="8" customWidth="1"/>
    <col min="13309" max="13309" width="9" style="8" customWidth="1"/>
    <col min="13310" max="13311" width="9.88671875" style="8" customWidth="1"/>
    <col min="13312" max="13312" width="11.109375" style="8" customWidth="1"/>
    <col min="13313" max="13313" width="2.88671875" style="8" customWidth="1"/>
    <col min="13314" max="13314" width="3.5546875" style="8" customWidth="1"/>
    <col min="13315" max="13559" width="9.109375" style="8"/>
    <col min="13560" max="13560" width="8.6640625" style="8" customWidth="1"/>
    <col min="13561" max="13561" width="9.88671875" style="8" customWidth="1"/>
    <col min="13562" max="13562" width="14.44140625" style="8" customWidth="1"/>
    <col min="13563" max="13563" width="7.33203125" style="8" customWidth="1"/>
    <col min="13564" max="13564" width="5.5546875" style="8" customWidth="1"/>
    <col min="13565" max="13565" width="9" style="8" customWidth="1"/>
    <col min="13566" max="13567" width="9.88671875" style="8" customWidth="1"/>
    <col min="13568" max="13568" width="11.109375" style="8" customWidth="1"/>
    <col min="13569" max="13569" width="2.88671875" style="8" customWidth="1"/>
    <col min="13570" max="13570" width="3.5546875" style="8" customWidth="1"/>
    <col min="13571" max="13815" width="9.109375" style="8"/>
    <col min="13816" max="13816" width="8.6640625" style="8" customWidth="1"/>
    <col min="13817" max="13817" width="9.88671875" style="8" customWidth="1"/>
    <col min="13818" max="13818" width="14.44140625" style="8" customWidth="1"/>
    <col min="13819" max="13819" width="7.33203125" style="8" customWidth="1"/>
    <col min="13820" max="13820" width="5.5546875" style="8" customWidth="1"/>
    <col min="13821" max="13821" width="9" style="8" customWidth="1"/>
    <col min="13822" max="13823" width="9.88671875" style="8" customWidth="1"/>
    <col min="13824" max="13824" width="11.109375" style="8" customWidth="1"/>
    <col min="13825" max="13825" width="2.88671875" style="8" customWidth="1"/>
    <col min="13826" max="13826" width="3.5546875" style="8" customWidth="1"/>
    <col min="13827" max="14071" width="9.109375" style="8"/>
    <col min="14072" max="14072" width="8.6640625" style="8" customWidth="1"/>
    <col min="14073" max="14073" width="9.88671875" style="8" customWidth="1"/>
    <col min="14074" max="14074" width="14.44140625" style="8" customWidth="1"/>
    <col min="14075" max="14075" width="7.33203125" style="8" customWidth="1"/>
    <col min="14076" max="14076" width="5.5546875" style="8" customWidth="1"/>
    <col min="14077" max="14077" width="9" style="8" customWidth="1"/>
    <col min="14078" max="14079" width="9.88671875" style="8" customWidth="1"/>
    <col min="14080" max="14080" width="11.109375" style="8" customWidth="1"/>
    <col min="14081" max="14081" width="2.88671875" style="8" customWidth="1"/>
    <col min="14082" max="14082" width="3.5546875" style="8" customWidth="1"/>
    <col min="14083" max="14327" width="9.109375" style="8"/>
    <col min="14328" max="14328" width="8.6640625" style="8" customWidth="1"/>
    <col min="14329" max="14329" width="9.88671875" style="8" customWidth="1"/>
    <col min="14330" max="14330" width="14.44140625" style="8" customWidth="1"/>
    <col min="14331" max="14331" width="7.33203125" style="8" customWidth="1"/>
    <col min="14332" max="14332" width="5.5546875" style="8" customWidth="1"/>
    <col min="14333" max="14333" width="9" style="8" customWidth="1"/>
    <col min="14334" max="14335" width="9.88671875" style="8" customWidth="1"/>
    <col min="14336" max="14336" width="11.109375" style="8" customWidth="1"/>
    <col min="14337" max="14337" width="2.88671875" style="8" customWidth="1"/>
    <col min="14338" max="14338" width="3.5546875" style="8" customWidth="1"/>
    <col min="14339" max="14583" width="9.109375" style="8"/>
    <col min="14584" max="14584" width="8.6640625" style="8" customWidth="1"/>
    <col min="14585" max="14585" width="9.88671875" style="8" customWidth="1"/>
    <col min="14586" max="14586" width="14.44140625" style="8" customWidth="1"/>
    <col min="14587" max="14587" width="7.33203125" style="8" customWidth="1"/>
    <col min="14588" max="14588" width="5.5546875" style="8" customWidth="1"/>
    <col min="14589" max="14589" width="9" style="8" customWidth="1"/>
    <col min="14590" max="14591" width="9.88671875" style="8" customWidth="1"/>
    <col min="14592" max="14592" width="11.109375" style="8" customWidth="1"/>
    <col min="14593" max="14593" width="2.88671875" style="8" customWidth="1"/>
    <col min="14594" max="14594" width="3.5546875" style="8" customWidth="1"/>
    <col min="14595" max="14839" width="9.109375" style="8"/>
    <col min="14840" max="14840" width="8.6640625" style="8" customWidth="1"/>
    <col min="14841" max="14841" width="9.88671875" style="8" customWidth="1"/>
    <col min="14842" max="14842" width="14.44140625" style="8" customWidth="1"/>
    <col min="14843" max="14843" width="7.33203125" style="8" customWidth="1"/>
    <col min="14844" max="14844" width="5.5546875" style="8" customWidth="1"/>
    <col min="14845" max="14845" width="9" style="8" customWidth="1"/>
    <col min="14846" max="14847" width="9.88671875" style="8" customWidth="1"/>
    <col min="14848" max="14848" width="11.109375" style="8" customWidth="1"/>
    <col min="14849" max="14849" width="2.88671875" style="8" customWidth="1"/>
    <col min="14850" max="14850" width="3.5546875" style="8" customWidth="1"/>
    <col min="14851" max="15095" width="9.109375" style="8"/>
    <col min="15096" max="15096" width="8.6640625" style="8" customWidth="1"/>
    <col min="15097" max="15097" width="9.88671875" style="8" customWidth="1"/>
    <col min="15098" max="15098" width="14.44140625" style="8" customWidth="1"/>
    <col min="15099" max="15099" width="7.33203125" style="8" customWidth="1"/>
    <col min="15100" max="15100" width="5.5546875" style="8" customWidth="1"/>
    <col min="15101" max="15101" width="9" style="8" customWidth="1"/>
    <col min="15102" max="15103" width="9.88671875" style="8" customWidth="1"/>
    <col min="15104" max="15104" width="11.109375" style="8" customWidth="1"/>
    <col min="15105" max="15105" width="2.88671875" style="8" customWidth="1"/>
    <col min="15106" max="15106" width="3.5546875" style="8" customWidth="1"/>
    <col min="15107" max="15351" width="9.109375" style="8"/>
    <col min="15352" max="15352" width="8.6640625" style="8" customWidth="1"/>
    <col min="15353" max="15353" width="9.88671875" style="8" customWidth="1"/>
    <col min="15354" max="15354" width="14.44140625" style="8" customWidth="1"/>
    <col min="15355" max="15355" width="7.33203125" style="8" customWidth="1"/>
    <col min="15356" max="15356" width="5.5546875" style="8" customWidth="1"/>
    <col min="15357" max="15357" width="9" style="8" customWidth="1"/>
    <col min="15358" max="15359" width="9.88671875" style="8" customWidth="1"/>
    <col min="15360" max="15360" width="11.109375" style="8" customWidth="1"/>
    <col min="15361" max="15361" width="2.88671875" style="8" customWidth="1"/>
    <col min="15362" max="15362" width="3.5546875" style="8" customWidth="1"/>
    <col min="15363" max="15607" width="9.109375" style="8"/>
    <col min="15608" max="15608" width="8.6640625" style="8" customWidth="1"/>
    <col min="15609" max="15609" width="9.88671875" style="8" customWidth="1"/>
    <col min="15610" max="15610" width="14.44140625" style="8" customWidth="1"/>
    <col min="15611" max="15611" width="7.33203125" style="8" customWidth="1"/>
    <col min="15612" max="15612" width="5.5546875" style="8" customWidth="1"/>
    <col min="15613" max="15613" width="9" style="8" customWidth="1"/>
    <col min="15614" max="15615" width="9.88671875" style="8" customWidth="1"/>
    <col min="15616" max="15616" width="11.109375" style="8" customWidth="1"/>
    <col min="15617" max="15617" width="2.88671875" style="8" customWidth="1"/>
    <col min="15618" max="15618" width="3.5546875" style="8" customWidth="1"/>
    <col min="15619" max="15863" width="9.109375" style="8"/>
    <col min="15864" max="15864" width="8.6640625" style="8" customWidth="1"/>
    <col min="15865" max="15865" width="9.88671875" style="8" customWidth="1"/>
    <col min="15866" max="15866" width="14.44140625" style="8" customWidth="1"/>
    <col min="15867" max="15867" width="7.33203125" style="8" customWidth="1"/>
    <col min="15868" max="15868" width="5.5546875" style="8" customWidth="1"/>
    <col min="15869" max="15869" width="9" style="8" customWidth="1"/>
    <col min="15870" max="15871" width="9.88671875" style="8" customWidth="1"/>
    <col min="15872" max="15872" width="11.109375" style="8" customWidth="1"/>
    <col min="15873" max="15873" width="2.88671875" style="8" customWidth="1"/>
    <col min="15874" max="15874" width="3.5546875" style="8" customWidth="1"/>
    <col min="15875" max="16119" width="9.109375" style="8"/>
    <col min="16120" max="16120" width="8.6640625" style="8" customWidth="1"/>
    <col min="16121" max="16121" width="9.88671875" style="8" customWidth="1"/>
    <col min="16122" max="16122" width="14.44140625" style="8" customWidth="1"/>
    <col min="16123" max="16123" width="7.33203125" style="8" customWidth="1"/>
    <col min="16124" max="16124" width="5.5546875" style="8" customWidth="1"/>
    <col min="16125" max="16125" width="9" style="8" customWidth="1"/>
    <col min="16126" max="16127" width="9.88671875" style="8" customWidth="1"/>
    <col min="16128" max="16128" width="11.109375" style="8" customWidth="1"/>
    <col min="16129" max="16129" width="2.88671875" style="8" customWidth="1"/>
    <col min="16130" max="16130" width="3.5546875" style="8" customWidth="1"/>
    <col min="16131" max="16384" width="9.109375" style="8"/>
  </cols>
  <sheetData>
    <row r="1" spans="1:9" ht="46.5" customHeight="1" x14ac:dyDescent="0.3">
      <c r="A1" s="200" t="s">
        <v>244</v>
      </c>
      <c r="B1" s="200"/>
      <c r="C1" s="200"/>
      <c r="D1" s="200"/>
      <c r="E1" s="200"/>
      <c r="F1" s="200"/>
      <c r="G1" s="200"/>
      <c r="H1" s="200"/>
    </row>
    <row r="2" spans="1:9" ht="16.5" customHeight="1" x14ac:dyDescent="0.3">
      <c r="A2" s="137" t="s">
        <v>0</v>
      </c>
      <c r="B2" s="137"/>
      <c r="C2" s="137"/>
      <c r="D2" s="137"/>
      <c r="E2" s="137"/>
      <c r="F2" s="137"/>
      <c r="G2" s="137"/>
      <c r="H2" s="137"/>
    </row>
    <row r="3" spans="1:9" x14ac:dyDescent="0.3">
      <c r="A3" s="133" t="s">
        <v>1</v>
      </c>
      <c r="B3" s="133"/>
      <c r="C3" s="133"/>
      <c r="D3" s="133"/>
      <c r="E3" s="201" t="str">
        <f ca="1">TEXT(TODAY(),"DD/MM/YYYY")</f>
        <v>13/09/2025</v>
      </c>
      <c r="F3" s="201"/>
      <c r="G3" s="201"/>
      <c r="H3" s="201"/>
    </row>
    <row r="4" spans="1:9" s="10" customFormat="1" ht="15" customHeight="1" x14ac:dyDescent="0.3">
      <c r="A4" s="112" t="s">
        <v>2</v>
      </c>
      <c r="B4" s="112"/>
      <c r="C4" s="112"/>
      <c r="D4" s="112"/>
      <c r="E4" s="196" t="s">
        <v>182</v>
      </c>
      <c r="F4" s="196"/>
      <c r="G4" s="196"/>
      <c r="H4" s="196"/>
    </row>
    <row r="5" spans="1:9" s="10" customFormat="1" x14ac:dyDescent="0.3">
      <c r="A5" s="112" t="s">
        <v>3</v>
      </c>
      <c r="B5" s="112"/>
      <c r="C5" s="112"/>
      <c r="D5" s="112"/>
      <c r="E5" s="198">
        <v>45908</v>
      </c>
      <c r="F5" s="198"/>
      <c r="G5" s="198"/>
      <c r="H5" s="198"/>
    </row>
    <row r="6" spans="1:9" s="10" customFormat="1" ht="16.5" customHeight="1" x14ac:dyDescent="0.3">
      <c r="A6" s="112" t="s">
        <v>4</v>
      </c>
      <c r="B6" s="112"/>
      <c r="C6" s="112"/>
      <c r="D6" s="112"/>
      <c r="E6" s="116" t="s">
        <v>325</v>
      </c>
      <c r="F6" s="116"/>
      <c r="G6" s="116"/>
      <c r="H6" s="116"/>
    </row>
    <row r="7" spans="1:9" s="10" customFormat="1" ht="16.5" customHeight="1" x14ac:dyDescent="0.3">
      <c r="A7" s="112" t="s">
        <v>5</v>
      </c>
      <c r="B7" s="112"/>
      <c r="C7" s="112"/>
      <c r="D7" s="112"/>
      <c r="E7" s="116" t="str">
        <f>E6</f>
        <v>M/s. Kgi Realty Private Limited</v>
      </c>
      <c r="F7" s="116"/>
      <c r="G7" s="116"/>
      <c r="H7" s="116"/>
    </row>
    <row r="8" spans="1:9" s="10" customFormat="1" x14ac:dyDescent="0.3">
      <c r="A8" s="112" t="s">
        <v>6</v>
      </c>
      <c r="B8" s="112"/>
      <c r="C8" s="112"/>
      <c r="D8" s="112"/>
      <c r="E8" s="145" t="s">
        <v>328</v>
      </c>
      <c r="F8" s="145"/>
      <c r="G8" s="145"/>
      <c r="H8" s="145"/>
      <c r="I8" s="10" t="s">
        <v>328</v>
      </c>
    </row>
    <row r="9" spans="1:9" s="10" customFormat="1" x14ac:dyDescent="0.3">
      <c r="A9" s="112" t="s">
        <v>155</v>
      </c>
      <c r="B9" s="112"/>
      <c r="C9" s="112"/>
      <c r="D9" s="112"/>
      <c r="E9" s="112" t="s">
        <v>269</v>
      </c>
      <c r="F9" s="112"/>
      <c r="G9" s="112"/>
      <c r="H9" s="112"/>
    </row>
    <row r="10" spans="1:9" s="10" customFormat="1" x14ac:dyDescent="0.3">
      <c r="A10" s="112" t="s">
        <v>221</v>
      </c>
      <c r="B10" s="112"/>
      <c r="C10" s="112"/>
      <c r="D10" s="112"/>
      <c r="E10" s="199" t="s">
        <v>300</v>
      </c>
      <c r="F10" s="199"/>
      <c r="G10" s="199"/>
      <c r="H10" s="199"/>
    </row>
    <row r="11" spans="1:9" s="10" customFormat="1" x14ac:dyDescent="0.3">
      <c r="A11" s="112" t="s">
        <v>7</v>
      </c>
      <c r="B11" s="112"/>
      <c r="C11" s="112"/>
      <c r="D11" s="112"/>
      <c r="E11" s="112" t="s">
        <v>303</v>
      </c>
      <c r="F11" s="112"/>
      <c r="G11" s="112"/>
      <c r="H11" s="112"/>
    </row>
    <row r="12" spans="1:9" s="10" customFormat="1" ht="15.75" customHeight="1" x14ac:dyDescent="0.3">
      <c r="A12" s="112" t="s">
        <v>8</v>
      </c>
      <c r="B12" s="112"/>
      <c r="C12" s="112"/>
      <c r="D12" s="112"/>
      <c r="E12" s="116" t="s">
        <v>196</v>
      </c>
      <c r="F12" s="116"/>
      <c r="G12" s="116"/>
      <c r="H12" s="116"/>
    </row>
    <row r="13" spans="1:9" s="10" customFormat="1" ht="98.25" customHeight="1" x14ac:dyDescent="0.3">
      <c r="A13" s="112" t="s">
        <v>251</v>
      </c>
      <c r="B13" s="112"/>
      <c r="C13" s="112"/>
      <c r="D13" s="112"/>
      <c r="E13" s="116" t="s">
        <v>329</v>
      </c>
      <c r="F13" s="112"/>
      <c r="G13" s="112"/>
      <c r="H13" s="112"/>
    </row>
    <row r="14" spans="1:9" s="10" customFormat="1" ht="34.5" customHeight="1" x14ac:dyDescent="0.3">
      <c r="A14" s="116" t="s">
        <v>9</v>
      </c>
      <c r="B14" s="116"/>
      <c r="C14" s="116" t="str">
        <f>CONCATENATE((IF(OR(E8="",E8="NA"),"",E8)),", ",(IF(OR(A15="",A15="NA"),"",A15)),".",(IF(OR(C15="",C15="NA"),"",C15)),", near ",(IF(OR(C19="",C19="NA"),"",C19)),", ",(IF(OR(C16="",C16="NA"),"",C16)),", ",(IF(OR(G16="",G16="NA"),"",G16)),", ",(IF(OR(C17="",C17="NA"),"",C17)),", ",(IF(OR(C18="",C18="NA"),"",C18)),", ",(IF(OR(G17="",G17="NA"),"",G17)),", ",(IF(OR(G18="",G18="NA"),"",G18)),".")</f>
        <v>Kohinoor Eden (Building No. 1 to 7), Survey No.36/23/3 &amp; 36/24, near Triveni Apartments, Malangad Road, Adivali Dhokali, Kalyan East, Ambernath, Thane, 421306.</v>
      </c>
      <c r="D14" s="116"/>
      <c r="E14" s="116"/>
      <c r="F14" s="116"/>
      <c r="G14" s="116"/>
      <c r="H14" s="116"/>
    </row>
    <row r="15" spans="1:9" s="10" customFormat="1" x14ac:dyDescent="0.3">
      <c r="A15" s="116" t="s">
        <v>197</v>
      </c>
      <c r="B15" s="116"/>
      <c r="C15" s="116" t="s">
        <v>198</v>
      </c>
      <c r="D15" s="116"/>
      <c r="E15" s="116"/>
      <c r="F15" s="116"/>
      <c r="G15" s="116"/>
      <c r="H15" s="116"/>
    </row>
    <row r="16" spans="1:9" s="10" customFormat="1" ht="15.75" customHeight="1" x14ac:dyDescent="0.3">
      <c r="A16" s="116" t="s">
        <v>10</v>
      </c>
      <c r="B16" s="116"/>
      <c r="C16" s="112" t="s">
        <v>200</v>
      </c>
      <c r="D16" s="112"/>
      <c r="E16" s="116" t="s">
        <v>97</v>
      </c>
      <c r="F16" s="116"/>
      <c r="G16" s="116" t="s">
        <v>184</v>
      </c>
      <c r="H16" s="116"/>
    </row>
    <row r="17" spans="1:8" s="10" customFormat="1" x14ac:dyDescent="0.3">
      <c r="A17" s="112" t="s">
        <v>12</v>
      </c>
      <c r="B17" s="112"/>
      <c r="C17" s="116" t="s">
        <v>203</v>
      </c>
      <c r="D17" s="116"/>
      <c r="E17" s="116" t="s">
        <v>11</v>
      </c>
      <c r="F17" s="116"/>
      <c r="G17" s="194" t="s">
        <v>185</v>
      </c>
      <c r="H17" s="194"/>
    </row>
    <row r="18" spans="1:8" s="10" customFormat="1" x14ac:dyDescent="0.3">
      <c r="A18" s="112" t="s">
        <v>98</v>
      </c>
      <c r="B18" s="112"/>
      <c r="C18" s="116" t="s">
        <v>204</v>
      </c>
      <c r="D18" s="116"/>
      <c r="E18" s="116" t="s">
        <v>13</v>
      </c>
      <c r="F18" s="116"/>
      <c r="G18" s="116">
        <v>421306</v>
      </c>
      <c r="H18" s="116"/>
    </row>
    <row r="19" spans="1:8" s="10" customFormat="1" ht="32.25" customHeight="1" x14ac:dyDescent="0.3">
      <c r="A19" s="112" t="s">
        <v>156</v>
      </c>
      <c r="B19" s="112"/>
      <c r="C19" s="197" t="s">
        <v>199</v>
      </c>
      <c r="D19" s="197"/>
      <c r="E19" s="116" t="s">
        <v>14</v>
      </c>
      <c r="F19" s="116"/>
      <c r="G19" s="116" t="s">
        <v>202</v>
      </c>
      <c r="H19" s="116"/>
    </row>
    <row r="20" spans="1:8" s="10" customFormat="1" ht="15" customHeight="1" x14ac:dyDescent="0.3">
      <c r="A20" s="116" t="s">
        <v>102</v>
      </c>
      <c r="B20" s="116"/>
      <c r="C20" s="116"/>
      <c r="D20" s="116"/>
      <c r="E20" s="112" t="s">
        <v>15</v>
      </c>
      <c r="F20" s="112"/>
      <c r="G20" s="112"/>
      <c r="H20" s="112"/>
    </row>
    <row r="21" spans="1:8" s="10" customFormat="1" ht="18.75" customHeight="1" x14ac:dyDescent="0.3">
      <c r="A21" s="116"/>
      <c r="B21" s="116"/>
      <c r="C21" s="116"/>
      <c r="D21" s="116"/>
      <c r="E21" s="112"/>
      <c r="F21" s="112"/>
      <c r="G21" s="112"/>
      <c r="H21" s="112"/>
    </row>
    <row r="22" spans="1:8" s="10" customFormat="1" ht="15" customHeight="1" x14ac:dyDescent="0.3">
      <c r="A22" s="116" t="s">
        <v>16</v>
      </c>
      <c r="B22" s="116"/>
      <c r="C22" s="116"/>
      <c r="D22" s="116"/>
      <c r="E22" s="116" t="s">
        <v>17</v>
      </c>
      <c r="F22" s="116"/>
      <c r="G22" s="116"/>
      <c r="H22" s="116"/>
    </row>
    <row r="23" spans="1:8" s="10" customFormat="1" ht="15" customHeight="1" x14ac:dyDescent="0.3">
      <c r="A23" s="112" t="s">
        <v>18</v>
      </c>
      <c r="B23" s="112"/>
      <c r="C23" s="112"/>
      <c r="D23" s="112"/>
      <c r="E23" s="116" t="str">
        <f>IF(AND(G17="Mumbai"),"Upper Class","Middle Class")</f>
        <v>Middle Class</v>
      </c>
      <c r="F23" s="116"/>
      <c r="G23" s="116"/>
      <c r="H23" s="116"/>
    </row>
    <row r="24" spans="1:8" s="10" customFormat="1" x14ac:dyDescent="0.3">
      <c r="A24" s="112" t="s">
        <v>19</v>
      </c>
      <c r="B24" s="112"/>
      <c r="C24" s="112"/>
      <c r="D24" s="112"/>
      <c r="E24" s="116" t="s">
        <v>20</v>
      </c>
      <c r="F24" s="116"/>
      <c r="G24" s="116"/>
      <c r="H24" s="116"/>
    </row>
    <row r="25" spans="1:8" s="10" customFormat="1" ht="15.75" customHeight="1" x14ac:dyDescent="0.3">
      <c r="A25" s="112" t="s">
        <v>21</v>
      </c>
      <c r="B25" s="112"/>
      <c r="C25" s="112"/>
      <c r="D25" s="112"/>
      <c r="E25" s="116" t="str">
        <f>IF(AND(G17="Mumbai"),"Developed","Developing")</f>
        <v>Developing</v>
      </c>
      <c r="F25" s="116"/>
      <c r="G25" s="116"/>
      <c r="H25" s="116"/>
    </row>
    <row r="26" spans="1:8" s="10" customFormat="1" x14ac:dyDescent="0.3">
      <c r="A26" s="112" t="s">
        <v>22</v>
      </c>
      <c r="B26" s="112"/>
      <c r="C26" s="112"/>
      <c r="D26" s="112"/>
      <c r="E26" s="116" t="s">
        <v>23</v>
      </c>
      <c r="F26" s="116"/>
      <c r="G26" s="116"/>
      <c r="H26" s="116"/>
    </row>
    <row r="27" spans="1:8" s="10" customFormat="1" x14ac:dyDescent="0.3">
      <c r="A27" s="112" t="s">
        <v>109</v>
      </c>
      <c r="B27" s="112"/>
      <c r="C27" s="112"/>
      <c r="D27" s="112"/>
      <c r="E27" s="116" t="s">
        <v>110</v>
      </c>
      <c r="F27" s="116"/>
      <c r="G27" s="116"/>
      <c r="H27" s="116"/>
    </row>
    <row r="28" spans="1:8" s="10" customFormat="1" ht="15" customHeight="1" x14ac:dyDescent="0.3">
      <c r="A28" s="116" t="s">
        <v>31</v>
      </c>
      <c r="B28" s="116"/>
      <c r="C28" s="116"/>
      <c r="D28" s="116"/>
      <c r="E28" s="196" t="s">
        <v>194</v>
      </c>
      <c r="F28" s="196"/>
      <c r="G28" s="196"/>
      <c r="H28" s="196"/>
    </row>
    <row r="29" spans="1:8" s="10" customFormat="1" x14ac:dyDescent="0.3">
      <c r="A29" s="116" t="s">
        <v>120</v>
      </c>
      <c r="B29" s="116"/>
      <c r="C29" s="116"/>
      <c r="D29" s="116"/>
      <c r="E29" s="116" t="s">
        <v>32</v>
      </c>
      <c r="F29" s="116"/>
      <c r="G29" s="116"/>
      <c r="H29" s="116"/>
    </row>
    <row r="30" spans="1:8" s="10" customFormat="1" x14ac:dyDescent="0.3">
      <c r="A30" s="192" t="s">
        <v>121</v>
      </c>
      <c r="B30" s="192"/>
      <c r="C30" s="190" t="s">
        <v>245</v>
      </c>
      <c r="D30" s="190"/>
      <c r="E30" s="190"/>
      <c r="F30" s="190" t="s">
        <v>29</v>
      </c>
      <c r="G30" s="190"/>
      <c r="H30" s="190"/>
    </row>
    <row r="31" spans="1:8" s="10" customFormat="1" x14ac:dyDescent="0.3">
      <c r="A31" s="191" t="s">
        <v>24</v>
      </c>
      <c r="B31" s="191" t="s">
        <v>28</v>
      </c>
      <c r="C31" s="189" t="s">
        <v>246</v>
      </c>
      <c r="D31" s="189"/>
      <c r="E31" s="189"/>
      <c r="F31" s="189" t="s">
        <v>186</v>
      </c>
      <c r="G31" s="189"/>
      <c r="H31" s="189"/>
    </row>
    <row r="32" spans="1:8" s="10" customFormat="1" x14ac:dyDescent="0.3">
      <c r="A32" s="191" t="s">
        <v>25</v>
      </c>
      <c r="B32" s="191" t="s">
        <v>28</v>
      </c>
      <c r="C32" s="189" t="s">
        <v>247</v>
      </c>
      <c r="D32" s="189"/>
      <c r="E32" s="189"/>
      <c r="F32" s="189" t="s">
        <v>10</v>
      </c>
      <c r="G32" s="189"/>
      <c r="H32" s="189"/>
    </row>
    <row r="33" spans="1:14" s="10" customFormat="1" x14ac:dyDescent="0.3">
      <c r="A33" s="191" t="s">
        <v>27</v>
      </c>
      <c r="B33" s="191" t="s">
        <v>28</v>
      </c>
      <c r="C33" s="189" t="s">
        <v>248</v>
      </c>
      <c r="D33" s="189"/>
      <c r="E33" s="189"/>
      <c r="F33" s="189" t="s">
        <v>199</v>
      </c>
      <c r="G33" s="189"/>
      <c r="H33" s="189"/>
    </row>
    <row r="34" spans="1:14" s="10" customFormat="1" x14ac:dyDescent="0.3">
      <c r="A34" s="191" t="s">
        <v>26</v>
      </c>
      <c r="B34" s="191" t="s">
        <v>28</v>
      </c>
      <c r="C34" s="189" t="s">
        <v>249</v>
      </c>
      <c r="D34" s="189"/>
      <c r="E34" s="189"/>
      <c r="F34" s="189" t="s">
        <v>10</v>
      </c>
      <c r="G34" s="189"/>
      <c r="H34" s="189"/>
    </row>
    <row r="35" spans="1:14" s="10" customFormat="1" x14ac:dyDescent="0.3">
      <c r="A35" s="112" t="s">
        <v>30</v>
      </c>
      <c r="B35" s="112"/>
      <c r="C35" s="112"/>
      <c r="D35" s="112"/>
      <c r="E35" s="112"/>
      <c r="F35" s="112"/>
      <c r="G35" s="112"/>
      <c r="H35" s="112"/>
    </row>
    <row r="36" spans="1:14" s="10" customFormat="1" ht="15.75" customHeight="1" x14ac:dyDescent="0.3">
      <c r="A36" s="112" t="s">
        <v>250</v>
      </c>
      <c r="B36" s="112"/>
      <c r="C36" s="195" t="s">
        <v>254</v>
      </c>
      <c r="D36" s="195"/>
      <c r="E36" s="195"/>
      <c r="F36" s="195"/>
      <c r="G36" s="195"/>
      <c r="H36" s="195"/>
    </row>
    <row r="37" spans="1:14" s="10" customFormat="1" ht="15.75" customHeight="1" x14ac:dyDescent="0.3">
      <c r="A37" s="112" t="s">
        <v>242</v>
      </c>
      <c r="B37" s="112"/>
      <c r="C37" s="193" t="s">
        <v>243</v>
      </c>
      <c r="D37" s="194"/>
      <c r="E37" s="194"/>
      <c r="F37" s="194"/>
      <c r="G37" s="194"/>
      <c r="H37" s="194"/>
    </row>
    <row r="38" spans="1:14" s="10" customFormat="1" x14ac:dyDescent="0.3">
      <c r="A38" s="145" t="s">
        <v>33</v>
      </c>
      <c r="B38" s="145"/>
      <c r="C38" s="145"/>
      <c r="D38" s="145"/>
      <c r="E38" s="145"/>
      <c r="F38" s="145"/>
      <c r="G38" s="145"/>
      <c r="H38" s="145"/>
    </row>
    <row r="39" spans="1:14" s="10" customFormat="1" x14ac:dyDescent="0.3">
      <c r="A39" s="112" t="s">
        <v>319</v>
      </c>
      <c r="B39" s="112"/>
      <c r="C39" s="112"/>
      <c r="D39" s="112"/>
      <c r="E39" s="188">
        <v>17769.2</v>
      </c>
      <c r="F39" s="188"/>
      <c r="G39" s="188"/>
      <c r="H39" s="188"/>
      <c r="I39" s="10">
        <v>17769.2</v>
      </c>
    </row>
    <row r="40" spans="1:14" s="10" customFormat="1" x14ac:dyDescent="0.3">
      <c r="A40" s="112" t="s">
        <v>34</v>
      </c>
      <c r="B40" s="112"/>
      <c r="C40" s="112"/>
      <c r="D40" s="112"/>
      <c r="E40" s="204">
        <f>22736.93/E39</f>
        <v>1.2795697048826058</v>
      </c>
      <c r="F40" s="204"/>
      <c r="G40" s="204"/>
      <c r="H40" s="204"/>
      <c r="I40" s="10">
        <f>22736.93/I39</f>
        <v>1.2795697048826058</v>
      </c>
    </row>
    <row r="41" spans="1:14" s="10" customFormat="1" x14ac:dyDescent="0.3">
      <c r="A41" s="112" t="s">
        <v>35</v>
      </c>
      <c r="B41" s="112"/>
      <c r="C41" s="112"/>
      <c r="D41" s="112"/>
      <c r="E41" s="204">
        <f>E43/E39-E40</f>
        <v>4.359845125272944</v>
      </c>
      <c r="F41" s="204"/>
      <c r="G41" s="204"/>
      <c r="H41" s="204"/>
    </row>
    <row r="42" spans="1:14" s="10" customFormat="1" x14ac:dyDescent="0.3">
      <c r="A42" s="112" t="s">
        <v>36</v>
      </c>
      <c r="B42" s="112"/>
      <c r="C42" s="112"/>
      <c r="D42" s="112"/>
      <c r="E42" s="204">
        <f>E40+E41</f>
        <v>5.63941483015555</v>
      </c>
      <c r="F42" s="204"/>
      <c r="G42" s="204"/>
      <c r="H42" s="204"/>
    </row>
    <row r="43" spans="1:14" s="10" customFormat="1" x14ac:dyDescent="0.3">
      <c r="A43" s="112" t="s">
        <v>119</v>
      </c>
      <c r="B43" s="112"/>
      <c r="C43" s="112"/>
      <c r="D43" s="112"/>
      <c r="E43" s="111">
        <f>99183.38+1024.51</f>
        <v>100207.89</v>
      </c>
      <c r="F43" s="111"/>
      <c r="G43" s="111"/>
      <c r="H43" s="111"/>
      <c r="K43" s="111">
        <v>100274.27</v>
      </c>
      <c r="L43" s="111"/>
      <c r="M43" s="111"/>
      <c r="N43" s="111"/>
    </row>
    <row r="44" spans="1:14" s="10" customFormat="1" x14ac:dyDescent="0.3">
      <c r="A44" s="112" t="s">
        <v>37</v>
      </c>
      <c r="B44" s="112"/>
      <c r="C44" s="112"/>
      <c r="D44" s="112"/>
      <c r="E44" s="112" t="s">
        <v>304</v>
      </c>
      <c r="F44" s="112"/>
      <c r="G44" s="112"/>
      <c r="H44" s="112"/>
    </row>
    <row r="45" spans="1:14" x14ac:dyDescent="0.3">
      <c r="A45" s="147" t="s">
        <v>38</v>
      </c>
      <c r="B45" s="147"/>
      <c r="C45" s="147"/>
      <c r="D45" s="147"/>
      <c r="E45" s="147"/>
      <c r="F45" s="147"/>
      <c r="G45" s="147"/>
      <c r="H45" s="147"/>
    </row>
    <row r="46" spans="1:14" ht="37.5" customHeight="1" x14ac:dyDescent="0.3">
      <c r="A46" s="106" t="s">
        <v>317</v>
      </c>
      <c r="B46" s="107"/>
      <c r="C46" s="108" t="s">
        <v>318</v>
      </c>
      <c r="D46" s="109"/>
      <c r="E46" s="109"/>
      <c r="F46" s="109"/>
      <c r="G46" s="109"/>
      <c r="H46" s="110"/>
    </row>
    <row r="47" spans="1:14" x14ac:dyDescent="0.3">
      <c r="A47" s="205" t="s">
        <v>232</v>
      </c>
      <c r="B47" s="205"/>
      <c r="C47" s="205"/>
      <c r="D47" s="205"/>
      <c r="E47" s="205"/>
      <c r="F47" s="205"/>
      <c r="G47" s="205"/>
      <c r="H47" s="205"/>
    </row>
    <row r="48" spans="1:14" x14ac:dyDescent="0.3">
      <c r="A48" s="207" t="s">
        <v>39</v>
      </c>
      <c r="B48" s="207"/>
      <c r="C48" s="222" t="s">
        <v>183</v>
      </c>
      <c r="D48" s="222"/>
      <c r="E48" s="222"/>
      <c r="F48" s="62" t="s">
        <v>40</v>
      </c>
      <c r="G48" s="115">
        <v>44406</v>
      </c>
      <c r="H48" s="115"/>
    </row>
    <row r="49" spans="1:13" ht="15.75" customHeight="1" x14ac:dyDescent="0.3">
      <c r="A49" s="225" t="s">
        <v>41</v>
      </c>
      <c r="B49" s="225"/>
      <c r="C49" s="222" t="str">
        <f>C48</f>
        <v>KDMC/TPD/BP/27Village/2021-22/01/219</v>
      </c>
      <c r="D49" s="222"/>
      <c r="E49" s="222"/>
      <c r="F49" s="62" t="s">
        <v>40</v>
      </c>
      <c r="G49" s="115">
        <f>G48</f>
        <v>44406</v>
      </c>
      <c r="H49" s="115"/>
    </row>
    <row r="50" spans="1:13" s="10" customFormat="1" ht="15.75" customHeight="1" x14ac:dyDescent="0.3">
      <c r="A50" s="116" t="s">
        <v>42</v>
      </c>
      <c r="B50" s="116"/>
      <c r="C50" s="222" t="str">
        <f>C49</f>
        <v>KDMC/TPD/BP/27Village/2021-22/01/219</v>
      </c>
      <c r="D50" s="222"/>
      <c r="E50" s="222"/>
      <c r="F50" s="12" t="s">
        <v>40</v>
      </c>
      <c r="G50" s="115">
        <f>G49</f>
        <v>44406</v>
      </c>
      <c r="H50" s="115"/>
    </row>
    <row r="51" spans="1:13" s="10" customFormat="1" ht="32.25" customHeight="1" x14ac:dyDescent="0.3">
      <c r="A51" s="116"/>
      <c r="B51" s="116"/>
      <c r="C51" s="227" t="s">
        <v>286</v>
      </c>
      <c r="D51" s="228"/>
      <c r="E51" s="228"/>
      <c r="F51" s="228"/>
      <c r="G51" s="228"/>
      <c r="H51" s="229"/>
    </row>
    <row r="52" spans="1:13" x14ac:dyDescent="0.3">
      <c r="A52" s="205" t="s">
        <v>316</v>
      </c>
      <c r="B52" s="205"/>
      <c r="C52" s="205"/>
      <c r="D52" s="205"/>
      <c r="E52" s="205"/>
      <c r="F52" s="205"/>
      <c r="G52" s="205"/>
      <c r="H52" s="205"/>
    </row>
    <row r="53" spans="1:13" x14ac:dyDescent="0.3">
      <c r="A53" s="235" t="s">
        <v>233</v>
      </c>
      <c r="B53" s="235"/>
      <c r="C53" s="117" t="s">
        <v>230</v>
      </c>
      <c r="D53" s="117"/>
      <c r="E53" s="117"/>
      <c r="F53" s="62" t="s">
        <v>40</v>
      </c>
      <c r="G53" s="115">
        <v>44915</v>
      </c>
      <c r="H53" s="115"/>
    </row>
    <row r="54" spans="1:13" x14ac:dyDescent="0.3">
      <c r="A54" s="207" t="s">
        <v>234</v>
      </c>
      <c r="B54" s="133"/>
      <c r="C54" s="117" t="str">
        <f>C53</f>
        <v>KDMC/TPD/BP/27Village/2021-22/01/338</v>
      </c>
      <c r="D54" s="117"/>
      <c r="E54" s="117"/>
      <c r="F54" s="62" t="s">
        <v>40</v>
      </c>
      <c r="G54" s="115">
        <f>G53</f>
        <v>44915</v>
      </c>
      <c r="H54" s="115"/>
    </row>
    <row r="55" spans="1:13" s="10" customFormat="1" ht="24.75" customHeight="1" x14ac:dyDescent="0.3">
      <c r="A55" s="116" t="s">
        <v>235</v>
      </c>
      <c r="B55" s="116"/>
      <c r="C55" s="117" t="s">
        <v>230</v>
      </c>
      <c r="D55" s="117"/>
      <c r="E55" s="117"/>
      <c r="F55" s="12" t="s">
        <v>40</v>
      </c>
      <c r="G55" s="115">
        <f>G54</f>
        <v>44915</v>
      </c>
      <c r="H55" s="115"/>
    </row>
    <row r="56" spans="1:13" s="10" customFormat="1" ht="99" customHeight="1" x14ac:dyDescent="0.3">
      <c r="A56" s="116"/>
      <c r="B56" s="116"/>
      <c r="C56" s="227" t="s">
        <v>305</v>
      </c>
      <c r="D56" s="228"/>
      <c r="E56" s="228"/>
      <c r="F56" s="228"/>
      <c r="G56" s="228"/>
      <c r="H56" s="229"/>
    </row>
    <row r="57" spans="1:13" ht="69.75" customHeight="1" x14ac:dyDescent="0.3">
      <c r="A57" s="221" t="s">
        <v>43</v>
      </c>
      <c r="B57" s="221"/>
      <c r="C57" s="223" t="s">
        <v>301</v>
      </c>
      <c r="D57" s="224"/>
      <c r="E57" s="224" t="s">
        <v>44</v>
      </c>
      <c r="F57" s="40" t="s">
        <v>40</v>
      </c>
      <c r="G57" s="226">
        <v>45701</v>
      </c>
      <c r="H57" s="226"/>
    </row>
    <row r="58" spans="1:13" x14ac:dyDescent="0.3">
      <c r="A58" s="220" t="s">
        <v>46</v>
      </c>
      <c r="B58" s="220"/>
      <c r="C58" s="220"/>
      <c r="D58" s="220"/>
      <c r="E58" s="220"/>
      <c r="F58" s="220"/>
      <c r="G58" s="220"/>
      <c r="H58" s="220"/>
    </row>
    <row r="59" spans="1:13" ht="33.75" customHeight="1" x14ac:dyDescent="0.3">
      <c r="A59" s="116" t="s">
        <v>320</v>
      </c>
      <c r="B59" s="116"/>
      <c r="C59" s="116"/>
      <c r="D59" s="112">
        <f>(13519.68+14053.74+11516.52+424.92+13890.21+16318.8+13892.42)</f>
        <v>83616.289999999994</v>
      </c>
      <c r="E59" s="112"/>
      <c r="F59" s="112"/>
      <c r="G59" s="112"/>
      <c r="H59" s="112"/>
      <c r="I59" s="8">
        <f>248+248+206+231+237</f>
        <v>1170</v>
      </c>
    </row>
    <row r="60" spans="1:13" x14ac:dyDescent="0.3">
      <c r="A60" s="116" t="s">
        <v>47</v>
      </c>
      <c r="B60" s="112"/>
      <c r="C60" s="112"/>
      <c r="D60" s="112" t="s">
        <v>314</v>
      </c>
      <c r="E60" s="112"/>
      <c r="F60" s="112"/>
      <c r="G60" s="112"/>
      <c r="H60" s="113"/>
      <c r="I60" s="77" t="s">
        <v>265</v>
      </c>
      <c r="J60" s="76"/>
      <c r="K60" s="76"/>
      <c r="L60" s="76"/>
      <c r="M60" s="76" t="s">
        <v>236</v>
      </c>
    </row>
    <row r="61" spans="1:13" ht="33.75" customHeight="1" x14ac:dyDescent="0.3">
      <c r="A61" s="232" t="s">
        <v>48</v>
      </c>
      <c r="B61" s="233"/>
      <c r="C61" s="234"/>
      <c r="D61" s="230" t="s">
        <v>307</v>
      </c>
      <c r="E61" s="231"/>
      <c r="F61" s="231"/>
      <c r="G61" s="231"/>
      <c r="H61" s="231"/>
      <c r="I61" s="112" t="s">
        <v>285</v>
      </c>
      <c r="J61" s="112"/>
      <c r="K61" s="112"/>
      <c r="L61" s="112"/>
      <c r="M61" s="113"/>
    </row>
    <row r="62" spans="1:13" ht="15.75" customHeight="1" x14ac:dyDescent="0.3">
      <c r="A62" s="232" t="s">
        <v>117</v>
      </c>
      <c r="B62" s="233"/>
      <c r="C62" s="234"/>
      <c r="D62" s="199" t="s">
        <v>299</v>
      </c>
      <c r="E62" s="199"/>
      <c r="F62" s="199"/>
      <c r="G62" s="199"/>
      <c r="H62" s="199"/>
    </row>
    <row r="63" spans="1:13" ht="15.75" customHeight="1" x14ac:dyDescent="0.3">
      <c r="A63" s="256"/>
      <c r="B63" s="257"/>
      <c r="C63" s="258"/>
      <c r="D63" s="199" t="s">
        <v>271</v>
      </c>
      <c r="E63" s="199"/>
      <c r="F63" s="199"/>
      <c r="G63" s="199"/>
      <c r="H63" s="199"/>
    </row>
    <row r="64" spans="1:13" ht="15.75" customHeight="1" x14ac:dyDescent="0.3">
      <c r="A64" s="256"/>
      <c r="B64" s="257"/>
      <c r="C64" s="258"/>
      <c r="D64" s="199" t="s">
        <v>272</v>
      </c>
      <c r="E64" s="199"/>
      <c r="F64" s="199"/>
      <c r="G64" s="199"/>
      <c r="H64" s="199"/>
    </row>
    <row r="65" spans="1:14" ht="15.75" customHeight="1" x14ac:dyDescent="0.3">
      <c r="A65" s="256"/>
      <c r="B65" s="257"/>
      <c r="C65" s="258"/>
      <c r="D65" s="199" t="s">
        <v>273</v>
      </c>
      <c r="E65" s="199"/>
      <c r="F65" s="199"/>
      <c r="G65" s="199"/>
      <c r="H65" s="199"/>
    </row>
    <row r="66" spans="1:14" ht="15.75" customHeight="1" x14ac:dyDescent="0.3">
      <c r="A66" s="256"/>
      <c r="B66" s="257"/>
      <c r="C66" s="258"/>
      <c r="D66" s="199" t="s">
        <v>274</v>
      </c>
      <c r="E66" s="199"/>
      <c r="F66" s="199"/>
      <c r="G66" s="199"/>
      <c r="H66" s="199"/>
    </row>
    <row r="67" spans="1:14" ht="15.75" customHeight="1" x14ac:dyDescent="0.3">
      <c r="A67" s="256"/>
      <c r="B67" s="257"/>
      <c r="C67" s="258"/>
      <c r="D67" s="199" t="s">
        <v>275</v>
      </c>
      <c r="E67" s="199"/>
      <c r="F67" s="199"/>
      <c r="G67" s="199"/>
      <c r="H67" s="199"/>
    </row>
    <row r="68" spans="1:14" ht="15.75" customHeight="1" x14ac:dyDescent="0.3">
      <c r="A68" s="259"/>
      <c r="B68" s="260"/>
      <c r="C68" s="261"/>
      <c r="D68" s="199" t="s">
        <v>306</v>
      </c>
      <c r="E68" s="199"/>
      <c r="F68" s="199"/>
      <c r="G68" s="199"/>
      <c r="H68" s="199"/>
    </row>
    <row r="69" spans="1:14" ht="84.75" customHeight="1" x14ac:dyDescent="0.3">
      <c r="A69" s="133" t="s">
        <v>45</v>
      </c>
      <c r="B69" s="133"/>
      <c r="C69" s="133"/>
      <c r="D69" s="206" t="s">
        <v>308</v>
      </c>
      <c r="E69" s="207"/>
      <c r="F69" s="207"/>
      <c r="G69" s="207"/>
      <c r="H69" s="207"/>
      <c r="J69" s="35"/>
      <c r="K69" s="36"/>
      <c r="N69" s="36"/>
    </row>
    <row r="70" spans="1:14" ht="15.75" customHeight="1" x14ac:dyDescent="0.3">
      <c r="A70" s="133" t="s">
        <v>115</v>
      </c>
      <c r="B70" s="133"/>
      <c r="C70" s="133"/>
      <c r="D70" s="208" t="str">
        <f ca="1">(IF(G57="NA","60 Years After Completion",IF(G57&lt;&gt;"NA",""&amp;60-ROUNDDOWN((E3-G57)/360,0)&amp;" Years"," ")))</f>
        <v>60 Years</v>
      </c>
      <c r="E70" s="208"/>
      <c r="F70" s="208"/>
      <c r="G70" s="208"/>
      <c r="H70" s="208"/>
      <c r="N70" s="36"/>
    </row>
    <row r="71" spans="1:14" ht="15.75" customHeight="1" x14ac:dyDescent="0.3">
      <c r="A71" s="133" t="s">
        <v>116</v>
      </c>
      <c r="B71" s="133"/>
      <c r="C71" s="133"/>
      <c r="D71" s="207" t="s">
        <v>23</v>
      </c>
      <c r="E71" s="207"/>
      <c r="F71" s="207"/>
      <c r="G71" s="207"/>
      <c r="H71" s="207"/>
      <c r="J71" s="17"/>
      <c r="K71" s="17"/>
    </row>
    <row r="72" spans="1:14" ht="15.75" customHeight="1" thickBot="1" x14ac:dyDescent="0.35">
      <c r="A72" s="133" t="s">
        <v>114</v>
      </c>
      <c r="B72" s="133"/>
      <c r="C72" s="133"/>
      <c r="D72" s="116" t="str">
        <f ca="1">(IF(G149&gt;95%,"Nothing",IF(G149&gt;0%,"Cement, Aggregate, Steel, etc",IF(G149=0%,"Work not yet Started"))))</f>
        <v>Cement, Aggregate, Steel, etc</v>
      </c>
      <c r="E72" s="116"/>
      <c r="F72" s="116"/>
      <c r="G72" s="116"/>
      <c r="H72" s="116"/>
      <c r="J72" s="17"/>
    </row>
    <row r="73" spans="1:14" ht="15.75" customHeight="1" x14ac:dyDescent="0.3">
      <c r="A73" s="214" t="s">
        <v>174</v>
      </c>
      <c r="B73" s="214"/>
      <c r="C73" s="214" t="str">
        <f>D62</f>
        <v>Building No.1 &amp; 2 = Gr + 1st to 23rd Floor</v>
      </c>
      <c r="D73" s="214"/>
      <c r="E73" s="214"/>
      <c r="F73" s="214"/>
      <c r="G73" s="214"/>
      <c r="H73" s="214"/>
      <c r="I73" s="37" t="str">
        <f ca="1">(IF(E78&gt;99%,"All work completed. Please provide OC.",IF(E78&gt;89.8%,"Plinth, RCC, Brick, Plaster, Flooring, Painting work Completed. Finishing work is in process.",IF(E78&lt;94%,(IF(C78=0,"Work not yet Started.",IF(D78=25%,"Piling work in process",IF(D78=50%,"Excavation work in process",IF(D78=100%,"Excavation work Completed. ","0")))&amp;(IF(C79=0%,"",IF(C79=J80,"Footing work is process",IF(C79=J81,"Footing work Completed",IF(C79=J82,"1st Basement Completed",IF(C79=J83,"1st &amp; 2nd Basement Completed",IF(C79=J84,"1st to 3rd Basement Completed",IF(C79=J85,"1st to 4th Basement Completed",IF(C79=J86,"Plinth work is process",IF(C79=J87,"Plinth work completed","0")))))))))))&amp;(IF(C80=(D74+F74+H74),", RCC Slab",IF(C80&gt;0,", RCC upto "&amp;C80&amp;" Slab",""))&amp;(IF(C81=H74,", Brickwork",IF(C81&gt;0,", Brickwork upto "&amp;C81&amp;" Floor",""))&amp;(IF(C82=H74,", Internal Plaster",IF(C82&gt;0,", Internal Plaster upto "&amp;C82&amp;" Floor",""))&amp;(IF(C83=H74,", External Plaster",IF(C83&gt;0,", External Plaster upto "&amp;C83&amp;" Floor",""))&amp;(IF(C84=H74,", Flooring",IF(C84&gt;0,", Flooring upto "&amp;C84&amp;" Floor",""))&amp;(IF(C85=H74,", Painting",IF(C85&gt;0,", Painting upto "&amp;C85&amp;" Floor",""))&amp;(IF(C86&gt;0,", Finishing upto "&amp;C86&amp;" Floor","")&amp;(IF(C80&gt;0.5," Completed",""))))))))))))))</f>
        <v>All work completed. Please provide OC.</v>
      </c>
      <c r="J73" s="19"/>
    </row>
    <row r="74" spans="1:14" s="10" customFormat="1" x14ac:dyDescent="0.3">
      <c r="A74" s="41" t="s">
        <v>176</v>
      </c>
      <c r="B74" s="41">
        <v>0</v>
      </c>
      <c r="C74" s="41" t="s">
        <v>96</v>
      </c>
      <c r="D74" s="41">
        <v>1</v>
      </c>
      <c r="E74" s="41" t="s">
        <v>95</v>
      </c>
      <c r="F74" s="41">
        <v>0</v>
      </c>
      <c r="G74" s="41" t="s">
        <v>108</v>
      </c>
      <c r="H74" s="41">
        <f ca="1">--TRIM(RIGHT(SUBSTITUTE(LEFT(C73,_xlfn.AGGREGATE(16,6,FIND({0,1,2,3,4,5,6,7,8,9},C73,ROW(INDIRECT("1:"&amp;LEN(C73)))),1))," ",REPT(" ",LEN(C73))),LEN(C73)))</f>
        <v>23</v>
      </c>
      <c r="I74" s="43"/>
      <c r="J74" s="44"/>
    </row>
    <row r="75" spans="1:14" s="10" customFormat="1" x14ac:dyDescent="0.3">
      <c r="A75" s="145" t="s">
        <v>118</v>
      </c>
      <c r="B75" s="145"/>
      <c r="C75" s="118" t="str">
        <f>I75</f>
        <v>All work Completed. OC Received.</v>
      </c>
      <c r="D75" s="118"/>
      <c r="E75" s="118"/>
      <c r="F75" s="118"/>
      <c r="G75" s="118"/>
      <c r="H75" s="118"/>
      <c r="I75" s="43" t="s">
        <v>135</v>
      </c>
      <c r="J75" s="44"/>
    </row>
    <row r="76" spans="1:14" s="10" customFormat="1" ht="32.1" customHeight="1" thickBot="1" x14ac:dyDescent="0.35">
      <c r="A76" s="210" t="s">
        <v>113</v>
      </c>
      <c r="B76" s="210"/>
      <c r="C76" s="202">
        <f ca="1">E78</f>
        <v>1</v>
      </c>
      <c r="D76" s="203"/>
      <c r="E76" s="211" t="s">
        <v>112</v>
      </c>
      <c r="F76" s="203"/>
      <c r="G76" s="202">
        <f ca="1">G78</f>
        <v>1</v>
      </c>
      <c r="H76" s="203"/>
      <c r="I76" s="43"/>
      <c r="J76" s="44"/>
    </row>
    <row r="77" spans="1:14" s="10" customFormat="1" ht="15.75" hidden="1" customHeight="1" x14ac:dyDescent="0.3">
      <c r="A77" s="94" t="s">
        <v>49</v>
      </c>
      <c r="B77" s="94"/>
      <c r="C77" s="45" t="s">
        <v>173</v>
      </c>
      <c r="D77" s="45" t="s">
        <v>111</v>
      </c>
      <c r="E77" s="94" t="s">
        <v>113</v>
      </c>
      <c r="F77" s="94"/>
      <c r="G77" s="94" t="s">
        <v>112</v>
      </c>
      <c r="H77" s="94"/>
      <c r="I77" s="46" t="s">
        <v>175</v>
      </c>
      <c r="J77" s="47">
        <f ca="1">H74*25%</f>
        <v>5.75</v>
      </c>
    </row>
    <row r="78" spans="1:14" s="10" customFormat="1" hidden="1" x14ac:dyDescent="0.3">
      <c r="A78" s="156" t="s">
        <v>162</v>
      </c>
      <c r="B78" s="94"/>
      <c r="C78" s="48">
        <v>23</v>
      </c>
      <c r="D78" s="49">
        <f ca="1">((100/H74)*C78)/100</f>
        <v>1</v>
      </c>
      <c r="E78" s="119">
        <f ca="1">(((C79/H74*10)+(40/(D74+F74+H74)*C80)+(7.5/(H74)*C81)+(7.5/(H74)*C82)+(10/H74*C83)+(10/H74*C84)+(5/H74*C85)+(5/H74*C86)+(5/H74*C87))/100)</f>
        <v>1</v>
      </c>
      <c r="F78" s="119"/>
      <c r="G78" s="119">
        <f ca="1">((((C78/H74)*20)+((C79/H74)*25)+(30/(H74+F74+D74)*C80)+(5/H74*C81)+(5/H74*C82)+(5/H74*C83)+(5/H74*C84)+(0/H74*C85)+(0/H74*C86)+(5/H74*C87))/100)</f>
        <v>1</v>
      </c>
      <c r="H78" s="167"/>
      <c r="I78" s="46" t="s">
        <v>130</v>
      </c>
      <c r="J78" s="50">
        <f ca="1">H74*50%</f>
        <v>11.5</v>
      </c>
    </row>
    <row r="79" spans="1:14" s="10" customFormat="1" hidden="1" x14ac:dyDescent="0.3">
      <c r="A79" s="156" t="s">
        <v>50</v>
      </c>
      <c r="B79" s="94"/>
      <c r="C79" s="51">
        <v>23</v>
      </c>
      <c r="D79" s="49">
        <f ca="1">((100/H74)*C79)/100</f>
        <v>1</v>
      </c>
      <c r="E79" s="119"/>
      <c r="F79" s="119"/>
      <c r="G79" s="119"/>
      <c r="H79" s="167"/>
      <c r="I79" s="46" t="s">
        <v>131</v>
      </c>
      <c r="J79" s="50">
        <f ca="1">H74</f>
        <v>23</v>
      </c>
    </row>
    <row r="80" spans="1:14" s="10" customFormat="1" ht="15.75" hidden="1" customHeight="1" x14ac:dyDescent="0.3">
      <c r="A80" s="209" t="s">
        <v>163</v>
      </c>
      <c r="B80" s="189"/>
      <c r="C80" s="51">
        <v>24</v>
      </c>
      <c r="D80" s="49">
        <f ca="1">((100/(D74+F74+H74))*C80)/100</f>
        <v>1</v>
      </c>
      <c r="E80" s="119"/>
      <c r="F80" s="119"/>
      <c r="G80" s="119"/>
      <c r="H80" s="167"/>
      <c r="I80" s="46" t="s">
        <v>132</v>
      </c>
      <c r="J80" s="52">
        <f ca="1">(IF(B74&gt;1,(H74/(B74+2)),H74/4))</f>
        <v>5.75</v>
      </c>
    </row>
    <row r="81" spans="1:10" s="10" customFormat="1" ht="15.75" hidden="1" customHeight="1" x14ac:dyDescent="0.3">
      <c r="A81" s="156" t="s">
        <v>170</v>
      </c>
      <c r="B81" s="94" t="s">
        <v>164</v>
      </c>
      <c r="C81" s="51">
        <f>C80-1</f>
        <v>23</v>
      </c>
      <c r="D81" s="49">
        <f ca="1">((100/H74)*C81)/100</f>
        <v>1</v>
      </c>
      <c r="E81" s="119"/>
      <c r="F81" s="119"/>
      <c r="G81" s="119"/>
      <c r="H81" s="167"/>
      <c r="I81" s="46" t="s">
        <v>133</v>
      </c>
      <c r="J81" s="52">
        <f ca="1">(IF(B74&gt;1,(H74/(B74+2)+J80),H74/4+J80))</f>
        <v>11.5</v>
      </c>
    </row>
    <row r="82" spans="1:10" s="10" customFormat="1" ht="15.75" hidden="1" customHeight="1" x14ac:dyDescent="0.3">
      <c r="A82" s="156" t="s">
        <v>171</v>
      </c>
      <c r="B82" s="94" t="s">
        <v>164</v>
      </c>
      <c r="C82" s="51">
        <v>23</v>
      </c>
      <c r="D82" s="49">
        <f ca="1">((100/H74)*C82)/100</f>
        <v>1</v>
      </c>
      <c r="E82" s="119"/>
      <c r="F82" s="119"/>
      <c r="G82" s="119"/>
      <c r="H82" s="167"/>
      <c r="I82" s="46" t="s">
        <v>180</v>
      </c>
      <c r="J82" s="52">
        <f>(IF(B74&gt;1,(H74/(B74+2)+J81),0))</f>
        <v>0</v>
      </c>
    </row>
    <row r="83" spans="1:10" s="10" customFormat="1" ht="15" hidden="1" customHeight="1" x14ac:dyDescent="0.3">
      <c r="A83" s="156" t="s">
        <v>169</v>
      </c>
      <c r="B83" s="94" t="s">
        <v>166</v>
      </c>
      <c r="C83" s="51">
        <v>23</v>
      </c>
      <c r="D83" s="49">
        <f ca="1">((100/(H74))*C83)/100</f>
        <v>1</v>
      </c>
      <c r="E83" s="119"/>
      <c r="F83" s="119"/>
      <c r="G83" s="119"/>
      <c r="H83" s="167"/>
      <c r="I83" s="46" t="s">
        <v>177</v>
      </c>
      <c r="J83" s="52">
        <f>(IF(B74&gt;2,(H74/(B74+2)+J82),0))</f>
        <v>0</v>
      </c>
    </row>
    <row r="84" spans="1:10" s="10" customFormat="1" ht="15.75" hidden="1" customHeight="1" x14ac:dyDescent="0.3">
      <c r="A84" s="156" t="s">
        <v>165</v>
      </c>
      <c r="B84" s="94" t="s">
        <v>165</v>
      </c>
      <c r="C84" s="48">
        <v>23</v>
      </c>
      <c r="D84" s="49">
        <f ca="1">((100/H74)*C84)/100</f>
        <v>1</v>
      </c>
      <c r="E84" s="119"/>
      <c r="F84" s="119"/>
      <c r="G84" s="119"/>
      <c r="H84" s="167"/>
      <c r="I84" s="46" t="s">
        <v>178</v>
      </c>
      <c r="J84" s="53">
        <f>(IF(B74&gt;3,(H74/(B74+2)+J83),0))</f>
        <v>0</v>
      </c>
    </row>
    <row r="85" spans="1:10" s="10" customFormat="1" ht="15.75" hidden="1" customHeight="1" x14ac:dyDescent="0.3">
      <c r="A85" s="156" t="s">
        <v>172</v>
      </c>
      <c r="B85" s="94"/>
      <c r="C85" s="48">
        <v>23</v>
      </c>
      <c r="D85" s="49">
        <f ca="1">((100/H74)*C85)/100</f>
        <v>1</v>
      </c>
      <c r="E85" s="119"/>
      <c r="F85" s="119"/>
      <c r="G85" s="119"/>
      <c r="H85" s="167"/>
      <c r="I85" s="46" t="s">
        <v>179</v>
      </c>
      <c r="J85" s="52">
        <f>(IF(B74&gt;4,(H74/(B74+2)+J84),0))</f>
        <v>0</v>
      </c>
    </row>
    <row r="86" spans="1:10" s="10" customFormat="1" ht="15.75" hidden="1" customHeight="1" x14ac:dyDescent="0.3">
      <c r="A86" s="156" t="s">
        <v>167</v>
      </c>
      <c r="B86" s="94" t="s">
        <v>167</v>
      </c>
      <c r="C86" s="48">
        <v>23</v>
      </c>
      <c r="D86" s="49">
        <f ca="1">((100/(H74))*C86)/100</f>
        <v>1</v>
      </c>
      <c r="E86" s="119"/>
      <c r="F86" s="119"/>
      <c r="G86" s="119"/>
      <c r="H86" s="167"/>
      <c r="I86" s="46" t="s">
        <v>181</v>
      </c>
      <c r="J86" s="52">
        <f ca="1">(IF(B74=1,(H74/(B74+3)+J81),IF(B74=0,(H74/4+J81),IF(B74&gt;1,0))))</f>
        <v>17.25</v>
      </c>
    </row>
    <row r="87" spans="1:10" s="10" customFormat="1" ht="16.2" hidden="1" thickBot="1" x14ac:dyDescent="0.35">
      <c r="A87" s="169" t="s">
        <v>168</v>
      </c>
      <c r="B87" s="170"/>
      <c r="C87" s="54">
        <v>23</v>
      </c>
      <c r="D87" s="55">
        <f ca="1">((100/(H74))*C87)/100</f>
        <v>1</v>
      </c>
      <c r="E87" s="166"/>
      <c r="F87" s="166"/>
      <c r="G87" s="166"/>
      <c r="H87" s="168"/>
      <c r="I87" s="56" t="s">
        <v>134</v>
      </c>
      <c r="J87" s="57">
        <f ca="1">(IF(B74&gt;1.5,(H74/(B74+2)+J81+MAX(0,J82-J81)+MAX(0,J83-J82)+MAX(0,J84-J83)+MAX(0,J85-J84)+MAX(0,J86-J85)),IF(B74=1,(H74/(B74+3)+J86),IF(B74=0,H74/4+J86))))</f>
        <v>23</v>
      </c>
    </row>
    <row r="88" spans="1:10" s="10" customFormat="1" ht="15.75" hidden="1" customHeight="1" x14ac:dyDescent="0.3">
      <c r="A88" s="149" t="s">
        <v>174</v>
      </c>
      <c r="B88" s="150"/>
      <c r="C88" s="151" t="str">
        <f>D63</f>
        <v>Building No.2 = Gr + 1st to 23rd Floor</v>
      </c>
      <c r="D88" s="152"/>
      <c r="E88" s="152"/>
      <c r="F88" s="152"/>
      <c r="G88" s="152"/>
      <c r="H88" s="153"/>
      <c r="I88" s="58" t="str">
        <f ca="1">(IF(E92&gt;99%,"All work completed. Please provide OC.",IF(E92&gt;89.8%,"Plinth, RCC, Brick, Plaster, Flooring, Painting work Completed. Finishing work is in process.",IF(E92&lt;94%,(IF(C92=0,"Work not yet Started.",IF(D92=25%,"Piling work in process",IF(D92=50%,"Excavation work in process",IF(D92=100%,"Excavation work Completed. ","0")))&amp;(IF(C93=0%,"",IF(C93=J94,"Footing work is process",IF(C93=J95,"Footing work Completed",IF(C93=J96,"1st Basement Completed",IF(C93=J97,"1st &amp; 2nd Basement Completed",IF(C93=J98,"1st to 3rd Basement Completed",IF(C93=J99,"1st to 4th Basement Completed",IF(C93=J100,"Plinth work is process",IF(C93=J101,"Plinth work completed","0")))))))))))&amp;(IF(C94=(D89+F89+H89),", RCC Slab",IF(C94&gt;0,", RCC upto "&amp;C94&amp;" Slab",""))&amp;(IF(C95=H89,", Brickwork",IF(C95&gt;0,", Brickwork upto "&amp;C95&amp;" Floor",""))&amp;(IF(C96=H89,", Internal Plaster",IF(C96&gt;0,", Internal Plaster upto "&amp;C96&amp;" Floor",""))&amp;(IF(C97=H89,", External Plaster",IF(C97&gt;0,", External Plaster upto "&amp;C97&amp;" Floor",""))&amp;(IF(C98=H89,", Flooring",IF(C98&gt;0,", Flooring upto "&amp;C98&amp;" Floor",""))&amp;(IF(C99=H89,", Painting",IF(C99&gt;0,", Painting upto "&amp;C99&amp;" Floor",""))&amp;(IF(C100&gt;0,", Finishing upto "&amp;C100&amp;" Floor","")&amp;(IF(C94&gt;0.5," Completed",""))))))))))))))</f>
        <v>All work completed. Please provide OC.</v>
      </c>
      <c r="J88" s="59"/>
    </row>
    <row r="89" spans="1:10" s="10" customFormat="1" hidden="1" x14ac:dyDescent="0.3">
      <c r="A89" s="38" t="s">
        <v>176</v>
      </c>
      <c r="B89" s="41">
        <v>0</v>
      </c>
      <c r="C89" s="41" t="s">
        <v>96</v>
      </c>
      <c r="D89" s="41">
        <v>1</v>
      </c>
      <c r="E89" s="41" t="s">
        <v>95</v>
      </c>
      <c r="F89" s="41">
        <v>0</v>
      </c>
      <c r="G89" s="41" t="s">
        <v>108</v>
      </c>
      <c r="H89" s="39">
        <f ca="1">--TRIM(RIGHT(SUBSTITUTE(LEFT(C88,_xlfn.AGGREGATE(16,6,FIND({0,1,2,3,4,5,6,7,8,9},C88,ROW(INDIRECT("1:"&amp;LEN(C88)))),1))," ",REPT(" ",LEN(C88))),LEN(C88)))</f>
        <v>23</v>
      </c>
      <c r="I89" s="43"/>
      <c r="J89" s="44"/>
    </row>
    <row r="90" spans="1:10" s="10" customFormat="1" ht="34.5" hidden="1" customHeight="1" x14ac:dyDescent="0.3">
      <c r="A90" s="154" t="s">
        <v>118</v>
      </c>
      <c r="B90" s="145"/>
      <c r="C90" s="118" t="str">
        <f ca="1">I88</f>
        <v>All work completed. Please provide OC.</v>
      </c>
      <c r="D90" s="118"/>
      <c r="E90" s="118"/>
      <c r="F90" s="118"/>
      <c r="G90" s="118"/>
      <c r="H90" s="155"/>
      <c r="I90" s="43" t="s">
        <v>135</v>
      </c>
      <c r="J90" s="44"/>
    </row>
    <row r="91" spans="1:10" s="10" customFormat="1" ht="15.75" hidden="1" customHeight="1" x14ac:dyDescent="0.3">
      <c r="A91" s="156" t="s">
        <v>49</v>
      </c>
      <c r="B91" s="94"/>
      <c r="C91" s="45" t="s">
        <v>173</v>
      </c>
      <c r="D91" s="45" t="s">
        <v>111</v>
      </c>
      <c r="E91" s="94" t="s">
        <v>113</v>
      </c>
      <c r="F91" s="94"/>
      <c r="G91" s="94" t="s">
        <v>112</v>
      </c>
      <c r="H91" s="157"/>
      <c r="I91" s="46" t="s">
        <v>175</v>
      </c>
      <c r="J91" s="47">
        <f ca="1">H89*25%</f>
        <v>5.75</v>
      </c>
    </row>
    <row r="92" spans="1:10" s="10" customFormat="1" hidden="1" x14ac:dyDescent="0.3">
      <c r="A92" s="156" t="s">
        <v>162</v>
      </c>
      <c r="B92" s="94"/>
      <c r="C92" s="48">
        <f ca="1">J93</f>
        <v>23</v>
      </c>
      <c r="D92" s="49">
        <f ca="1">((100/H89)*C92)/100</f>
        <v>1</v>
      </c>
      <c r="E92" s="119">
        <f ca="1">(((C93/H89*10)+(40/(D89+F89+H89)*C94)+(7.5/(H89)*C95)+(7.5/(H89)*C96)+(10/H89*C97)+(10/H89*C98)+(5/H89*C99)+(5/H89*C100)+(5/H89*C101))/100)</f>
        <v>1</v>
      </c>
      <c r="F92" s="119"/>
      <c r="G92" s="119">
        <f ca="1">((((C92/H89)*20)+((C93/H89)*25)+(30/(H89+F89+D89)*C94)+(5/H89*C95)+(5/H89*C96)+(5/H89*C97)+(5/H89*C98)+(0/H89*C99)+(0/H89*C100)+(5/H89*C101))/100)</f>
        <v>1</v>
      </c>
      <c r="H92" s="167"/>
      <c r="I92" s="46" t="s">
        <v>130</v>
      </c>
      <c r="J92" s="50">
        <f ca="1">H89*50%</f>
        <v>11.5</v>
      </c>
    </row>
    <row r="93" spans="1:10" s="10" customFormat="1" hidden="1" x14ac:dyDescent="0.3">
      <c r="A93" s="156" t="s">
        <v>50</v>
      </c>
      <c r="B93" s="94"/>
      <c r="C93" s="51">
        <v>23</v>
      </c>
      <c r="D93" s="49">
        <f ca="1">((100/H89)*C93)/100</f>
        <v>1</v>
      </c>
      <c r="E93" s="119"/>
      <c r="F93" s="119"/>
      <c r="G93" s="119"/>
      <c r="H93" s="167"/>
      <c r="I93" s="46" t="s">
        <v>131</v>
      </c>
      <c r="J93" s="50">
        <f ca="1">H89</f>
        <v>23</v>
      </c>
    </row>
    <row r="94" spans="1:10" s="10" customFormat="1" ht="15.75" hidden="1" customHeight="1" x14ac:dyDescent="0.3">
      <c r="A94" s="156" t="s">
        <v>163</v>
      </c>
      <c r="B94" s="94"/>
      <c r="C94" s="51">
        <v>24</v>
      </c>
      <c r="D94" s="49">
        <f ca="1">((100/(D89+F89+H89))*C94)/100</f>
        <v>1</v>
      </c>
      <c r="E94" s="119"/>
      <c r="F94" s="119"/>
      <c r="G94" s="119"/>
      <c r="H94" s="167"/>
      <c r="I94" s="46" t="s">
        <v>132</v>
      </c>
      <c r="J94" s="52">
        <f ca="1">(IF(B89&gt;1,(H89/(B89+2)),H89/4))</f>
        <v>5.75</v>
      </c>
    </row>
    <row r="95" spans="1:10" s="10" customFormat="1" ht="15.75" hidden="1" customHeight="1" x14ac:dyDescent="0.3">
      <c r="A95" s="156" t="s">
        <v>170</v>
      </c>
      <c r="B95" s="94" t="s">
        <v>164</v>
      </c>
      <c r="C95" s="51">
        <f>C94-1</f>
        <v>23</v>
      </c>
      <c r="D95" s="49">
        <f ca="1">((100/H89)*C95)/100</f>
        <v>1</v>
      </c>
      <c r="E95" s="119"/>
      <c r="F95" s="119"/>
      <c r="G95" s="119"/>
      <c r="H95" s="167"/>
      <c r="I95" s="46" t="s">
        <v>133</v>
      </c>
      <c r="J95" s="52">
        <f ca="1">(IF(B89&gt;1,(H89/(B89+2)+J94),H89/4+J94))</f>
        <v>11.5</v>
      </c>
    </row>
    <row r="96" spans="1:10" s="10" customFormat="1" ht="15.75" hidden="1" customHeight="1" x14ac:dyDescent="0.3">
      <c r="A96" s="156" t="s">
        <v>171</v>
      </c>
      <c r="B96" s="94" t="s">
        <v>164</v>
      </c>
      <c r="C96" s="51">
        <v>23</v>
      </c>
      <c r="D96" s="49">
        <f ca="1">((100/H89)*C96)/100</f>
        <v>1</v>
      </c>
      <c r="E96" s="119"/>
      <c r="F96" s="119"/>
      <c r="G96" s="119"/>
      <c r="H96" s="167"/>
      <c r="I96" s="46" t="s">
        <v>180</v>
      </c>
      <c r="J96" s="52">
        <f>(IF(B89&gt;1,(H89/(B89+2)+J95),0))</f>
        <v>0</v>
      </c>
    </row>
    <row r="97" spans="1:10" s="10" customFormat="1" ht="15" hidden="1" customHeight="1" x14ac:dyDescent="0.3">
      <c r="A97" s="156" t="s">
        <v>169</v>
      </c>
      <c r="B97" s="94" t="s">
        <v>166</v>
      </c>
      <c r="C97" s="51">
        <v>23</v>
      </c>
      <c r="D97" s="49">
        <f ca="1">((100/(H89))*C97)/100</f>
        <v>1</v>
      </c>
      <c r="E97" s="119"/>
      <c r="F97" s="119"/>
      <c r="G97" s="119"/>
      <c r="H97" s="167"/>
      <c r="I97" s="46" t="s">
        <v>177</v>
      </c>
      <c r="J97" s="52">
        <f>(IF(B89&gt;2,(H89/(B89+2)+J96),0))</f>
        <v>0</v>
      </c>
    </row>
    <row r="98" spans="1:10" s="10" customFormat="1" ht="15.75" hidden="1" customHeight="1" x14ac:dyDescent="0.3">
      <c r="A98" s="156" t="s">
        <v>165</v>
      </c>
      <c r="B98" s="94" t="s">
        <v>165</v>
      </c>
      <c r="C98" s="48">
        <v>23</v>
      </c>
      <c r="D98" s="49">
        <f ca="1">((100/H89)*C98)/100</f>
        <v>1</v>
      </c>
      <c r="E98" s="119"/>
      <c r="F98" s="119"/>
      <c r="G98" s="119"/>
      <c r="H98" s="167"/>
      <c r="I98" s="46" t="s">
        <v>178</v>
      </c>
      <c r="J98" s="53">
        <f>(IF(B89&gt;3,(H89/(B89+2)+J97),0))</f>
        <v>0</v>
      </c>
    </row>
    <row r="99" spans="1:10" s="10" customFormat="1" ht="15.75" hidden="1" customHeight="1" x14ac:dyDescent="0.3">
      <c r="A99" s="156" t="s">
        <v>172</v>
      </c>
      <c r="B99" s="94"/>
      <c r="C99" s="48">
        <v>23</v>
      </c>
      <c r="D99" s="49">
        <f ca="1">((100/H89)*C99)/100</f>
        <v>1</v>
      </c>
      <c r="E99" s="119"/>
      <c r="F99" s="119"/>
      <c r="G99" s="119"/>
      <c r="H99" s="167"/>
      <c r="I99" s="46" t="s">
        <v>179</v>
      </c>
      <c r="J99" s="52">
        <f>(IF(B89&gt;4,(H89/(B89+2)+J98),0))</f>
        <v>0</v>
      </c>
    </row>
    <row r="100" spans="1:10" s="10" customFormat="1" ht="15.75" hidden="1" customHeight="1" x14ac:dyDescent="0.3">
      <c r="A100" s="156" t="s">
        <v>167</v>
      </c>
      <c r="B100" s="94" t="s">
        <v>167</v>
      </c>
      <c r="C100" s="48">
        <v>23</v>
      </c>
      <c r="D100" s="49">
        <f ca="1">((100/(H89))*C100)/100</f>
        <v>1</v>
      </c>
      <c r="E100" s="119"/>
      <c r="F100" s="119"/>
      <c r="G100" s="119"/>
      <c r="H100" s="167"/>
      <c r="I100" s="46" t="s">
        <v>181</v>
      </c>
      <c r="J100" s="52">
        <f ca="1">(IF(B89=1,(H89/(B89+3)+J95),IF(B89=0,(H89/4+J95),IF(B89&gt;1,0))))</f>
        <v>17.25</v>
      </c>
    </row>
    <row r="101" spans="1:10" s="10" customFormat="1" ht="16.2" hidden="1" thickBot="1" x14ac:dyDescent="0.35">
      <c r="A101" s="169" t="s">
        <v>168</v>
      </c>
      <c r="B101" s="170"/>
      <c r="C101" s="54">
        <v>23</v>
      </c>
      <c r="D101" s="55">
        <f ca="1">((100/(H89))*C101)/100</f>
        <v>1</v>
      </c>
      <c r="E101" s="166"/>
      <c r="F101" s="166"/>
      <c r="G101" s="166"/>
      <c r="H101" s="168"/>
      <c r="I101" s="56" t="s">
        <v>134</v>
      </c>
      <c r="J101" s="57">
        <f ca="1">(IF(B89&gt;1.5,(H89/(B89+2)+J95+MAX(0,J96-J95)+MAX(0,J97-J96)+MAX(0,J98-J97)+MAX(0,J99-J98)+MAX(0,J100-J99)),IF(B89=1,(H89/(B89+3)+J100),IF(B89=0,H89/4+J100))))</f>
        <v>23</v>
      </c>
    </row>
    <row r="102" spans="1:10" s="10" customFormat="1" ht="15.75" hidden="1" customHeight="1" x14ac:dyDescent="0.3">
      <c r="A102" s="149" t="s">
        <v>174</v>
      </c>
      <c r="B102" s="150"/>
      <c r="C102" s="151" t="s">
        <v>218</v>
      </c>
      <c r="D102" s="152"/>
      <c r="E102" s="152"/>
      <c r="F102" s="152"/>
      <c r="G102" s="152"/>
      <c r="H102" s="153"/>
      <c r="I102" s="58" t="str">
        <f ca="1">(IF(E106&gt;99%,"All work completed. Please provide OC.",IF(E106&gt;89.8%,"Plinth, RCC, Brick, Plaster, Flooring, Painting work Completed. Finishing work is in process.",IF(E106&lt;94%,(IF(C106=0,"Work not yet Started.",IF(D106=25%,"Piling work in process",IF(D106=50%,"Excavation work in process",IF(D106=100%,"Excavation work Completed. ","0")))&amp;(IF(C107=0%,"",IF(C107=J108,"Footing work is process",IF(C107=J109,"Footing work Completed",IF(C107=J110,"1st Basement Completed",IF(C107=J111,"1st &amp; 2nd Basement Completed",IF(C107=J112,"1st to 3rd Basement Completed",IF(C107=J113,"1st to 4th Basement Completed",IF(C107=J114,"Plinth work is process",IF(C107=J115,"Plinth work completed","0")))))))))))&amp;(IF(C108=(D103+F103+H103),", RCC Slab",IF(C108&gt;0,", RCC upto "&amp;C108&amp;" Slab",""))&amp;(IF(C109=H103,", Brickwork",IF(C109&gt;0,", Brickwork upto "&amp;C109&amp;" Floor",""))&amp;(IF(C110=H103,", Internal Plaster",IF(C110&gt;0,", Internal Plaster upto "&amp;C110&amp;" Floor",""))&amp;(IF(C111=H103,", External Plaster",IF(C111&gt;0,", External Plaster upto "&amp;C111&amp;" Floor",""))&amp;(IF(C112=H103,", Flooring",IF(C112&gt;0,", Flooring upto "&amp;C112&amp;" Floor",""))&amp;(IF(C113=H103,", Painting",IF(C113&gt;0,", Painting upto "&amp;C113&amp;" Floor",""))&amp;(IF(C114&gt;0,", Finishing upto "&amp;C114&amp;" Floor","")&amp;(IF(C108&gt;0.5," Completed",""))))))))))))))</f>
        <v>Excavation work Completed. Plinth work completed</v>
      </c>
      <c r="J102" s="59"/>
    </row>
    <row r="103" spans="1:10" s="10" customFormat="1" hidden="1" x14ac:dyDescent="0.3">
      <c r="A103" s="38" t="s">
        <v>176</v>
      </c>
      <c r="B103" s="41">
        <v>0</v>
      </c>
      <c r="C103" s="41" t="s">
        <v>96</v>
      </c>
      <c r="D103" s="41">
        <v>1</v>
      </c>
      <c r="E103" s="41" t="s">
        <v>95</v>
      </c>
      <c r="F103" s="41">
        <v>0</v>
      </c>
      <c r="G103" s="41" t="s">
        <v>108</v>
      </c>
      <c r="H103" s="39">
        <f ca="1">--TRIM(RIGHT(SUBSTITUTE(LEFT(C102,_xlfn.AGGREGATE(16,6,FIND({0,1,2,3,4,5,6,7,8,9},C102,ROW(INDIRECT("1:"&amp;LEN(C102)))),1))," ",REPT(" ",LEN(C102))),LEN(C102)))</f>
        <v>23</v>
      </c>
      <c r="I103" s="43"/>
      <c r="J103" s="44"/>
    </row>
    <row r="104" spans="1:10" s="10" customFormat="1" ht="15.75" hidden="1" customHeight="1" x14ac:dyDescent="0.3">
      <c r="A104" s="154" t="s">
        <v>118</v>
      </c>
      <c r="B104" s="145"/>
      <c r="C104" s="118" t="str">
        <f ca="1">I102</f>
        <v>Excavation work Completed. Plinth work completed</v>
      </c>
      <c r="D104" s="118"/>
      <c r="E104" s="118"/>
      <c r="F104" s="118"/>
      <c r="G104" s="118"/>
      <c r="H104" s="155"/>
      <c r="I104" s="43" t="s">
        <v>135</v>
      </c>
      <c r="J104" s="44"/>
    </row>
    <row r="105" spans="1:10" s="10" customFormat="1" ht="15.75" hidden="1" customHeight="1" x14ac:dyDescent="0.3">
      <c r="A105" s="156" t="s">
        <v>49</v>
      </c>
      <c r="B105" s="94"/>
      <c r="C105" s="45" t="s">
        <v>173</v>
      </c>
      <c r="D105" s="45" t="s">
        <v>111</v>
      </c>
      <c r="E105" s="94" t="s">
        <v>113</v>
      </c>
      <c r="F105" s="94"/>
      <c r="G105" s="94" t="s">
        <v>112</v>
      </c>
      <c r="H105" s="157"/>
      <c r="I105" s="46" t="s">
        <v>175</v>
      </c>
      <c r="J105" s="47">
        <f ca="1">H103*25%</f>
        <v>5.75</v>
      </c>
    </row>
    <row r="106" spans="1:10" s="10" customFormat="1" hidden="1" x14ac:dyDescent="0.3">
      <c r="A106" s="156" t="s">
        <v>162</v>
      </c>
      <c r="B106" s="94"/>
      <c r="C106" s="48">
        <f ca="1">J107</f>
        <v>23</v>
      </c>
      <c r="D106" s="49">
        <f ca="1">((100/H103)*C106)/100</f>
        <v>1</v>
      </c>
      <c r="E106" s="119">
        <f ca="1">(((C107/H103*10)+(40/(D103+F103+H103)*C108)+(7.5/(H103)*C109)+(7.5/(H103)*C110)+(10/H103*C111)+(10/H103*C112)+(5/H103*C113)+(5/H103*C114)+(5/H103*C115))/100)</f>
        <v>0.1</v>
      </c>
      <c r="F106" s="119"/>
      <c r="G106" s="119">
        <f ca="1">((((C106/H103)*20)+((C107/H103)*25)+(30/(H103+F103+D103)*C108)+(5/H103*C109)+(5/H103*C110)+(5/H103*C111)+(5/H103*C112)+(0/H103*C113)+(0/H103*C114)+(5/H103*C115))/100)</f>
        <v>0.45</v>
      </c>
      <c r="H106" s="167"/>
      <c r="I106" s="46" t="s">
        <v>130</v>
      </c>
      <c r="J106" s="50">
        <f ca="1">H103*50%</f>
        <v>11.5</v>
      </c>
    </row>
    <row r="107" spans="1:10" s="10" customFormat="1" hidden="1" x14ac:dyDescent="0.3">
      <c r="A107" s="156" t="s">
        <v>50</v>
      </c>
      <c r="B107" s="94"/>
      <c r="C107" s="51">
        <v>23</v>
      </c>
      <c r="D107" s="49">
        <f ca="1">((100/H103)*C107)/100</f>
        <v>1</v>
      </c>
      <c r="E107" s="119"/>
      <c r="F107" s="119"/>
      <c r="G107" s="119"/>
      <c r="H107" s="167"/>
      <c r="I107" s="46" t="s">
        <v>131</v>
      </c>
      <c r="J107" s="50">
        <f ca="1">H103</f>
        <v>23</v>
      </c>
    </row>
    <row r="108" spans="1:10" s="10" customFormat="1" ht="15.75" hidden="1" customHeight="1" x14ac:dyDescent="0.3">
      <c r="A108" s="156" t="s">
        <v>163</v>
      </c>
      <c r="B108" s="94"/>
      <c r="C108" s="51">
        <v>0</v>
      </c>
      <c r="D108" s="49">
        <f ca="1">((100/(D103+F103+H103))*C108)/100</f>
        <v>0</v>
      </c>
      <c r="E108" s="119"/>
      <c r="F108" s="119"/>
      <c r="G108" s="119"/>
      <c r="H108" s="167"/>
      <c r="I108" s="46" t="s">
        <v>132</v>
      </c>
      <c r="J108" s="52">
        <f ca="1">(IF(B103&gt;1,(H103/(B103+2)),H103/4))</f>
        <v>5.75</v>
      </c>
    </row>
    <row r="109" spans="1:10" s="10" customFormat="1" ht="15.75" hidden="1" customHeight="1" x14ac:dyDescent="0.3">
      <c r="A109" s="156" t="s">
        <v>170</v>
      </c>
      <c r="B109" s="94" t="s">
        <v>164</v>
      </c>
      <c r="C109" s="48">
        <v>0</v>
      </c>
      <c r="D109" s="49">
        <f ca="1">((100/H103)*C109)/100</f>
        <v>0</v>
      </c>
      <c r="E109" s="119"/>
      <c r="F109" s="119"/>
      <c r="G109" s="119"/>
      <c r="H109" s="167"/>
      <c r="I109" s="46" t="s">
        <v>133</v>
      </c>
      <c r="J109" s="52">
        <f ca="1">(IF(B103&gt;1,(H103/(B103+2)+J108),H103/4+J108))</f>
        <v>11.5</v>
      </c>
    </row>
    <row r="110" spans="1:10" s="10" customFormat="1" ht="15.75" hidden="1" customHeight="1" x14ac:dyDescent="0.3">
      <c r="A110" s="156" t="s">
        <v>171</v>
      </c>
      <c r="B110" s="94" t="s">
        <v>164</v>
      </c>
      <c r="C110" s="48">
        <v>0</v>
      </c>
      <c r="D110" s="49">
        <f ca="1">((100/H103)*C110)/100</f>
        <v>0</v>
      </c>
      <c r="E110" s="119"/>
      <c r="F110" s="119"/>
      <c r="G110" s="119"/>
      <c r="H110" s="167"/>
      <c r="I110" s="46" t="s">
        <v>180</v>
      </c>
      <c r="J110" s="52">
        <f>(IF(B103&gt;1,(H103/(B103+2)+J109),0))</f>
        <v>0</v>
      </c>
    </row>
    <row r="111" spans="1:10" s="10" customFormat="1" ht="15" hidden="1" customHeight="1" x14ac:dyDescent="0.3">
      <c r="A111" s="156" t="s">
        <v>169</v>
      </c>
      <c r="B111" s="94" t="s">
        <v>166</v>
      </c>
      <c r="C111" s="48">
        <v>0</v>
      </c>
      <c r="D111" s="49">
        <f ca="1">((100/(H103))*C111)/100</f>
        <v>0</v>
      </c>
      <c r="E111" s="119"/>
      <c r="F111" s="119"/>
      <c r="G111" s="119"/>
      <c r="H111" s="167"/>
      <c r="I111" s="46" t="s">
        <v>177</v>
      </c>
      <c r="J111" s="52">
        <f>(IF(B103&gt;2,(H103/(B103+2)+J110),0))</f>
        <v>0</v>
      </c>
    </row>
    <row r="112" spans="1:10" s="10" customFormat="1" ht="15.75" hidden="1" customHeight="1" x14ac:dyDescent="0.3">
      <c r="A112" s="156" t="s">
        <v>165</v>
      </c>
      <c r="B112" s="94" t="s">
        <v>165</v>
      </c>
      <c r="C112" s="48">
        <v>0</v>
      </c>
      <c r="D112" s="49">
        <f ca="1">((100/H103)*C112)/100</f>
        <v>0</v>
      </c>
      <c r="E112" s="119"/>
      <c r="F112" s="119"/>
      <c r="G112" s="119"/>
      <c r="H112" s="167"/>
      <c r="I112" s="46" t="s">
        <v>178</v>
      </c>
      <c r="J112" s="53">
        <f>(IF(B103&gt;3,(H103/(B103+2)+J111),0))</f>
        <v>0</v>
      </c>
    </row>
    <row r="113" spans="1:10" s="10" customFormat="1" ht="15.75" hidden="1" customHeight="1" x14ac:dyDescent="0.3">
      <c r="A113" s="156" t="s">
        <v>172</v>
      </c>
      <c r="B113" s="94"/>
      <c r="C113" s="48">
        <v>0</v>
      </c>
      <c r="D113" s="49">
        <f ca="1">((100/H103)*C113)/100</f>
        <v>0</v>
      </c>
      <c r="E113" s="119"/>
      <c r="F113" s="119"/>
      <c r="G113" s="119"/>
      <c r="H113" s="167"/>
      <c r="I113" s="46" t="s">
        <v>179</v>
      </c>
      <c r="J113" s="52">
        <f>(IF(B103&gt;4,(H103/(B103+2)+J112),0))</f>
        <v>0</v>
      </c>
    </row>
    <row r="114" spans="1:10" s="10" customFormat="1" ht="15.75" hidden="1" customHeight="1" x14ac:dyDescent="0.3">
      <c r="A114" s="156" t="s">
        <v>167</v>
      </c>
      <c r="B114" s="94" t="s">
        <v>167</v>
      </c>
      <c r="C114" s="48">
        <v>0</v>
      </c>
      <c r="D114" s="49">
        <f ca="1">((100/(H103))*C114)/100</f>
        <v>0</v>
      </c>
      <c r="E114" s="119"/>
      <c r="F114" s="119"/>
      <c r="G114" s="119"/>
      <c r="H114" s="167"/>
      <c r="I114" s="46" t="s">
        <v>181</v>
      </c>
      <c r="J114" s="52">
        <f ca="1">(IF(B103=1,(H103/(B103+3)+J109),IF(B103=0,(H103/4+J109),IF(B103&gt;1,0))))</f>
        <v>17.25</v>
      </c>
    </row>
    <row r="115" spans="1:10" s="10" customFormat="1" ht="16.2" hidden="1" thickBot="1" x14ac:dyDescent="0.35">
      <c r="A115" s="266" t="s">
        <v>168</v>
      </c>
      <c r="B115" s="267"/>
      <c r="C115" s="66">
        <v>0</v>
      </c>
      <c r="D115" s="67">
        <f ca="1">((100/(H103))*C115)/100</f>
        <v>0</v>
      </c>
      <c r="E115" s="158"/>
      <c r="F115" s="158"/>
      <c r="G115" s="158"/>
      <c r="H115" s="215"/>
      <c r="I115" s="56" t="s">
        <v>134</v>
      </c>
      <c r="J115" s="57">
        <f ca="1">(IF(B103&gt;1.5,(H103/(B103+2)+J109+MAX(0,J110-J109)+MAX(0,J111-J110)+MAX(0,J112-J111)+MAX(0,J113-J112)+MAX(0,J114-J113)),IF(B103=1,(H103/(B103+3)+J114),IF(B103=0,H103/4+J114))))</f>
        <v>23</v>
      </c>
    </row>
    <row r="116" spans="1:10" s="10" customFormat="1" ht="16.2" hidden="1" thickBot="1" x14ac:dyDescent="0.35">
      <c r="A116" s="216" t="s">
        <v>219</v>
      </c>
      <c r="B116" s="216" t="s">
        <v>167</v>
      </c>
      <c r="C116" s="268" t="s">
        <v>113</v>
      </c>
      <c r="D116" s="268"/>
      <c r="E116" s="68">
        <f ca="1">(E92+E106)/2</f>
        <v>0.55000000000000004</v>
      </c>
      <c r="F116" s="241" t="s">
        <v>112</v>
      </c>
      <c r="G116" s="241"/>
      <c r="H116" s="68">
        <f ca="1">(G92+G106)/2</f>
        <v>0.72499999999999998</v>
      </c>
      <c r="I116" s="46" t="s">
        <v>181</v>
      </c>
      <c r="J116" s="52">
        <f>(IF(B105=1,(H105/(B105+3)+J111),IF(B105=0,(H105/4+J111),IF(B105&gt;1,0))))</f>
        <v>0</v>
      </c>
    </row>
    <row r="117" spans="1:10" s="10" customFormat="1" ht="15.75" customHeight="1" x14ac:dyDescent="0.3">
      <c r="A117" s="239" t="s">
        <v>174</v>
      </c>
      <c r="B117" s="240"/>
      <c r="C117" s="236" t="str">
        <f>D64</f>
        <v>Building No.3 = Gr + 1st to 23rd Floor</v>
      </c>
      <c r="D117" s="237"/>
      <c r="E117" s="237"/>
      <c r="F117" s="237"/>
      <c r="G117" s="237"/>
      <c r="H117" s="238"/>
      <c r="I117" s="58" t="str">
        <f ca="1">(IF(E121&gt;99%,"All work completed. Please provide OC.",IF(E121&gt;89.8%,"Plinth, RCC, Brick, Plaster, Flooring, Painting work Completed. Finishing work is in process.",IF(E121&lt;94%,(IF(C121=0,"Work not yet Started.",IF(D121=25%,"Piling work in process",IF(D121=50%,"Excavation work in process",IF(D121=100%,"Excavation work Completed. ","0")))&amp;(IF(C122=0%,"",IF(C122=J123,"Footing work is process",IF(C122=J124,"Footing work Completed",IF(C122=J125,"1st Basement Completed",IF(C122=J126,"1st &amp; 2nd Basement Completed",IF(C122=J127,"1st to 3rd Basement Completed",IF(C122=J128,"1st to 4th Basement Completed",IF(C122=J129,"Plinth work is process",IF(C122=J130,"Plinth work completed","0")))))))))))&amp;(IF(C123=(D118+F118+H118),", RCC Slab",IF(C123&gt;0,", RCC upto "&amp;C123&amp;" Slab",""))&amp;(IF(C124=H118,", Brickwork",IF(C124&gt;0,", Brickwork upto "&amp;C124&amp;" Floor",""))&amp;(IF(C125=H118,", Internal Plaster",IF(C125&gt;0,", Internal Plaster upto "&amp;C125&amp;" Floor",""))&amp;(IF(C126=H118,", External Plaster",IF(C126&gt;0,", External Plaster upto "&amp;C126&amp;" Floor",""))&amp;(IF(C127=H118,", Flooring",IF(C127&gt;0,", Flooring upto "&amp;C127&amp;" Floor",""))&amp;(IF(C128=H118,", Painting",IF(C128&gt;0,", Painting upto "&amp;C128&amp;" Floor",""))&amp;(IF(C129&gt;0,", Finishing upto "&amp;C129&amp;" Floor","")&amp;(IF(C123&gt;0.5," Completed",""))))))))))))))</f>
        <v>Plinth, RCC, Brick, Plaster, Flooring, Painting work Completed. Finishing work is in process.</v>
      </c>
      <c r="J117" s="59"/>
    </row>
    <row r="118" spans="1:10" s="10" customFormat="1" x14ac:dyDescent="0.3">
      <c r="A118" s="38" t="s">
        <v>176</v>
      </c>
      <c r="B118" s="41">
        <v>0</v>
      </c>
      <c r="C118" s="41" t="s">
        <v>96</v>
      </c>
      <c r="D118" s="41">
        <v>1</v>
      </c>
      <c r="E118" s="41" t="s">
        <v>95</v>
      </c>
      <c r="F118" s="41">
        <v>0</v>
      </c>
      <c r="G118" s="41" t="s">
        <v>108</v>
      </c>
      <c r="H118" s="39">
        <f ca="1">--TRIM(RIGHT(SUBSTITUTE(LEFT(C117,_xlfn.AGGREGATE(16,6,FIND({0,1,2,3,4,5,6,7,8,9},C117,ROW(INDIRECT("1:"&amp;LEN(C117)))),1))," ",REPT(" ",LEN(C117))),LEN(C117)))</f>
        <v>23</v>
      </c>
      <c r="I118" s="43"/>
      <c r="J118" s="44"/>
    </row>
    <row r="119" spans="1:10" s="10" customFormat="1" ht="34.5" customHeight="1" x14ac:dyDescent="0.3">
      <c r="A119" s="145" t="s">
        <v>118</v>
      </c>
      <c r="B119" s="145"/>
      <c r="C119" s="118" t="str">
        <f ca="1">I117</f>
        <v>Plinth, RCC, Brick, Plaster, Flooring, Painting work Completed. Finishing work is in process.</v>
      </c>
      <c r="D119" s="118"/>
      <c r="E119" s="118"/>
      <c r="F119" s="118"/>
      <c r="G119" s="118"/>
      <c r="H119" s="118"/>
      <c r="I119" s="43" t="s">
        <v>135</v>
      </c>
      <c r="J119" s="44"/>
    </row>
    <row r="120" spans="1:10" s="10" customFormat="1" ht="15.75" customHeight="1" x14ac:dyDescent="0.3">
      <c r="A120" s="94" t="s">
        <v>49</v>
      </c>
      <c r="B120" s="94"/>
      <c r="C120" s="45" t="s">
        <v>173</v>
      </c>
      <c r="D120" s="45" t="s">
        <v>111</v>
      </c>
      <c r="E120" s="94" t="s">
        <v>113</v>
      </c>
      <c r="F120" s="94"/>
      <c r="G120" s="94" t="s">
        <v>112</v>
      </c>
      <c r="H120" s="94"/>
      <c r="I120" s="46" t="s">
        <v>175</v>
      </c>
      <c r="J120" s="47">
        <f ca="1">H118*25%</f>
        <v>5.75</v>
      </c>
    </row>
    <row r="121" spans="1:10" s="10" customFormat="1" x14ac:dyDescent="0.3">
      <c r="A121" s="94" t="s">
        <v>162</v>
      </c>
      <c r="B121" s="94"/>
      <c r="C121" s="48">
        <v>23</v>
      </c>
      <c r="D121" s="49">
        <f ca="1">((100/H118)*C121)/100</f>
        <v>1</v>
      </c>
      <c r="E121" s="119">
        <f ca="1">(((C122/H118*10)+(40/(D118+F118+H118)*C123)+(7.5/(H118)*C124)+(7.5/(H118)*C125)+(10/H118*C126)+(10/H118*C127)+(5/H118*C128)+(5/H118*C129)+(5/H118*C130))/100)</f>
        <v>0.94347826086956521</v>
      </c>
      <c r="F121" s="119"/>
      <c r="G121" s="119">
        <f ca="1">((((C121/H118)*20)+((C122/H118)*25)+(30/(H118+F118+D118)*C123)+(5/H118*C124)+(5/H118*C125)+(5/H118*C126)+(5/H118*C127)+(0/H118*C128)+(0/H118*C129)+(5/H118*C130))/100)</f>
        <v>0.95</v>
      </c>
      <c r="H121" s="119"/>
      <c r="I121" s="46" t="s">
        <v>130</v>
      </c>
      <c r="J121" s="50">
        <f ca="1">H118*50%</f>
        <v>11.5</v>
      </c>
    </row>
    <row r="122" spans="1:10" s="10" customFormat="1" x14ac:dyDescent="0.3">
      <c r="A122" s="94" t="s">
        <v>50</v>
      </c>
      <c r="B122" s="94"/>
      <c r="C122" s="51">
        <f ca="1">J130</f>
        <v>23</v>
      </c>
      <c r="D122" s="49">
        <f ca="1">((100/H118)*C122)/100</f>
        <v>1</v>
      </c>
      <c r="E122" s="119"/>
      <c r="F122" s="119"/>
      <c r="G122" s="119"/>
      <c r="H122" s="119"/>
      <c r="I122" s="46" t="s">
        <v>131</v>
      </c>
      <c r="J122" s="50">
        <f ca="1">H118</f>
        <v>23</v>
      </c>
    </row>
    <row r="123" spans="1:10" s="10" customFormat="1" ht="15.75" customHeight="1" x14ac:dyDescent="0.3">
      <c r="A123" s="94" t="s">
        <v>163</v>
      </c>
      <c r="B123" s="94"/>
      <c r="C123" s="51">
        <v>24</v>
      </c>
      <c r="D123" s="49">
        <f ca="1">((100/(D118+F118+H118))*C123)/100</f>
        <v>1</v>
      </c>
      <c r="E123" s="119"/>
      <c r="F123" s="119"/>
      <c r="G123" s="119"/>
      <c r="H123" s="119"/>
      <c r="I123" s="46" t="s">
        <v>132</v>
      </c>
      <c r="J123" s="52">
        <f ca="1">(IF(B118&gt;1,(H118/(B118+2)),H118/4))</f>
        <v>5.75</v>
      </c>
    </row>
    <row r="124" spans="1:10" s="10" customFormat="1" ht="15.75" customHeight="1" x14ac:dyDescent="0.3">
      <c r="A124" s="94" t="s">
        <v>170</v>
      </c>
      <c r="B124" s="94" t="s">
        <v>164</v>
      </c>
      <c r="C124" s="51">
        <f>C123-1</f>
        <v>23</v>
      </c>
      <c r="D124" s="49">
        <f ca="1">((100/H118)*C124)/100</f>
        <v>1</v>
      </c>
      <c r="E124" s="119"/>
      <c r="F124" s="119"/>
      <c r="G124" s="119"/>
      <c r="H124" s="119"/>
      <c r="I124" s="46" t="s">
        <v>133</v>
      </c>
      <c r="J124" s="52">
        <f ca="1">(IF(B118&gt;1,(H118/(B118+2)+J123),H118/4+J123))</f>
        <v>11.5</v>
      </c>
    </row>
    <row r="125" spans="1:10" s="10" customFormat="1" ht="15.75" customHeight="1" x14ac:dyDescent="0.3">
      <c r="A125" s="94" t="s">
        <v>171</v>
      </c>
      <c r="B125" s="94" t="s">
        <v>164</v>
      </c>
      <c r="C125" s="51">
        <v>23</v>
      </c>
      <c r="D125" s="49">
        <f ca="1">((100/H118)*C125)/100</f>
        <v>1</v>
      </c>
      <c r="E125" s="119"/>
      <c r="F125" s="119"/>
      <c r="G125" s="119"/>
      <c r="H125" s="119"/>
      <c r="I125" s="46" t="s">
        <v>180</v>
      </c>
      <c r="J125" s="52">
        <f>(IF(B118&gt;1,(H118/(B118+2)+J124),0))</f>
        <v>0</v>
      </c>
    </row>
    <row r="126" spans="1:10" s="10" customFormat="1" ht="15" customHeight="1" x14ac:dyDescent="0.3">
      <c r="A126" s="94" t="s">
        <v>169</v>
      </c>
      <c r="B126" s="94" t="s">
        <v>166</v>
      </c>
      <c r="C126" s="51">
        <v>23</v>
      </c>
      <c r="D126" s="49">
        <f ca="1">((100/(H118))*C126)/100</f>
        <v>1</v>
      </c>
      <c r="E126" s="119"/>
      <c r="F126" s="119"/>
      <c r="G126" s="119"/>
      <c r="H126" s="119"/>
      <c r="I126" s="46" t="s">
        <v>177</v>
      </c>
      <c r="J126" s="52">
        <f>(IF(B118&gt;2,(H118/(B118+2)+J125),0))</f>
        <v>0</v>
      </c>
    </row>
    <row r="127" spans="1:10" s="10" customFormat="1" ht="15.75" customHeight="1" x14ac:dyDescent="0.3">
      <c r="A127" s="94" t="s">
        <v>165</v>
      </c>
      <c r="B127" s="94" t="s">
        <v>165</v>
      </c>
      <c r="C127" s="48">
        <v>23</v>
      </c>
      <c r="D127" s="49">
        <f ca="1">((100/H118)*C127)/100</f>
        <v>1</v>
      </c>
      <c r="E127" s="119"/>
      <c r="F127" s="119"/>
      <c r="G127" s="119"/>
      <c r="H127" s="119"/>
      <c r="I127" s="46" t="s">
        <v>178</v>
      </c>
      <c r="J127" s="53">
        <f>(IF(B118&gt;3,(H118/(B118+2)+J126),0))</f>
        <v>0</v>
      </c>
    </row>
    <row r="128" spans="1:10" s="10" customFormat="1" ht="15.75" customHeight="1" x14ac:dyDescent="0.3">
      <c r="A128" s="94" t="s">
        <v>172</v>
      </c>
      <c r="B128" s="94"/>
      <c r="C128" s="48">
        <v>23</v>
      </c>
      <c r="D128" s="49">
        <f ca="1">((100/H118)*C128)/100</f>
        <v>1</v>
      </c>
      <c r="E128" s="119"/>
      <c r="F128" s="119"/>
      <c r="G128" s="119"/>
      <c r="H128" s="119"/>
      <c r="I128" s="46" t="s">
        <v>179</v>
      </c>
      <c r="J128" s="52">
        <f>(IF(B118&gt;4,(H118/(B118+2)+J127),0))</f>
        <v>0</v>
      </c>
    </row>
    <row r="129" spans="1:11" s="10" customFormat="1" ht="15.75" customHeight="1" x14ac:dyDescent="0.3">
      <c r="A129" s="94" t="s">
        <v>167</v>
      </c>
      <c r="B129" s="94" t="s">
        <v>167</v>
      </c>
      <c r="C129" s="48">
        <v>20</v>
      </c>
      <c r="D129" s="49">
        <f ca="1">((100/(H118))*C129)/100</f>
        <v>0.86956521739130432</v>
      </c>
      <c r="E129" s="119"/>
      <c r="F129" s="119"/>
      <c r="G129" s="119"/>
      <c r="H129" s="119"/>
      <c r="I129" s="46" t="s">
        <v>181</v>
      </c>
      <c r="J129" s="52">
        <f ca="1">(IF(B118=1,(H118/(B118+3)+J124),IF(B118=0,(H118/4+J124),IF(B118&gt;1,0))))</f>
        <v>17.25</v>
      </c>
    </row>
    <row r="130" spans="1:11" s="10" customFormat="1" ht="16.2" thickBot="1" x14ac:dyDescent="0.35">
      <c r="A130" s="94" t="s">
        <v>168</v>
      </c>
      <c r="B130" s="94"/>
      <c r="C130" s="48">
        <v>0</v>
      </c>
      <c r="D130" s="49">
        <f ca="1">((100/(H118))*C130)/100</f>
        <v>0</v>
      </c>
      <c r="E130" s="119"/>
      <c r="F130" s="119"/>
      <c r="G130" s="119"/>
      <c r="H130" s="119"/>
      <c r="I130" s="56" t="s">
        <v>134</v>
      </c>
      <c r="J130" s="57">
        <f ca="1">(IF(B118&gt;1.5,(H118/(B118+2)+J124+MAX(0,J125-J124)+MAX(0,J126-J125)+MAX(0,J127-J126)+MAX(0,J128-J127)+MAX(0,J129-J128)),IF(B118=1,(H118/(B118+3)+J129),IF(B118=0,H118/4+J129))))</f>
        <v>23</v>
      </c>
    </row>
    <row r="131" spans="1:11" s="10" customFormat="1" ht="15.75" customHeight="1" x14ac:dyDescent="0.3">
      <c r="A131" s="118" t="s">
        <v>174</v>
      </c>
      <c r="B131" s="118"/>
      <c r="C131" s="118" t="str">
        <f>D67</f>
        <v>Building No.4 = Gr+ 1st to 23rd Floor</v>
      </c>
      <c r="D131" s="118"/>
      <c r="E131" s="118"/>
      <c r="F131" s="118"/>
      <c r="G131" s="118"/>
      <c r="H131" s="118"/>
      <c r="I131" s="58" t="str">
        <f ca="1">(IF(E135&gt;99%,"All work completed. Please provide OC.",IF(E135&gt;89.8%,"Plinth, RCC, Brick, Plaster, Flooring, Painting work Completed. Finishing work is in process.",IF(E135&lt;94%,(IF(C135=0,"Work not yet Started.",IF(D135=25%,"Piling work in process",IF(D135=50%,"Excavation work in process",IF(D135=100%,"Excavation work Completed. ","0")))&amp;(IF(C136=0%,"",IF(C136=J137,"Footing work is process",IF(C136=J138,"Footing work Completed",IF(C136=J139,"1st Basement Completed",IF(C136=J140,"1st &amp; 2nd Basement Completed",IF(C136=J141,"1st to 3rd Basement Completed",IF(C136=J142,"1st to 4th Basement Completed",IF(C136=J143,"Plinth work is process",IF(C136=J144,"Plinth work completed","0")))))))))))&amp;(IF(C137=(D132+F132+H132),", RCC Slab",IF(C137&gt;0,", RCC upto "&amp;C137&amp;" Slab",""))&amp;(IF(C138=H132,", Brickwork",IF(C138&gt;0,", Brickwork upto "&amp;C138&amp;" Floor",""))&amp;(IF(C139=H132,", Internal Plaster",IF(C139&gt;0,", Internal Plaster upto "&amp;C139&amp;" Floor",""))&amp;(IF(C140=H132,", External Plaster",IF(C140&gt;0,", External Plaster upto "&amp;C140&amp;" Floor",""))&amp;(IF(C141=H132,", Flooring",IF(C141&gt;0,", Flooring upto "&amp;C141&amp;" Floor",""))&amp;(IF(C142=H132,", Painting",IF(C142&gt;0,", Painting upto "&amp;C142&amp;" Floor",""))&amp;(IF(C143&gt;0,", Finishing upto "&amp;C143&amp;" Floor","")&amp;(IF(C137&gt;0.5," Completed",""))))))))))))))</f>
        <v>Excavation work Completed. Plinth work completed, RCC Slab, Brickwork, Internal Plaster, External Plaster, Flooring upto 17 Floor, Painting upto 10 Floor Completed</v>
      </c>
      <c r="J131" s="59"/>
    </row>
    <row r="132" spans="1:11" s="10" customFormat="1" x14ac:dyDescent="0.3">
      <c r="A132" s="41" t="s">
        <v>176</v>
      </c>
      <c r="B132" s="41">
        <v>0</v>
      </c>
      <c r="C132" s="41" t="s">
        <v>96</v>
      </c>
      <c r="D132" s="41">
        <v>1</v>
      </c>
      <c r="E132" s="41" t="s">
        <v>95</v>
      </c>
      <c r="F132" s="41">
        <v>0</v>
      </c>
      <c r="G132" s="41" t="s">
        <v>108</v>
      </c>
      <c r="H132" s="41">
        <f ca="1">--TRIM(RIGHT(SUBSTITUTE(LEFT(C131,_xlfn.AGGREGATE(16,6,FIND({0,1,2,3,4,5,6,7,8,9},C131,ROW(INDIRECT("1:"&amp;LEN(C131)))),1))," ",REPT(" ",LEN(C131))),LEN(C131)))</f>
        <v>23</v>
      </c>
      <c r="I132" s="43"/>
      <c r="J132" s="44"/>
    </row>
    <row r="133" spans="1:11" s="10" customFormat="1" ht="32.4" customHeight="1" x14ac:dyDescent="0.3">
      <c r="A133" s="145" t="s">
        <v>118</v>
      </c>
      <c r="B133" s="145"/>
      <c r="C133" s="118" t="str">
        <f ca="1">I131</f>
        <v>Excavation work Completed. Plinth work completed, RCC Slab, Brickwork, Internal Plaster, External Plaster, Flooring upto 17 Floor, Painting upto 10 Floor Completed</v>
      </c>
      <c r="D133" s="118"/>
      <c r="E133" s="118"/>
      <c r="F133" s="118"/>
      <c r="G133" s="118"/>
      <c r="H133" s="118"/>
      <c r="I133" s="43" t="s">
        <v>135</v>
      </c>
      <c r="J133" s="44"/>
    </row>
    <row r="134" spans="1:11" s="10" customFormat="1" ht="15.75" customHeight="1" x14ac:dyDescent="0.3">
      <c r="A134" s="94" t="s">
        <v>49</v>
      </c>
      <c r="B134" s="94"/>
      <c r="C134" s="45" t="s">
        <v>173</v>
      </c>
      <c r="D134" s="45" t="s">
        <v>111</v>
      </c>
      <c r="E134" s="94" t="s">
        <v>113</v>
      </c>
      <c r="F134" s="94"/>
      <c r="G134" s="94" t="s">
        <v>112</v>
      </c>
      <c r="H134" s="94"/>
      <c r="I134" s="46" t="s">
        <v>175</v>
      </c>
      <c r="J134" s="47">
        <f ca="1">H132*25%</f>
        <v>5.75</v>
      </c>
    </row>
    <row r="135" spans="1:11" s="10" customFormat="1" x14ac:dyDescent="0.3">
      <c r="A135" s="94" t="s">
        <v>162</v>
      </c>
      <c r="B135" s="94"/>
      <c r="C135" s="48">
        <f ca="1">J136</f>
        <v>23</v>
      </c>
      <c r="D135" s="49">
        <f ca="1">((100/H132)*C135)/100</f>
        <v>1</v>
      </c>
      <c r="E135" s="119">
        <f ca="1">(((C136/H132*10)+(40/(D132+F132+H132)*C137)+(7.5/(H132)*C138)+(7.5/(H132)*C139)+(10/H132*C140)+(10/H132*C141)+(5/H132*C142)+(5/H132*C143)+(5/H132*C144))/100)</f>
        <v>0.84565217391304359</v>
      </c>
      <c r="F135" s="119"/>
      <c r="G135" s="119">
        <f ca="1">((((C135/H132)*20)+((C136/H132)*25)+(30/(H132+F132+D132)*C137)+(5/H132*C138)+(5/H132*C139)+(5/H132*C140)+(5/H132*C141)+(0/H132*C142)+(0/H132*C143)+(5/H132*C144))/100)</f>
        <v>0.93695652173913047</v>
      </c>
      <c r="H135" s="119"/>
      <c r="I135" s="46" t="s">
        <v>130</v>
      </c>
      <c r="J135" s="50">
        <f ca="1">H132*50%</f>
        <v>11.5</v>
      </c>
    </row>
    <row r="136" spans="1:11" s="10" customFormat="1" x14ac:dyDescent="0.3">
      <c r="A136" s="94" t="s">
        <v>50</v>
      </c>
      <c r="B136" s="94"/>
      <c r="C136" s="51">
        <f ca="1">J144</f>
        <v>23</v>
      </c>
      <c r="D136" s="49">
        <f ca="1">((100/H132)*C136)/100</f>
        <v>1</v>
      </c>
      <c r="E136" s="119"/>
      <c r="F136" s="119"/>
      <c r="G136" s="119"/>
      <c r="H136" s="119"/>
      <c r="I136" s="46" t="s">
        <v>131</v>
      </c>
      <c r="J136" s="50">
        <f ca="1">H132</f>
        <v>23</v>
      </c>
    </row>
    <row r="137" spans="1:11" s="10" customFormat="1" ht="15.75" customHeight="1" x14ac:dyDescent="0.3">
      <c r="A137" s="94" t="s">
        <v>163</v>
      </c>
      <c r="B137" s="94"/>
      <c r="C137" s="51">
        <v>24</v>
      </c>
      <c r="D137" s="49">
        <f ca="1">((100/(D132+F132+H132))*C137)/100</f>
        <v>1</v>
      </c>
      <c r="E137" s="119"/>
      <c r="F137" s="119"/>
      <c r="G137" s="119"/>
      <c r="H137" s="119"/>
      <c r="I137" s="46" t="s">
        <v>132</v>
      </c>
      <c r="J137" s="52">
        <f ca="1">(IF(B132&gt;1,(H132/(B132+2)),H132/4))</f>
        <v>5.75</v>
      </c>
    </row>
    <row r="138" spans="1:11" s="10" customFormat="1" ht="15.75" customHeight="1" x14ac:dyDescent="0.3">
      <c r="A138" s="94" t="s">
        <v>170</v>
      </c>
      <c r="B138" s="94" t="s">
        <v>164</v>
      </c>
      <c r="C138" s="51">
        <f>C137-D132</f>
        <v>23</v>
      </c>
      <c r="D138" s="49">
        <f ca="1">((100/H132)*C138)/100</f>
        <v>1</v>
      </c>
      <c r="E138" s="119"/>
      <c r="F138" s="119"/>
      <c r="G138" s="119"/>
      <c r="H138" s="119"/>
      <c r="I138" s="46" t="s">
        <v>133</v>
      </c>
      <c r="J138" s="52">
        <f ca="1">(IF(B132&gt;1,(H132/(B132+2)+J137),H132/4+J137))</f>
        <v>11.5</v>
      </c>
    </row>
    <row r="139" spans="1:11" s="10" customFormat="1" ht="15.75" customHeight="1" x14ac:dyDescent="0.3">
      <c r="A139" s="94" t="s">
        <v>171</v>
      </c>
      <c r="B139" s="94" t="s">
        <v>164</v>
      </c>
      <c r="C139" s="51">
        <v>23</v>
      </c>
      <c r="D139" s="49">
        <f ca="1">((100/H132)*C139)/100</f>
        <v>1</v>
      </c>
      <c r="E139" s="119"/>
      <c r="F139" s="119"/>
      <c r="G139" s="119"/>
      <c r="H139" s="119"/>
      <c r="I139" s="46" t="s">
        <v>180</v>
      </c>
      <c r="J139" s="52">
        <f>(IF(B132&gt;1,(H132/(B132+2)+J138),0))</f>
        <v>0</v>
      </c>
      <c r="K139" s="10" t="s">
        <v>267</v>
      </c>
    </row>
    <row r="140" spans="1:11" s="10" customFormat="1" ht="15" customHeight="1" x14ac:dyDescent="0.3">
      <c r="A140" s="94" t="s">
        <v>169</v>
      </c>
      <c r="B140" s="94" t="s">
        <v>166</v>
      </c>
      <c r="C140" s="51">
        <v>23</v>
      </c>
      <c r="D140" s="49">
        <f ca="1">((100/(H132))*C140)/100</f>
        <v>1</v>
      </c>
      <c r="E140" s="119"/>
      <c r="F140" s="119"/>
      <c r="G140" s="119"/>
      <c r="H140" s="119"/>
      <c r="I140" s="46" t="s">
        <v>177</v>
      </c>
      <c r="J140" s="52">
        <f>(IF(B132&gt;2,(H132/(B132+2)+J139),0))</f>
        <v>0</v>
      </c>
    </row>
    <row r="141" spans="1:11" s="10" customFormat="1" ht="15.75" customHeight="1" x14ac:dyDescent="0.3">
      <c r="A141" s="94" t="s">
        <v>165</v>
      </c>
      <c r="B141" s="94" t="s">
        <v>165</v>
      </c>
      <c r="C141" s="48">
        <v>17</v>
      </c>
      <c r="D141" s="49">
        <f ca="1">((100/H132)*C141)/100</f>
        <v>0.73913043478260865</v>
      </c>
      <c r="E141" s="119"/>
      <c r="F141" s="119"/>
      <c r="G141" s="119"/>
      <c r="H141" s="119"/>
      <c r="I141" s="46" t="s">
        <v>178</v>
      </c>
      <c r="J141" s="53">
        <f>(IF(B132&gt;3,(H132/(B132+2)+J140),0))</f>
        <v>0</v>
      </c>
    </row>
    <row r="142" spans="1:11" s="10" customFormat="1" ht="15.75" customHeight="1" x14ac:dyDescent="0.3">
      <c r="A142" s="94" t="s">
        <v>172</v>
      </c>
      <c r="B142" s="94"/>
      <c r="C142" s="48">
        <v>10</v>
      </c>
      <c r="D142" s="49">
        <f ca="1">((100/H132)*C142)/100</f>
        <v>0.43478260869565216</v>
      </c>
      <c r="E142" s="119"/>
      <c r="F142" s="119"/>
      <c r="G142" s="119"/>
      <c r="H142" s="119"/>
      <c r="I142" s="46" t="s">
        <v>179</v>
      </c>
      <c r="J142" s="52">
        <f>(IF(B132&gt;4,(H132/(B132+2)+J141),0))</f>
        <v>0</v>
      </c>
    </row>
    <row r="143" spans="1:11" s="10" customFormat="1" ht="15.75" customHeight="1" x14ac:dyDescent="0.3">
      <c r="A143" s="94" t="s">
        <v>167</v>
      </c>
      <c r="B143" s="94" t="s">
        <v>167</v>
      </c>
      <c r="C143" s="48">
        <v>0</v>
      </c>
      <c r="D143" s="49">
        <f ca="1">((100/(H132))*C143)/100</f>
        <v>0</v>
      </c>
      <c r="E143" s="119"/>
      <c r="F143" s="119"/>
      <c r="G143" s="119"/>
      <c r="H143" s="119"/>
      <c r="I143" s="46" t="s">
        <v>181</v>
      </c>
      <c r="J143" s="52">
        <f ca="1">(IF(B132=1,(H132/(B132+3)+J138),IF(B132=0,(H132/4+J138),IF(B132&gt;1,0))))</f>
        <v>17.25</v>
      </c>
    </row>
    <row r="144" spans="1:11" s="10" customFormat="1" ht="16.2" thickBot="1" x14ac:dyDescent="0.35">
      <c r="A144" s="94" t="s">
        <v>168</v>
      </c>
      <c r="B144" s="94"/>
      <c r="C144" s="66">
        <v>0</v>
      </c>
      <c r="D144" s="67">
        <f ca="1">((100/(H132))*C144)/100</f>
        <v>0</v>
      </c>
      <c r="E144" s="158"/>
      <c r="F144" s="158"/>
      <c r="G144" s="158"/>
      <c r="H144" s="158"/>
      <c r="I144" s="56" t="s">
        <v>134</v>
      </c>
      <c r="J144" s="57">
        <f ca="1">(IF(B132&gt;1.5,(H132/(B132+2)+J138+MAX(0,J139-J138)+MAX(0,J140-J139)+MAX(0,J141-J140)+MAX(0,J142-J141)+MAX(0,J143-J142)),IF(B132=1,(H132/(B132+3)+J143),IF(B132=0,H132/4+J143))))</f>
        <v>23</v>
      </c>
    </row>
    <row r="145" spans="1:11" s="10" customFormat="1" ht="15.75" customHeight="1" x14ac:dyDescent="0.3">
      <c r="A145" s="118" t="s">
        <v>174</v>
      </c>
      <c r="B145" s="262"/>
      <c r="C145" s="263" t="str">
        <f>D68</f>
        <v>Building No.5 = Gr+ 1st to 23rd Floor</v>
      </c>
      <c r="D145" s="264"/>
      <c r="E145" s="264"/>
      <c r="F145" s="264"/>
      <c r="G145" s="264"/>
      <c r="H145" s="265"/>
      <c r="I145" s="58" t="str">
        <f ca="1">(IF(E149&gt;99%,"All work completed. Please provide OC.",IF(E149&gt;89.8%,"Plinth, RCC, Brick, Plaster, Flooring, Painting work Completed. Finishing work is in process.",IF(E149&lt;94%,(IF(C149=0,"Work not yet Started.",IF(D149=25%,"Piling work in process",IF(D149=50%,"Excavation work in process",IF(D149=100%,"Excavation work Completed. ","0")))&amp;(IF(C150=0%,"",IF(C150=J151,"Footing work is process",IF(C150=J152,"Footing work Completed",IF(C150=J153,"1st Basement Completed",IF(C150=J154,"1st &amp; 2nd Basement Completed",IF(C150=J155,"1st to 3rd Basement Completed",IF(C150=J156,"1st to 4th Basement Completed",IF(C150=J157,"Plinth work is process",IF(C150=J158,"Plinth work completed","0")))))))))))&amp;(IF(C151=(D146+F146+H146),", RCC Slab",IF(C151&gt;0,", RCC upto "&amp;C151&amp;" Slab",""))&amp;(IF(C152=H146,", Brickwork",IF(C152&gt;0,", Brickwork upto "&amp;C152&amp;" Floor",""))&amp;(IF(C153=H146,", Internal Plaster",IF(C153&gt;0,", Internal Plaster upto "&amp;C153&amp;" Floor",""))&amp;(IF(C154=H146,", External Plaster",IF(C154&gt;0,", External Plaster upto "&amp;C154&amp;" Floor",""))&amp;(IF(C155=H146,", Flooring",IF(C155&gt;0,", Flooring upto "&amp;C155&amp;" Floor",""))&amp;(IF(C156=H146,", Painting",IF(C156&gt;0,", Painting upto "&amp;C156&amp;" Floor",""))&amp;(IF(C157&gt;0,", Finishing upto "&amp;C157&amp;" Floor","")&amp;(IF(C151&gt;0.5," Completed",""))))))))))))))</f>
        <v>Excavation work Completed. Plinth work completed, RCC Slab, Brickwork, Internal Plaster upto 17.25 Floor, External Plaster upto 14.95 Floor Completed</v>
      </c>
      <c r="J145" s="59"/>
    </row>
    <row r="146" spans="1:11" s="10" customFormat="1" x14ac:dyDescent="0.3">
      <c r="A146" s="41" t="s">
        <v>176</v>
      </c>
      <c r="B146" s="41">
        <v>0</v>
      </c>
      <c r="C146" s="93" t="s">
        <v>96</v>
      </c>
      <c r="D146" s="93">
        <v>1</v>
      </c>
      <c r="E146" s="93" t="s">
        <v>95</v>
      </c>
      <c r="F146" s="93">
        <v>0</v>
      </c>
      <c r="G146" s="93" t="s">
        <v>108</v>
      </c>
      <c r="H146" s="93">
        <f ca="1">--TRIM(RIGHT(SUBSTITUTE(LEFT(C145,_xlfn.AGGREGATE(16,6,FIND({0,1,2,3,4,5,6,7,8,9},C145,ROW(INDIRECT("1:"&amp;LEN(C145)))),1))," ",REPT(" ",LEN(C145))),LEN(C145)))</f>
        <v>23</v>
      </c>
      <c r="I146" s="43"/>
      <c r="J146" s="44"/>
    </row>
    <row r="147" spans="1:11" s="10" customFormat="1" ht="30" customHeight="1" x14ac:dyDescent="0.3">
      <c r="A147" s="145" t="s">
        <v>118</v>
      </c>
      <c r="B147" s="145"/>
      <c r="C147" s="221" t="str">
        <f ca="1">I145</f>
        <v>Excavation work Completed. Plinth work completed, RCC Slab, Brickwork, Internal Plaster upto 17.25 Floor, External Plaster upto 14.95 Floor Completed</v>
      </c>
      <c r="D147" s="221"/>
      <c r="E147" s="221"/>
      <c r="F147" s="221"/>
      <c r="G147" s="221"/>
      <c r="H147" s="221"/>
      <c r="I147" s="43" t="s">
        <v>135</v>
      </c>
      <c r="J147" s="44"/>
    </row>
    <row r="148" spans="1:11" s="10" customFormat="1" ht="15.75" customHeight="1" x14ac:dyDescent="0.3">
      <c r="A148" s="94" t="s">
        <v>49</v>
      </c>
      <c r="B148" s="94"/>
      <c r="C148" s="45" t="s">
        <v>173</v>
      </c>
      <c r="D148" s="45" t="s">
        <v>111</v>
      </c>
      <c r="E148" s="94" t="s">
        <v>113</v>
      </c>
      <c r="F148" s="94"/>
      <c r="G148" s="94" t="s">
        <v>112</v>
      </c>
      <c r="H148" s="94"/>
      <c r="I148" s="46" t="s">
        <v>175</v>
      </c>
      <c r="J148" s="47">
        <f ca="1">H146*25%</f>
        <v>5.75</v>
      </c>
    </row>
    <row r="149" spans="1:11" s="10" customFormat="1" x14ac:dyDescent="0.3">
      <c r="A149" s="94" t="s">
        <v>162</v>
      </c>
      <c r="B149" s="94"/>
      <c r="C149" s="87">
        <f ca="1">J150</f>
        <v>23</v>
      </c>
      <c r="D149" s="49">
        <f ca="1">((100/H146)*C149)/100</f>
        <v>1</v>
      </c>
      <c r="E149" s="119">
        <f ca="1">(((C150/H146*10)+(40/(D146+F146+H146)*C151)+(7.5/(H146)*C152)+(7.5/(H146)*C153)+(10/H146*C154)+(10/H146*C155)+(5/H146*C156)+(5/H146*C157)+(5/H146*C158))/100)</f>
        <v>0.69625000000000004</v>
      </c>
      <c r="F149" s="119"/>
      <c r="G149" s="119">
        <f ca="1">((((C149/H146)*20)+((C150/H146)*25)+(30/(H146+F146+D146)*C151)+(5/H146*C152)+(5/H146*C153)+(5/H146*C154)+(5/H146*C155)+(0/H146*C156)+(0/H146*C157)+(5/H146*C158))/100)</f>
        <v>0.87</v>
      </c>
      <c r="H149" s="119"/>
      <c r="I149" s="46" t="s">
        <v>130</v>
      </c>
      <c r="J149" s="50">
        <f ca="1">H146*50%</f>
        <v>11.5</v>
      </c>
    </row>
    <row r="150" spans="1:11" s="10" customFormat="1" x14ac:dyDescent="0.3">
      <c r="A150" s="94" t="s">
        <v>50</v>
      </c>
      <c r="B150" s="94"/>
      <c r="C150" s="88">
        <f ca="1">J158</f>
        <v>23</v>
      </c>
      <c r="D150" s="49">
        <f ca="1">((100/H146)*C150)/100</f>
        <v>1</v>
      </c>
      <c r="E150" s="119"/>
      <c r="F150" s="119"/>
      <c r="G150" s="119"/>
      <c r="H150" s="119"/>
      <c r="I150" s="46" t="s">
        <v>131</v>
      </c>
      <c r="J150" s="50">
        <f ca="1">H146</f>
        <v>23</v>
      </c>
    </row>
    <row r="151" spans="1:11" s="10" customFormat="1" ht="15.75" customHeight="1" x14ac:dyDescent="0.3">
      <c r="A151" s="94" t="s">
        <v>163</v>
      </c>
      <c r="B151" s="94"/>
      <c r="C151" s="88">
        <v>24</v>
      </c>
      <c r="D151" s="49">
        <f ca="1">((100/(D146+F146+H146))*C151)/100</f>
        <v>1</v>
      </c>
      <c r="E151" s="119"/>
      <c r="F151" s="119"/>
      <c r="G151" s="119"/>
      <c r="H151" s="119"/>
      <c r="I151" s="46" t="s">
        <v>132</v>
      </c>
      <c r="J151" s="52">
        <f ca="1">(IF(B146&gt;1,(H146/(B146+2)),H146/4))</f>
        <v>5.75</v>
      </c>
    </row>
    <row r="152" spans="1:11" s="10" customFormat="1" ht="15.75" customHeight="1" x14ac:dyDescent="0.3">
      <c r="A152" s="94" t="s">
        <v>170</v>
      </c>
      <c r="B152" s="94" t="s">
        <v>164</v>
      </c>
      <c r="C152" s="88">
        <f>C151-D146</f>
        <v>23</v>
      </c>
      <c r="D152" s="49">
        <f ca="1">((100/H146)*C152)/100</f>
        <v>1</v>
      </c>
      <c r="E152" s="119"/>
      <c r="F152" s="119"/>
      <c r="G152" s="119"/>
      <c r="H152" s="119"/>
      <c r="I152" s="46" t="s">
        <v>133</v>
      </c>
      <c r="J152" s="52">
        <f ca="1">(IF(B146&gt;1,(H146/(B146+2)+J151),H146/4+J151))</f>
        <v>11.5</v>
      </c>
    </row>
    <row r="153" spans="1:11" s="10" customFormat="1" ht="15.75" customHeight="1" x14ac:dyDescent="0.3">
      <c r="A153" s="94" t="s">
        <v>171</v>
      </c>
      <c r="B153" s="94" t="s">
        <v>164</v>
      </c>
      <c r="C153" s="88">
        <f>C152*0.75</f>
        <v>17.25</v>
      </c>
      <c r="D153" s="49">
        <f ca="1">((100/H146)*C153)/100</f>
        <v>0.75</v>
      </c>
      <c r="E153" s="119"/>
      <c r="F153" s="119"/>
      <c r="G153" s="119"/>
      <c r="H153" s="119"/>
      <c r="I153" s="46" t="s">
        <v>180</v>
      </c>
      <c r="J153" s="52">
        <f>(IF(B146&gt;1,(H146/(B146+2)+J152),0))</f>
        <v>0</v>
      </c>
      <c r="K153" s="10" t="s">
        <v>267</v>
      </c>
    </row>
    <row r="154" spans="1:11" s="10" customFormat="1" ht="15" customHeight="1" x14ac:dyDescent="0.3">
      <c r="A154" s="94" t="s">
        <v>169</v>
      </c>
      <c r="B154" s="94" t="s">
        <v>166</v>
      </c>
      <c r="C154" s="88">
        <f>C152*0.65</f>
        <v>14.950000000000001</v>
      </c>
      <c r="D154" s="49">
        <f ca="1">((100/(H146))*C154)/100</f>
        <v>0.65</v>
      </c>
      <c r="E154" s="119"/>
      <c r="F154" s="119"/>
      <c r="G154" s="119"/>
      <c r="H154" s="119"/>
      <c r="I154" s="46" t="s">
        <v>177</v>
      </c>
      <c r="J154" s="52">
        <f>(IF(B146&gt;2,(H146/(B146+2)+J153),0))</f>
        <v>0</v>
      </c>
    </row>
    <row r="155" spans="1:11" s="10" customFormat="1" ht="15.75" customHeight="1" x14ac:dyDescent="0.3">
      <c r="A155" s="94" t="s">
        <v>165</v>
      </c>
      <c r="B155" s="94" t="s">
        <v>165</v>
      </c>
      <c r="C155" s="87">
        <v>0</v>
      </c>
      <c r="D155" s="49">
        <f ca="1">((100/H146)*C155)/100</f>
        <v>0</v>
      </c>
      <c r="E155" s="119"/>
      <c r="F155" s="119"/>
      <c r="G155" s="119"/>
      <c r="H155" s="119"/>
      <c r="I155" s="46" t="s">
        <v>178</v>
      </c>
      <c r="J155" s="53">
        <f>(IF(B146&gt;3,(H146/(B146+2)+J154),0))</f>
        <v>0</v>
      </c>
    </row>
    <row r="156" spans="1:11" s="10" customFormat="1" ht="15.75" customHeight="1" x14ac:dyDescent="0.3">
      <c r="A156" s="94" t="s">
        <v>172</v>
      </c>
      <c r="B156" s="94"/>
      <c r="C156" s="87">
        <v>0</v>
      </c>
      <c r="D156" s="49">
        <f ca="1">((100/H146)*C156)/100</f>
        <v>0</v>
      </c>
      <c r="E156" s="119"/>
      <c r="F156" s="119"/>
      <c r="G156" s="119"/>
      <c r="H156" s="119"/>
      <c r="I156" s="46" t="s">
        <v>179</v>
      </c>
      <c r="J156" s="52">
        <f>(IF(B146&gt;4,(H146/(B146+2)+J155),0))</f>
        <v>0</v>
      </c>
    </row>
    <row r="157" spans="1:11" s="10" customFormat="1" ht="15.75" customHeight="1" x14ac:dyDescent="0.3">
      <c r="A157" s="94" t="s">
        <v>167</v>
      </c>
      <c r="B157" s="94" t="s">
        <v>167</v>
      </c>
      <c r="C157" s="87">
        <v>0</v>
      </c>
      <c r="D157" s="49">
        <f ca="1">((100/(H146))*C157)/100</f>
        <v>0</v>
      </c>
      <c r="E157" s="119"/>
      <c r="F157" s="119"/>
      <c r="G157" s="119"/>
      <c r="H157" s="119"/>
      <c r="I157" s="46" t="s">
        <v>181</v>
      </c>
      <c r="J157" s="52">
        <f ca="1">(IF(B146=1,(H146/(B146+3)+J152),IF(B146=0,(H146/4+J152),IF(B146&gt;1,0))))</f>
        <v>17.25</v>
      </c>
    </row>
    <row r="158" spans="1:11" s="10" customFormat="1" ht="16.2" thickBot="1" x14ac:dyDescent="0.35">
      <c r="A158" s="94" t="s">
        <v>168</v>
      </c>
      <c r="B158" s="94"/>
      <c r="C158" s="87">
        <v>0</v>
      </c>
      <c r="D158" s="49">
        <f ca="1">((100/(H146))*C158)/100</f>
        <v>0</v>
      </c>
      <c r="E158" s="119"/>
      <c r="F158" s="119"/>
      <c r="G158" s="119"/>
      <c r="H158" s="119"/>
      <c r="I158" s="56" t="s">
        <v>134</v>
      </c>
      <c r="J158" s="57">
        <f ca="1">(IF(B146&gt;1.5,(H146/(B146+2)+J152+MAX(0,J153-J152)+MAX(0,J154-J153)+MAX(0,J155-J154)+MAX(0,J156-J155)+MAX(0,J157-J156)),IF(B146=1,(H146/(B146+3)+J157),IF(B146=0,H146/4+J157))))</f>
        <v>23</v>
      </c>
    </row>
    <row r="159" spans="1:11" s="10" customFormat="1" ht="15.75" customHeight="1" x14ac:dyDescent="0.3">
      <c r="A159" s="118" t="s">
        <v>174</v>
      </c>
      <c r="B159" s="118"/>
      <c r="C159" s="221" t="str">
        <f>D65</f>
        <v>Building No.6 = Gr + 1st to 23rd Floor</v>
      </c>
      <c r="D159" s="221"/>
      <c r="E159" s="221"/>
      <c r="F159" s="221"/>
      <c r="G159" s="221"/>
      <c r="H159" s="221"/>
      <c r="I159" s="58" t="str">
        <f ca="1">(IF(E163&gt;99%,"All work completed. Please provide OC.",IF(E163&gt;89.8%,"Plinth, RCC, Brick, Plaster, Flooring, Painting work Completed. Finishing work is in process.",IF(E163&lt;94%,(IF(C163=0,"Work not yet Started.",IF(D163=25%,"Piling work in process",IF(D163=50%,"Excavation work in process",IF(D163=100%,"Excavation work Completed. ","0")))&amp;(IF(C164=0%,"",IF(C164=J165,"Footing work is process",IF(C164=J166,"Footing work Completed",IF(C164=J167,"1st Basement Completed",IF(C164=J168,"1st &amp; 2nd Basement Completed",IF(C164=J169,"1st to 3rd Basement Completed",IF(C164=J170,"1st to 4th Basement Completed",IF(C164=J171,"Plinth work is process",IF(C164=J172,"Plinth work completed","0")))))))))))&amp;(IF(C165=(D160+F160+H160),", RCC Slab",IF(C165&gt;0,", RCC upto "&amp;C165&amp;" Slab",""))&amp;(IF(C166=H160,", Brickwork",IF(C166&gt;0,", Brickwork upto "&amp;C166&amp;" Floor",""))&amp;(IF(C167=H160,", Internal Plaster",IF(C167&gt;0,", Internal Plaster upto "&amp;C167&amp;" Floor",""))&amp;(IF(C168=H160,", External Plaster",IF(C168&gt;0,", External Plaster upto "&amp;C168&amp;" Floor",""))&amp;(IF(C169=H160,", Flooring",IF(C169&gt;0,", Flooring upto "&amp;C169&amp;" Floor",""))&amp;(IF(C170=H160,", Painting",IF(C170&gt;0,", Painting upto "&amp;C170&amp;" Floor",""))&amp;(IF(C171&gt;0,", Finishing upto "&amp;C171&amp;" Floor","")&amp;(IF(C165&gt;0.5," Completed",""))))))))))))))</f>
        <v>Excavation work Completed. Plinth work completed, RCC Slab, Brickwork, Internal Plaster upto 18 Floor, External Plaster upto 15 Floor, Flooring upto 3 Floor Completed</v>
      </c>
      <c r="J159" s="59"/>
    </row>
    <row r="160" spans="1:11" s="10" customFormat="1" x14ac:dyDescent="0.3">
      <c r="A160" s="41" t="s">
        <v>176</v>
      </c>
      <c r="B160" s="41">
        <v>0</v>
      </c>
      <c r="C160" s="41" t="s">
        <v>96</v>
      </c>
      <c r="D160" s="41">
        <v>1</v>
      </c>
      <c r="E160" s="41" t="s">
        <v>95</v>
      </c>
      <c r="F160" s="41">
        <v>0</v>
      </c>
      <c r="G160" s="41" t="s">
        <v>108</v>
      </c>
      <c r="H160" s="41">
        <f ca="1">--TRIM(RIGHT(SUBSTITUTE(LEFT(C159,_xlfn.AGGREGATE(16,6,FIND({0,1,2,3,4,5,6,7,8,9},C159,ROW(INDIRECT("1:"&amp;LEN(C159)))),1))," ",REPT(" ",LEN(C159))),LEN(C159)))</f>
        <v>23</v>
      </c>
      <c r="I160" s="43"/>
      <c r="J160" s="44"/>
    </row>
    <row r="161" spans="1:13" s="10" customFormat="1" ht="35.4" customHeight="1" x14ac:dyDescent="0.3">
      <c r="A161" s="145" t="s">
        <v>118</v>
      </c>
      <c r="B161" s="145"/>
      <c r="C161" s="118" t="str">
        <f ca="1">I159</f>
        <v>Excavation work Completed. Plinth work completed, RCC Slab, Brickwork, Internal Plaster upto 18 Floor, External Plaster upto 15 Floor, Flooring upto 3 Floor Completed</v>
      </c>
      <c r="D161" s="118"/>
      <c r="E161" s="118"/>
      <c r="F161" s="118"/>
      <c r="G161" s="118"/>
      <c r="H161" s="118"/>
      <c r="I161" s="43" t="s">
        <v>135</v>
      </c>
      <c r="J161" s="44"/>
    </row>
    <row r="162" spans="1:13" s="10" customFormat="1" ht="15.75" customHeight="1" x14ac:dyDescent="0.3">
      <c r="A162" s="156" t="s">
        <v>49</v>
      </c>
      <c r="B162" s="94"/>
      <c r="C162" s="45" t="s">
        <v>173</v>
      </c>
      <c r="D162" s="45" t="s">
        <v>111</v>
      </c>
      <c r="E162" s="94" t="s">
        <v>113</v>
      </c>
      <c r="F162" s="94"/>
      <c r="G162" s="94" t="s">
        <v>112</v>
      </c>
      <c r="H162" s="157"/>
      <c r="I162" s="46" t="s">
        <v>175</v>
      </c>
      <c r="J162" s="47">
        <f ca="1">H160*25%</f>
        <v>5.75</v>
      </c>
    </row>
    <row r="163" spans="1:13" s="10" customFormat="1" x14ac:dyDescent="0.3">
      <c r="A163" s="94" t="s">
        <v>162</v>
      </c>
      <c r="B163" s="94"/>
      <c r="C163" s="48">
        <v>23</v>
      </c>
      <c r="D163" s="82">
        <f ca="1">((100/H160)*C163)/100</f>
        <v>1</v>
      </c>
      <c r="E163" s="242">
        <f ca="1">(((C164/H160*10)+(40/(D160+F160+H160)*C165)+(7.5/(H160)*C166)+(7.5/(H160)*C167)+(10/H160*C168)+(10/H160*C169)+(5/H160*C170)+(5/H160*C171)+(5/H160*C172))/100)</f>
        <v>0.71195652173913049</v>
      </c>
      <c r="F163" s="242"/>
      <c r="G163" s="242">
        <f ca="1">((((C163/H160)*20)+((C164/H160)*25)+(30/(H160+F160+D160)*C165)+(5/H160*C166)+(5/H160*C167)+(5/H160*C168)+(5/H160*C169)+(0/H160*C170)+(0/H160*C171)+(5/H160*C172))/100)</f>
        <v>0.87826086956521754</v>
      </c>
      <c r="H163" s="242"/>
      <c r="I163" s="46" t="s">
        <v>130</v>
      </c>
      <c r="J163" s="50">
        <f ca="1">H160*50%</f>
        <v>11.5</v>
      </c>
    </row>
    <row r="164" spans="1:13" s="10" customFormat="1" x14ac:dyDescent="0.3">
      <c r="A164" s="94" t="s">
        <v>50</v>
      </c>
      <c r="B164" s="94"/>
      <c r="C164" s="51">
        <f ca="1">J172</f>
        <v>23</v>
      </c>
      <c r="D164" s="82">
        <f ca="1">((100/H160)*C164)/100</f>
        <v>1</v>
      </c>
      <c r="E164" s="242"/>
      <c r="F164" s="242"/>
      <c r="G164" s="242"/>
      <c r="H164" s="242"/>
      <c r="I164" s="46" t="s">
        <v>131</v>
      </c>
      <c r="J164" s="50">
        <f ca="1">H160</f>
        <v>23</v>
      </c>
    </row>
    <row r="165" spans="1:13" s="10" customFormat="1" ht="15.75" customHeight="1" x14ac:dyDescent="0.3">
      <c r="A165" s="94" t="s">
        <v>163</v>
      </c>
      <c r="B165" s="94"/>
      <c r="C165" s="51">
        <v>24</v>
      </c>
      <c r="D165" s="82">
        <f ca="1">((100/(D160+F160+H160))*C165)/100</f>
        <v>1</v>
      </c>
      <c r="E165" s="242"/>
      <c r="F165" s="242"/>
      <c r="G165" s="242"/>
      <c r="H165" s="242"/>
      <c r="I165" s="46" t="s">
        <v>132</v>
      </c>
      <c r="J165" s="52">
        <f ca="1">(IF(B160&gt;1,(H160/(B160+2)),H160/4))</f>
        <v>5.75</v>
      </c>
    </row>
    <row r="166" spans="1:13" s="10" customFormat="1" ht="15.75" customHeight="1" x14ac:dyDescent="0.3">
      <c r="A166" s="94" t="s">
        <v>170</v>
      </c>
      <c r="B166" s="94" t="s">
        <v>164</v>
      </c>
      <c r="C166" s="48">
        <v>23</v>
      </c>
      <c r="D166" s="82">
        <f ca="1">((100/H160)*C166)/100</f>
        <v>1</v>
      </c>
      <c r="E166" s="242"/>
      <c r="F166" s="242"/>
      <c r="G166" s="242"/>
      <c r="H166" s="242"/>
      <c r="I166" s="46" t="s">
        <v>133</v>
      </c>
      <c r="J166" s="52">
        <f ca="1">(IF(B160&gt;1,(H160/(B160+2)+J165),H160/4+J165))</f>
        <v>11.5</v>
      </c>
      <c r="M166" s="10">
        <f>24*0.5</f>
        <v>12</v>
      </c>
    </row>
    <row r="167" spans="1:13" s="10" customFormat="1" ht="15.75" customHeight="1" x14ac:dyDescent="0.3">
      <c r="A167" s="94" t="s">
        <v>171</v>
      </c>
      <c r="B167" s="94" t="s">
        <v>164</v>
      </c>
      <c r="C167" s="48">
        <v>18</v>
      </c>
      <c r="D167" s="82">
        <f ca="1">((100/H160)*C167)/100</f>
        <v>0.78260869565217395</v>
      </c>
      <c r="E167" s="242"/>
      <c r="F167" s="242"/>
      <c r="G167" s="242"/>
      <c r="H167" s="242"/>
      <c r="I167" s="46" t="s">
        <v>180</v>
      </c>
      <c r="J167" s="52">
        <f>(IF(B160&gt;1,(H160/(B160+2)+J166),0))</f>
        <v>0</v>
      </c>
    </row>
    <row r="168" spans="1:13" s="10" customFormat="1" ht="15" customHeight="1" x14ac:dyDescent="0.3">
      <c r="A168" s="94" t="s">
        <v>169</v>
      </c>
      <c r="B168" s="94" t="s">
        <v>166</v>
      </c>
      <c r="C168" s="48">
        <v>15</v>
      </c>
      <c r="D168" s="82">
        <f ca="1">((100/(H160))*C168)/100</f>
        <v>0.65217391304347827</v>
      </c>
      <c r="E168" s="242"/>
      <c r="F168" s="242"/>
      <c r="G168" s="242"/>
      <c r="H168" s="242"/>
      <c r="I168" s="46" t="s">
        <v>177</v>
      </c>
      <c r="J168" s="52">
        <f>(IF(B160&gt;2,(H160/(B160+2)+J167),0))</f>
        <v>0</v>
      </c>
    </row>
    <row r="169" spans="1:13" s="10" customFormat="1" ht="15.75" customHeight="1" x14ac:dyDescent="0.3">
      <c r="A169" s="94" t="s">
        <v>165</v>
      </c>
      <c r="B169" s="94" t="s">
        <v>165</v>
      </c>
      <c r="C169" s="48">
        <v>3</v>
      </c>
      <c r="D169" s="82">
        <f ca="1">((100/H160)*C169)/100</f>
        <v>0.13043478260869565</v>
      </c>
      <c r="E169" s="242"/>
      <c r="F169" s="242"/>
      <c r="G169" s="242"/>
      <c r="H169" s="242"/>
      <c r="I169" s="46" t="s">
        <v>178</v>
      </c>
      <c r="J169" s="53">
        <f>(IF(B160&gt;3,(H160/(B160+2)+J168),0))</f>
        <v>0</v>
      </c>
    </row>
    <row r="170" spans="1:13" s="10" customFormat="1" ht="15.75" customHeight="1" x14ac:dyDescent="0.3">
      <c r="A170" s="94" t="s">
        <v>172</v>
      </c>
      <c r="B170" s="94"/>
      <c r="C170" s="48">
        <v>0</v>
      </c>
      <c r="D170" s="82">
        <f ca="1">((100/H160)*C170)/100</f>
        <v>0</v>
      </c>
      <c r="E170" s="242"/>
      <c r="F170" s="242"/>
      <c r="G170" s="242"/>
      <c r="H170" s="242"/>
      <c r="I170" s="46" t="s">
        <v>179</v>
      </c>
      <c r="J170" s="52">
        <f>(IF(B160&gt;4,(H160/(B160+2)+J169),0))</f>
        <v>0</v>
      </c>
    </row>
    <row r="171" spans="1:13" s="10" customFormat="1" ht="15.75" customHeight="1" x14ac:dyDescent="0.3">
      <c r="A171" s="94" t="s">
        <v>167</v>
      </c>
      <c r="B171" s="94" t="s">
        <v>167</v>
      </c>
      <c r="C171" s="48">
        <v>0</v>
      </c>
      <c r="D171" s="82">
        <f ca="1">((100/(H160))*C171)/100</f>
        <v>0</v>
      </c>
      <c r="E171" s="242"/>
      <c r="F171" s="242"/>
      <c r="G171" s="242"/>
      <c r="H171" s="242"/>
      <c r="I171" s="46" t="s">
        <v>181</v>
      </c>
      <c r="J171" s="52">
        <f ca="1">(IF(B160=1,(H160/(B160+3)+J166),IF(B160=0,(H160/4+J166),IF(B160&gt;1,0))))</f>
        <v>17.25</v>
      </c>
    </row>
    <row r="172" spans="1:13" s="10" customFormat="1" ht="16.2" thickBot="1" x14ac:dyDescent="0.35">
      <c r="A172" s="94" t="s">
        <v>168</v>
      </c>
      <c r="B172" s="94"/>
      <c r="C172" s="48">
        <v>0</v>
      </c>
      <c r="D172" s="82">
        <f ca="1">((100/(H160))*C172)/100</f>
        <v>0</v>
      </c>
      <c r="E172" s="242"/>
      <c r="F172" s="242"/>
      <c r="G172" s="242"/>
      <c r="H172" s="242"/>
      <c r="I172" s="56" t="s">
        <v>134</v>
      </c>
      <c r="J172" s="57">
        <f ca="1">(IF(B160&gt;1.5,(H160/(B160+2)+J166+MAX(0,J167-J166)+MAX(0,J168-J167)+MAX(0,J169-J168)+MAX(0,J170-J169)+MAX(0,J171-J170)),IF(B160=1,(H160/(B160+3)+J171),IF(B160=0,H160/4+J171))))</f>
        <v>23</v>
      </c>
    </row>
    <row r="173" spans="1:13" s="10" customFormat="1" ht="15.75" customHeight="1" x14ac:dyDescent="0.3">
      <c r="A173" s="118" t="s">
        <v>174</v>
      </c>
      <c r="B173" s="118"/>
      <c r="C173" s="118" t="str">
        <f>D66</f>
        <v>Building No.7 = Gr+ 1st to 15th Floor</v>
      </c>
      <c r="D173" s="118"/>
      <c r="E173" s="118"/>
      <c r="F173" s="118"/>
      <c r="G173" s="118"/>
      <c r="H173" s="118"/>
      <c r="I173" s="58" t="str">
        <f ca="1">(IF(E178&gt;99%,"All work completed. Please provide OC.",IF(E178&gt;89.8%,"Plinth, RCC, Brick, Plaster, Flooring, Painting work Completed. Finishing work is in process.",IF(E178&lt;94%,(IF(C178=0,"Work not yet Started.",IF(D178=25%,"Piling work in process",IF(D178=50%,"Excavation work in process",IF(D178=100%,"Excavation work Completed. ","0")))&amp;(IF(C179=0%,"",IF(C179=J180,"Footing work is process",IF(C179=J181,"Footing work Completed",IF(C179=J182,"1st Basement Completed",IF(C179=J183,"1st &amp; 2nd Basement Completed",IF(C179=J184,"1st to 3rd Basement Completed",IF(C179=J185,"1st to 4th Basement Completed",IF(C179=J186,"Plinth work is process",IF(C179=J187,"Plinth work completed","0")))))))))))&amp;(IF(C180=(D174+F174+H174),", RCC Slab",IF(C180&gt;0,", RCC upto "&amp;C180&amp;" Slab",""))&amp;(IF(C181=H174,", Brickwork",IF(C181&gt;0,", Brickwork upto "&amp;C181&amp;" Floor",""))&amp;(IF(C182=H174,", Internal Plaster",IF(C182&gt;0,", Internal Plaster upto "&amp;C182&amp;" Floor",""))&amp;(IF(C183=H174,", External Plaster",IF(C183&gt;0,", External Plaster upto "&amp;C183&amp;" Floor",""))&amp;(IF(C184=H174,", Flooring",IF(C184&gt;0,", Flooring upto "&amp;C184&amp;" Floor",""))&amp;(IF(C185=H174,", Painting",IF(C185&gt;0,", Painting upto "&amp;C185&amp;" Floor",""))&amp;(IF(C186&gt;0,", Finishing upto "&amp;C186&amp;" Floor","")&amp;(IF(C180&gt;0.5," Completed",""))))))))))))))</f>
        <v>All work completed. Please provide OC.</v>
      </c>
      <c r="J173" s="59"/>
    </row>
    <row r="174" spans="1:13" s="10" customFormat="1" x14ac:dyDescent="0.3">
      <c r="A174" s="41" t="s">
        <v>176</v>
      </c>
      <c r="B174" s="41">
        <v>0</v>
      </c>
      <c r="C174" s="41" t="s">
        <v>96</v>
      </c>
      <c r="D174" s="41">
        <v>1</v>
      </c>
      <c r="E174" s="41" t="s">
        <v>95</v>
      </c>
      <c r="F174" s="41">
        <v>0</v>
      </c>
      <c r="G174" s="41" t="s">
        <v>108</v>
      </c>
      <c r="H174" s="41">
        <f ca="1">--TRIM(RIGHT(SUBSTITUTE(LEFT(C173,_xlfn.AGGREGATE(16,6,FIND({0,1,2,3,4,5,6,7,8,9},C173,ROW(INDIRECT("1:"&amp;LEN(C173)))),1))," ",REPT(" ",LEN(C173))),LEN(C173)))</f>
        <v>15</v>
      </c>
      <c r="I174" s="43"/>
      <c r="J174" s="44"/>
    </row>
    <row r="175" spans="1:13" s="10" customFormat="1" x14ac:dyDescent="0.3">
      <c r="A175" s="145" t="s">
        <v>118</v>
      </c>
      <c r="B175" s="145"/>
      <c r="C175" s="118" t="str">
        <f>I175</f>
        <v>All work Completed. OC Received.</v>
      </c>
      <c r="D175" s="118"/>
      <c r="E175" s="118"/>
      <c r="F175" s="118"/>
      <c r="G175" s="118"/>
      <c r="H175" s="118"/>
      <c r="I175" s="43" t="s">
        <v>135</v>
      </c>
      <c r="J175" s="44"/>
    </row>
    <row r="176" spans="1:13" s="10" customFormat="1" ht="32.1" customHeight="1" x14ac:dyDescent="0.3">
      <c r="A176" s="210" t="s">
        <v>113</v>
      </c>
      <c r="B176" s="210"/>
      <c r="C176" s="202">
        <f ca="1">E178</f>
        <v>1</v>
      </c>
      <c r="D176" s="203"/>
      <c r="E176" s="211" t="s">
        <v>112</v>
      </c>
      <c r="F176" s="203"/>
      <c r="G176" s="202">
        <f ca="1">G178</f>
        <v>1</v>
      </c>
      <c r="H176" s="203"/>
      <c r="I176" s="43"/>
      <c r="J176" s="44"/>
    </row>
    <row r="177" spans="1:12" s="10" customFormat="1" ht="15.75" hidden="1" customHeight="1" x14ac:dyDescent="0.3">
      <c r="A177" s="94" t="s">
        <v>49</v>
      </c>
      <c r="B177" s="94"/>
      <c r="C177" s="45" t="s">
        <v>173</v>
      </c>
      <c r="D177" s="45" t="s">
        <v>111</v>
      </c>
      <c r="E177" s="94" t="s">
        <v>113</v>
      </c>
      <c r="F177" s="94"/>
      <c r="G177" s="94" t="s">
        <v>112</v>
      </c>
      <c r="H177" s="94"/>
      <c r="I177" s="46" t="s">
        <v>175</v>
      </c>
      <c r="J177" s="47">
        <f ca="1">H174*25%</f>
        <v>3.75</v>
      </c>
    </row>
    <row r="178" spans="1:12" s="10" customFormat="1" hidden="1" x14ac:dyDescent="0.3">
      <c r="A178" s="94" t="s">
        <v>162</v>
      </c>
      <c r="B178" s="94"/>
      <c r="C178" s="48">
        <f ca="1">J179</f>
        <v>15</v>
      </c>
      <c r="D178" s="49">
        <f ca="1">((100/H174)*C178)/100</f>
        <v>1</v>
      </c>
      <c r="E178" s="119">
        <f ca="1">(((C179/H174*10)+(40/(D174+F174+H174)*C180)+(7.5/(H174)*C181)+(7.5/(H174)*C182)+(10/H174*C183)+(10/H174*C184)+(5/H174*C185)+(5/H174*C186)+(5/H174*C187))/100)</f>
        <v>1</v>
      </c>
      <c r="F178" s="119"/>
      <c r="G178" s="119">
        <f ca="1">((((C178/H174)*20)+((C179/H174)*25)+(30/(H174+F174+D174)*C180)+(5/H174*C181)+(5/H174*C182)+(5/H174*C183)+(5/H174*C184)+(0/H174*C185)+(0/H174*C186)+(5/H174*C187))/100)</f>
        <v>1</v>
      </c>
      <c r="H178" s="119"/>
      <c r="I178" s="46" t="s">
        <v>130</v>
      </c>
      <c r="J178" s="50">
        <f ca="1">H174*50%</f>
        <v>7.5</v>
      </c>
    </row>
    <row r="179" spans="1:12" s="10" customFormat="1" hidden="1" x14ac:dyDescent="0.3">
      <c r="A179" s="94" t="s">
        <v>50</v>
      </c>
      <c r="B179" s="94"/>
      <c r="C179" s="51">
        <f ca="1">J187</f>
        <v>15</v>
      </c>
      <c r="D179" s="49">
        <f ca="1">((100/H174)*C179)/100</f>
        <v>1</v>
      </c>
      <c r="E179" s="119"/>
      <c r="F179" s="119"/>
      <c r="G179" s="119"/>
      <c r="H179" s="119"/>
      <c r="I179" s="46" t="s">
        <v>131</v>
      </c>
      <c r="J179" s="50">
        <f ca="1">H174</f>
        <v>15</v>
      </c>
    </row>
    <row r="180" spans="1:12" s="10" customFormat="1" ht="15.75" hidden="1" customHeight="1" x14ac:dyDescent="0.3">
      <c r="A180" s="94" t="s">
        <v>163</v>
      </c>
      <c r="B180" s="94"/>
      <c r="C180" s="51">
        <v>16</v>
      </c>
      <c r="D180" s="49">
        <f ca="1">((100/(D174+F174+H174))*C180)/100</f>
        <v>1</v>
      </c>
      <c r="E180" s="119"/>
      <c r="F180" s="119"/>
      <c r="G180" s="119"/>
      <c r="H180" s="119"/>
      <c r="I180" s="46" t="s">
        <v>132</v>
      </c>
      <c r="J180" s="52">
        <f ca="1">(IF(B174&gt;1,(H174/(B174+2)),H174/4))</f>
        <v>3.75</v>
      </c>
    </row>
    <row r="181" spans="1:12" s="10" customFormat="1" ht="15.75" hidden="1" customHeight="1" x14ac:dyDescent="0.3">
      <c r="A181" s="94" t="s">
        <v>170</v>
      </c>
      <c r="B181" s="94" t="s">
        <v>164</v>
      </c>
      <c r="C181" s="48">
        <v>15</v>
      </c>
      <c r="D181" s="49">
        <f ca="1">((100/H174)*C181)/100</f>
        <v>1</v>
      </c>
      <c r="E181" s="119"/>
      <c r="F181" s="119"/>
      <c r="G181" s="119"/>
      <c r="H181" s="119"/>
      <c r="I181" s="46" t="s">
        <v>133</v>
      </c>
      <c r="J181" s="52">
        <f ca="1">(IF(B174&gt;1,(H174/(B174+2)+J180),H174/4+J180))</f>
        <v>7.5</v>
      </c>
    </row>
    <row r="182" spans="1:12" s="10" customFormat="1" ht="15.75" hidden="1" customHeight="1" x14ac:dyDescent="0.3">
      <c r="A182" s="94" t="s">
        <v>171</v>
      </c>
      <c r="B182" s="94" t="s">
        <v>164</v>
      </c>
      <c r="C182" s="48">
        <v>15</v>
      </c>
      <c r="D182" s="49">
        <f ca="1">((100/H174)*C182)/100</f>
        <v>1</v>
      </c>
      <c r="E182" s="119"/>
      <c r="F182" s="119"/>
      <c r="G182" s="119"/>
      <c r="H182" s="119"/>
      <c r="I182" s="46" t="s">
        <v>180</v>
      </c>
      <c r="J182" s="52">
        <f>(IF(B174&gt;1,(H174/(B174+2)+J181),0))</f>
        <v>0</v>
      </c>
      <c r="K182" s="10" t="s">
        <v>267</v>
      </c>
    </row>
    <row r="183" spans="1:12" s="10" customFormat="1" ht="15" hidden="1" customHeight="1" x14ac:dyDescent="0.3">
      <c r="A183" s="94" t="s">
        <v>169</v>
      </c>
      <c r="B183" s="94" t="s">
        <v>166</v>
      </c>
      <c r="C183" s="48">
        <v>15</v>
      </c>
      <c r="D183" s="49">
        <f ca="1">((100/(H174))*C183)/100</f>
        <v>1</v>
      </c>
      <c r="E183" s="119"/>
      <c r="F183" s="119"/>
      <c r="G183" s="119"/>
      <c r="H183" s="119"/>
      <c r="I183" s="46" t="s">
        <v>177</v>
      </c>
      <c r="J183" s="52">
        <f>(IF(B174&gt;2,(H174/(B174+2)+J182),0))</f>
        <v>0</v>
      </c>
    </row>
    <row r="184" spans="1:12" s="10" customFormat="1" ht="15.75" hidden="1" customHeight="1" x14ac:dyDescent="0.3">
      <c r="A184" s="94" t="s">
        <v>165</v>
      </c>
      <c r="B184" s="94" t="s">
        <v>165</v>
      </c>
      <c r="C184" s="48">
        <v>15</v>
      </c>
      <c r="D184" s="49">
        <f ca="1">((100/H174)*C184)/100</f>
        <v>1</v>
      </c>
      <c r="E184" s="119"/>
      <c r="F184" s="119"/>
      <c r="G184" s="119"/>
      <c r="H184" s="119"/>
      <c r="I184" s="46" t="s">
        <v>178</v>
      </c>
      <c r="J184" s="53">
        <f>(IF(B174&gt;3,(H174/(B174+2)+J183),0))</f>
        <v>0</v>
      </c>
    </row>
    <row r="185" spans="1:12" s="10" customFormat="1" ht="15.75" hidden="1" customHeight="1" x14ac:dyDescent="0.3">
      <c r="A185" s="94" t="s">
        <v>172</v>
      </c>
      <c r="B185" s="94"/>
      <c r="C185" s="48">
        <v>15</v>
      </c>
      <c r="D185" s="49">
        <f ca="1">((100/H174)*C185)/100</f>
        <v>1</v>
      </c>
      <c r="E185" s="119"/>
      <c r="F185" s="119"/>
      <c r="G185" s="119"/>
      <c r="H185" s="119"/>
      <c r="I185" s="46" t="s">
        <v>179</v>
      </c>
      <c r="J185" s="52">
        <f>(IF(B174&gt;4,(H174/(B174+2)+J184),0))</f>
        <v>0</v>
      </c>
    </row>
    <row r="186" spans="1:12" s="10" customFormat="1" ht="15.75" hidden="1" customHeight="1" x14ac:dyDescent="0.3">
      <c r="A186" s="94" t="s">
        <v>167</v>
      </c>
      <c r="B186" s="94" t="s">
        <v>167</v>
      </c>
      <c r="C186" s="48">
        <v>15</v>
      </c>
      <c r="D186" s="49">
        <f ca="1">((100/(H174))*C186)/100</f>
        <v>1</v>
      </c>
      <c r="E186" s="119"/>
      <c r="F186" s="119"/>
      <c r="G186" s="119"/>
      <c r="H186" s="119"/>
      <c r="I186" s="46" t="s">
        <v>181</v>
      </c>
      <c r="J186" s="52">
        <f ca="1">(IF(B174=1,(H174/(B174+3)+J181),IF(B174=0,(H174/4+J181),IF(B174&gt;1,0))))</f>
        <v>11.25</v>
      </c>
    </row>
    <row r="187" spans="1:12" s="10" customFormat="1" ht="16.2" hidden="1" thickBot="1" x14ac:dyDescent="0.35">
      <c r="A187" s="94" t="s">
        <v>168</v>
      </c>
      <c r="B187" s="94"/>
      <c r="C187" s="48">
        <v>15</v>
      </c>
      <c r="D187" s="49">
        <f ca="1">((100/(H174))*C187)/100</f>
        <v>1</v>
      </c>
      <c r="E187" s="119"/>
      <c r="F187" s="119"/>
      <c r="G187" s="119"/>
      <c r="H187" s="119"/>
      <c r="I187" s="56" t="s">
        <v>134</v>
      </c>
      <c r="J187" s="57">
        <f ca="1">(IF(B174&gt;1.5,(H174/(B174+2)+J181+MAX(0,J182-J181)+MAX(0,J183-J182)+MAX(0,J184-J183)+MAX(0,J185-J184)+MAX(0,J186-J185)),IF(B174=1,(H174/(B174+3)+J186),IF(B174=0,H174/4+J186))))</f>
        <v>15</v>
      </c>
    </row>
    <row r="188" spans="1:12" x14ac:dyDescent="0.3">
      <c r="A188" s="112" t="s">
        <v>149</v>
      </c>
      <c r="B188" s="112"/>
      <c r="C188" s="112"/>
      <c r="D188" s="112"/>
      <c r="E188" s="112"/>
      <c r="F188" s="112" t="str">
        <f ca="1">(IF(D72="Nothing","Yes",IF(D72="Cement, Aggregate, Steel, etc","Under Construction",IF(D72="Work not yet Started","Work not yet Started"))))</f>
        <v>Under Construction</v>
      </c>
      <c r="G188" s="112"/>
      <c r="H188" s="112"/>
    </row>
    <row r="189" spans="1:12" x14ac:dyDescent="0.3">
      <c r="A189" s="133" t="s">
        <v>51</v>
      </c>
      <c r="B189" s="133"/>
      <c r="C189" s="133"/>
      <c r="D189" s="133"/>
      <c r="E189" s="133"/>
      <c r="F189" s="133"/>
      <c r="G189" s="133"/>
      <c r="H189" s="133"/>
    </row>
    <row r="190" spans="1:12" ht="143.1" customHeight="1" x14ac:dyDescent="0.3">
      <c r="A190" s="145" t="s">
        <v>99</v>
      </c>
      <c r="B190" s="145"/>
      <c r="C190" s="116" t="s">
        <v>266</v>
      </c>
      <c r="D190" s="116"/>
      <c r="E190" s="116"/>
      <c r="F190" s="116"/>
      <c r="G190" s="116"/>
      <c r="H190" s="116"/>
      <c r="I190" s="75" t="s">
        <v>252</v>
      </c>
    </row>
    <row r="191" spans="1:12" x14ac:dyDescent="0.3">
      <c r="A191" s="147" t="s">
        <v>52</v>
      </c>
      <c r="B191" s="147"/>
      <c r="C191" s="147"/>
      <c r="D191" s="147"/>
      <c r="E191" s="147"/>
      <c r="F191" s="147"/>
      <c r="G191" s="147"/>
      <c r="H191" s="147"/>
    </row>
    <row r="192" spans="1:12" x14ac:dyDescent="0.3">
      <c r="A192" s="133" t="s">
        <v>100</v>
      </c>
      <c r="B192" s="133"/>
      <c r="C192" s="133"/>
      <c r="D192" s="133"/>
      <c r="E192" s="133"/>
      <c r="F192" s="114">
        <v>6700</v>
      </c>
      <c r="G192" s="114"/>
      <c r="H192" s="114"/>
      <c r="I192" s="64" t="s">
        <v>211</v>
      </c>
      <c r="J192" s="64" t="s">
        <v>212</v>
      </c>
      <c r="K192" s="64" t="s">
        <v>213</v>
      </c>
      <c r="L192" s="65">
        <v>44694</v>
      </c>
    </row>
    <row r="193" spans="1:12" x14ac:dyDescent="0.3">
      <c r="A193" s="133" t="s">
        <v>106</v>
      </c>
      <c r="B193" s="133"/>
      <c r="C193" s="133"/>
      <c r="D193" s="133"/>
      <c r="E193" s="133"/>
      <c r="F193" s="117">
        <v>17000</v>
      </c>
      <c r="G193" s="117"/>
      <c r="H193" s="117"/>
      <c r="I193" s="73" t="s">
        <v>241</v>
      </c>
      <c r="J193" s="73" t="s">
        <v>240</v>
      </c>
      <c r="K193" s="73" t="s">
        <v>213</v>
      </c>
      <c r="L193" s="74">
        <v>45010</v>
      </c>
    </row>
    <row r="194" spans="1:12" hidden="1" x14ac:dyDescent="0.3">
      <c r="A194" s="133" t="s">
        <v>107</v>
      </c>
      <c r="B194" s="133"/>
      <c r="C194" s="133"/>
      <c r="D194" s="133"/>
      <c r="E194" s="133"/>
      <c r="F194" s="117"/>
      <c r="G194" s="117"/>
      <c r="H194" s="117"/>
    </row>
    <row r="195" spans="1:12" s="11" customFormat="1" hidden="1" x14ac:dyDescent="0.25">
      <c r="A195" s="133" t="s">
        <v>122</v>
      </c>
      <c r="B195" s="133"/>
      <c r="C195" s="133"/>
      <c r="D195" s="133"/>
      <c r="E195" s="133"/>
      <c r="F195" s="117" t="s">
        <v>28</v>
      </c>
      <c r="G195" s="117"/>
      <c r="H195" s="117"/>
    </row>
    <row r="196" spans="1:12" s="11" customFormat="1" ht="17.25" customHeight="1" x14ac:dyDescent="0.25">
      <c r="A196" s="133" t="s">
        <v>123</v>
      </c>
      <c r="B196" s="133"/>
      <c r="C196" s="133"/>
      <c r="D196" s="133"/>
      <c r="E196" s="133"/>
      <c r="F196" s="117">
        <v>250000</v>
      </c>
      <c r="G196" s="117"/>
      <c r="H196" s="117"/>
      <c r="I196" s="98" t="s">
        <v>239</v>
      </c>
      <c r="J196" s="99"/>
      <c r="K196" s="71" t="s">
        <v>240</v>
      </c>
      <c r="L196" s="72">
        <v>44984</v>
      </c>
    </row>
    <row r="197" spans="1:12" s="11" customFormat="1" hidden="1" x14ac:dyDescent="0.25">
      <c r="A197" s="133" t="s">
        <v>124</v>
      </c>
      <c r="B197" s="133"/>
      <c r="C197" s="133"/>
      <c r="D197" s="133"/>
      <c r="E197" s="133"/>
      <c r="F197" s="117" t="s">
        <v>28</v>
      </c>
      <c r="G197" s="117"/>
      <c r="H197" s="117"/>
    </row>
    <row r="198" spans="1:12" s="11" customFormat="1" hidden="1" x14ac:dyDescent="0.25">
      <c r="A198" s="133" t="s">
        <v>125</v>
      </c>
      <c r="B198" s="133"/>
      <c r="C198" s="133"/>
      <c r="D198" s="133"/>
      <c r="E198" s="133"/>
      <c r="F198" s="117" t="s">
        <v>209</v>
      </c>
      <c r="G198" s="117"/>
      <c r="H198" s="117"/>
    </row>
    <row r="199" spans="1:12" s="11" customFormat="1" hidden="1" x14ac:dyDescent="0.25">
      <c r="A199" s="133" t="s">
        <v>126</v>
      </c>
      <c r="B199" s="133"/>
      <c r="C199" s="133"/>
      <c r="D199" s="133"/>
      <c r="E199" s="133"/>
      <c r="F199" s="117" t="s">
        <v>28</v>
      </c>
      <c r="G199" s="117"/>
      <c r="H199" s="117"/>
    </row>
    <row r="200" spans="1:12" s="11" customFormat="1" hidden="1" x14ac:dyDescent="0.25">
      <c r="A200" s="133" t="s">
        <v>127</v>
      </c>
      <c r="B200" s="133"/>
      <c r="C200" s="133"/>
      <c r="D200" s="133"/>
      <c r="E200" s="133"/>
      <c r="F200" s="117" t="s">
        <v>28</v>
      </c>
      <c r="G200" s="117"/>
      <c r="H200" s="117"/>
    </row>
    <row r="201" spans="1:12" s="11" customFormat="1" hidden="1" x14ac:dyDescent="0.25">
      <c r="A201" s="133" t="s">
        <v>128</v>
      </c>
      <c r="B201" s="133"/>
      <c r="C201" s="133"/>
      <c r="D201" s="133"/>
      <c r="E201" s="133"/>
      <c r="F201" s="117" t="s">
        <v>28</v>
      </c>
      <c r="G201" s="117"/>
      <c r="H201" s="117"/>
    </row>
    <row r="202" spans="1:12" s="11" customFormat="1" x14ac:dyDescent="0.25">
      <c r="A202" s="133" t="s">
        <v>129</v>
      </c>
      <c r="B202" s="133"/>
      <c r="C202" s="133"/>
      <c r="D202" s="133"/>
      <c r="E202" s="133"/>
      <c r="F202" s="187">
        <v>40000</v>
      </c>
      <c r="G202" s="117"/>
      <c r="H202" s="117"/>
      <c r="I202" s="78" t="s">
        <v>292</v>
      </c>
    </row>
    <row r="203" spans="1:12" x14ac:dyDescent="0.3">
      <c r="A203" s="133" t="s">
        <v>53</v>
      </c>
      <c r="B203" s="133"/>
      <c r="C203" s="133"/>
      <c r="D203" s="133"/>
      <c r="E203" s="133"/>
      <c r="F203" s="218">
        <v>300000</v>
      </c>
      <c r="G203" s="197"/>
      <c r="H203" s="197"/>
      <c r="I203" s="64" t="s">
        <v>293</v>
      </c>
      <c r="J203" s="64" t="s">
        <v>294</v>
      </c>
      <c r="K203" s="64" t="s">
        <v>295</v>
      </c>
      <c r="L203" s="65">
        <v>45503</v>
      </c>
    </row>
    <row r="204" spans="1:12" s="9" customFormat="1" x14ac:dyDescent="0.3">
      <c r="A204" s="147" t="s">
        <v>54</v>
      </c>
      <c r="B204" s="147"/>
      <c r="C204" s="147"/>
      <c r="D204" s="147"/>
      <c r="E204" s="147"/>
      <c r="F204" s="117">
        <f>F192*0.8</f>
        <v>5360</v>
      </c>
      <c r="G204" s="117"/>
      <c r="H204" s="117"/>
      <c r="I204" s="9" t="s">
        <v>297</v>
      </c>
    </row>
    <row r="205" spans="1:12" s="1" customFormat="1" ht="15.75" customHeight="1" x14ac:dyDescent="0.3">
      <c r="A205" s="138" t="s">
        <v>101</v>
      </c>
      <c r="B205" s="138"/>
      <c r="C205" s="138"/>
      <c r="D205" s="138"/>
      <c r="E205" s="138"/>
      <c r="F205" s="138"/>
      <c r="G205" s="138"/>
      <c r="H205" s="138"/>
    </row>
    <row r="206" spans="1:12" s="1" customFormat="1" ht="15.75" customHeight="1" x14ac:dyDescent="0.3">
      <c r="A206" s="148" t="s">
        <v>55</v>
      </c>
      <c r="B206" s="148"/>
      <c r="C206" s="135" t="s">
        <v>104</v>
      </c>
      <c r="D206" s="135"/>
      <c r="E206" s="186" t="s">
        <v>56</v>
      </c>
      <c r="F206" s="186"/>
      <c r="G206" s="148" t="s">
        <v>57</v>
      </c>
      <c r="H206" s="148"/>
    </row>
    <row r="207" spans="1:12" s="1" customFormat="1" x14ac:dyDescent="0.3">
      <c r="A207" s="185" t="s">
        <v>270</v>
      </c>
      <c r="B207" s="185"/>
      <c r="C207" s="183">
        <f>COUNT(D231:D248)</f>
        <v>18</v>
      </c>
      <c r="D207" s="184"/>
      <c r="E207" s="136">
        <f>SUM(D231:D248)</f>
        <v>4319.0867538000002</v>
      </c>
      <c r="F207" s="146"/>
      <c r="G207" s="136">
        <f>SUM(F231:F248)</f>
        <v>6694.5844683900013</v>
      </c>
      <c r="H207" s="146"/>
    </row>
    <row r="208" spans="1:12" s="1" customFormat="1" ht="15.75" customHeight="1" x14ac:dyDescent="0.3">
      <c r="A208" s="185" t="s">
        <v>310</v>
      </c>
      <c r="B208" s="185"/>
      <c r="C208" s="183">
        <f>COUNT(D251:D267)</f>
        <v>17</v>
      </c>
      <c r="D208" s="184"/>
      <c r="E208" s="183">
        <f>SUM(D251:D267)</f>
        <v>4023.6201097559992</v>
      </c>
      <c r="F208" s="184"/>
      <c r="G208" s="183">
        <f>SUM(F251:F267)</f>
        <v>6542.7662401217985</v>
      </c>
      <c r="H208" s="184"/>
    </row>
    <row r="209" spans="1:11" s="1" customFormat="1" ht="15.75" customHeight="1" x14ac:dyDescent="0.3">
      <c r="A209" s="252" t="s">
        <v>59</v>
      </c>
      <c r="B209" s="253"/>
      <c r="C209" s="254">
        <f>C207+C208</f>
        <v>35</v>
      </c>
      <c r="D209" s="255"/>
      <c r="E209" s="254">
        <f t="shared" ref="E209" si="0">E207+E208</f>
        <v>8342.706863555999</v>
      </c>
      <c r="F209" s="255"/>
      <c r="G209" s="254">
        <f t="shared" ref="G209" si="1">G207+G208</f>
        <v>13237.3507085118</v>
      </c>
      <c r="H209" s="255"/>
    </row>
    <row r="210" spans="1:11" s="1" customFormat="1" x14ac:dyDescent="0.3">
      <c r="A210" s="138" t="s">
        <v>94</v>
      </c>
      <c r="B210" s="138"/>
      <c r="C210" s="138"/>
      <c r="D210" s="138"/>
      <c r="E210" s="138"/>
      <c r="F210" s="138"/>
      <c r="G210" s="138"/>
      <c r="H210" s="138"/>
    </row>
    <row r="211" spans="1:11" s="1" customFormat="1" ht="15.75" customHeight="1" x14ac:dyDescent="0.3">
      <c r="A211" s="148" t="s">
        <v>55</v>
      </c>
      <c r="B211" s="148"/>
      <c r="C211" s="135" t="s">
        <v>104</v>
      </c>
      <c r="D211" s="135"/>
      <c r="E211" s="186" t="s">
        <v>56</v>
      </c>
      <c r="F211" s="186"/>
      <c r="G211" s="148" t="s">
        <v>57</v>
      </c>
      <c r="H211" s="148"/>
    </row>
    <row r="212" spans="1:11" s="1" customFormat="1" x14ac:dyDescent="0.3">
      <c r="A212" s="185" t="s">
        <v>206</v>
      </c>
      <c r="B212" s="185"/>
      <c r="C212" s="184">
        <f>COUNT(D275:D281)+COUNT(D282:D283)+COUNT(D285:D295)+COUNT(D297:D307)*18+COUNT(D309:D316)*3+COUNT(D318:D319)*3</f>
        <v>248</v>
      </c>
      <c r="D212" s="184"/>
      <c r="E212" s="136">
        <f>SUM(D275:D281)+SUM(D282:D283)+SUM(D285:D295)+SUM(D297:D307)*18+SUM(D309:D316)*3+SUM(D318:D319)*3</f>
        <v>98843.982120000001</v>
      </c>
      <c r="F212" s="136"/>
      <c r="G212" s="136">
        <f>SUM(F275:F281)+SUM(F282:F283)+SUM(F285:F295)+SUM(F297:F307)*18+SUM(F309:F316)*3+SUM(F318:F319)*3</f>
        <v>148325.17517999999</v>
      </c>
      <c r="H212" s="136"/>
      <c r="I212" s="1">
        <f>248+248+206+231+237</f>
        <v>1170</v>
      </c>
    </row>
    <row r="213" spans="1:11" s="1" customFormat="1" x14ac:dyDescent="0.3">
      <c r="A213" s="185" t="s">
        <v>214</v>
      </c>
      <c r="B213" s="185"/>
      <c r="C213" s="184">
        <f>COUNT(D323:D331)+COUNT(D333:D343)+COUNT(D345:D355)*18+COUNT(D357:D363,D365:D367)*3</f>
        <v>248</v>
      </c>
      <c r="D213" s="184"/>
      <c r="E213" s="136">
        <f>SUM(D323:D331)+SUM(D333:D343)+SUM(D345:D355)*18+SUM(D357:D363,D365:D367)*3</f>
        <v>112075.60220999998</v>
      </c>
      <c r="F213" s="136"/>
      <c r="G213" s="136">
        <f>SUM(F323:F331)+SUM(F333:F343)+SUM(F345:F355)*18+SUM(F357:F363,F365:F367)*3</f>
        <v>168166.14691499999</v>
      </c>
      <c r="H213" s="136"/>
    </row>
    <row r="214" spans="1:11" s="9" customFormat="1" x14ac:dyDescent="0.3">
      <c r="A214" s="185" t="s">
        <v>270</v>
      </c>
      <c r="B214" s="185"/>
      <c r="C214" s="183">
        <f>COUNT(D421:D427,D430:D431)+COUNT(D433:D443)*19+COUNT(D445:D451,D453:D455)*3</f>
        <v>248</v>
      </c>
      <c r="D214" s="183"/>
      <c r="E214" s="136">
        <f>SUM(D421:D427,D430:D431)+SUM(D433:D443)*19+SUM(D445:D451,D453:D455)*3</f>
        <v>104781.66151050001</v>
      </c>
      <c r="F214" s="136"/>
      <c r="G214" s="136">
        <f>SUM(F421:F427,F430:F431)+SUM(F433:F443)*19+SUM(F445:F451,F453:F455)*3</f>
        <v>157172.49226575001</v>
      </c>
      <c r="H214" s="136"/>
      <c r="I214" s="2"/>
    </row>
    <row r="215" spans="1:11" s="9" customFormat="1" x14ac:dyDescent="0.3">
      <c r="A215" s="185" t="s">
        <v>310</v>
      </c>
      <c r="B215" s="185"/>
      <c r="C215" s="271">
        <f>COUNT(D458:D464,D467:D468)+COUNT(D470:D480)*19+COUNT(D482:D488,D490:D492)*3</f>
        <v>248</v>
      </c>
      <c r="D215" s="272"/>
      <c r="E215" s="273">
        <f>SUM(D458:D464,D467:D468)+SUM(D470:D480)*19+SUM(D482:D488,D490:D492)*3</f>
        <v>105822.7989156</v>
      </c>
      <c r="F215" s="274"/>
      <c r="G215" s="273">
        <f>SUM(F458:F464,F467:F468)+SUM(F470:F480)*19+SUM(F482:F488,F490:F492)*3</f>
        <v>159203.77114590001</v>
      </c>
      <c r="H215" s="274"/>
      <c r="I215" s="2"/>
    </row>
    <row r="216" spans="1:11" s="9" customFormat="1" x14ac:dyDescent="0.3">
      <c r="A216" s="185" t="s">
        <v>207</v>
      </c>
      <c r="B216" s="185"/>
      <c r="C216" s="184">
        <f>COUNT(D559:D570)+COUNT(D571:D573)+COUNT(D575:D590)*12+COUNT(D609:D613)*2+COUNT(D615:D624)*2</f>
        <v>237</v>
      </c>
      <c r="D216" s="184"/>
      <c r="E216" s="136">
        <f>SUM(D559:D570)+SUM(D571:D573)+SUM(D575:D590)*12+SUM(D609:D613)*2+SUM(D615:D624)*2</f>
        <v>100641.82576499999</v>
      </c>
      <c r="F216" s="136"/>
      <c r="G216" s="136">
        <f>SUM(F559:F570)+SUM(F571:F572)+SUM(F575:F590)*12+SUM(F609:F613)*2+SUM(F615:F624)*2</f>
        <v>150528.04884749997</v>
      </c>
      <c r="H216" s="136"/>
      <c r="I216" s="2">
        <f>23*11</f>
        <v>253</v>
      </c>
    </row>
    <row r="217" spans="1:11" s="1" customFormat="1" ht="15.75" customHeight="1" x14ac:dyDescent="0.3">
      <c r="A217" s="143" t="s">
        <v>227</v>
      </c>
      <c r="B217" s="69" t="s">
        <v>228</v>
      </c>
      <c r="C217" s="183">
        <f>COUNT(D371:D377,D380:D381)+COUNT(D383:D393)*3</f>
        <v>42</v>
      </c>
      <c r="D217" s="183"/>
      <c r="E217" s="136">
        <f>SUM(D371:D377,D380:D381)+SUM(D383:D393)*3</f>
        <v>17965.799513999998</v>
      </c>
      <c r="F217" s="136"/>
      <c r="G217" s="136">
        <f>SUM(F371:F377,F380:F381)+SUM(F383:F393)*3</f>
        <v>26948.699271000001</v>
      </c>
      <c r="H217" s="136"/>
    </row>
    <row r="218" spans="1:11" s="1" customFormat="1" x14ac:dyDescent="0.3">
      <c r="A218" s="144"/>
      <c r="B218" s="69" t="s">
        <v>229</v>
      </c>
      <c r="C218" s="183">
        <f>COUNT(D395:D405)*16+COUNT(D407:D414,D416:D417)*3</f>
        <v>206</v>
      </c>
      <c r="D218" s="183"/>
      <c r="E218" s="136">
        <f>SUM(D395:D405)*16+SUM(D407:D414,D416:D417)*3</f>
        <v>87787.949418000004</v>
      </c>
      <c r="F218" s="136"/>
      <c r="G218" s="136">
        <f>SUM(F395:F405)*16+SUM(F407:F414,F416:F417)*3</f>
        <v>131681.92412700001</v>
      </c>
      <c r="H218" s="136"/>
      <c r="J218" s="1">
        <f>14+4+3</f>
        <v>21</v>
      </c>
    </row>
    <row r="219" spans="1:11" s="1" customFormat="1" x14ac:dyDescent="0.3">
      <c r="A219" s="143" t="s">
        <v>255</v>
      </c>
      <c r="B219" s="69" t="s">
        <v>228</v>
      </c>
      <c r="C219" s="183">
        <f>COUNT(D496:D500,D502:D506)+COUNT(D545:D555)</f>
        <v>21</v>
      </c>
      <c r="D219" s="183"/>
      <c r="E219" s="136">
        <f>SUM(D496:D500,D502:D506)+SUM(D545:D555)</f>
        <v>11424.963419999998</v>
      </c>
      <c r="F219" s="136"/>
      <c r="G219" s="136">
        <f>SUM(F496:F500,F502:F506)+SUM(F545:F555)</f>
        <v>17451.00045</v>
      </c>
      <c r="H219" s="136"/>
      <c r="I219" s="1">
        <f>23+23+20+23+45+23+43+23+23+3</f>
        <v>249</v>
      </c>
      <c r="J219" s="1">
        <f>206+248+248+237</f>
        <v>939</v>
      </c>
      <c r="K219" s="1">
        <f>17*11+3*11+11</f>
        <v>231</v>
      </c>
    </row>
    <row r="220" spans="1:11" s="42" customFormat="1" x14ac:dyDescent="0.3">
      <c r="A220" s="144"/>
      <c r="B220" s="69" t="s">
        <v>229</v>
      </c>
      <c r="C220" s="183">
        <f>COUNT(D508:D518)+COUNT(D520:D530)*17+COUNT(D532:D542)*3</f>
        <v>231</v>
      </c>
      <c r="D220" s="183"/>
      <c r="E220" s="136">
        <f>SUM(D508:D518)+SUM(D520:D530)*17+SUM(D532:D542)*3</f>
        <v>125579.38196699999</v>
      </c>
      <c r="F220" s="136"/>
      <c r="G220" s="136">
        <f>SUM(F508:F518)+SUM(F520:F530)*17+SUM(F532:F542)*3</f>
        <v>188477.29958849997</v>
      </c>
      <c r="H220" s="136"/>
      <c r="I220" s="1">
        <f>21+231</f>
        <v>252</v>
      </c>
    </row>
    <row r="221" spans="1:11" x14ac:dyDescent="0.3">
      <c r="A221" s="138" t="s">
        <v>322</v>
      </c>
      <c r="B221" s="138"/>
      <c r="C221" s="134">
        <f>SUM(C212:D216,C218,C220)</f>
        <v>1666</v>
      </c>
      <c r="D221" s="135"/>
      <c r="E221" s="134">
        <f>SUM(E212:F216,E218,E220)</f>
        <v>735533.20190609992</v>
      </c>
      <c r="F221" s="135"/>
      <c r="G221" s="134">
        <f t="shared" ref="G221" si="2">SUM(G212:H216,G218,G220)</f>
        <v>1103554.8580696499</v>
      </c>
      <c r="H221" s="135"/>
    </row>
    <row r="222" spans="1:11" x14ac:dyDescent="0.3">
      <c r="A222" s="138" t="s">
        <v>323</v>
      </c>
      <c r="B222" s="138"/>
      <c r="C222" s="134">
        <f>C217+C219</f>
        <v>63</v>
      </c>
      <c r="D222" s="135"/>
      <c r="E222" s="134">
        <f>E217+E219</f>
        <v>29390.762933999998</v>
      </c>
      <c r="F222" s="135"/>
      <c r="G222" s="134">
        <f t="shared" ref="G222" si="3">G217+G219</f>
        <v>44399.699720999997</v>
      </c>
      <c r="H222" s="135"/>
      <c r="J222" s="8">
        <f>99183.38+1024.51</f>
        <v>100207.89</v>
      </c>
      <c r="K222" s="8">
        <f>J222*10.764</f>
        <v>1078637.7279599998</v>
      </c>
    </row>
    <row r="223" spans="1:11" x14ac:dyDescent="0.3">
      <c r="A223" s="138" t="s">
        <v>284</v>
      </c>
      <c r="B223" s="138"/>
      <c r="C223" s="134">
        <f>C209+C221+C222</f>
        <v>1764</v>
      </c>
      <c r="D223" s="135"/>
      <c r="E223" s="134">
        <f>E209+E221+E222</f>
        <v>773266.67170365597</v>
      </c>
      <c r="F223" s="135"/>
      <c r="G223" s="134">
        <f>G209+G221+G222</f>
        <v>1161191.9084991617</v>
      </c>
      <c r="H223" s="135"/>
      <c r="I223" s="36"/>
      <c r="J223" s="36"/>
      <c r="K223" s="36"/>
    </row>
    <row r="224" spans="1:11" x14ac:dyDescent="0.3">
      <c r="A224" s="137" t="s">
        <v>60</v>
      </c>
      <c r="B224" s="137"/>
      <c r="C224" s="137"/>
      <c r="D224" s="137"/>
      <c r="E224" s="137"/>
      <c r="F224" s="137"/>
      <c r="G224" s="137"/>
      <c r="H224" s="137"/>
    </row>
    <row r="225" spans="1:17" s="2" customFormat="1" x14ac:dyDescent="0.3">
      <c r="A225" s="137" t="s">
        <v>276</v>
      </c>
      <c r="B225" s="137"/>
      <c r="C225" s="137"/>
      <c r="D225" s="137"/>
      <c r="E225" s="137"/>
      <c r="F225" s="137"/>
      <c r="G225" s="137"/>
      <c r="H225" s="137"/>
      <c r="K225" s="34"/>
    </row>
    <row r="226" spans="1:17" s="2" customFormat="1" ht="46.8" x14ac:dyDescent="0.3">
      <c r="A226" s="141" t="s">
        <v>153</v>
      </c>
      <c r="B226" s="141" t="s">
        <v>152</v>
      </c>
      <c r="C226" s="141" t="s">
        <v>61</v>
      </c>
      <c r="D226" s="141" t="s">
        <v>62</v>
      </c>
      <c r="E226" s="243" t="s">
        <v>63</v>
      </c>
      <c r="F226" s="32" t="s">
        <v>150</v>
      </c>
      <c r="G226" s="245" t="s">
        <v>64</v>
      </c>
      <c r="H226" s="246"/>
    </row>
    <row r="227" spans="1:17" s="2" customFormat="1" x14ac:dyDescent="0.3">
      <c r="A227" s="142"/>
      <c r="B227" s="142"/>
      <c r="C227" s="142"/>
      <c r="D227" s="142"/>
      <c r="E227" s="244"/>
      <c r="F227" s="33">
        <v>0.55000000000000004</v>
      </c>
      <c r="G227" s="247"/>
      <c r="H227" s="248"/>
      <c r="I227" s="34"/>
      <c r="L227" s="159"/>
      <c r="M227" s="159"/>
      <c r="N227" s="34"/>
    </row>
    <row r="228" spans="1:17" s="2" customFormat="1" x14ac:dyDescent="0.3">
      <c r="A228" s="139" t="s">
        <v>277</v>
      </c>
      <c r="B228" s="139"/>
      <c r="C228" s="139"/>
      <c r="D228" s="139"/>
      <c r="E228" s="139"/>
      <c r="F228" s="139"/>
      <c r="G228" s="139"/>
      <c r="H228" s="139"/>
      <c r="I228" s="34"/>
      <c r="L228" s="159"/>
      <c r="M228" s="159"/>
      <c r="N228" s="34"/>
    </row>
    <row r="229" spans="1:17" s="2" customFormat="1" x14ac:dyDescent="0.3">
      <c r="A229" s="140" t="s">
        <v>278</v>
      </c>
      <c r="B229" s="140"/>
      <c r="C229" s="140"/>
      <c r="D229" s="140"/>
      <c r="E229" s="140"/>
      <c r="F229" s="140"/>
      <c r="G229" s="140"/>
      <c r="H229" s="140"/>
      <c r="I229" s="34"/>
      <c r="L229" s="159"/>
      <c r="M229" s="159"/>
      <c r="N229" s="34"/>
    </row>
    <row r="230" spans="1:17" s="2" customFormat="1" ht="15.75" customHeight="1" x14ac:dyDescent="0.3">
      <c r="A230" s="101" t="s">
        <v>279</v>
      </c>
      <c r="B230" s="101"/>
      <c r="C230" s="101"/>
      <c r="D230" s="101"/>
      <c r="E230" s="101"/>
      <c r="F230" s="101"/>
      <c r="G230" s="101"/>
      <c r="H230" s="101"/>
      <c r="I230" s="34"/>
      <c r="L230" s="159"/>
      <c r="M230" s="159"/>
      <c r="N230" s="34"/>
    </row>
    <row r="231" spans="1:17" s="2" customFormat="1" ht="15.75" customHeight="1" x14ac:dyDescent="0.3">
      <c r="A231" s="102">
        <v>1</v>
      </c>
      <c r="B231" s="102"/>
      <c r="C231" s="18" t="s">
        <v>280</v>
      </c>
      <c r="D231" s="18">
        <f>(6.235*11.4)*10.764</f>
        <v>765.09435600000006</v>
      </c>
      <c r="E231" s="18">
        <v>0</v>
      </c>
      <c r="F231" s="18">
        <f t="shared" ref="F231:F237" si="4">D231*(($F$227)+1)+E231</f>
        <v>1185.8962518000001</v>
      </c>
      <c r="G231" s="102" t="str">
        <f>A230</f>
        <v>Ground Floor For Commercial, Meter Room, Entrance Lobby &amp; Parking</v>
      </c>
      <c r="H231" s="102"/>
      <c r="I231" s="34"/>
      <c r="L231" s="159"/>
      <c r="M231" s="159"/>
      <c r="N231" s="34"/>
      <c r="Q231" s="18">
        <v>10.763999999999999</v>
      </c>
    </row>
    <row r="232" spans="1:17" s="2" customFormat="1" ht="15.75" customHeight="1" x14ac:dyDescent="0.3">
      <c r="A232" s="102">
        <f>A231+1</f>
        <v>2</v>
      </c>
      <c r="B232" s="102"/>
      <c r="C232" s="18" t="s">
        <v>280</v>
      </c>
      <c r="D232" s="18">
        <f>(6.025*13.6)*10.764</f>
        <v>882.00215999999989</v>
      </c>
      <c r="E232" s="18">
        <v>0</v>
      </c>
      <c r="F232" s="18">
        <f t="shared" si="4"/>
        <v>1367.1033479999999</v>
      </c>
      <c r="G232" s="102"/>
      <c r="H232" s="102"/>
      <c r="I232" s="34"/>
      <c r="L232" s="159"/>
      <c r="M232" s="159"/>
      <c r="N232" s="34"/>
    </row>
    <row r="233" spans="1:17" s="2" customFormat="1" ht="15.75" customHeight="1" x14ac:dyDescent="0.3">
      <c r="A233" s="102">
        <f t="shared" ref="A233:A235" si="5">A232+1</f>
        <v>3</v>
      </c>
      <c r="B233" s="102"/>
      <c r="C233" s="18" t="s">
        <v>280</v>
      </c>
      <c r="D233" s="18">
        <f>(2.71*6.25)*10.764</f>
        <v>182.31524999999999</v>
      </c>
      <c r="E233" s="18">
        <v>0</v>
      </c>
      <c r="F233" s="18">
        <f t="shared" si="4"/>
        <v>282.5886375</v>
      </c>
      <c r="G233" s="102"/>
      <c r="H233" s="102"/>
      <c r="I233" s="34"/>
      <c r="L233" s="159"/>
      <c r="M233" s="159"/>
      <c r="N233" s="34"/>
    </row>
    <row r="234" spans="1:17" s="2" customFormat="1" ht="15.75" customHeight="1" x14ac:dyDescent="0.3">
      <c r="A234" s="102">
        <f t="shared" si="5"/>
        <v>4</v>
      </c>
      <c r="B234" s="102"/>
      <c r="C234" s="18" t="s">
        <v>280</v>
      </c>
      <c r="D234" s="18">
        <f>(2.07*6.23)*10.764</f>
        <v>138.81362039999999</v>
      </c>
      <c r="E234" s="18">
        <v>0</v>
      </c>
      <c r="F234" s="18">
        <f t="shared" si="4"/>
        <v>215.16111161999999</v>
      </c>
      <c r="G234" s="102"/>
      <c r="H234" s="102"/>
      <c r="I234" s="34"/>
      <c r="L234" s="159"/>
      <c r="M234" s="159"/>
      <c r="N234" s="34"/>
    </row>
    <row r="235" spans="1:17" s="2" customFormat="1" ht="15.75" customHeight="1" x14ac:dyDescent="0.3">
      <c r="A235" s="102">
        <f t="shared" si="5"/>
        <v>5</v>
      </c>
      <c r="B235" s="102"/>
      <c r="C235" s="18" t="s">
        <v>280</v>
      </c>
      <c r="D235" s="18">
        <f>(2.73*6.975)*10.764</f>
        <v>204.965397</v>
      </c>
      <c r="E235" s="18">
        <v>0</v>
      </c>
      <c r="F235" s="18">
        <f t="shared" si="4"/>
        <v>317.69636535000001</v>
      </c>
      <c r="G235" s="102"/>
      <c r="H235" s="102"/>
      <c r="I235" s="34"/>
      <c r="L235" s="159"/>
      <c r="M235" s="159"/>
      <c r="N235" s="34"/>
    </row>
    <row r="236" spans="1:17" s="2" customFormat="1" ht="15.75" customHeight="1" x14ac:dyDescent="0.3">
      <c r="A236" s="102">
        <f t="shared" ref="A236:A248" si="6">A235+1</f>
        <v>6</v>
      </c>
      <c r="B236" s="102"/>
      <c r="C236" s="18" t="s">
        <v>280</v>
      </c>
      <c r="D236" s="18">
        <f>(2.73*6.92)*10.764</f>
        <v>203.34918239999999</v>
      </c>
      <c r="E236" s="18">
        <v>0</v>
      </c>
      <c r="F236" s="18">
        <f t="shared" si="4"/>
        <v>315.19123272000002</v>
      </c>
      <c r="G236" s="102"/>
      <c r="H236" s="102"/>
      <c r="I236" s="34"/>
      <c r="N236" s="34"/>
    </row>
    <row r="237" spans="1:17" ht="15.75" customHeight="1" x14ac:dyDescent="0.3">
      <c r="A237" s="102">
        <f t="shared" si="6"/>
        <v>7</v>
      </c>
      <c r="B237" s="102"/>
      <c r="C237" s="18" t="s">
        <v>280</v>
      </c>
      <c r="D237" s="18">
        <f>(2.07*6.09)*10.764</f>
        <v>135.69421319999998</v>
      </c>
      <c r="E237" s="18">
        <v>0</v>
      </c>
      <c r="F237" s="18">
        <f t="shared" si="4"/>
        <v>210.32603045999997</v>
      </c>
      <c r="G237" s="102"/>
      <c r="H237" s="102"/>
      <c r="I237" s="34"/>
    </row>
    <row r="238" spans="1:17" ht="15.75" customHeight="1" x14ac:dyDescent="0.3">
      <c r="A238" s="102">
        <f t="shared" si="6"/>
        <v>8</v>
      </c>
      <c r="B238" s="102"/>
      <c r="C238" s="18" t="s">
        <v>280</v>
      </c>
      <c r="D238" s="18">
        <f>(2.73*6.01)*10.764</f>
        <v>176.60817719999997</v>
      </c>
      <c r="E238" s="18">
        <v>0</v>
      </c>
      <c r="F238" s="18">
        <f t="shared" ref="F238:F248" si="7">D238*(($F$227)+1)+E238</f>
        <v>273.74267465999998</v>
      </c>
      <c r="G238" s="102"/>
      <c r="H238" s="102"/>
      <c r="I238" s="34"/>
    </row>
    <row r="239" spans="1:17" ht="15.75" customHeight="1" x14ac:dyDescent="0.3">
      <c r="A239" s="102">
        <f t="shared" si="6"/>
        <v>9</v>
      </c>
      <c r="B239" s="102"/>
      <c r="C239" s="18" t="s">
        <v>280</v>
      </c>
      <c r="D239" s="18">
        <f>(2.73*5.97)*10.764</f>
        <v>175.43274839999998</v>
      </c>
      <c r="E239" s="18">
        <v>0</v>
      </c>
      <c r="F239" s="18">
        <f t="shared" si="7"/>
        <v>271.92076001999999</v>
      </c>
      <c r="G239" s="102"/>
      <c r="H239" s="102"/>
      <c r="I239" s="34"/>
    </row>
    <row r="240" spans="1:17" ht="15.75" customHeight="1" x14ac:dyDescent="0.3">
      <c r="A240" s="102">
        <f t="shared" si="6"/>
        <v>10</v>
      </c>
      <c r="B240" s="102"/>
      <c r="C240" s="18" t="s">
        <v>280</v>
      </c>
      <c r="D240" s="18">
        <f>(2.07*6)*10.764</f>
        <v>133.68887999999998</v>
      </c>
      <c r="E240" s="18">
        <v>0</v>
      </c>
      <c r="F240" s="18">
        <f t="shared" si="7"/>
        <v>207.21776399999999</v>
      </c>
      <c r="G240" s="102"/>
      <c r="H240" s="102"/>
      <c r="I240" s="34"/>
    </row>
    <row r="241" spans="1:17" ht="15.75" customHeight="1" x14ac:dyDescent="0.3">
      <c r="A241" s="102">
        <f t="shared" si="6"/>
        <v>11</v>
      </c>
      <c r="B241" s="102"/>
      <c r="C241" s="18" t="s">
        <v>280</v>
      </c>
      <c r="D241" s="18">
        <f>(2.75*6.69)*10.764</f>
        <v>198.03068999999999</v>
      </c>
      <c r="E241" s="18">
        <v>0</v>
      </c>
      <c r="F241" s="18">
        <f t="shared" si="7"/>
        <v>306.94756949999999</v>
      </c>
      <c r="G241" s="102"/>
      <c r="H241" s="102"/>
      <c r="I241" s="34"/>
    </row>
    <row r="242" spans="1:17" ht="15.75" customHeight="1" x14ac:dyDescent="0.3">
      <c r="A242" s="102">
        <f t="shared" si="6"/>
        <v>12</v>
      </c>
      <c r="B242" s="102"/>
      <c r="C242" s="18" t="s">
        <v>280</v>
      </c>
      <c r="D242" s="18">
        <f>(2.71*4.35+1.2*2.2)*10.764</f>
        <v>155.30837399999999</v>
      </c>
      <c r="E242" s="18">
        <v>0</v>
      </c>
      <c r="F242" s="18">
        <f t="shared" si="7"/>
        <v>240.72797969999999</v>
      </c>
      <c r="G242" s="102"/>
      <c r="H242" s="102"/>
      <c r="I242" s="34"/>
    </row>
    <row r="243" spans="1:17" ht="15.75" customHeight="1" x14ac:dyDescent="0.3">
      <c r="A243" s="102">
        <f t="shared" si="6"/>
        <v>13</v>
      </c>
      <c r="B243" s="102"/>
      <c r="C243" s="18" t="s">
        <v>280</v>
      </c>
      <c r="D243" s="18">
        <f>(2.11*4.3+1.25*2.135)*10.764</f>
        <v>126.38819699999998</v>
      </c>
      <c r="E243" s="18">
        <v>0</v>
      </c>
      <c r="F243" s="18">
        <f t="shared" si="7"/>
        <v>195.90170534999996</v>
      </c>
      <c r="G243" s="102"/>
      <c r="H243" s="102"/>
      <c r="I243" s="34"/>
    </row>
    <row r="244" spans="1:17" ht="15.75" customHeight="1" x14ac:dyDescent="0.3">
      <c r="A244" s="102">
        <f t="shared" si="6"/>
        <v>14</v>
      </c>
      <c r="B244" s="102"/>
      <c r="C244" s="18" t="s">
        <v>280</v>
      </c>
      <c r="D244" s="18">
        <f>(2.88*6.4)*10.764</f>
        <v>198.40204799999998</v>
      </c>
      <c r="E244" s="18">
        <v>0</v>
      </c>
      <c r="F244" s="18">
        <f t="shared" si="7"/>
        <v>307.52317439999996</v>
      </c>
      <c r="G244" s="102"/>
      <c r="H244" s="102"/>
      <c r="I244" s="34"/>
    </row>
    <row r="245" spans="1:17" ht="15.75" customHeight="1" x14ac:dyDescent="0.3">
      <c r="A245" s="102">
        <f t="shared" si="6"/>
        <v>15</v>
      </c>
      <c r="B245" s="102"/>
      <c r="C245" s="18" t="s">
        <v>280</v>
      </c>
      <c r="D245" s="18">
        <f>(2.02*6.405)*10.764</f>
        <v>139.26570839999999</v>
      </c>
      <c r="E245" s="18">
        <v>0</v>
      </c>
      <c r="F245" s="18">
        <f t="shared" si="7"/>
        <v>215.86184802</v>
      </c>
      <c r="G245" s="102"/>
      <c r="H245" s="102"/>
      <c r="I245" s="34"/>
    </row>
    <row r="246" spans="1:17" ht="15.75" customHeight="1" x14ac:dyDescent="0.3">
      <c r="A246" s="102">
        <f t="shared" si="6"/>
        <v>16</v>
      </c>
      <c r="B246" s="102"/>
      <c r="C246" s="18" t="s">
        <v>280</v>
      </c>
      <c r="D246" s="18">
        <f>(2.09*6.315)*10.764</f>
        <v>142.0670394</v>
      </c>
      <c r="E246" s="18">
        <v>0</v>
      </c>
      <c r="F246" s="18">
        <f t="shared" si="7"/>
        <v>220.20391107</v>
      </c>
      <c r="G246" s="102"/>
      <c r="H246" s="102"/>
      <c r="I246" s="34"/>
    </row>
    <row r="247" spans="1:17" ht="15.75" customHeight="1" x14ac:dyDescent="0.3">
      <c r="A247" s="102">
        <f t="shared" si="6"/>
        <v>17</v>
      </c>
      <c r="B247" s="102"/>
      <c r="C247" s="18" t="s">
        <v>280</v>
      </c>
      <c r="D247" s="18">
        <f>(2.99*4.7+1.26*2.135)*10.764</f>
        <v>180.22272840000002</v>
      </c>
      <c r="E247" s="18">
        <v>0</v>
      </c>
      <c r="F247" s="18">
        <f t="shared" si="7"/>
        <v>279.34522902000003</v>
      </c>
      <c r="G247" s="102"/>
      <c r="H247" s="102"/>
      <c r="I247" s="34"/>
    </row>
    <row r="248" spans="1:17" ht="15.75" customHeight="1" x14ac:dyDescent="0.3">
      <c r="A248" s="102">
        <f t="shared" si="6"/>
        <v>18</v>
      </c>
      <c r="B248" s="102"/>
      <c r="C248" s="18" t="s">
        <v>280</v>
      </c>
      <c r="D248" s="18">
        <f>(3.01*5.6)*10.764</f>
        <v>181.43798399999997</v>
      </c>
      <c r="E248" s="18">
        <v>0</v>
      </c>
      <c r="F248" s="18">
        <f t="shared" si="7"/>
        <v>281.22887519999995</v>
      </c>
      <c r="G248" s="102"/>
      <c r="H248" s="102"/>
      <c r="I248" s="34"/>
    </row>
    <row r="249" spans="1:17" s="2" customFormat="1" x14ac:dyDescent="0.3">
      <c r="A249" s="140" t="s">
        <v>309</v>
      </c>
      <c r="B249" s="140"/>
      <c r="C249" s="140"/>
      <c r="D249" s="140"/>
      <c r="E249" s="140"/>
      <c r="F249" s="140"/>
      <c r="G249" s="140"/>
      <c r="H249" s="140"/>
      <c r="I249" s="91" t="s">
        <v>321</v>
      </c>
      <c r="L249" s="159"/>
      <c r="M249" s="159"/>
      <c r="N249" s="34"/>
    </row>
    <row r="250" spans="1:17" s="2" customFormat="1" ht="15.75" customHeight="1" x14ac:dyDescent="0.3">
      <c r="A250" s="269" t="s">
        <v>279</v>
      </c>
      <c r="B250" s="269"/>
      <c r="C250" s="269"/>
      <c r="D250" s="269"/>
      <c r="E250" s="269"/>
      <c r="F250" s="269"/>
      <c r="G250" s="269"/>
      <c r="H250" s="269"/>
      <c r="I250" s="90">
        <v>0.55000000000000004</v>
      </c>
      <c r="L250" s="159"/>
      <c r="M250" s="159"/>
      <c r="N250" s="34"/>
    </row>
    <row r="251" spans="1:17" s="2" customFormat="1" ht="15.75" customHeight="1" x14ac:dyDescent="0.3">
      <c r="A251" s="270">
        <v>19</v>
      </c>
      <c r="B251" s="270"/>
      <c r="C251" s="89" t="s">
        <v>280</v>
      </c>
      <c r="D251" s="89">
        <f>(1.1*1.7+0.5*(4.4+7)*3+(4+7)*0.5*3.4)*10.764</f>
        <v>405.47987999999998</v>
      </c>
      <c r="E251" s="89">
        <f>(0.5*4*3.5+0.5*(7+3.2)*4+0.5*7*6.2+2.7*9)*10.764</f>
        <v>790.07759999999985</v>
      </c>
      <c r="F251" s="89">
        <f>(D251+(IF(E251&lt;101,E251,IF(E251&lt;201,E251/2,IF(E251&lt;=301,E251/3,E251/4)))))*(($F$227)+1)</f>
        <v>934.64888400000007</v>
      </c>
      <c r="G251" s="275" t="str">
        <f>A250</f>
        <v>Ground Floor For Commercial, Meter Room, Entrance Lobby &amp; Parking</v>
      </c>
      <c r="H251" s="276"/>
      <c r="I251" s="34"/>
      <c r="L251" s="159"/>
      <c r="M251" s="159"/>
      <c r="N251" s="34"/>
      <c r="Q251" s="18">
        <v>10.763999999999999</v>
      </c>
    </row>
    <row r="252" spans="1:17" s="2" customFormat="1" ht="15.75" customHeight="1" x14ac:dyDescent="0.3">
      <c r="A252" s="270">
        <f>A251+1</f>
        <v>20</v>
      </c>
      <c r="B252" s="270"/>
      <c r="C252" s="89" t="s">
        <v>280</v>
      </c>
      <c r="D252" s="89">
        <f>(5.731*7.209)*10.764</f>
        <v>444.7122811559999</v>
      </c>
      <c r="E252" s="89">
        <v>0</v>
      </c>
      <c r="F252" s="89">
        <f t="shared" ref="F252:F257" si="8">D252*(($F$227)+1)+E252</f>
        <v>689.30403579179983</v>
      </c>
      <c r="G252" s="277"/>
      <c r="H252" s="278"/>
      <c r="I252" s="34">
        <f>(3.2*7.5+0.5*5.7*5.6+0.5*2*1.3)*10.764</f>
        <v>444.12263999999993</v>
      </c>
      <c r="L252" s="159"/>
      <c r="M252" s="159"/>
      <c r="N252" s="34"/>
    </row>
    <row r="253" spans="1:17" s="2" customFormat="1" ht="15.75" customHeight="1" x14ac:dyDescent="0.3">
      <c r="A253" s="270">
        <f t="shared" ref="A253:A267" si="9">A252+1</f>
        <v>21</v>
      </c>
      <c r="B253" s="270"/>
      <c r="C253" s="89" t="s">
        <v>280</v>
      </c>
      <c r="D253" s="89">
        <f>(3*8.85)*10.764</f>
        <v>285.78419999999994</v>
      </c>
      <c r="E253" s="89">
        <v>0</v>
      </c>
      <c r="F253" s="89">
        <f t="shared" si="8"/>
        <v>442.96550999999994</v>
      </c>
      <c r="G253" s="277"/>
      <c r="H253" s="278"/>
      <c r="I253" s="34">
        <f>3*6.2+2.2*1.5+2.4+0.5*0.5</f>
        <v>24.55</v>
      </c>
      <c r="L253" s="159"/>
      <c r="M253" s="159"/>
      <c r="N253" s="34"/>
      <c r="Q253" s="2" t="s">
        <v>312</v>
      </c>
    </row>
    <row r="254" spans="1:17" s="2" customFormat="1" ht="15.75" customHeight="1" x14ac:dyDescent="0.3">
      <c r="A254" s="270">
        <f t="shared" si="9"/>
        <v>22</v>
      </c>
      <c r="B254" s="270"/>
      <c r="C254" s="89" t="s">
        <v>280</v>
      </c>
      <c r="D254" s="89">
        <f>(2.99*7.69+1.26*2.135)*10.764</f>
        <v>276.45396479999999</v>
      </c>
      <c r="E254" s="89">
        <v>0</v>
      </c>
      <c r="F254" s="89">
        <f t="shared" si="8"/>
        <v>428.50364544000001</v>
      </c>
      <c r="G254" s="277"/>
      <c r="H254" s="278"/>
      <c r="I254" s="34"/>
      <c r="L254" s="159"/>
      <c r="M254" s="159"/>
      <c r="N254" s="34"/>
    </row>
    <row r="255" spans="1:17" s="2" customFormat="1" ht="15.75" customHeight="1" x14ac:dyDescent="0.3">
      <c r="A255" s="270">
        <f t="shared" si="9"/>
        <v>23</v>
      </c>
      <c r="B255" s="270"/>
      <c r="C255" s="89" t="s">
        <v>280</v>
      </c>
      <c r="D255" s="89">
        <f>(2.09*9)*10.764</f>
        <v>202.47083999999998</v>
      </c>
      <c r="E255" s="89">
        <v>0</v>
      </c>
      <c r="F255" s="89">
        <f t="shared" si="8"/>
        <v>313.82980199999997</v>
      </c>
      <c r="G255" s="277"/>
      <c r="H255" s="278"/>
      <c r="I255" s="92">
        <f>F252/D252</f>
        <v>1.55</v>
      </c>
      <c r="L255" s="159"/>
      <c r="M255" s="159"/>
      <c r="N255" s="34"/>
    </row>
    <row r="256" spans="1:17" s="2" customFormat="1" ht="15.75" customHeight="1" x14ac:dyDescent="0.3">
      <c r="A256" s="270">
        <f t="shared" si="9"/>
        <v>24</v>
      </c>
      <c r="B256" s="270"/>
      <c r="C256" s="89" t="s">
        <v>280</v>
      </c>
      <c r="D256" s="89">
        <f>(5.1*8.7)*10.764</f>
        <v>477.59867999999989</v>
      </c>
      <c r="E256" s="89">
        <v>0</v>
      </c>
      <c r="F256" s="89">
        <f t="shared" si="8"/>
        <v>740.2779539999998</v>
      </c>
      <c r="G256" s="277"/>
      <c r="H256" s="278"/>
      <c r="I256" s="34"/>
      <c r="N256" s="34"/>
    </row>
    <row r="257" spans="1:17" ht="15.75" customHeight="1" x14ac:dyDescent="0.3">
      <c r="A257" s="270">
        <f t="shared" si="9"/>
        <v>25</v>
      </c>
      <c r="B257" s="270"/>
      <c r="C257" s="89" t="s">
        <v>280</v>
      </c>
      <c r="D257" s="89">
        <f>(2.11*6.17+1.25*2.135)*10.764</f>
        <v>168.85971179999999</v>
      </c>
      <c r="E257" s="89">
        <v>0</v>
      </c>
      <c r="F257" s="89">
        <f t="shared" si="8"/>
        <v>261.73255329</v>
      </c>
      <c r="G257" s="277"/>
      <c r="H257" s="278"/>
      <c r="I257" s="34"/>
    </row>
    <row r="258" spans="1:17" ht="15.75" customHeight="1" x14ac:dyDescent="0.3">
      <c r="A258" s="270">
        <f t="shared" si="9"/>
        <v>26</v>
      </c>
      <c r="B258" s="270"/>
      <c r="C258" s="89" t="s">
        <v>280</v>
      </c>
      <c r="D258" s="89">
        <f>(2.71*6+1.2*2.2)*10.764</f>
        <v>203.43959999999998</v>
      </c>
      <c r="E258" s="89">
        <v>0</v>
      </c>
      <c r="F258" s="89">
        <f t="shared" ref="F258:F266" si="10">D258*(($F$227)+1)+E258</f>
        <v>315.33137999999997</v>
      </c>
      <c r="G258" s="277"/>
      <c r="H258" s="278"/>
      <c r="J258" s="85" t="s">
        <v>311</v>
      </c>
    </row>
    <row r="259" spans="1:17" ht="15.75" customHeight="1" x14ac:dyDescent="0.3">
      <c r="A259" s="270">
        <f t="shared" si="9"/>
        <v>27</v>
      </c>
      <c r="B259" s="270"/>
      <c r="C259" s="89" t="s">
        <v>280</v>
      </c>
      <c r="D259" s="89">
        <f>(2.75*7.6+3.4*1.3+1.8*0.8)*10.764</f>
        <v>288.04464000000002</v>
      </c>
      <c r="E259" s="89">
        <v>0</v>
      </c>
      <c r="F259" s="89">
        <f t="shared" si="10"/>
        <v>446.46919200000002</v>
      </c>
      <c r="G259" s="277"/>
      <c r="H259" s="278"/>
      <c r="I259" s="34"/>
    </row>
    <row r="260" spans="1:17" ht="15.75" customHeight="1" x14ac:dyDescent="0.3">
      <c r="A260" s="270">
        <f t="shared" si="9"/>
        <v>28</v>
      </c>
      <c r="B260" s="270"/>
      <c r="C260" s="89" t="s">
        <v>280</v>
      </c>
      <c r="D260" s="89">
        <f>(2.07*6.4)*10.764</f>
        <v>142.60147199999997</v>
      </c>
      <c r="E260" s="89">
        <v>0</v>
      </c>
      <c r="F260" s="89">
        <f t="shared" si="10"/>
        <v>221.03228159999998</v>
      </c>
      <c r="G260" s="277"/>
      <c r="H260" s="278"/>
      <c r="I260" s="34"/>
    </row>
    <row r="261" spans="1:17" ht="15.75" customHeight="1" x14ac:dyDescent="0.3">
      <c r="A261" s="270">
        <f t="shared" si="9"/>
        <v>29</v>
      </c>
      <c r="B261" s="270"/>
      <c r="C261" s="89" t="s">
        <v>280</v>
      </c>
      <c r="D261" s="89">
        <f>(2.73*6.3)*10.764</f>
        <v>185.13003599999996</v>
      </c>
      <c r="E261" s="89">
        <v>0</v>
      </c>
      <c r="F261" s="89">
        <f t="shared" si="10"/>
        <v>286.95155579999994</v>
      </c>
      <c r="G261" s="277"/>
      <c r="H261" s="278"/>
      <c r="I261" s="34">
        <f>2.7*5+2*1.35</f>
        <v>16.2</v>
      </c>
    </row>
    <row r="262" spans="1:17" ht="15.75" customHeight="1" x14ac:dyDescent="0.3">
      <c r="A262" s="270">
        <f t="shared" si="9"/>
        <v>30</v>
      </c>
      <c r="B262" s="270"/>
      <c r="C262" s="89" t="s">
        <v>280</v>
      </c>
      <c r="D262" s="89">
        <f>(2.73*6.05)*10.764</f>
        <v>177.78360599999999</v>
      </c>
      <c r="E262" s="89">
        <v>0</v>
      </c>
      <c r="F262" s="89">
        <f t="shared" si="10"/>
        <v>275.56458930000002</v>
      </c>
      <c r="G262" s="277"/>
      <c r="H262" s="278"/>
      <c r="I262" s="34"/>
    </row>
    <row r="263" spans="1:17" ht="15.75" customHeight="1" x14ac:dyDescent="0.3">
      <c r="A263" s="270">
        <f t="shared" si="9"/>
        <v>31</v>
      </c>
      <c r="B263" s="270"/>
      <c r="C263" s="89" t="s">
        <v>280</v>
      </c>
      <c r="D263" s="89">
        <f>(2.07*5.85)*10.764</f>
        <v>130.34665799999999</v>
      </c>
      <c r="E263" s="89">
        <v>0</v>
      </c>
      <c r="F263" s="89">
        <f t="shared" si="10"/>
        <v>202.0373199</v>
      </c>
      <c r="G263" s="277"/>
      <c r="H263" s="278"/>
      <c r="I263" s="34"/>
    </row>
    <row r="264" spans="1:17" ht="15.75" customHeight="1" x14ac:dyDescent="0.3">
      <c r="A264" s="270">
        <f t="shared" si="9"/>
        <v>32</v>
      </c>
      <c r="B264" s="270"/>
      <c r="C264" s="89" t="s">
        <v>280</v>
      </c>
      <c r="D264" s="89">
        <f>(2.73*6.5)*10.764</f>
        <v>191.00718000000001</v>
      </c>
      <c r="E264" s="89">
        <v>0</v>
      </c>
      <c r="F264" s="89">
        <f t="shared" si="10"/>
        <v>296.06112899999999</v>
      </c>
      <c r="G264" s="277"/>
      <c r="H264" s="278"/>
      <c r="I264" s="34"/>
    </row>
    <row r="265" spans="1:17" ht="15.75" customHeight="1" x14ac:dyDescent="0.3">
      <c r="A265" s="270">
        <f t="shared" si="9"/>
        <v>33</v>
      </c>
      <c r="B265" s="270"/>
      <c r="C265" s="89" t="s">
        <v>280</v>
      </c>
      <c r="D265" s="89">
        <f>(2.73*6.2)*10.764</f>
        <v>182.191464</v>
      </c>
      <c r="E265" s="89">
        <v>0</v>
      </c>
      <c r="F265" s="89">
        <f t="shared" si="10"/>
        <v>282.39676919999999</v>
      </c>
      <c r="G265" s="277"/>
      <c r="H265" s="278"/>
      <c r="I265" s="34"/>
    </row>
    <row r="266" spans="1:17" ht="15.75" customHeight="1" x14ac:dyDescent="0.3">
      <c r="A266" s="270">
        <f t="shared" si="9"/>
        <v>34</v>
      </c>
      <c r="B266" s="270"/>
      <c r="C266" s="89" t="s">
        <v>280</v>
      </c>
      <c r="D266" s="89">
        <f>(2.07*5.2)*10.764</f>
        <v>115.86369599999999</v>
      </c>
      <c r="E266" s="89">
        <v>0</v>
      </c>
      <c r="F266" s="89">
        <f t="shared" si="10"/>
        <v>179.58872879999998</v>
      </c>
      <c r="G266" s="277"/>
      <c r="H266" s="278"/>
      <c r="I266" s="34">
        <f>2.07*3.6+1.8*1.4</f>
        <v>9.9719999999999995</v>
      </c>
    </row>
    <row r="267" spans="1:17" ht="15.75" customHeight="1" x14ac:dyDescent="0.3">
      <c r="A267" s="270">
        <f t="shared" si="9"/>
        <v>35</v>
      </c>
      <c r="B267" s="270"/>
      <c r="C267" s="89" t="s">
        <v>280</v>
      </c>
      <c r="D267" s="89">
        <f>(2.71*5)*10.764</f>
        <v>145.85220000000001</v>
      </c>
      <c r="E267" s="89">
        <v>0</v>
      </c>
      <c r="F267" s="89">
        <f t="shared" ref="F267" si="11">D267*(($F$227)+1)+E267</f>
        <v>226.07091000000003</v>
      </c>
      <c r="G267" s="279"/>
      <c r="H267" s="280"/>
      <c r="I267" s="34"/>
    </row>
    <row r="268" spans="1:17" s="2" customFormat="1" x14ac:dyDescent="0.3">
      <c r="A268" s="102"/>
      <c r="B268" s="102"/>
      <c r="C268" s="102"/>
      <c r="D268" s="102"/>
      <c r="E268" s="102"/>
      <c r="F268" s="102"/>
      <c r="G268" s="102"/>
      <c r="H268" s="102"/>
      <c r="I268" s="34"/>
      <c r="L268" s="2">
        <f>42+21</f>
        <v>63</v>
      </c>
      <c r="Q268" s="2">
        <f>1233-63</f>
        <v>1170</v>
      </c>
    </row>
    <row r="269" spans="1:17" s="2" customFormat="1" ht="46.8" x14ac:dyDescent="0.3">
      <c r="A269" s="171" t="s">
        <v>154</v>
      </c>
      <c r="B269" s="171" t="s">
        <v>257</v>
      </c>
      <c r="C269" s="171" t="s">
        <v>61</v>
      </c>
      <c r="D269" s="171" t="s">
        <v>62</v>
      </c>
      <c r="E269" s="213" t="s">
        <v>63</v>
      </c>
      <c r="F269" s="83" t="s">
        <v>150</v>
      </c>
      <c r="G269" s="171" t="s">
        <v>64</v>
      </c>
      <c r="H269" s="171"/>
    </row>
    <row r="270" spans="1:17" s="2" customFormat="1" x14ac:dyDescent="0.3">
      <c r="A270" s="171"/>
      <c r="B270" s="171"/>
      <c r="C270" s="171"/>
      <c r="D270" s="171"/>
      <c r="E270" s="213"/>
      <c r="F270" s="84">
        <v>0.5</v>
      </c>
      <c r="G270" s="171"/>
      <c r="H270" s="171"/>
    </row>
    <row r="271" spans="1:17" s="2" customFormat="1" x14ac:dyDescent="0.3">
      <c r="A271" s="139" t="s">
        <v>201</v>
      </c>
      <c r="B271" s="139"/>
      <c r="C271" s="139"/>
      <c r="D271" s="139"/>
      <c r="E271" s="139"/>
      <c r="F271" s="139"/>
      <c r="G271" s="139"/>
      <c r="H271" s="139"/>
    </row>
    <row r="272" spans="1:17" s="2" customFormat="1" x14ac:dyDescent="0.3">
      <c r="A272" s="125" t="s">
        <v>208</v>
      </c>
      <c r="B272" s="126"/>
      <c r="C272" s="126"/>
      <c r="D272" s="126"/>
      <c r="E272" s="126"/>
      <c r="F272" s="126"/>
      <c r="G272" s="126"/>
      <c r="H272" s="127"/>
      <c r="I272" s="63" t="s">
        <v>205</v>
      </c>
      <c r="L272" s="159"/>
      <c r="M272" s="159"/>
    </row>
    <row r="273" spans="1:14" s="2" customFormat="1" x14ac:dyDescent="0.3">
      <c r="A273" s="103" t="s">
        <v>192</v>
      </c>
      <c r="B273" s="104"/>
      <c r="C273" s="104"/>
      <c r="D273" s="104"/>
      <c r="E273" s="104"/>
      <c r="F273" s="104"/>
      <c r="G273" s="104"/>
      <c r="H273" s="105"/>
      <c r="I273" s="34">
        <f>3608816/F275</f>
        <v>4742.9487097345482</v>
      </c>
      <c r="N273" s="34"/>
    </row>
    <row r="274" spans="1:14" s="2" customFormat="1" x14ac:dyDescent="0.3">
      <c r="A274" s="101" t="s">
        <v>193</v>
      </c>
      <c r="B274" s="101"/>
      <c r="C274" s="101"/>
      <c r="D274" s="101"/>
      <c r="E274" s="101"/>
      <c r="F274" s="101"/>
      <c r="G274" s="101"/>
      <c r="H274" s="101"/>
      <c r="I274" s="34"/>
      <c r="N274" s="34"/>
    </row>
    <row r="275" spans="1:14" s="2" customFormat="1" x14ac:dyDescent="0.3">
      <c r="A275" s="102">
        <v>1</v>
      </c>
      <c r="B275" s="102"/>
      <c r="C275" s="18" t="s">
        <v>188</v>
      </c>
      <c r="D275" s="18">
        <f>(4.35*3.1+2.15*2.75+3.05*2.75+3.05*2.9+1.3*2.1+2.3*1.45+2.3*0.6+1*3.05)*10.764</f>
        <v>507.25349999999997</v>
      </c>
      <c r="E275" s="18">
        <v>0</v>
      </c>
      <c r="F275" s="18">
        <f t="shared" ref="F275:F283" si="12">D275*(($F$270)+1)+E275</f>
        <v>760.88024999999993</v>
      </c>
      <c r="G275" s="121" t="str">
        <f>A274</f>
        <v xml:space="preserve">1st Floor </v>
      </c>
      <c r="H275" s="122"/>
      <c r="I275" s="34"/>
      <c r="N275" s="34"/>
    </row>
    <row r="276" spans="1:14" s="2" customFormat="1" x14ac:dyDescent="0.3">
      <c r="A276" s="102">
        <f>A275+1</f>
        <v>2</v>
      </c>
      <c r="B276" s="102"/>
      <c r="C276" s="18" t="s">
        <v>189</v>
      </c>
      <c r="D276" s="18">
        <f>(4.3*3.1+2.15*2.3+3.3*2.75+1.3*2.3+2.1*1.25+1*2)*10.764</f>
        <v>376.36325999999991</v>
      </c>
      <c r="E276" s="18">
        <v>0</v>
      </c>
      <c r="F276" s="18">
        <f t="shared" si="12"/>
        <v>564.5448899999999</v>
      </c>
      <c r="G276" s="123"/>
      <c r="H276" s="124"/>
      <c r="I276" s="34"/>
      <c r="N276" s="34"/>
    </row>
    <row r="277" spans="1:14" s="2" customFormat="1" x14ac:dyDescent="0.3">
      <c r="A277" s="102">
        <f>A276+1</f>
        <v>3</v>
      </c>
      <c r="B277" s="102"/>
      <c r="C277" s="18" t="s">
        <v>189</v>
      </c>
      <c r="D277" s="18">
        <f>(2.75*4.275+2.15*2.35+2.75*3.35+2.3*1.3+1.8*1.25+1*2.2+1.05*2.15)*10.764</f>
        <v>384.47662499999996</v>
      </c>
      <c r="E277" s="18">
        <v>0</v>
      </c>
      <c r="F277" s="18">
        <f t="shared" si="12"/>
        <v>576.71493749999991</v>
      </c>
      <c r="G277" s="123"/>
      <c r="H277" s="124"/>
      <c r="I277" s="34"/>
      <c r="N277" s="34"/>
    </row>
    <row r="278" spans="1:14" s="2" customFormat="1" x14ac:dyDescent="0.3">
      <c r="A278" s="102">
        <f t="shared" ref="A278:A281" si="13">A277+1</f>
        <v>4</v>
      </c>
      <c r="B278" s="102"/>
      <c r="C278" s="18" t="s">
        <v>189</v>
      </c>
      <c r="D278" s="18">
        <f t="shared" ref="D278:D281" si="14">(2.75*4.275+2.15*2.35+2.75*3.35+2.3*1.3+1.8*1.25+1*2.2+1.05*2.15)*10.764</f>
        <v>384.47662499999996</v>
      </c>
      <c r="E278" s="18">
        <v>0</v>
      </c>
      <c r="F278" s="18">
        <f t="shared" si="12"/>
        <v>576.71493749999991</v>
      </c>
      <c r="G278" s="123"/>
      <c r="H278" s="124"/>
      <c r="I278" s="34"/>
      <c r="N278" s="34"/>
    </row>
    <row r="279" spans="1:14" s="2" customFormat="1" x14ac:dyDescent="0.3">
      <c r="A279" s="102">
        <f t="shared" si="13"/>
        <v>5</v>
      </c>
      <c r="B279" s="102"/>
      <c r="C279" s="18" t="s">
        <v>189</v>
      </c>
      <c r="D279" s="18">
        <f t="shared" si="14"/>
        <v>384.47662499999996</v>
      </c>
      <c r="E279" s="18">
        <v>0</v>
      </c>
      <c r="F279" s="18">
        <f t="shared" si="12"/>
        <v>576.71493749999991</v>
      </c>
      <c r="G279" s="123"/>
      <c r="H279" s="124"/>
      <c r="I279" s="34"/>
      <c r="N279" s="34"/>
    </row>
    <row r="280" spans="1:14" s="2" customFormat="1" x14ac:dyDescent="0.3">
      <c r="A280" s="102">
        <f t="shared" si="13"/>
        <v>6</v>
      </c>
      <c r="B280" s="102"/>
      <c r="C280" s="18" t="s">
        <v>189</v>
      </c>
      <c r="D280" s="18">
        <f t="shared" si="14"/>
        <v>384.47662499999996</v>
      </c>
      <c r="E280" s="18">
        <v>0</v>
      </c>
      <c r="F280" s="18">
        <f t="shared" si="12"/>
        <v>576.71493749999991</v>
      </c>
      <c r="G280" s="123"/>
      <c r="H280" s="124"/>
      <c r="I280" s="34"/>
      <c r="N280" s="34"/>
    </row>
    <row r="281" spans="1:14" s="2" customFormat="1" x14ac:dyDescent="0.3">
      <c r="A281" s="102">
        <f t="shared" si="13"/>
        <v>7</v>
      </c>
      <c r="B281" s="102"/>
      <c r="C281" s="18" t="s">
        <v>189</v>
      </c>
      <c r="D281" s="18">
        <f t="shared" si="14"/>
        <v>384.47662499999996</v>
      </c>
      <c r="E281" s="18">
        <v>0</v>
      </c>
      <c r="F281" s="18">
        <f t="shared" si="12"/>
        <v>576.71493749999991</v>
      </c>
      <c r="G281" s="123"/>
      <c r="H281" s="124"/>
      <c r="I281" s="34"/>
      <c r="N281" s="34"/>
    </row>
    <row r="282" spans="1:14" s="2" customFormat="1" x14ac:dyDescent="0.3">
      <c r="A282" s="102">
        <v>10</v>
      </c>
      <c r="B282" s="102"/>
      <c r="C282" s="18" t="s">
        <v>189</v>
      </c>
      <c r="D282" s="18">
        <f>(4.3*3.1+2.15*2.3+3.3*2.75+1.3*2.3+2.1*1.25+1*2)*10.764</f>
        <v>376.36325999999991</v>
      </c>
      <c r="E282" s="18">
        <v>0</v>
      </c>
      <c r="F282" s="18">
        <f t="shared" si="12"/>
        <v>564.5448899999999</v>
      </c>
      <c r="G282" s="123"/>
      <c r="H282" s="124"/>
      <c r="I282" s="34"/>
      <c r="L282" s="159"/>
      <c r="M282" s="159"/>
    </row>
    <row r="283" spans="1:14" s="2" customFormat="1" x14ac:dyDescent="0.3">
      <c r="A283" s="102">
        <v>11</v>
      </c>
      <c r="B283" s="102"/>
      <c r="C283" s="18" t="s">
        <v>188</v>
      </c>
      <c r="D283" s="18">
        <f>(4.35*3.1+2.15*2.75+3.05*2.75+3.05*2.9+1.3*2.1+2.3*1.45+2.3*0.6+1*3.05)*10.764</f>
        <v>507.25349999999997</v>
      </c>
      <c r="E283" s="18">
        <v>0</v>
      </c>
      <c r="F283" s="18">
        <f t="shared" si="12"/>
        <v>760.88024999999993</v>
      </c>
      <c r="G283" s="128"/>
      <c r="H283" s="129"/>
      <c r="I283" s="34">
        <f>4551000/F285</f>
        <v>5981.2302921517548</v>
      </c>
      <c r="N283" s="34"/>
    </row>
    <row r="284" spans="1:14" s="2" customFormat="1" x14ac:dyDescent="0.3">
      <c r="A284" s="101" t="s">
        <v>151</v>
      </c>
      <c r="B284" s="101"/>
      <c r="C284" s="101"/>
      <c r="D284" s="101"/>
      <c r="E284" s="101"/>
      <c r="F284" s="101"/>
      <c r="G284" s="101"/>
      <c r="H284" s="101"/>
      <c r="I284" s="34">
        <f>3067000/F286</f>
        <v>5432.6946436447251</v>
      </c>
      <c r="N284" s="34"/>
    </row>
    <row r="285" spans="1:14" s="2" customFormat="1" x14ac:dyDescent="0.3">
      <c r="A285" s="102">
        <v>1</v>
      </c>
      <c r="B285" s="102"/>
      <c r="C285" s="18" t="s">
        <v>188</v>
      </c>
      <c r="D285" s="18">
        <f>(4.35*3.1+2.15*2.75+3.05*2.75+3.05*2.9+1.3*2.1+2.3*1.45+2.3*0.6+1*3.05)*10.764</f>
        <v>507.25349999999997</v>
      </c>
      <c r="E285" s="18">
        <v>0</v>
      </c>
      <c r="F285" s="18">
        <f t="shared" ref="F285:F292" si="15">D285*(($F$270)+1)+E285</f>
        <v>760.88024999999993</v>
      </c>
      <c r="G285" s="102" t="str">
        <f>A284</f>
        <v>2nd Floor</v>
      </c>
      <c r="H285" s="102"/>
      <c r="I285" s="34">
        <f>3067000/F287</f>
        <v>5318.0519535268677</v>
      </c>
      <c r="N285" s="34"/>
    </row>
    <row r="286" spans="1:14" s="2" customFormat="1" x14ac:dyDescent="0.3">
      <c r="A286" s="102">
        <f>A285+1</f>
        <v>2</v>
      </c>
      <c r="B286" s="102"/>
      <c r="C286" s="18" t="s">
        <v>189</v>
      </c>
      <c r="D286" s="18">
        <f>(4.3*3.1+2.15*2.3+3.3*2.75+1.3*2.3+2.1*1.25+1*2)*10.764</f>
        <v>376.36325999999991</v>
      </c>
      <c r="E286" s="18">
        <v>0</v>
      </c>
      <c r="F286" s="18">
        <f t="shared" si="15"/>
        <v>564.5448899999999</v>
      </c>
      <c r="G286" s="102"/>
      <c r="H286" s="102"/>
      <c r="I286" s="34"/>
      <c r="N286" s="34"/>
    </row>
    <row r="287" spans="1:14" s="2" customFormat="1" x14ac:dyDescent="0.3">
      <c r="A287" s="102">
        <f>A286+1</f>
        <v>3</v>
      </c>
      <c r="B287" s="102"/>
      <c r="C287" s="18" t="s">
        <v>189</v>
      </c>
      <c r="D287" s="18">
        <f>(2.75*4.275+2.15*2.35+2.75*3.35+2.3*1.3+1.8*1.25+1*2.2+1.05*2.15)*10.764</f>
        <v>384.47662499999996</v>
      </c>
      <c r="E287" s="18">
        <v>0</v>
      </c>
      <c r="F287" s="18">
        <f t="shared" si="15"/>
        <v>576.71493749999991</v>
      </c>
      <c r="G287" s="102"/>
      <c r="H287" s="102"/>
      <c r="I287" s="34"/>
      <c r="N287" s="34"/>
    </row>
    <row r="288" spans="1:14" s="2" customFormat="1" x14ac:dyDescent="0.3">
      <c r="A288" s="102">
        <f t="shared" ref="A288:A295" si="16">A287+1</f>
        <v>4</v>
      </c>
      <c r="B288" s="102"/>
      <c r="C288" s="18" t="s">
        <v>189</v>
      </c>
      <c r="D288" s="18">
        <f>(2.75*4.275+2.15*2.35+2.75*3.35+2.3*1.3+1.8*1.25+1*2.2+1.05*2.15)*10.764</f>
        <v>384.47662499999996</v>
      </c>
      <c r="E288" s="18">
        <v>0</v>
      </c>
      <c r="F288" s="18">
        <f t="shared" si="15"/>
        <v>576.71493749999991</v>
      </c>
      <c r="G288" s="102"/>
      <c r="H288" s="102"/>
      <c r="I288" s="34"/>
      <c r="N288" s="34"/>
    </row>
    <row r="289" spans="1:14" s="2" customFormat="1" x14ac:dyDescent="0.3">
      <c r="A289" s="102">
        <f t="shared" si="16"/>
        <v>5</v>
      </c>
      <c r="B289" s="102"/>
      <c r="C289" s="18" t="s">
        <v>189</v>
      </c>
      <c r="D289" s="18">
        <f t="shared" ref="D289:D291" si="17">(2.75*4.275+2.15*2.35+2.75*3.35+2.3*1.3+1.8*1.25+1*2.2+1.05*2.15)*10.764</f>
        <v>384.47662499999996</v>
      </c>
      <c r="E289" s="18">
        <v>0</v>
      </c>
      <c r="F289" s="18">
        <f t="shared" si="15"/>
        <v>576.71493749999991</v>
      </c>
      <c r="G289" s="102"/>
      <c r="H289" s="102"/>
      <c r="I289" s="34"/>
      <c r="N289" s="34"/>
    </row>
    <row r="290" spans="1:14" s="2" customFormat="1" x14ac:dyDescent="0.3">
      <c r="A290" s="102">
        <f t="shared" si="16"/>
        <v>6</v>
      </c>
      <c r="B290" s="102"/>
      <c r="C290" s="18" t="s">
        <v>189</v>
      </c>
      <c r="D290" s="18">
        <f t="shared" si="17"/>
        <v>384.47662499999996</v>
      </c>
      <c r="E290" s="18">
        <v>0</v>
      </c>
      <c r="F290" s="18">
        <f t="shared" si="15"/>
        <v>576.71493749999991</v>
      </c>
      <c r="G290" s="102"/>
      <c r="H290" s="102"/>
      <c r="I290" s="34"/>
      <c r="N290" s="34"/>
    </row>
    <row r="291" spans="1:14" s="2" customFormat="1" x14ac:dyDescent="0.3">
      <c r="A291" s="102">
        <f t="shared" si="16"/>
        <v>7</v>
      </c>
      <c r="B291" s="102"/>
      <c r="C291" s="18" t="s">
        <v>189</v>
      </c>
      <c r="D291" s="18">
        <f t="shared" si="17"/>
        <v>384.47662499999996</v>
      </c>
      <c r="E291" s="18">
        <v>0</v>
      </c>
      <c r="F291" s="18">
        <f t="shared" si="15"/>
        <v>576.71493749999991</v>
      </c>
      <c r="G291" s="102"/>
      <c r="H291" s="102"/>
      <c r="I291" s="34"/>
      <c r="N291" s="34"/>
    </row>
    <row r="292" spans="1:14" s="2" customFormat="1" x14ac:dyDescent="0.3">
      <c r="A292" s="102">
        <f t="shared" si="16"/>
        <v>8</v>
      </c>
      <c r="B292" s="102"/>
      <c r="C292" s="18" t="s">
        <v>189</v>
      </c>
      <c r="D292" s="18">
        <f>(2.75*4.125+2.15*2.35+2.75*3.35+1.55*1.25+1.55*1.25+1*2.2)*10.764</f>
        <v>341.04388499999999</v>
      </c>
      <c r="E292" s="18">
        <v>0</v>
      </c>
      <c r="F292" s="18">
        <f t="shared" si="15"/>
        <v>511.56582749999995</v>
      </c>
      <c r="G292" s="102"/>
      <c r="H292" s="102"/>
      <c r="I292" s="34"/>
      <c r="N292" s="34"/>
    </row>
    <row r="293" spans="1:14" s="2" customFormat="1" x14ac:dyDescent="0.3">
      <c r="A293" s="102">
        <f t="shared" si="16"/>
        <v>9</v>
      </c>
      <c r="B293" s="102"/>
      <c r="C293" s="18" t="s">
        <v>189</v>
      </c>
      <c r="D293" s="18">
        <f>(2.75*4.125+2.15*2.35+2.75*3.35+1.55*1.25+1.55*1.25+1*2.2)*10.764</f>
        <v>341.04388499999999</v>
      </c>
      <c r="E293" s="18">
        <f>(2*(3.35+2.15))*10.764</f>
        <v>118.404</v>
      </c>
      <c r="F293" s="18">
        <f>D293*(($F$270)+1)+E293/2</f>
        <v>570.76782749999995</v>
      </c>
      <c r="G293" s="102"/>
      <c r="H293" s="102"/>
      <c r="I293" s="34"/>
      <c r="N293" s="34"/>
    </row>
    <row r="294" spans="1:14" s="2" customFormat="1" x14ac:dyDescent="0.3">
      <c r="A294" s="102">
        <f t="shared" si="16"/>
        <v>10</v>
      </c>
      <c r="B294" s="102"/>
      <c r="C294" s="18" t="s">
        <v>189</v>
      </c>
      <c r="D294" s="18">
        <f>(4.3*3.1+2.15*2.3+3.3*2.75+1.3*2.3+2.1*1.25+1*2)*10.764</f>
        <v>376.36325999999991</v>
      </c>
      <c r="E294" s="18">
        <v>0</v>
      </c>
      <c r="F294" s="18">
        <f>D294*(($F$270)+1)+E294</f>
        <v>564.5448899999999</v>
      </c>
      <c r="G294" s="102"/>
      <c r="H294" s="102"/>
      <c r="I294" s="34"/>
      <c r="L294" s="159"/>
      <c r="M294" s="159"/>
    </row>
    <row r="295" spans="1:14" s="2" customFormat="1" ht="15.75" customHeight="1" x14ac:dyDescent="0.3">
      <c r="A295" s="102">
        <f t="shared" si="16"/>
        <v>11</v>
      </c>
      <c r="B295" s="102"/>
      <c r="C295" s="18" t="s">
        <v>188</v>
      </c>
      <c r="D295" s="18">
        <f>(4.35*3.1+2.15*2.75+3.05*2.75+3.05*2.9+1.3*2.1+2.3*1.45+2.3*0.6+1*3.05)*10.764</f>
        <v>507.25349999999997</v>
      </c>
      <c r="E295" s="18">
        <v>0</v>
      </c>
      <c r="F295" s="18">
        <f>D295*(($F$270)+1)+E295</f>
        <v>760.88024999999993</v>
      </c>
      <c r="G295" s="102"/>
      <c r="H295" s="102"/>
      <c r="I295" s="34"/>
      <c r="N295" s="34"/>
    </row>
    <row r="296" spans="1:14" s="2" customFormat="1" ht="15.75" customHeight="1" x14ac:dyDescent="0.3">
      <c r="A296" s="101" t="s">
        <v>190</v>
      </c>
      <c r="B296" s="101"/>
      <c r="C296" s="101"/>
      <c r="D296" s="101"/>
      <c r="E296" s="101"/>
      <c r="F296" s="101"/>
      <c r="G296" s="101"/>
      <c r="H296" s="101"/>
      <c r="I296" s="34"/>
      <c r="N296" s="34"/>
    </row>
    <row r="297" spans="1:14" s="2" customFormat="1" ht="15.75" customHeight="1" x14ac:dyDescent="0.3">
      <c r="A297" s="102">
        <v>1</v>
      </c>
      <c r="B297" s="102"/>
      <c r="C297" s="18" t="s">
        <v>188</v>
      </c>
      <c r="D297" s="18">
        <f>(4.35*3.1+2.15*2.75+3.05*2.75+3.05*2.9+1.3*2.1+2.3*1.45+2.3*0.6+1*3.05)*10.764</f>
        <v>507.25349999999997</v>
      </c>
      <c r="E297" s="18">
        <v>0</v>
      </c>
      <c r="F297" s="18">
        <f t="shared" ref="F297:F304" si="18">D297*(($F$270)+1)+E297</f>
        <v>760.88024999999993</v>
      </c>
      <c r="G297" s="121" t="str">
        <f>A296</f>
        <v xml:space="preserve"> 3rd to 7th, 9th to 12th, 14th to 17th &amp; 19th to 23rd Floor</v>
      </c>
      <c r="H297" s="122"/>
      <c r="I297" s="34">
        <f>2914120/F299</f>
        <v>5052.9643165346315</v>
      </c>
      <c r="N297" s="34"/>
    </row>
    <row r="298" spans="1:14" s="2" customFormat="1" ht="15.75" customHeight="1" x14ac:dyDescent="0.3">
      <c r="A298" s="102">
        <f>A297+1</f>
        <v>2</v>
      </c>
      <c r="B298" s="102"/>
      <c r="C298" s="18" t="s">
        <v>189</v>
      </c>
      <c r="D298" s="18">
        <f>(4.3*3.1+2.15*2.3+3.3*2.75+1.3*2.3+2.1*1.25+1*2)*10.764</f>
        <v>376.36325999999991</v>
      </c>
      <c r="E298" s="18">
        <v>0</v>
      </c>
      <c r="F298" s="18">
        <f t="shared" si="18"/>
        <v>564.5448899999999</v>
      </c>
      <c r="G298" s="123"/>
      <c r="H298" s="124"/>
      <c r="I298" s="34"/>
      <c r="N298" s="34"/>
    </row>
    <row r="299" spans="1:14" s="2" customFormat="1" ht="15.75" customHeight="1" x14ac:dyDescent="0.3">
      <c r="A299" s="102">
        <f>A298+1</f>
        <v>3</v>
      </c>
      <c r="B299" s="102"/>
      <c r="C299" s="18" t="s">
        <v>189</v>
      </c>
      <c r="D299" s="18">
        <f>(2.75*4.275+2.15*2.35+2.75*3.35+2.3*1.3+1.8*1.25+1*2.2+1.05*2.15)*10.764</f>
        <v>384.47662499999996</v>
      </c>
      <c r="E299" s="18">
        <v>0</v>
      </c>
      <c r="F299" s="18">
        <f t="shared" si="18"/>
        <v>576.71493749999991</v>
      </c>
      <c r="G299" s="123"/>
      <c r="H299" s="124"/>
      <c r="I299" s="34">
        <f>2644005/F301</f>
        <v>4584.596007624652</v>
      </c>
      <c r="N299" s="34"/>
    </row>
    <row r="300" spans="1:14" s="2" customFormat="1" ht="15.75" customHeight="1" x14ac:dyDescent="0.3">
      <c r="A300" s="102">
        <f t="shared" ref="A300:A307" si="19">A299+1</f>
        <v>4</v>
      </c>
      <c r="B300" s="102"/>
      <c r="C300" s="18" t="s">
        <v>189</v>
      </c>
      <c r="D300" s="18">
        <f t="shared" ref="D300:D303" si="20">(2.75*4.275+2.15*2.35+2.75*3.35+2.3*1.3+1.8*1.25+1*2.2+1.05*2.15)*10.764</f>
        <v>384.47662499999996</v>
      </c>
      <c r="E300" s="18">
        <v>0</v>
      </c>
      <c r="F300" s="18">
        <f t="shared" si="18"/>
        <v>576.71493749999991</v>
      </c>
      <c r="G300" s="123"/>
      <c r="H300" s="124"/>
      <c r="I300" s="34"/>
      <c r="N300" s="34"/>
    </row>
    <row r="301" spans="1:14" s="2" customFormat="1" ht="15.75" customHeight="1" x14ac:dyDescent="0.3">
      <c r="A301" s="102">
        <f t="shared" si="19"/>
        <v>5</v>
      </c>
      <c r="B301" s="102"/>
      <c r="C301" s="18" t="s">
        <v>189</v>
      </c>
      <c r="D301" s="18">
        <f t="shared" si="20"/>
        <v>384.47662499999996</v>
      </c>
      <c r="E301" s="18">
        <v>0</v>
      </c>
      <c r="F301" s="18">
        <f t="shared" si="18"/>
        <v>576.71493749999991</v>
      </c>
      <c r="G301" s="123"/>
      <c r="H301" s="124"/>
      <c r="I301" s="34"/>
      <c r="N301" s="34"/>
    </row>
    <row r="302" spans="1:14" s="2" customFormat="1" ht="15.75" customHeight="1" x14ac:dyDescent="0.3">
      <c r="A302" s="102">
        <f t="shared" si="19"/>
        <v>6</v>
      </c>
      <c r="B302" s="102"/>
      <c r="C302" s="18" t="s">
        <v>189</v>
      </c>
      <c r="D302" s="18">
        <f t="shared" si="20"/>
        <v>384.47662499999996</v>
      </c>
      <c r="E302" s="18">
        <v>0</v>
      </c>
      <c r="F302" s="18">
        <f t="shared" si="18"/>
        <v>576.71493749999991</v>
      </c>
      <c r="G302" s="123"/>
      <c r="H302" s="124"/>
      <c r="I302" s="34"/>
      <c r="J302" s="2">
        <f>1978000/F304</f>
        <v>3866.5600665048337</v>
      </c>
      <c r="N302" s="34"/>
    </row>
    <row r="303" spans="1:14" s="2" customFormat="1" ht="15.75" customHeight="1" x14ac:dyDescent="0.3">
      <c r="A303" s="102">
        <f t="shared" si="19"/>
        <v>7</v>
      </c>
      <c r="B303" s="102"/>
      <c r="C303" s="18" t="s">
        <v>189</v>
      </c>
      <c r="D303" s="18">
        <f t="shared" si="20"/>
        <v>384.47662499999996</v>
      </c>
      <c r="E303" s="18">
        <v>0</v>
      </c>
      <c r="F303" s="18">
        <f t="shared" si="18"/>
        <v>576.71493749999991</v>
      </c>
      <c r="G303" s="123"/>
      <c r="H303" s="124"/>
      <c r="I303" s="34"/>
      <c r="J303" s="2">
        <f>1978000/F305</f>
        <v>3866.5600665048337</v>
      </c>
      <c r="N303" s="34"/>
    </row>
    <row r="304" spans="1:14" s="2" customFormat="1" ht="15.75" customHeight="1" x14ac:dyDescent="0.3">
      <c r="A304" s="102">
        <f t="shared" si="19"/>
        <v>8</v>
      </c>
      <c r="B304" s="102"/>
      <c r="C304" s="18" t="s">
        <v>189</v>
      </c>
      <c r="D304" s="18">
        <f>(2.75*4.125+2.15*2.35+2.75*3.35+1.55*1.25+1.55*1.25+1*2.2)*10.764</f>
        <v>341.04388499999999</v>
      </c>
      <c r="E304" s="18">
        <v>0</v>
      </c>
      <c r="F304" s="18">
        <f t="shared" si="18"/>
        <v>511.56582749999995</v>
      </c>
      <c r="G304" s="123"/>
      <c r="H304" s="124"/>
      <c r="I304" s="34"/>
      <c r="N304" s="34"/>
    </row>
    <row r="305" spans="1:14" s="2" customFormat="1" ht="15.75" customHeight="1" x14ac:dyDescent="0.3">
      <c r="A305" s="102">
        <f t="shared" si="19"/>
        <v>9</v>
      </c>
      <c r="B305" s="102"/>
      <c r="C305" s="18" t="s">
        <v>189</v>
      </c>
      <c r="D305" s="18">
        <f>(2.75*4.125+2.15*2.35+2.75*3.35+1.55*1.25+1.55*1.25+1*2.2)*10.764</f>
        <v>341.04388499999999</v>
      </c>
      <c r="E305" s="18">
        <v>0</v>
      </c>
      <c r="F305" s="18">
        <f>D305*(($F$270)+1)+E305/2</f>
        <v>511.56582749999995</v>
      </c>
      <c r="G305" s="123"/>
      <c r="H305" s="124"/>
      <c r="I305" s="34">
        <f>4424700/F307</f>
        <v>5815.2383374387764</v>
      </c>
      <c r="N305" s="34"/>
    </row>
    <row r="306" spans="1:14" s="2" customFormat="1" x14ac:dyDescent="0.3">
      <c r="A306" s="102">
        <f t="shared" si="19"/>
        <v>10</v>
      </c>
      <c r="B306" s="102"/>
      <c r="C306" s="18" t="s">
        <v>189</v>
      </c>
      <c r="D306" s="18">
        <f>(4.3*3.1+2.15*2.3+3.3*2.75+1.3*2.3+2.1*1.25+1*2)*10.764</f>
        <v>376.36325999999991</v>
      </c>
      <c r="E306" s="18">
        <v>0</v>
      </c>
      <c r="F306" s="18">
        <f>D306*(($F$270)+1)+E306</f>
        <v>564.5448899999999</v>
      </c>
      <c r="G306" s="123"/>
      <c r="H306" s="124"/>
      <c r="I306" s="34"/>
      <c r="L306" s="159"/>
      <c r="M306" s="159"/>
    </row>
    <row r="307" spans="1:14" s="2" customFormat="1" ht="15.75" customHeight="1" x14ac:dyDescent="0.3">
      <c r="A307" s="102">
        <f t="shared" si="19"/>
        <v>11</v>
      </c>
      <c r="B307" s="102"/>
      <c r="C307" s="18" t="s">
        <v>188</v>
      </c>
      <c r="D307" s="18">
        <f>(4.35*3.1+2.15*2.75+3.05*2.75+3.05*2.9+1.3*2.1+2.3*1.45+2.3*0.6+1*3.05)*10.764</f>
        <v>507.25349999999997</v>
      </c>
      <c r="E307" s="18">
        <v>0</v>
      </c>
      <c r="F307" s="18">
        <f>D307*(($F$270)+1)+E307</f>
        <v>760.88024999999993</v>
      </c>
      <c r="G307" s="128"/>
      <c r="H307" s="129"/>
      <c r="I307" s="34"/>
      <c r="N307" s="34"/>
    </row>
    <row r="308" spans="1:14" s="2" customFormat="1" ht="15.75" customHeight="1" x14ac:dyDescent="0.3">
      <c r="A308" s="101" t="s">
        <v>210</v>
      </c>
      <c r="B308" s="101"/>
      <c r="C308" s="101"/>
      <c r="D308" s="101"/>
      <c r="E308" s="101"/>
      <c r="F308" s="101"/>
      <c r="G308" s="101"/>
      <c r="H308" s="101"/>
      <c r="I308" s="34"/>
      <c r="N308" s="34"/>
    </row>
    <row r="309" spans="1:14" s="2" customFormat="1" ht="15.75" customHeight="1" x14ac:dyDescent="0.3">
      <c r="A309" s="102">
        <v>1</v>
      </c>
      <c r="B309" s="102"/>
      <c r="C309" s="18" t="s">
        <v>188</v>
      </c>
      <c r="D309" s="18">
        <f>(4.35*3.1+2.15*2.75+3.05*2.75+3.05*2.9+1.3*2.1+2.3*1.45+2.3*0.6+1*3.05)*10.764</f>
        <v>507.25349999999997</v>
      </c>
      <c r="E309" s="18">
        <v>0</v>
      </c>
      <c r="F309" s="18">
        <f t="shared" ref="F309:F316" si="21">D309*(($F$270)+1)+E309</f>
        <v>760.88024999999993</v>
      </c>
      <c r="G309" s="102" t="str">
        <f>A308</f>
        <v>8th, 13th &amp; 18th Floor ( Part Refuge Area)</v>
      </c>
      <c r="H309" s="102"/>
      <c r="I309" s="34"/>
      <c r="N309" s="34"/>
    </row>
    <row r="310" spans="1:14" s="2" customFormat="1" ht="15.75" customHeight="1" x14ac:dyDescent="0.3">
      <c r="A310" s="102">
        <f>A309+1</f>
        <v>2</v>
      </c>
      <c r="B310" s="102"/>
      <c r="C310" s="18" t="s">
        <v>189</v>
      </c>
      <c r="D310" s="18">
        <f>(4.3*3.1+2.15*2.3+3.3*2.75+1.3*2.3+2.1*1.25+1*2)*10.764</f>
        <v>376.36325999999991</v>
      </c>
      <c r="E310" s="18">
        <v>0</v>
      </c>
      <c r="F310" s="18">
        <f t="shared" si="21"/>
        <v>564.5448899999999</v>
      </c>
      <c r="G310" s="102"/>
      <c r="H310" s="102"/>
      <c r="I310" s="34"/>
      <c r="J310" s="2">
        <f>3600000/F312</f>
        <v>6242.2520484827928</v>
      </c>
      <c r="N310" s="34"/>
    </row>
    <row r="311" spans="1:14" s="2" customFormat="1" ht="15.75" customHeight="1" x14ac:dyDescent="0.3">
      <c r="A311" s="102">
        <f>A310+1</f>
        <v>3</v>
      </c>
      <c r="B311" s="102"/>
      <c r="C311" s="18" t="s">
        <v>189</v>
      </c>
      <c r="D311" s="18">
        <f t="shared" ref="D311:D315" si="22">(2.75*4.275+2.15*2.35+2.75*3.35+2.3*1.3+1.8*1.25+1*2.2+1.05*2.15)*10.764</f>
        <v>384.47662499999996</v>
      </c>
      <c r="E311" s="18">
        <v>0</v>
      </c>
      <c r="F311" s="18">
        <f t="shared" si="21"/>
        <v>576.71493749999991</v>
      </c>
      <c r="G311" s="102"/>
      <c r="H311" s="102"/>
      <c r="I311" s="34"/>
      <c r="N311" s="34"/>
    </row>
    <row r="312" spans="1:14" s="2" customFormat="1" ht="15.75" customHeight="1" x14ac:dyDescent="0.3">
      <c r="A312" s="102">
        <f t="shared" ref="A312:A319" si="23">A311+1</f>
        <v>4</v>
      </c>
      <c r="B312" s="102"/>
      <c r="C312" s="18" t="s">
        <v>189</v>
      </c>
      <c r="D312" s="18">
        <f t="shared" si="22"/>
        <v>384.47662499999996</v>
      </c>
      <c r="E312" s="18">
        <v>0</v>
      </c>
      <c r="F312" s="18">
        <f t="shared" si="21"/>
        <v>576.71493749999991</v>
      </c>
      <c r="G312" s="102"/>
      <c r="H312" s="102"/>
      <c r="I312" s="34"/>
      <c r="N312" s="34"/>
    </row>
    <row r="313" spans="1:14" s="2" customFormat="1" ht="15.75" customHeight="1" x14ac:dyDescent="0.3">
      <c r="A313" s="102">
        <f t="shared" si="23"/>
        <v>5</v>
      </c>
      <c r="B313" s="102"/>
      <c r="C313" s="18" t="s">
        <v>189</v>
      </c>
      <c r="D313" s="18">
        <f t="shared" si="22"/>
        <v>384.47662499999996</v>
      </c>
      <c r="E313" s="18">
        <v>0</v>
      </c>
      <c r="F313" s="18">
        <f t="shared" si="21"/>
        <v>576.71493749999991</v>
      </c>
      <c r="G313" s="102"/>
      <c r="H313" s="102"/>
      <c r="I313" s="34"/>
      <c r="N313" s="34"/>
    </row>
    <row r="314" spans="1:14" s="2" customFormat="1" ht="15.75" customHeight="1" x14ac:dyDescent="0.3">
      <c r="A314" s="102">
        <f t="shared" si="23"/>
        <v>6</v>
      </c>
      <c r="B314" s="102"/>
      <c r="C314" s="18" t="s">
        <v>189</v>
      </c>
      <c r="D314" s="18">
        <f t="shared" si="22"/>
        <v>384.47662499999996</v>
      </c>
      <c r="E314" s="18">
        <v>0</v>
      </c>
      <c r="F314" s="18">
        <f t="shared" si="21"/>
        <v>576.71493749999991</v>
      </c>
      <c r="G314" s="102"/>
      <c r="H314" s="102"/>
      <c r="I314" s="34"/>
      <c r="N314" s="34"/>
    </row>
    <row r="315" spans="1:14" s="2" customFormat="1" ht="15.75" customHeight="1" x14ac:dyDescent="0.3">
      <c r="A315" s="102">
        <f t="shared" si="23"/>
        <v>7</v>
      </c>
      <c r="B315" s="102"/>
      <c r="C315" s="18" t="s">
        <v>189</v>
      </c>
      <c r="D315" s="18">
        <f t="shared" si="22"/>
        <v>384.47662499999996</v>
      </c>
      <c r="E315" s="18">
        <v>0</v>
      </c>
      <c r="F315" s="18">
        <f t="shared" si="21"/>
        <v>576.71493749999991</v>
      </c>
      <c r="G315" s="102"/>
      <c r="H315" s="102"/>
      <c r="I315" s="34"/>
      <c r="N315" s="34"/>
    </row>
    <row r="316" spans="1:14" s="2" customFormat="1" ht="15.75" customHeight="1" x14ac:dyDescent="0.3">
      <c r="A316" s="102">
        <f t="shared" si="23"/>
        <v>8</v>
      </c>
      <c r="B316" s="102"/>
      <c r="C316" s="18" t="s">
        <v>189</v>
      </c>
      <c r="D316" s="18">
        <f>(2.75*4.125+2.15*2.35+2.75*3.35+1.55*1.25+1.55*1.25+1*2.2)*10.764</f>
        <v>341.04388499999999</v>
      </c>
      <c r="E316" s="18">
        <v>0</v>
      </c>
      <c r="F316" s="18">
        <f t="shared" si="21"/>
        <v>511.56582749999995</v>
      </c>
      <c r="G316" s="102"/>
      <c r="H316" s="102"/>
      <c r="I316" s="34"/>
      <c r="J316" s="2">
        <f>1578396/F318</f>
        <v>2795.8733272742938</v>
      </c>
      <c r="N316" s="34"/>
    </row>
    <row r="317" spans="1:14" s="2" customFormat="1" x14ac:dyDescent="0.3">
      <c r="A317" s="102">
        <f t="shared" si="23"/>
        <v>9</v>
      </c>
      <c r="B317" s="102"/>
      <c r="C317" s="102" t="s">
        <v>191</v>
      </c>
      <c r="D317" s="102"/>
      <c r="E317" s="102"/>
      <c r="F317" s="102"/>
      <c r="G317" s="102"/>
      <c r="H317" s="102"/>
      <c r="I317" s="34">
        <f>3300000/F319</f>
        <v>4337.0819521205867</v>
      </c>
      <c r="J317" s="2">
        <f>2178716/F319</f>
        <v>2863.4151037564716</v>
      </c>
      <c r="N317" s="34"/>
    </row>
    <row r="318" spans="1:14" s="2" customFormat="1" x14ac:dyDescent="0.3">
      <c r="A318" s="102">
        <f t="shared" si="23"/>
        <v>10</v>
      </c>
      <c r="B318" s="102"/>
      <c r="C318" s="18" t="s">
        <v>189</v>
      </c>
      <c r="D318" s="18">
        <f>(4.3*3.1+2.15*2.3+3.3*2.75+1.3*2.3+2.1*1.25+1*2)*10.764</f>
        <v>376.36325999999991</v>
      </c>
      <c r="E318" s="18">
        <v>0</v>
      </c>
      <c r="F318" s="18">
        <f>D318*(($F$270)+1)+E318</f>
        <v>564.5448899999999</v>
      </c>
      <c r="G318" s="102"/>
      <c r="H318" s="102"/>
      <c r="I318" s="63" t="s">
        <v>215</v>
      </c>
    </row>
    <row r="319" spans="1:14" s="2" customFormat="1" x14ac:dyDescent="0.3">
      <c r="A319" s="102">
        <f t="shared" si="23"/>
        <v>11</v>
      </c>
      <c r="B319" s="102"/>
      <c r="C319" s="18" t="s">
        <v>188</v>
      </c>
      <c r="D319" s="18">
        <f>(4.35*3.1+2.15*2.75+3.05*2.75+3.05*2.9+1.3*2.1+2.3*1.45+2.3*0.6+1*3.05)*10.764</f>
        <v>507.25349999999997</v>
      </c>
      <c r="E319" s="18">
        <v>0</v>
      </c>
      <c r="F319" s="18">
        <f>D319*(($F$270)+1)+E319</f>
        <v>760.88024999999993</v>
      </c>
      <c r="G319" s="102"/>
      <c r="H319" s="102"/>
    </row>
    <row r="320" spans="1:14" s="2" customFormat="1" x14ac:dyDescent="0.3">
      <c r="A320" s="160" t="s">
        <v>214</v>
      </c>
      <c r="B320" s="161"/>
      <c r="C320" s="161"/>
      <c r="D320" s="161"/>
      <c r="E320" s="161"/>
      <c r="F320" s="161"/>
      <c r="G320" s="161"/>
      <c r="H320" s="162"/>
      <c r="I320" s="34"/>
      <c r="L320" s="159"/>
      <c r="M320" s="159"/>
    </row>
    <row r="321" spans="1:14" s="2" customFormat="1" x14ac:dyDescent="0.3">
      <c r="A321" s="163" t="s">
        <v>192</v>
      </c>
      <c r="B321" s="164"/>
      <c r="C321" s="164"/>
      <c r="D321" s="164"/>
      <c r="E321" s="164"/>
      <c r="F321" s="164"/>
      <c r="G321" s="164"/>
      <c r="H321" s="165"/>
      <c r="I321" s="34">
        <f>3608816/F323</f>
        <v>5728.3090295368402</v>
      </c>
      <c r="N321" s="34"/>
    </row>
    <row r="322" spans="1:14" s="2" customFormat="1" x14ac:dyDescent="0.3">
      <c r="A322" s="120" t="s">
        <v>187</v>
      </c>
      <c r="B322" s="120"/>
      <c r="C322" s="120"/>
      <c r="D322" s="120"/>
      <c r="E322" s="120"/>
      <c r="F322" s="120"/>
      <c r="G322" s="120"/>
      <c r="H322" s="120"/>
      <c r="I322" s="34"/>
      <c r="N322" s="34"/>
    </row>
    <row r="323" spans="1:14" s="2" customFormat="1" x14ac:dyDescent="0.3">
      <c r="A323" s="102">
        <v>1</v>
      </c>
      <c r="B323" s="102"/>
      <c r="C323" s="18" t="s">
        <v>189</v>
      </c>
      <c r="D323" s="18">
        <f t="shared" ref="D323:D324" si="24">(2.75*4.275+2.15*2.35+2.75*3.35+2.3*1.3+1.8*1.25+1*2.2+1.05*2.15+0.6*2.75*2)*10.764</f>
        <v>419.99782499999992</v>
      </c>
      <c r="E323" s="18">
        <v>0</v>
      </c>
      <c r="F323" s="18">
        <f t="shared" ref="F323:F331" si="25">D323*(($F$270)+1)+E323</f>
        <v>629.99673749999988</v>
      </c>
      <c r="G323" s="121" t="str">
        <f>A322</f>
        <v>1st Floor</v>
      </c>
      <c r="H323" s="122"/>
      <c r="I323" s="34"/>
      <c r="N323" s="34"/>
    </row>
    <row r="324" spans="1:14" s="2" customFormat="1" x14ac:dyDescent="0.3">
      <c r="A324" s="102">
        <f>A323+1</f>
        <v>2</v>
      </c>
      <c r="B324" s="102"/>
      <c r="C324" s="18" t="s">
        <v>189</v>
      </c>
      <c r="D324" s="18">
        <f t="shared" si="24"/>
        <v>419.99782499999992</v>
      </c>
      <c r="E324" s="18">
        <v>0</v>
      </c>
      <c r="F324" s="18">
        <f t="shared" si="25"/>
        <v>629.99673749999988</v>
      </c>
      <c r="G324" s="123"/>
      <c r="H324" s="124"/>
      <c r="I324" s="34"/>
      <c r="N324" s="34"/>
    </row>
    <row r="325" spans="1:14" s="2" customFormat="1" x14ac:dyDescent="0.3">
      <c r="A325" s="102">
        <f>A324+1</f>
        <v>3</v>
      </c>
      <c r="B325" s="102"/>
      <c r="C325" s="18" t="s">
        <v>189</v>
      </c>
      <c r="D325" s="18">
        <f>(2.75*4.275+2.15*2.35+2.75*3.35+2.3*1.3+1.8*1.25+1*2.2+1.05*2.15+0.6*2.75*2)*10.764</f>
        <v>419.99782499999992</v>
      </c>
      <c r="E325" s="18">
        <v>0</v>
      </c>
      <c r="F325" s="18">
        <f t="shared" si="25"/>
        <v>629.99673749999988</v>
      </c>
      <c r="G325" s="123"/>
      <c r="H325" s="124"/>
      <c r="I325" s="34"/>
      <c r="N325" s="34"/>
    </row>
    <row r="326" spans="1:14" s="2" customFormat="1" x14ac:dyDescent="0.3">
      <c r="A326" s="102">
        <f t="shared" ref="A326:A329" si="26">A325+1</f>
        <v>4</v>
      </c>
      <c r="B326" s="102"/>
      <c r="C326" s="18" t="s">
        <v>189</v>
      </c>
      <c r="D326" s="18">
        <f>(4.3*3.1+2.15*2.3+2.75*3.3+2.3*1.3+2.1*1.25+1.25*2.05+0.6*(3+2.75+2.15))*10.764</f>
        <v>433.43936999999994</v>
      </c>
      <c r="E326" s="18">
        <v>0</v>
      </c>
      <c r="F326" s="18">
        <f t="shared" si="25"/>
        <v>650.15905499999985</v>
      </c>
      <c r="G326" s="123"/>
      <c r="H326" s="124"/>
      <c r="I326" s="34"/>
      <c r="N326" s="34"/>
    </row>
    <row r="327" spans="1:14" s="2" customFormat="1" x14ac:dyDescent="0.3">
      <c r="A327" s="102">
        <f t="shared" si="26"/>
        <v>5</v>
      </c>
      <c r="B327" s="102"/>
      <c r="C327" s="18" t="s">
        <v>188</v>
      </c>
      <c r="D327" s="18">
        <f t="shared" ref="D327:D328" si="27">(4.35*3.1+2.15*2.75+3.05*2.75+3.05*2.9+1.3*2.1*2+2.3*1.45+2.3*0.6+1*3.05+0.6*(4.35+3.05+3.05))*10.764</f>
        <v>604.12950000000001</v>
      </c>
      <c r="E327" s="18">
        <v>0</v>
      </c>
      <c r="F327" s="18">
        <f t="shared" si="25"/>
        <v>906.19425000000001</v>
      </c>
      <c r="G327" s="123"/>
      <c r="H327" s="124"/>
      <c r="I327" s="34"/>
      <c r="N327" s="34"/>
    </row>
    <row r="328" spans="1:14" s="2" customFormat="1" x14ac:dyDescent="0.3">
      <c r="A328" s="102">
        <f t="shared" si="26"/>
        <v>6</v>
      </c>
      <c r="B328" s="102"/>
      <c r="C328" s="18" t="s">
        <v>188</v>
      </c>
      <c r="D328" s="18">
        <f t="shared" si="27"/>
        <v>604.12950000000001</v>
      </c>
      <c r="E328" s="18">
        <v>0</v>
      </c>
      <c r="F328" s="18">
        <f t="shared" si="25"/>
        <v>906.19425000000001</v>
      </c>
      <c r="G328" s="123"/>
      <c r="H328" s="124"/>
      <c r="I328" s="34"/>
      <c r="N328" s="34"/>
    </row>
    <row r="329" spans="1:14" s="2" customFormat="1" x14ac:dyDescent="0.3">
      <c r="A329" s="102">
        <f t="shared" si="26"/>
        <v>7</v>
      </c>
      <c r="B329" s="102"/>
      <c r="C329" s="18" t="s">
        <v>189</v>
      </c>
      <c r="D329" s="18">
        <f>(4.3*3.1+2.15*2.3+2.75*3.3+2.3*1.3+2.1*1.25+1.25*2.05+0.6*(3+2.75+2.15))*10.764</f>
        <v>433.43936999999994</v>
      </c>
      <c r="E329" s="18">
        <v>0</v>
      </c>
      <c r="F329" s="18">
        <f t="shared" si="25"/>
        <v>650.15905499999985</v>
      </c>
      <c r="G329" s="123"/>
      <c r="H329" s="124"/>
      <c r="I329" s="34"/>
      <c r="N329" s="34"/>
    </row>
    <row r="330" spans="1:14" s="2" customFormat="1" x14ac:dyDescent="0.3">
      <c r="A330" s="102">
        <v>10</v>
      </c>
      <c r="B330" s="102"/>
      <c r="C330" s="18" t="s">
        <v>189</v>
      </c>
      <c r="D330" s="18">
        <f>(2.75*4.275+2.15*2.35+2.75*3.35+2.3*1.3+1.8*1.25+1*2.2+0.98*2.75+0.6*2.75+0.6*2.15)*10.764</f>
        <v>420.83203499999996</v>
      </c>
      <c r="E330" s="18">
        <v>0</v>
      </c>
      <c r="F330" s="18">
        <f t="shared" si="25"/>
        <v>631.24805249999997</v>
      </c>
      <c r="G330" s="123"/>
      <c r="H330" s="124"/>
      <c r="I330" s="34"/>
      <c r="L330" s="159"/>
      <c r="M330" s="159"/>
    </row>
    <row r="331" spans="1:14" s="2" customFormat="1" x14ac:dyDescent="0.3">
      <c r="A331" s="102">
        <v>11</v>
      </c>
      <c r="B331" s="102"/>
      <c r="C331" s="18" t="s">
        <v>189</v>
      </c>
      <c r="D331" s="18">
        <f t="shared" ref="D331" si="28">(2.75*4.275+2.15*2.35+2.75*3.35+2.3*1.3+1.8*1.25+1*2.2+1.05*2.15+0.6*2.75*2)*10.764</f>
        <v>419.99782499999992</v>
      </c>
      <c r="E331" s="18">
        <v>0</v>
      </c>
      <c r="F331" s="18">
        <f t="shared" si="25"/>
        <v>629.99673749999988</v>
      </c>
      <c r="G331" s="128"/>
      <c r="H331" s="129"/>
      <c r="I331" s="34">
        <f>4551000/F333</f>
        <v>7223.8469330168573</v>
      </c>
      <c r="N331" s="34"/>
    </row>
    <row r="332" spans="1:14" s="2" customFormat="1" x14ac:dyDescent="0.3">
      <c r="A332" s="101" t="s">
        <v>151</v>
      </c>
      <c r="B332" s="101"/>
      <c r="C332" s="101"/>
      <c r="D332" s="101"/>
      <c r="E332" s="101"/>
      <c r="F332" s="101"/>
      <c r="G332" s="101"/>
      <c r="H332" s="101"/>
      <c r="I332" s="34">
        <f>3067000/F334</f>
        <v>4868.2791789854318</v>
      </c>
      <c r="N332" s="34"/>
    </row>
    <row r="333" spans="1:14" s="2" customFormat="1" x14ac:dyDescent="0.3">
      <c r="A333" s="102">
        <v>1</v>
      </c>
      <c r="B333" s="102"/>
      <c r="C333" s="18" t="s">
        <v>189</v>
      </c>
      <c r="D333" s="18">
        <f t="shared" ref="D333:D334" si="29">(2.75*4.275+2.15*2.35+2.75*3.35+2.3*1.3+1.8*1.25+1*2.2+1.05*2.15+0.6*2.75*2)*10.764</f>
        <v>419.99782499999992</v>
      </c>
      <c r="E333" s="18">
        <v>0</v>
      </c>
      <c r="F333" s="18">
        <f t="shared" ref="F333:F340" si="30">D333*(($F$270)+1)+E333</f>
        <v>629.99673749999988</v>
      </c>
      <c r="G333" s="102" t="str">
        <f>A332</f>
        <v>2nd Floor</v>
      </c>
      <c r="H333" s="102"/>
      <c r="I333" s="34">
        <f>3067000/F335</f>
        <v>4868.2791789854318</v>
      </c>
      <c r="N333" s="34"/>
    </row>
    <row r="334" spans="1:14" s="2" customFormat="1" x14ac:dyDescent="0.3">
      <c r="A334" s="102">
        <f>A333+1</f>
        <v>2</v>
      </c>
      <c r="B334" s="102"/>
      <c r="C334" s="18" t="s">
        <v>189</v>
      </c>
      <c r="D334" s="18">
        <f t="shared" si="29"/>
        <v>419.99782499999992</v>
      </c>
      <c r="E334" s="18">
        <v>0</v>
      </c>
      <c r="F334" s="18">
        <f t="shared" si="30"/>
        <v>629.99673749999988</v>
      </c>
      <c r="G334" s="102"/>
      <c r="H334" s="102"/>
      <c r="I334" s="34"/>
      <c r="N334" s="34"/>
    </row>
    <row r="335" spans="1:14" s="2" customFormat="1" x14ac:dyDescent="0.3">
      <c r="A335" s="102">
        <f>A334+1</f>
        <v>3</v>
      </c>
      <c r="B335" s="102"/>
      <c r="C335" s="18" t="s">
        <v>189</v>
      </c>
      <c r="D335" s="18">
        <f>(2.75*4.275+2.15*2.35+2.75*3.35+2.3*1.3+1.8*1.25+1*2.2+1.05*2.15+0.6*2.75*2)*10.764</f>
        <v>419.99782499999992</v>
      </c>
      <c r="E335" s="18">
        <v>0</v>
      </c>
      <c r="F335" s="18">
        <f t="shared" si="30"/>
        <v>629.99673749999988</v>
      </c>
      <c r="G335" s="102"/>
      <c r="H335" s="102"/>
      <c r="I335" s="34"/>
      <c r="N335" s="34"/>
    </row>
    <row r="336" spans="1:14" s="2" customFormat="1" x14ac:dyDescent="0.3">
      <c r="A336" s="102">
        <f t="shared" ref="A336:A343" si="31">A335+1</f>
        <v>4</v>
      </c>
      <c r="B336" s="102"/>
      <c r="C336" s="18" t="s">
        <v>189</v>
      </c>
      <c r="D336" s="18">
        <f>(4.3*3.1+2.15*2.3+2.75*3.3+2.3*1.3+2.1*1.25+1.25*2.05+0.6*(3+2.75+2.15))*10.764</f>
        <v>433.43936999999994</v>
      </c>
      <c r="E336" s="18">
        <v>0</v>
      </c>
      <c r="F336" s="18">
        <f t="shared" si="30"/>
        <v>650.15905499999985</v>
      </c>
      <c r="G336" s="102"/>
      <c r="H336" s="102"/>
      <c r="I336" s="34"/>
      <c r="N336" s="34"/>
    </row>
    <row r="337" spans="1:14" s="2" customFormat="1" x14ac:dyDescent="0.3">
      <c r="A337" s="102">
        <f t="shared" si="31"/>
        <v>5</v>
      </c>
      <c r="B337" s="102"/>
      <c r="C337" s="18" t="s">
        <v>188</v>
      </c>
      <c r="D337" s="18">
        <f t="shared" ref="D337:D338" si="32">(4.35*3.1+2.15*2.75+3.05*2.75+3.05*2.9+1.3*2.1*2+2.3*1.45+2.3*0.6+1*3.05+0.6*(4.35+3.05+3.05))*10.764</f>
        <v>604.12950000000001</v>
      </c>
      <c r="E337" s="18">
        <v>0</v>
      </c>
      <c r="F337" s="18">
        <f t="shared" si="30"/>
        <v>906.19425000000001</v>
      </c>
      <c r="G337" s="102"/>
      <c r="H337" s="102"/>
      <c r="I337" s="34"/>
      <c r="N337" s="34"/>
    </row>
    <row r="338" spans="1:14" s="2" customFormat="1" x14ac:dyDescent="0.3">
      <c r="A338" s="102">
        <f t="shared" si="31"/>
        <v>6</v>
      </c>
      <c r="B338" s="102"/>
      <c r="C338" s="18" t="s">
        <v>188</v>
      </c>
      <c r="D338" s="18">
        <f t="shared" si="32"/>
        <v>604.12950000000001</v>
      </c>
      <c r="E338" s="18">
        <v>0</v>
      </c>
      <c r="F338" s="18">
        <f t="shared" si="30"/>
        <v>906.19425000000001</v>
      </c>
      <c r="G338" s="102"/>
      <c r="H338" s="102"/>
      <c r="I338" s="34"/>
      <c r="N338" s="34"/>
    </row>
    <row r="339" spans="1:14" s="2" customFormat="1" x14ac:dyDescent="0.3">
      <c r="A339" s="102">
        <f t="shared" si="31"/>
        <v>7</v>
      </c>
      <c r="B339" s="102"/>
      <c r="C339" s="18" t="s">
        <v>189</v>
      </c>
      <c r="D339" s="18">
        <f>(4.3*3.1+2.15*2.3+2.75*3.3+2.3*1.3+2.1*1.25+1.25*2.05+0.6*(3+2.75+2.15))*10.764</f>
        <v>433.43936999999994</v>
      </c>
      <c r="E339" s="18">
        <v>0</v>
      </c>
      <c r="F339" s="18">
        <f t="shared" si="30"/>
        <v>650.15905499999985</v>
      </c>
      <c r="G339" s="102"/>
      <c r="H339" s="102"/>
      <c r="I339" s="34"/>
      <c r="N339" s="34"/>
    </row>
    <row r="340" spans="1:14" s="2" customFormat="1" x14ac:dyDescent="0.3">
      <c r="A340" s="102">
        <f t="shared" si="31"/>
        <v>8</v>
      </c>
      <c r="B340" s="102"/>
      <c r="C340" s="18" t="s">
        <v>189</v>
      </c>
      <c r="D340" s="18">
        <f>(2.75*4.125+2.15*2.35+2.75*3.35+1.55*1.25+1.55*1.25+1*2.2+0.6*(2.75+2.75+2.35))*10.764</f>
        <v>391.74232499999994</v>
      </c>
      <c r="E340" s="18">
        <v>0</v>
      </c>
      <c r="F340" s="18">
        <f t="shared" si="30"/>
        <v>587.61348749999991</v>
      </c>
      <c r="G340" s="102"/>
      <c r="H340" s="102"/>
      <c r="I340" s="34"/>
      <c r="N340" s="34"/>
    </row>
    <row r="341" spans="1:14" s="2" customFormat="1" x14ac:dyDescent="0.3">
      <c r="A341" s="102">
        <f t="shared" si="31"/>
        <v>9</v>
      </c>
      <c r="B341" s="102"/>
      <c r="C341" s="18" t="s">
        <v>189</v>
      </c>
      <c r="D341" s="18">
        <f>(2.75*4.125+2.15*2.35+2.75*3.35+1.55*1.25+1.55*1.25+1*2.2+0.6*(2.75))*10.764</f>
        <v>358.804485</v>
      </c>
      <c r="E341" s="18">
        <f>(2*(2.75+2.15))*10.764</f>
        <v>105.4872</v>
      </c>
      <c r="F341" s="18">
        <f>D341*(($F$270)+1)+E341/2</f>
        <v>590.95032749999996</v>
      </c>
      <c r="G341" s="102"/>
      <c r="H341" s="102"/>
      <c r="I341" s="34"/>
      <c r="N341" s="34"/>
    </row>
    <row r="342" spans="1:14" s="2" customFormat="1" x14ac:dyDescent="0.3">
      <c r="A342" s="102">
        <f t="shared" si="31"/>
        <v>10</v>
      </c>
      <c r="B342" s="102"/>
      <c r="C342" s="18" t="s">
        <v>189</v>
      </c>
      <c r="D342" s="18">
        <f>(2.75*4.275+2.15*2.35+2.75*3.35+2.3*1.3+1.8*1.25+1*2.2+0.98*2.75+0.6*2.75+0.6*2.15)*10.764</f>
        <v>420.83203499999996</v>
      </c>
      <c r="E342" s="18">
        <v>0</v>
      </c>
      <c r="F342" s="18">
        <f>D342*(($F$270)+1)+E342</f>
        <v>631.24805249999997</v>
      </c>
      <c r="G342" s="102"/>
      <c r="H342" s="102"/>
      <c r="I342" s="34"/>
      <c r="L342" s="159"/>
      <c r="M342" s="159"/>
    </row>
    <row r="343" spans="1:14" s="2" customFormat="1" ht="15.75" customHeight="1" x14ac:dyDescent="0.3">
      <c r="A343" s="102">
        <f t="shared" si="31"/>
        <v>11</v>
      </c>
      <c r="B343" s="102"/>
      <c r="C343" s="18" t="s">
        <v>189</v>
      </c>
      <c r="D343" s="18">
        <f t="shared" ref="D343" si="33">(2.75*4.275+2.15*2.35+2.75*3.35+2.3*1.3+1.8*1.25+1*2.2+1.05*2.15+0.6*2.75*2)*10.764</f>
        <v>419.99782499999992</v>
      </c>
      <c r="E343" s="18">
        <v>0</v>
      </c>
      <c r="F343" s="18">
        <f>D343*(($F$270)+1)+E343</f>
        <v>629.99673749999988</v>
      </c>
      <c r="G343" s="102"/>
      <c r="H343" s="102"/>
      <c r="I343" s="34"/>
      <c r="N343" s="34"/>
    </row>
    <row r="344" spans="1:14" s="2" customFormat="1" ht="15.75" customHeight="1" x14ac:dyDescent="0.3">
      <c r="A344" s="101" t="s">
        <v>190</v>
      </c>
      <c r="B344" s="101"/>
      <c r="C344" s="101"/>
      <c r="D344" s="101"/>
      <c r="E344" s="101"/>
      <c r="F344" s="101"/>
      <c r="G344" s="101"/>
      <c r="H344" s="101"/>
      <c r="I344" s="34"/>
      <c r="N344" s="34"/>
    </row>
    <row r="345" spans="1:14" s="2" customFormat="1" ht="15.75" customHeight="1" x14ac:dyDescent="0.3">
      <c r="A345" s="102">
        <v>1</v>
      </c>
      <c r="B345" s="102"/>
      <c r="C345" s="18" t="s">
        <v>189</v>
      </c>
      <c r="D345" s="18">
        <f t="shared" ref="D345:D346" si="34">(2.75*4.275+2.15*2.35+2.75*3.35+2.3*1.3+1.8*1.25+1*2.2+1.05*2.15+0.6*2.75*2)*10.764</f>
        <v>419.99782499999992</v>
      </c>
      <c r="E345" s="18">
        <v>0</v>
      </c>
      <c r="F345" s="18">
        <f t="shared" ref="F345:F352" si="35">D345*(($F$270)+1)+E345</f>
        <v>629.99673749999988</v>
      </c>
      <c r="G345" s="121" t="str">
        <f>A344</f>
        <v xml:space="preserve"> 3rd to 7th, 9th to 12th, 14th to 17th &amp; 19th to 23rd Floor</v>
      </c>
      <c r="H345" s="122"/>
      <c r="I345" s="34">
        <f>2914120/F347</f>
        <v>4625.611255645591</v>
      </c>
      <c r="N345" s="34"/>
    </row>
    <row r="346" spans="1:14" s="2" customFormat="1" ht="15.75" customHeight="1" x14ac:dyDescent="0.3">
      <c r="A346" s="102">
        <f>A345+1</f>
        <v>2</v>
      </c>
      <c r="B346" s="102"/>
      <c r="C346" s="18" t="s">
        <v>189</v>
      </c>
      <c r="D346" s="18">
        <f t="shared" si="34"/>
        <v>419.99782499999992</v>
      </c>
      <c r="E346" s="18">
        <v>0</v>
      </c>
      <c r="F346" s="18">
        <f t="shared" si="35"/>
        <v>629.99673749999988</v>
      </c>
      <c r="G346" s="123"/>
      <c r="H346" s="124"/>
      <c r="I346" s="34"/>
      <c r="N346" s="34"/>
    </row>
    <row r="347" spans="1:14" s="2" customFormat="1" ht="15.75" customHeight="1" x14ac:dyDescent="0.3">
      <c r="A347" s="102">
        <f>A346+1</f>
        <v>3</v>
      </c>
      <c r="B347" s="102"/>
      <c r="C347" s="18" t="s">
        <v>189</v>
      </c>
      <c r="D347" s="18">
        <f>(2.75*4.275+2.15*2.35+2.75*3.35+2.3*1.3+1.8*1.25+1*2.2+1.05*2.15+0.6*2.75*2)*10.764</f>
        <v>419.99782499999992</v>
      </c>
      <c r="E347" s="18">
        <v>0</v>
      </c>
      <c r="F347" s="18">
        <f t="shared" si="35"/>
        <v>629.99673749999988</v>
      </c>
      <c r="G347" s="123"/>
      <c r="H347" s="124"/>
      <c r="I347" s="34">
        <f>2644005/F349</f>
        <v>2917.7022476141292</v>
      </c>
      <c r="N347" s="34"/>
    </row>
    <row r="348" spans="1:14" s="2" customFormat="1" ht="15.75" customHeight="1" x14ac:dyDescent="0.3">
      <c r="A348" s="102">
        <f t="shared" ref="A348:A355" si="36">A347+1</f>
        <v>4</v>
      </c>
      <c r="B348" s="102"/>
      <c r="C348" s="18" t="s">
        <v>189</v>
      </c>
      <c r="D348" s="18">
        <f>(4.3*3.1+2.15*2.3+2.75*3.3+2.3*1.3+2.1*1.25+1.25*2.05+0.6*(3+2.75+2.15))*10.764</f>
        <v>433.43936999999994</v>
      </c>
      <c r="E348" s="18">
        <v>0</v>
      </c>
      <c r="F348" s="18">
        <f t="shared" si="35"/>
        <v>650.15905499999985</v>
      </c>
      <c r="G348" s="123"/>
      <c r="H348" s="124"/>
      <c r="I348" s="34"/>
      <c r="N348" s="34"/>
    </row>
    <row r="349" spans="1:14" s="2" customFormat="1" ht="15.75" customHeight="1" x14ac:dyDescent="0.3">
      <c r="A349" s="102">
        <f t="shared" si="36"/>
        <v>5</v>
      </c>
      <c r="B349" s="102"/>
      <c r="C349" s="18" t="s">
        <v>188</v>
      </c>
      <c r="D349" s="18">
        <f t="shared" ref="D349:D350" si="37">(4.35*3.1+2.15*2.75+3.05*2.75+3.05*2.9+1.3*2.1*2+2.3*1.45+2.3*0.6+1*3.05+0.6*(4.35+3.05+3.05))*10.764</f>
        <v>604.12950000000001</v>
      </c>
      <c r="E349" s="18">
        <v>0</v>
      </c>
      <c r="F349" s="18">
        <f t="shared" si="35"/>
        <v>906.19425000000001</v>
      </c>
      <c r="G349" s="123"/>
      <c r="H349" s="124"/>
      <c r="I349" s="34"/>
      <c r="N349" s="34"/>
    </row>
    <row r="350" spans="1:14" s="2" customFormat="1" ht="15.75" customHeight="1" x14ac:dyDescent="0.3">
      <c r="A350" s="102">
        <f t="shared" si="36"/>
        <v>6</v>
      </c>
      <c r="B350" s="102"/>
      <c r="C350" s="18" t="s">
        <v>188</v>
      </c>
      <c r="D350" s="18">
        <f t="shared" si="37"/>
        <v>604.12950000000001</v>
      </c>
      <c r="E350" s="18">
        <v>0</v>
      </c>
      <c r="F350" s="18">
        <f t="shared" si="35"/>
        <v>906.19425000000001</v>
      </c>
      <c r="G350" s="123"/>
      <c r="H350" s="124"/>
      <c r="I350" s="34"/>
      <c r="J350" s="2">
        <f>1978000/F352</f>
        <v>3366.1582691292469</v>
      </c>
      <c r="N350" s="34"/>
    </row>
    <row r="351" spans="1:14" s="2" customFormat="1" ht="15.75" customHeight="1" x14ac:dyDescent="0.3">
      <c r="A351" s="102">
        <f t="shared" si="36"/>
        <v>7</v>
      </c>
      <c r="B351" s="102"/>
      <c r="C351" s="18" t="s">
        <v>189</v>
      </c>
      <c r="D351" s="18">
        <f>(4.3*3.1+2.15*2.3+2.75*3.3+2.3*1.3+2.1*1.25+1.25*2.05+0.6*(3+2.75+2.15))*10.764</f>
        <v>433.43936999999994</v>
      </c>
      <c r="E351" s="18">
        <v>0</v>
      </c>
      <c r="F351" s="18">
        <f t="shared" si="35"/>
        <v>650.15905499999985</v>
      </c>
      <c r="G351" s="123"/>
      <c r="H351" s="124"/>
      <c r="I351" s="34"/>
      <c r="J351" s="2">
        <f>1978000/F353</f>
        <v>3366.1582691292469</v>
      </c>
      <c r="N351" s="34"/>
    </row>
    <row r="352" spans="1:14" s="2" customFormat="1" ht="15.75" customHeight="1" x14ac:dyDescent="0.3">
      <c r="A352" s="102">
        <f t="shared" si="36"/>
        <v>8</v>
      </c>
      <c r="B352" s="102"/>
      <c r="C352" s="18" t="s">
        <v>189</v>
      </c>
      <c r="D352" s="18">
        <f>(2.75*4.125+2.15*2.35+2.75*3.35+1.55*1.25+1.55*1.25+1*2.2+0.6*(2.75+2.75+2.35))*10.764</f>
        <v>391.74232499999994</v>
      </c>
      <c r="E352" s="18">
        <v>0</v>
      </c>
      <c r="F352" s="18">
        <f t="shared" si="35"/>
        <v>587.61348749999991</v>
      </c>
      <c r="G352" s="123"/>
      <c r="H352" s="124"/>
      <c r="I352" s="34"/>
      <c r="N352" s="34"/>
    </row>
    <row r="353" spans="1:14" s="2" customFormat="1" ht="15.75" customHeight="1" x14ac:dyDescent="0.3">
      <c r="A353" s="102">
        <f t="shared" si="36"/>
        <v>9</v>
      </c>
      <c r="B353" s="102"/>
      <c r="C353" s="18" t="s">
        <v>189</v>
      </c>
      <c r="D353" s="18">
        <f>(2.75*4.125+2.15*2.35+2.75*3.35+1.55*1.25+1.55*1.25+1*2.2+0.6*(2.75+2.75+2.35))*10.764</f>
        <v>391.74232499999994</v>
      </c>
      <c r="E353" s="18">
        <v>0</v>
      </c>
      <c r="F353" s="18">
        <f>D353*(($F$270)+1)+E353/2</f>
        <v>587.61348749999991</v>
      </c>
      <c r="G353" s="123"/>
      <c r="H353" s="124"/>
      <c r="I353" s="34">
        <f>4424700/F355</f>
        <v>7023.3697043550183</v>
      </c>
      <c r="N353" s="34"/>
    </row>
    <row r="354" spans="1:14" s="2" customFormat="1" x14ac:dyDescent="0.3">
      <c r="A354" s="102">
        <f t="shared" si="36"/>
        <v>10</v>
      </c>
      <c r="B354" s="102"/>
      <c r="C354" s="18" t="s">
        <v>189</v>
      </c>
      <c r="D354" s="18">
        <f>(2.75*4.275+2.15*2.35+2.75*3.35+2.3*1.3+1.8*1.25+1*2.2+0.98*2.75+0.6*2.75+0.6*2.15)*10.764</f>
        <v>420.83203499999996</v>
      </c>
      <c r="E354" s="18">
        <v>0</v>
      </c>
      <c r="F354" s="18">
        <f>D354*(($F$270)+1)+E354</f>
        <v>631.24805249999997</v>
      </c>
      <c r="G354" s="123"/>
      <c r="H354" s="124"/>
      <c r="I354" s="34"/>
      <c r="L354" s="159"/>
      <c r="M354" s="159"/>
    </row>
    <row r="355" spans="1:14" s="2" customFormat="1" ht="15.75" customHeight="1" x14ac:dyDescent="0.3">
      <c r="A355" s="102">
        <f t="shared" si="36"/>
        <v>11</v>
      </c>
      <c r="B355" s="102"/>
      <c r="C355" s="18" t="s">
        <v>189</v>
      </c>
      <c r="D355" s="18">
        <f t="shared" ref="D355" si="38">(2.75*4.275+2.15*2.35+2.75*3.35+2.3*1.3+1.8*1.25+1*2.2+1.05*2.15+0.6*2.75*2)*10.764</f>
        <v>419.99782499999992</v>
      </c>
      <c r="E355" s="18">
        <v>0</v>
      </c>
      <c r="F355" s="18">
        <f>D355*(($F$270)+1)+E355</f>
        <v>629.99673749999988</v>
      </c>
      <c r="G355" s="128"/>
      <c r="H355" s="129"/>
      <c r="I355" s="34"/>
      <c r="N355" s="34"/>
    </row>
    <row r="356" spans="1:14" s="2" customFormat="1" ht="15.75" customHeight="1" x14ac:dyDescent="0.3">
      <c r="A356" s="101" t="s">
        <v>210</v>
      </c>
      <c r="B356" s="101"/>
      <c r="C356" s="101"/>
      <c r="D356" s="101"/>
      <c r="E356" s="101"/>
      <c r="F356" s="101"/>
      <c r="G356" s="101"/>
      <c r="H356" s="101"/>
      <c r="I356" s="34"/>
      <c r="N356" s="34"/>
    </row>
    <row r="357" spans="1:14" s="2" customFormat="1" ht="15.75" customHeight="1" x14ac:dyDescent="0.3">
      <c r="A357" s="102">
        <v>1</v>
      </c>
      <c r="B357" s="102"/>
      <c r="C357" s="18" t="s">
        <v>189</v>
      </c>
      <c r="D357" s="18">
        <f t="shared" ref="D357:D358" si="39">(2.75*4.275+2.15*2.35+2.75*3.35+2.3*1.3+1.8*1.25+1*2.2+1.05*2.15+0.6*2.75*2)*10.764</f>
        <v>419.99782499999992</v>
      </c>
      <c r="E357" s="18">
        <v>0</v>
      </c>
      <c r="F357" s="18">
        <f t="shared" ref="F357:F363" si="40">D357*(($F$270)+1)+E357</f>
        <v>629.99673749999988</v>
      </c>
      <c r="G357" s="102" t="str">
        <f>A356</f>
        <v>8th, 13th &amp; 18th Floor ( Part Refuge Area)</v>
      </c>
      <c r="H357" s="102"/>
      <c r="I357" s="34"/>
      <c r="N357" s="34"/>
    </row>
    <row r="358" spans="1:14" s="2" customFormat="1" ht="15.75" customHeight="1" x14ac:dyDescent="0.3">
      <c r="A358" s="102">
        <f>A357+1</f>
        <v>2</v>
      </c>
      <c r="B358" s="102"/>
      <c r="C358" s="18" t="s">
        <v>189</v>
      </c>
      <c r="D358" s="18">
        <f t="shared" si="39"/>
        <v>419.99782499999992</v>
      </c>
      <c r="E358" s="18">
        <v>0</v>
      </c>
      <c r="F358" s="18">
        <f t="shared" si="40"/>
        <v>629.99673749999988</v>
      </c>
      <c r="G358" s="102"/>
      <c r="H358" s="102"/>
      <c r="I358" s="34"/>
      <c r="J358" s="2">
        <f>3600000/F360</f>
        <v>5537.1066084744461</v>
      </c>
      <c r="N358" s="34"/>
    </row>
    <row r="359" spans="1:14" s="2" customFormat="1" ht="15.75" customHeight="1" x14ac:dyDescent="0.3">
      <c r="A359" s="102">
        <f>A358+1</f>
        <v>3</v>
      </c>
      <c r="B359" s="102"/>
      <c r="C359" s="18" t="s">
        <v>189</v>
      </c>
      <c r="D359" s="18">
        <f>(2.75*4.275+2.15*2.35+2.75*3.35+2.3*1.3+1.8*1.25+1*2.2+1.05*2.15+0.6*2.75*2)*10.764</f>
        <v>419.99782499999992</v>
      </c>
      <c r="E359" s="18">
        <v>0</v>
      </c>
      <c r="F359" s="18">
        <f t="shared" si="40"/>
        <v>629.99673749999988</v>
      </c>
      <c r="G359" s="102"/>
      <c r="H359" s="102"/>
      <c r="I359" s="34"/>
      <c r="N359" s="34"/>
    </row>
    <row r="360" spans="1:14" s="2" customFormat="1" ht="15.75" customHeight="1" x14ac:dyDescent="0.3">
      <c r="A360" s="102">
        <f t="shared" ref="A360:A367" si="41">A359+1</f>
        <v>4</v>
      </c>
      <c r="B360" s="102"/>
      <c r="C360" s="18" t="s">
        <v>189</v>
      </c>
      <c r="D360" s="18">
        <f>(4.3*3.1+2.15*2.3+2.75*3.3+2.3*1.3+2.1*1.25+1.25*2.05+0.6*(3+2.75+2.15))*10.764</f>
        <v>433.43936999999994</v>
      </c>
      <c r="E360" s="18">
        <v>0</v>
      </c>
      <c r="F360" s="18">
        <f t="shared" si="40"/>
        <v>650.15905499999985</v>
      </c>
      <c r="G360" s="102"/>
      <c r="H360" s="102"/>
      <c r="I360" s="34"/>
      <c r="N360" s="34"/>
    </row>
    <row r="361" spans="1:14" s="2" customFormat="1" ht="15.75" customHeight="1" x14ac:dyDescent="0.3">
      <c r="A361" s="102">
        <f t="shared" si="41"/>
        <v>5</v>
      </c>
      <c r="B361" s="102"/>
      <c r="C361" s="18" t="s">
        <v>188</v>
      </c>
      <c r="D361" s="18">
        <f t="shared" ref="D361:D362" si="42">(4.35*3.1+2.15*2.75+3.05*2.75+3.05*2.9+1.3*2.1*2+2.3*1.45+2.3*0.6+1*3.05+0.6*(4.35+3.05+3.05))*10.764</f>
        <v>604.12950000000001</v>
      </c>
      <c r="E361" s="18">
        <v>0</v>
      </c>
      <c r="F361" s="18">
        <f t="shared" si="40"/>
        <v>906.19425000000001</v>
      </c>
      <c r="G361" s="102"/>
      <c r="H361" s="102"/>
      <c r="I361" s="34"/>
      <c r="N361" s="34"/>
    </row>
    <row r="362" spans="1:14" s="2" customFormat="1" ht="15.75" customHeight="1" x14ac:dyDescent="0.3">
      <c r="A362" s="102">
        <f t="shared" si="41"/>
        <v>6</v>
      </c>
      <c r="B362" s="102"/>
      <c r="C362" s="18" t="s">
        <v>188</v>
      </c>
      <c r="D362" s="18">
        <f t="shared" si="42"/>
        <v>604.12950000000001</v>
      </c>
      <c r="E362" s="18">
        <v>0</v>
      </c>
      <c r="F362" s="18">
        <f t="shared" si="40"/>
        <v>906.19425000000001</v>
      </c>
      <c r="G362" s="102"/>
      <c r="H362" s="102"/>
      <c r="I362" s="34"/>
      <c r="N362" s="34"/>
    </row>
    <row r="363" spans="1:14" s="2" customFormat="1" ht="15.75" customHeight="1" x14ac:dyDescent="0.3">
      <c r="A363" s="102">
        <f t="shared" si="41"/>
        <v>7</v>
      </c>
      <c r="B363" s="102"/>
      <c r="C363" s="18" t="s">
        <v>189</v>
      </c>
      <c r="D363" s="18">
        <f>(4.3*3.1+2.15*2.3+2.75*3.3+2.3*1.3+2.1*1.25+1.25*2.05+0.6*(3+2.75+2.15))*10.764</f>
        <v>433.43936999999994</v>
      </c>
      <c r="E363" s="18">
        <v>0</v>
      </c>
      <c r="F363" s="18">
        <f t="shared" si="40"/>
        <v>650.15905499999985</v>
      </c>
      <c r="G363" s="102"/>
      <c r="H363" s="102"/>
      <c r="I363" s="34"/>
      <c r="N363" s="34"/>
    </row>
    <row r="364" spans="1:14" s="2" customFormat="1" ht="15.75" customHeight="1" x14ac:dyDescent="0.3">
      <c r="A364" s="102">
        <f t="shared" si="41"/>
        <v>8</v>
      </c>
      <c r="B364" s="102"/>
      <c r="C364" s="102" t="s">
        <v>191</v>
      </c>
      <c r="D364" s="102"/>
      <c r="E364" s="102"/>
      <c r="F364" s="102"/>
      <c r="G364" s="102"/>
      <c r="H364" s="102"/>
      <c r="I364" s="34"/>
      <c r="J364" s="2">
        <f>1578396/F366</f>
        <v>2500.4370211502555</v>
      </c>
      <c r="N364" s="34"/>
    </row>
    <row r="365" spans="1:14" s="2" customFormat="1" x14ac:dyDescent="0.3">
      <c r="A365" s="102">
        <f t="shared" si="41"/>
        <v>9</v>
      </c>
      <c r="B365" s="102"/>
      <c r="C365" s="18" t="s">
        <v>189</v>
      </c>
      <c r="D365" s="18">
        <f>(2.75*4.125+2.15*2.35+2.75*3.35+1.55*1.25+1.55*1.25+1*2.2+0.6*(2.75+2.75+2.35))*10.764</f>
        <v>391.74232499999994</v>
      </c>
      <c r="E365" s="18">
        <v>0</v>
      </c>
      <c r="F365" s="18">
        <f>D365*(($F$270)+1)+E365/2</f>
        <v>587.61348749999991</v>
      </c>
      <c r="G365" s="102"/>
      <c r="H365" s="102"/>
      <c r="I365" s="34">
        <f>3300000/F367</f>
        <v>5238.1223640860535</v>
      </c>
      <c r="J365" s="2">
        <f>2178716/F367</f>
        <v>3458.297274118821</v>
      </c>
      <c r="N365" s="34"/>
    </row>
    <row r="366" spans="1:14" s="2" customFormat="1" x14ac:dyDescent="0.3">
      <c r="A366" s="102">
        <f t="shared" si="41"/>
        <v>10</v>
      </c>
      <c r="B366" s="102"/>
      <c r="C366" s="18" t="s">
        <v>189</v>
      </c>
      <c r="D366" s="18">
        <f>(2.75*4.275+2.15*2.35+2.75*3.35+2.3*1.3+1.8*1.25+1*2.2+0.98*2.75+0.6*2.75+0.6*2.15)*10.764</f>
        <v>420.83203499999996</v>
      </c>
      <c r="E366" s="18">
        <v>0</v>
      </c>
      <c r="F366" s="18">
        <f>D366*(($F$270)+1)+E366</f>
        <v>631.24805249999997</v>
      </c>
      <c r="G366" s="102"/>
      <c r="H366" s="102"/>
    </row>
    <row r="367" spans="1:14" s="2" customFormat="1" x14ac:dyDescent="0.3">
      <c r="A367" s="102">
        <f t="shared" si="41"/>
        <v>11</v>
      </c>
      <c r="B367" s="102"/>
      <c r="C367" s="18" t="s">
        <v>189</v>
      </c>
      <c r="D367" s="18">
        <f t="shared" ref="D367" si="43">(2.75*4.275+2.15*2.35+2.75*3.35+2.3*1.3+1.8*1.25+1*2.2+1.05*2.15+0.6*2.75*2)*10.764</f>
        <v>419.99782499999992</v>
      </c>
      <c r="E367" s="18">
        <v>0</v>
      </c>
      <c r="F367" s="18">
        <f>D367*(($F$270)+1)+E367</f>
        <v>629.99673749999988</v>
      </c>
      <c r="G367" s="102"/>
      <c r="H367" s="102"/>
    </row>
    <row r="368" spans="1:14" s="2" customFormat="1" x14ac:dyDescent="0.3">
      <c r="A368" s="172" t="s">
        <v>222</v>
      </c>
      <c r="B368" s="173"/>
      <c r="C368" s="173"/>
      <c r="D368" s="173"/>
      <c r="E368" s="173"/>
      <c r="F368" s="173"/>
      <c r="G368" s="173"/>
      <c r="H368" s="174"/>
    </row>
    <row r="369" spans="1:14" s="2" customFormat="1" x14ac:dyDescent="0.3">
      <c r="A369" s="103" t="s">
        <v>192</v>
      </c>
      <c r="B369" s="104"/>
      <c r="C369" s="104"/>
      <c r="D369" s="104"/>
      <c r="E369" s="104"/>
      <c r="F369" s="104"/>
      <c r="G369" s="104"/>
      <c r="H369" s="105"/>
      <c r="I369" s="34"/>
      <c r="J369" s="34"/>
      <c r="N369" s="34"/>
    </row>
    <row r="370" spans="1:14" s="2" customFormat="1" x14ac:dyDescent="0.3">
      <c r="A370" s="103" t="s">
        <v>225</v>
      </c>
      <c r="B370" s="104"/>
      <c r="C370" s="104"/>
      <c r="D370" s="104"/>
      <c r="E370" s="104"/>
      <c r="F370" s="104"/>
      <c r="G370" s="104"/>
      <c r="H370" s="105"/>
      <c r="I370" s="34"/>
      <c r="N370" s="34"/>
    </row>
    <row r="371" spans="1:14" s="2" customFormat="1" x14ac:dyDescent="0.3">
      <c r="A371" s="102">
        <v>1</v>
      </c>
      <c r="B371" s="102"/>
      <c r="C371" s="18" t="s">
        <v>188</v>
      </c>
      <c r="D371" s="70">
        <f>(4.35*3.075+2.15*2.75+3.05*2.775+3.05*2.925+1.3*2.075+2.3*1.44+1.84*1.2+1.46*0.9+1.81*0.9+2.34*0.6+2.04*1.1)*10.764</f>
        <v>554.1549389999999</v>
      </c>
      <c r="E371" s="18">
        <v>0</v>
      </c>
      <c r="F371" s="18">
        <f t="shared" ref="F371:F377" si="44">D371*(($F$270)+1)+E371</f>
        <v>831.23240849999979</v>
      </c>
      <c r="G371" s="121" t="str">
        <f>A370</f>
        <v>1st Floor for Residential &amp; Society Office (MHADA)</v>
      </c>
      <c r="H371" s="122"/>
      <c r="I371" s="34"/>
      <c r="N371" s="34"/>
    </row>
    <row r="372" spans="1:14" s="2" customFormat="1" x14ac:dyDescent="0.3">
      <c r="A372" s="102">
        <f>A371+1</f>
        <v>2</v>
      </c>
      <c r="B372" s="102"/>
      <c r="C372" s="18" t="s">
        <v>189</v>
      </c>
      <c r="D372" s="70">
        <f>(4.3*3.075+2.15*2.3+2.75*3.325+1.3*2.015+1.3*2.015+1.2*1.515+0.91*0.9)*10.764</f>
        <v>378.75555900000006</v>
      </c>
      <c r="E372" s="18">
        <v>0</v>
      </c>
      <c r="F372" s="18">
        <f t="shared" si="44"/>
        <v>568.13333850000004</v>
      </c>
      <c r="G372" s="123"/>
      <c r="H372" s="124"/>
      <c r="I372" s="34"/>
      <c r="N372" s="34"/>
    </row>
    <row r="373" spans="1:14" s="2" customFormat="1" x14ac:dyDescent="0.3">
      <c r="A373" s="102">
        <f>A372+1</f>
        <v>3</v>
      </c>
      <c r="B373" s="102"/>
      <c r="C373" s="18" t="s">
        <v>189</v>
      </c>
      <c r="D373" s="70">
        <f>(2.75*4.325+2.15*2.4+2.75*3.375+1.975*1.275+2.14*1.3+1.615*0.9+0.685*0.9+2.75*1.01+2.22*0.925)*10.764</f>
        <v>414.80284949999998</v>
      </c>
      <c r="E373" s="18">
        <v>0</v>
      </c>
      <c r="F373" s="18">
        <f t="shared" si="44"/>
        <v>622.20427425000003</v>
      </c>
      <c r="G373" s="123"/>
      <c r="H373" s="124"/>
      <c r="I373" s="34"/>
      <c r="N373" s="34"/>
    </row>
    <row r="374" spans="1:14" s="2" customFormat="1" x14ac:dyDescent="0.3">
      <c r="A374" s="102">
        <f t="shared" ref="A374:A379" si="45">A373+1</f>
        <v>4</v>
      </c>
      <c r="B374" s="102"/>
      <c r="C374" s="18" t="s">
        <v>189</v>
      </c>
      <c r="D374" s="70">
        <f>(2.75*4.325+2.15*2.4+2.75*3.375+1.975*1.275+2.14*1.3+1.615*0.9+0.685*0.9+2.75*1.01+2.22*0.925)*10.764</f>
        <v>414.80284949999998</v>
      </c>
      <c r="E374" s="18">
        <v>0</v>
      </c>
      <c r="F374" s="18">
        <f t="shared" si="44"/>
        <v>622.20427425000003</v>
      </c>
      <c r="G374" s="123"/>
      <c r="H374" s="124"/>
      <c r="I374" s="34"/>
      <c r="N374" s="34"/>
    </row>
    <row r="375" spans="1:14" s="2" customFormat="1" x14ac:dyDescent="0.3">
      <c r="A375" s="102">
        <f t="shared" si="45"/>
        <v>5</v>
      </c>
      <c r="B375" s="102"/>
      <c r="C375" s="18" t="s">
        <v>189</v>
      </c>
      <c r="D375" s="70">
        <f>(2.75*4.325+2.15*2.4+2.75*3.375+1.975*1.275+2.14*1.3+1.615*0.9+0.685*0.9+2.75*1.01+2.22*0.925)*10.764</f>
        <v>414.80284949999998</v>
      </c>
      <c r="E375" s="18">
        <v>0</v>
      </c>
      <c r="F375" s="18">
        <f t="shared" si="44"/>
        <v>622.20427425000003</v>
      </c>
      <c r="G375" s="123"/>
      <c r="H375" s="124"/>
      <c r="I375" s="34"/>
      <c r="N375" s="34"/>
    </row>
    <row r="376" spans="1:14" s="2" customFormat="1" x14ac:dyDescent="0.3">
      <c r="A376" s="102">
        <f t="shared" si="45"/>
        <v>6</v>
      </c>
      <c r="B376" s="102"/>
      <c r="C376" s="18" t="s">
        <v>189</v>
      </c>
      <c r="D376" s="70">
        <f>(2.75*4.325+2.15*2.4+2.75*3.375+1.975*1.275+2.14*1.3+1.615*0.9+0.685*0.9+2.75*1.01+2.22*0.925)*10.764</f>
        <v>414.80284949999998</v>
      </c>
      <c r="E376" s="18">
        <v>0</v>
      </c>
      <c r="F376" s="18">
        <f t="shared" si="44"/>
        <v>622.20427425000003</v>
      </c>
      <c r="G376" s="123"/>
      <c r="H376" s="124"/>
      <c r="I376" s="34"/>
      <c r="N376" s="34"/>
    </row>
    <row r="377" spans="1:14" s="2" customFormat="1" x14ac:dyDescent="0.3">
      <c r="A377" s="102">
        <f t="shared" si="45"/>
        <v>7</v>
      </c>
      <c r="B377" s="102"/>
      <c r="C377" s="18" t="s">
        <v>189</v>
      </c>
      <c r="D377" s="70">
        <f>(2.75*4.325+2.15*2.35+2.75*3.375+1.3*1.9+1.3*2.3+2.31*0.9+2.75*1.01+1.2*1.9)*10.764</f>
        <v>417.90153599999996</v>
      </c>
      <c r="E377" s="18">
        <v>0</v>
      </c>
      <c r="F377" s="18">
        <f t="shared" si="44"/>
        <v>626.852304</v>
      </c>
      <c r="G377" s="123"/>
      <c r="H377" s="124"/>
      <c r="I377" s="34"/>
      <c r="N377" s="34"/>
    </row>
    <row r="378" spans="1:14" s="2" customFormat="1" x14ac:dyDescent="0.3">
      <c r="A378" s="102">
        <f t="shared" si="45"/>
        <v>8</v>
      </c>
      <c r="B378" s="102"/>
      <c r="C378" s="130" t="s">
        <v>224</v>
      </c>
      <c r="D378" s="131"/>
      <c r="E378" s="131"/>
      <c r="F378" s="132"/>
      <c r="G378" s="123"/>
      <c r="H378" s="124"/>
      <c r="I378" s="34"/>
      <c r="N378" s="34"/>
    </row>
    <row r="379" spans="1:14" s="2" customFormat="1" x14ac:dyDescent="0.3">
      <c r="A379" s="102">
        <f t="shared" si="45"/>
        <v>9</v>
      </c>
      <c r="B379" s="102"/>
      <c r="C379" s="130" t="s">
        <v>223</v>
      </c>
      <c r="D379" s="131"/>
      <c r="E379" s="131"/>
      <c r="F379" s="132"/>
      <c r="G379" s="123"/>
      <c r="H379" s="124"/>
      <c r="I379" s="34"/>
      <c r="N379" s="34"/>
    </row>
    <row r="380" spans="1:14" s="2" customFormat="1" x14ac:dyDescent="0.3">
      <c r="A380" s="102">
        <v>10</v>
      </c>
      <c r="B380" s="102"/>
      <c r="C380" s="18" t="s">
        <v>189</v>
      </c>
      <c r="D380" s="70">
        <f>(4.3*3.075+2.15*2.3+2.75*3.325+1.3*2.015+1.3*2.3+0.91*0.9)*10.764</f>
        <v>363.17466900000005</v>
      </c>
      <c r="E380" s="18">
        <v>0</v>
      </c>
      <c r="F380" s="18">
        <f>D380*(($F$270)+1)+E380</f>
        <v>544.76200350000011</v>
      </c>
      <c r="G380" s="123"/>
      <c r="H380" s="124"/>
    </row>
    <row r="381" spans="1:14" s="2" customFormat="1" x14ac:dyDescent="0.3">
      <c r="A381" s="102">
        <v>11</v>
      </c>
      <c r="B381" s="102"/>
      <c r="C381" s="18" t="s">
        <v>188</v>
      </c>
      <c r="D381" s="70">
        <f>(4.35*3.075+2.15*2.75+3.05*2.775+3.05*2.925+1.3*2.075+2.3*1.44+1.84*1.2+1.46*0.9+1.81*0.9+2.34*0.6+2.04*1.1)*10.764</f>
        <v>554.1549389999999</v>
      </c>
      <c r="E381" s="18">
        <v>0</v>
      </c>
      <c r="F381" s="18">
        <f>D381*(($F$270)+1)+E381</f>
        <v>831.23240849999979</v>
      </c>
      <c r="G381" s="128"/>
      <c r="H381" s="129"/>
      <c r="I381" s="34"/>
      <c r="N381" s="34"/>
    </row>
    <row r="382" spans="1:14" s="2" customFormat="1" x14ac:dyDescent="0.3">
      <c r="A382" s="101" t="s">
        <v>226</v>
      </c>
      <c r="B382" s="101"/>
      <c r="C382" s="101"/>
      <c r="D382" s="101"/>
      <c r="E382" s="101"/>
      <c r="F382" s="101"/>
      <c r="G382" s="101"/>
      <c r="H382" s="101"/>
      <c r="I382" s="34"/>
      <c r="N382" s="34"/>
    </row>
    <row r="383" spans="1:14" s="2" customFormat="1" x14ac:dyDescent="0.3">
      <c r="A383" s="102">
        <v>1</v>
      </c>
      <c r="B383" s="102"/>
      <c r="C383" s="18" t="s">
        <v>188</v>
      </c>
      <c r="D383" s="70">
        <f>(4.35*3.075+2.15*2.75+3.05*2.775+3.05*2.925+1.3*2.075+2.3*1.44+1.84*1.2+1.46*0.9+1.81*0.9+2.34*0.6+2.04*1.1)*10.764</f>
        <v>554.1549389999999</v>
      </c>
      <c r="E383" s="18">
        <v>0</v>
      </c>
      <c r="F383" s="18">
        <f t="shared" ref="F383:F393" si="46">D383*(($F$270)+1)+E383</f>
        <v>831.23240849999979</v>
      </c>
      <c r="G383" s="102" t="str">
        <f>A382</f>
        <v>2nd, 3rd &amp; 23rd Floor (MHADA)</v>
      </c>
      <c r="H383" s="102"/>
      <c r="I383" s="34"/>
      <c r="N383" s="34"/>
    </row>
    <row r="384" spans="1:14" s="2" customFormat="1" x14ac:dyDescent="0.3">
      <c r="A384" s="102">
        <f>A383+1</f>
        <v>2</v>
      </c>
      <c r="B384" s="102"/>
      <c r="C384" s="18" t="s">
        <v>189</v>
      </c>
      <c r="D384" s="70">
        <f>(4.3*3.075+2.15*2.3+2.75*3.325+1.3*2.015+1.3*2.3+1.2*1.515+0.91*0.9)*10.764</f>
        <v>382.74362100000002</v>
      </c>
      <c r="E384" s="18">
        <v>0</v>
      </c>
      <c r="F384" s="18">
        <f t="shared" si="46"/>
        <v>574.1154315</v>
      </c>
      <c r="G384" s="102"/>
      <c r="H384" s="102"/>
      <c r="I384" s="34"/>
      <c r="N384" s="34"/>
    </row>
    <row r="385" spans="1:14" s="2" customFormat="1" x14ac:dyDescent="0.3">
      <c r="A385" s="102">
        <f>A384+1</f>
        <v>3</v>
      </c>
      <c r="B385" s="102"/>
      <c r="C385" s="18" t="s">
        <v>189</v>
      </c>
      <c r="D385" s="70">
        <f>(2.75*4.325+2.15*2.4+2.75*3.375+1.975*1.275+2.14*1.3+1.615*0.9+0.685*0.9+2.75*1.01+2.22*0.925)*10.764</f>
        <v>414.80284949999998</v>
      </c>
      <c r="E385" s="18">
        <v>0</v>
      </c>
      <c r="F385" s="18">
        <f t="shared" si="46"/>
        <v>622.20427425000003</v>
      </c>
      <c r="G385" s="102"/>
      <c r="H385" s="102"/>
      <c r="I385" s="34"/>
      <c r="N385" s="34"/>
    </row>
    <row r="386" spans="1:14" s="2" customFormat="1" x14ac:dyDescent="0.3">
      <c r="A386" s="102">
        <f t="shared" ref="A386:A391" si="47">A385+1</f>
        <v>4</v>
      </c>
      <c r="B386" s="102"/>
      <c r="C386" s="18" t="s">
        <v>189</v>
      </c>
      <c r="D386" s="70">
        <f>(2.75*4.325+2.15*2.4+2.75*3.375+1.975*1.275+2.14*1.3+1.615*0.9+0.685*0.9+2.75*1.01+2.22*0.925)*10.764</f>
        <v>414.80284949999998</v>
      </c>
      <c r="E386" s="18">
        <v>0</v>
      </c>
      <c r="F386" s="18">
        <f t="shared" si="46"/>
        <v>622.20427425000003</v>
      </c>
      <c r="G386" s="102"/>
      <c r="H386" s="102"/>
      <c r="I386" s="34"/>
      <c r="N386" s="34"/>
    </row>
    <row r="387" spans="1:14" s="2" customFormat="1" x14ac:dyDescent="0.3">
      <c r="A387" s="102">
        <f t="shared" si="47"/>
        <v>5</v>
      </c>
      <c r="B387" s="102"/>
      <c r="C387" s="18" t="s">
        <v>189</v>
      </c>
      <c r="D387" s="70">
        <f>(2.75*4.325+2.15*2.4+2.75*3.375+1.975*1.275+2.14*1.3+1.615*0.9+0.685*0.9+2.75*1.01+2.22*0.925)*10.764</f>
        <v>414.80284949999998</v>
      </c>
      <c r="E387" s="18">
        <v>0</v>
      </c>
      <c r="F387" s="18">
        <f t="shared" si="46"/>
        <v>622.20427425000003</v>
      </c>
      <c r="G387" s="102"/>
      <c r="H387" s="102"/>
      <c r="I387" s="34"/>
      <c r="N387" s="34"/>
    </row>
    <row r="388" spans="1:14" s="2" customFormat="1" x14ac:dyDescent="0.3">
      <c r="A388" s="102">
        <f t="shared" si="47"/>
        <v>6</v>
      </c>
      <c r="B388" s="102"/>
      <c r="C388" s="18" t="s">
        <v>189</v>
      </c>
      <c r="D388" s="70">
        <f>(2.75*4.325+2.15*2.4+2.75*3.375+1.975*1.275+2.14*1.3+1.615*0.9+0.685*0.9+2.75*1.01+2.22*0.925)*10.764</f>
        <v>414.80284949999998</v>
      </c>
      <c r="E388" s="18">
        <v>0</v>
      </c>
      <c r="F388" s="18">
        <f t="shared" si="46"/>
        <v>622.20427425000003</v>
      </c>
      <c r="G388" s="102"/>
      <c r="H388" s="102"/>
      <c r="I388" s="34"/>
      <c r="N388" s="34"/>
    </row>
    <row r="389" spans="1:14" s="2" customFormat="1" x14ac:dyDescent="0.3">
      <c r="A389" s="102">
        <f t="shared" si="47"/>
        <v>7</v>
      </c>
      <c r="B389" s="102"/>
      <c r="C389" s="18" t="s">
        <v>189</v>
      </c>
      <c r="D389" s="70">
        <f>(2.75*4.325+2.15*2.35+2.75*3.375+1.3*1.9+1.3*2.3+2.31*0.9+2.75*1.01+1.2*1.9)*10.764</f>
        <v>417.90153599999996</v>
      </c>
      <c r="E389" s="18">
        <v>0</v>
      </c>
      <c r="F389" s="18">
        <f t="shared" si="46"/>
        <v>626.852304</v>
      </c>
      <c r="G389" s="102"/>
      <c r="H389" s="102"/>
      <c r="I389" s="34"/>
      <c r="N389" s="34"/>
    </row>
    <row r="390" spans="1:14" s="2" customFormat="1" x14ac:dyDescent="0.3">
      <c r="A390" s="102">
        <f t="shared" si="47"/>
        <v>8</v>
      </c>
      <c r="B390" s="102"/>
      <c r="C390" s="18" t="s">
        <v>189</v>
      </c>
      <c r="D390" s="70">
        <f>(4.175*2.75+2.35*2.15+3.375*2.75+1.895*1.2+1.895*1.2+2.35*0.9+1.895*1.2)*10.764</f>
        <v>374.07052800000002</v>
      </c>
      <c r="E390" s="18">
        <v>0</v>
      </c>
      <c r="F390" s="18">
        <f t="shared" si="46"/>
        <v>561.10579200000006</v>
      </c>
      <c r="G390" s="102"/>
      <c r="H390" s="102"/>
      <c r="I390" s="34"/>
      <c r="N390" s="34"/>
    </row>
    <row r="391" spans="1:14" s="2" customFormat="1" x14ac:dyDescent="0.3">
      <c r="A391" s="102">
        <f t="shared" si="47"/>
        <v>9</v>
      </c>
      <c r="B391" s="102"/>
      <c r="C391" s="18" t="s">
        <v>189</v>
      </c>
      <c r="D391" s="70">
        <f>(4.175*2.75+2.35*2.15+3.375*2.75+1.895*1.2+1.895*1.2+2.35*0.9+1.895*1.2)*10.764</f>
        <v>374.07052800000002</v>
      </c>
      <c r="E391" s="18">
        <v>0</v>
      </c>
      <c r="F391" s="18">
        <f t="shared" si="46"/>
        <v>561.10579200000006</v>
      </c>
      <c r="G391" s="102"/>
      <c r="H391" s="102"/>
      <c r="I391" s="34"/>
      <c r="N391" s="34"/>
    </row>
    <row r="392" spans="1:14" s="2" customFormat="1" x14ac:dyDescent="0.3">
      <c r="A392" s="102">
        <v>10</v>
      </c>
      <c r="B392" s="102"/>
      <c r="C392" s="18" t="s">
        <v>189</v>
      </c>
      <c r="D392" s="70">
        <f>(4.3*3.075+2.15*2.3+2.75*3.325+1.3*2.015+1.3*2.3+0.91*0.9)*10.764</f>
        <v>363.17466900000005</v>
      </c>
      <c r="E392" s="18">
        <v>0</v>
      </c>
      <c r="F392" s="18">
        <f t="shared" si="46"/>
        <v>544.76200350000011</v>
      </c>
      <c r="G392" s="102"/>
      <c r="H392" s="102"/>
    </row>
    <row r="393" spans="1:14" s="2" customFormat="1" x14ac:dyDescent="0.3">
      <c r="A393" s="102">
        <v>11</v>
      </c>
      <c r="B393" s="102"/>
      <c r="C393" s="18" t="s">
        <v>188</v>
      </c>
      <c r="D393" s="70">
        <f>(4.35*3.075+2.15*2.75+3.05*2.775+3.05*2.925+1.3*2.075+2.3*1.44+1.84*1.2+1.46*0.9+1.81*0.9+2.34*0.6+2.04*1.1)*10.764</f>
        <v>554.1549389999999</v>
      </c>
      <c r="E393" s="18">
        <v>0</v>
      </c>
      <c r="F393" s="18">
        <f t="shared" si="46"/>
        <v>831.23240849999979</v>
      </c>
      <c r="G393" s="102"/>
      <c r="H393" s="102"/>
      <c r="I393" s="34"/>
      <c r="N393" s="34"/>
    </row>
    <row r="394" spans="1:14" s="2" customFormat="1" x14ac:dyDescent="0.3">
      <c r="A394" s="101" t="s">
        <v>238</v>
      </c>
      <c r="B394" s="101"/>
      <c r="C394" s="101"/>
      <c r="D394" s="101"/>
      <c r="E394" s="101"/>
      <c r="F394" s="101"/>
      <c r="G394" s="101"/>
      <c r="H394" s="101"/>
      <c r="I394" s="34"/>
      <c r="N394" s="34"/>
    </row>
    <row r="395" spans="1:14" s="2" customFormat="1" x14ac:dyDescent="0.3">
      <c r="A395" s="102">
        <v>1</v>
      </c>
      <c r="B395" s="102"/>
      <c r="C395" s="18" t="s">
        <v>188</v>
      </c>
      <c r="D395" s="70">
        <f>(4.35*3.075+2.15*2.75+3.05*2.775+3.05*2.925+1.3*2.075+2.3*1.44+1.84*1.2+1.46*0.9+1.81*0.9+2.34*0.6+2.04*1.1)*10.764</f>
        <v>554.1549389999999</v>
      </c>
      <c r="E395" s="18">
        <v>0</v>
      </c>
      <c r="F395" s="18">
        <f t="shared" ref="F395:F405" si="48">D395*(($F$270)+1)+E395</f>
        <v>831.23240849999979</v>
      </c>
      <c r="G395" s="102" t="str">
        <f>A394</f>
        <v>4th to 7th, 9th to 12th, 14th to 17th &amp; 19th to 22nd Floor</v>
      </c>
      <c r="H395" s="102"/>
      <c r="I395" s="34"/>
      <c r="N395" s="34"/>
    </row>
    <row r="396" spans="1:14" s="2" customFormat="1" x14ac:dyDescent="0.3">
      <c r="A396" s="102">
        <f>A395+1</f>
        <v>2</v>
      </c>
      <c r="B396" s="102"/>
      <c r="C396" s="18" t="s">
        <v>189</v>
      </c>
      <c r="D396" s="70">
        <f>(4.3*3.075+2.15*2.3+2.75*3.325+1.3*2.015+1.3*2.3+1.2*1.515+0.91*0.9)*10.764</f>
        <v>382.74362100000002</v>
      </c>
      <c r="E396" s="18">
        <v>0</v>
      </c>
      <c r="F396" s="18">
        <f t="shared" si="48"/>
        <v>574.1154315</v>
      </c>
      <c r="G396" s="102"/>
      <c r="H396" s="102"/>
      <c r="I396" s="34"/>
      <c r="N396" s="34"/>
    </row>
    <row r="397" spans="1:14" s="2" customFormat="1" x14ac:dyDescent="0.3">
      <c r="A397" s="102">
        <f>A396+1</f>
        <v>3</v>
      </c>
      <c r="B397" s="102"/>
      <c r="C397" s="18" t="s">
        <v>189</v>
      </c>
      <c r="D397" s="70">
        <f>(2.75*4.325+2.15*2.4+2.75*3.375+1.975*1.275+2.14*1.3+1.615*0.9+0.685*0.9+2.75*1.01+2.22*0.925)*10.764</f>
        <v>414.80284949999998</v>
      </c>
      <c r="E397" s="18">
        <v>0</v>
      </c>
      <c r="F397" s="18">
        <f t="shared" si="48"/>
        <v>622.20427425000003</v>
      </c>
      <c r="G397" s="102"/>
      <c r="H397" s="102"/>
      <c r="I397" s="34"/>
      <c r="N397" s="34"/>
    </row>
    <row r="398" spans="1:14" s="2" customFormat="1" x14ac:dyDescent="0.3">
      <c r="A398" s="102">
        <f t="shared" ref="A398:A403" si="49">A397+1</f>
        <v>4</v>
      </c>
      <c r="B398" s="102"/>
      <c r="C398" s="18" t="s">
        <v>189</v>
      </c>
      <c r="D398" s="70">
        <f>(2.75*4.325+2.15*2.4+2.75*3.375+1.975*1.275+2.14*1.3+1.615*0.9+0.685*0.9+2.75*1.01+2.22*0.925)*10.764</f>
        <v>414.80284949999998</v>
      </c>
      <c r="E398" s="18">
        <v>0</v>
      </c>
      <c r="F398" s="18">
        <f t="shared" si="48"/>
        <v>622.20427425000003</v>
      </c>
      <c r="G398" s="102"/>
      <c r="H398" s="102"/>
      <c r="I398" s="34"/>
      <c r="N398" s="34"/>
    </row>
    <row r="399" spans="1:14" s="2" customFormat="1" x14ac:dyDescent="0.3">
      <c r="A399" s="102">
        <f t="shared" si="49"/>
        <v>5</v>
      </c>
      <c r="B399" s="102"/>
      <c r="C399" s="18" t="s">
        <v>189</v>
      </c>
      <c r="D399" s="70">
        <f>(2.75*4.325+2.15*2.4+2.75*3.375+1.975*1.275+2.14*1.3+1.615*0.9+0.685*0.9+2.75*1.01+2.22*0.925)*10.764</f>
        <v>414.80284949999998</v>
      </c>
      <c r="E399" s="18">
        <v>0</v>
      </c>
      <c r="F399" s="18">
        <f t="shared" si="48"/>
        <v>622.20427425000003</v>
      </c>
      <c r="G399" s="102"/>
      <c r="H399" s="102"/>
      <c r="I399" s="34"/>
      <c r="N399" s="34"/>
    </row>
    <row r="400" spans="1:14" s="2" customFormat="1" x14ac:dyDescent="0.3">
      <c r="A400" s="102">
        <f t="shared" si="49"/>
        <v>6</v>
      </c>
      <c r="B400" s="102"/>
      <c r="C400" s="18" t="s">
        <v>189</v>
      </c>
      <c r="D400" s="70">
        <f>(2.75*4.325+2.15*2.4+2.75*3.375+1.975*1.275+2.14*1.3+1.615*0.9+0.685*0.9+2.75*1.01+2.22*0.925)*10.764</f>
        <v>414.80284949999998</v>
      </c>
      <c r="E400" s="18">
        <v>0</v>
      </c>
      <c r="F400" s="18">
        <f t="shared" si="48"/>
        <v>622.20427425000003</v>
      </c>
      <c r="G400" s="102"/>
      <c r="H400" s="102"/>
      <c r="I400" s="34"/>
      <c r="N400" s="34"/>
    </row>
    <row r="401" spans="1:14" s="2" customFormat="1" x14ac:dyDescent="0.3">
      <c r="A401" s="102">
        <f t="shared" si="49"/>
        <v>7</v>
      </c>
      <c r="B401" s="102"/>
      <c r="C401" s="18" t="s">
        <v>189</v>
      </c>
      <c r="D401" s="70">
        <f>(2.75*4.325+2.15*2.35+2.75*3.375+1.3*1.9+1.3*2.3+2.31*0.9+2.75*1.01+1.2*1.9)*10.764</f>
        <v>417.90153599999996</v>
      </c>
      <c r="E401" s="18">
        <v>0</v>
      </c>
      <c r="F401" s="18">
        <f t="shared" si="48"/>
        <v>626.852304</v>
      </c>
      <c r="G401" s="102"/>
      <c r="H401" s="102"/>
      <c r="I401" s="34"/>
      <c r="N401" s="34"/>
    </row>
    <row r="402" spans="1:14" s="2" customFormat="1" x14ac:dyDescent="0.3">
      <c r="A402" s="102">
        <f t="shared" si="49"/>
        <v>8</v>
      </c>
      <c r="B402" s="102"/>
      <c r="C402" s="18" t="s">
        <v>189</v>
      </c>
      <c r="D402" s="70">
        <f>(4.175*2.75+2.35*2.15+3.375*2.75+1.895*1.2+1.895*1.2+2.35*0.9+1.895*1.2)*10.764</f>
        <v>374.07052800000002</v>
      </c>
      <c r="E402" s="18">
        <v>0</v>
      </c>
      <c r="F402" s="18">
        <f t="shared" si="48"/>
        <v>561.10579200000006</v>
      </c>
      <c r="G402" s="102"/>
      <c r="H402" s="102"/>
      <c r="I402" s="34"/>
      <c r="N402" s="34"/>
    </row>
    <row r="403" spans="1:14" s="2" customFormat="1" x14ac:dyDescent="0.3">
      <c r="A403" s="102">
        <f t="shared" si="49"/>
        <v>9</v>
      </c>
      <c r="B403" s="102"/>
      <c r="C403" s="18" t="s">
        <v>189</v>
      </c>
      <c r="D403" s="70">
        <f>(4.175*2.75+2.35*2.15+3.375*2.75+1.895*1.2+1.895*1.2+2.35*0.9+1.895*1.2)*10.764</f>
        <v>374.07052800000002</v>
      </c>
      <c r="E403" s="18">
        <v>0</v>
      </c>
      <c r="F403" s="18">
        <f t="shared" si="48"/>
        <v>561.10579200000006</v>
      </c>
      <c r="G403" s="102"/>
      <c r="H403" s="102"/>
      <c r="I403" s="34"/>
      <c r="N403" s="34"/>
    </row>
    <row r="404" spans="1:14" s="2" customFormat="1" x14ac:dyDescent="0.3">
      <c r="A404" s="102">
        <v>10</v>
      </c>
      <c r="B404" s="102"/>
      <c r="C404" s="18" t="s">
        <v>189</v>
      </c>
      <c r="D404" s="70">
        <f>(4.3*3.075+2.15*2.3+2.75*3.325+1.3*2.015+1.3*2.3+0.91*0.9)*10.764</f>
        <v>363.17466900000005</v>
      </c>
      <c r="E404" s="18">
        <v>0</v>
      </c>
      <c r="F404" s="18">
        <f t="shared" si="48"/>
        <v>544.76200350000011</v>
      </c>
      <c r="G404" s="102"/>
      <c r="H404" s="102"/>
    </row>
    <row r="405" spans="1:14" s="2" customFormat="1" x14ac:dyDescent="0.3">
      <c r="A405" s="102">
        <v>11</v>
      </c>
      <c r="B405" s="102"/>
      <c r="C405" s="18" t="s">
        <v>188</v>
      </c>
      <c r="D405" s="70">
        <f>(4.35*3.075+2.15*2.75+3.05*2.775+3.05*2.925+1.3*2.075+2.3*1.44+1.84*1.2+1.46*0.9+1.81*0.9+2.34*0.6+2.04*1.1)*10.764</f>
        <v>554.1549389999999</v>
      </c>
      <c r="E405" s="18">
        <v>0</v>
      </c>
      <c r="F405" s="18">
        <f t="shared" si="48"/>
        <v>831.23240849999979</v>
      </c>
      <c r="G405" s="102"/>
      <c r="H405" s="102"/>
      <c r="I405" s="34"/>
      <c r="N405" s="34"/>
    </row>
    <row r="406" spans="1:14" s="2" customFormat="1" x14ac:dyDescent="0.3">
      <c r="A406" s="103" t="s">
        <v>210</v>
      </c>
      <c r="B406" s="104"/>
      <c r="C406" s="104"/>
      <c r="D406" s="104"/>
      <c r="E406" s="104"/>
      <c r="F406" s="104"/>
      <c r="G406" s="104"/>
      <c r="H406" s="105"/>
      <c r="I406" s="34"/>
      <c r="N406" s="34"/>
    </row>
    <row r="407" spans="1:14" s="2" customFormat="1" x14ac:dyDescent="0.3">
      <c r="A407" s="102">
        <v>1</v>
      </c>
      <c r="B407" s="102"/>
      <c r="C407" s="18" t="s">
        <v>188</v>
      </c>
      <c r="D407" s="70">
        <f>(4.35*3.075+2.15*2.75+3.05*2.775+3.05*2.925+1.3*2.075+2.3*1.44+1.84*1.2+1.46*0.9+1.81*0.9+2.34*0.6+2.04*1.1)*10.764</f>
        <v>554.1549389999999</v>
      </c>
      <c r="E407" s="18">
        <v>0</v>
      </c>
      <c r="F407" s="18">
        <f t="shared" ref="F407:F414" si="50">D407*(($F$270)+1)+E407</f>
        <v>831.23240849999979</v>
      </c>
      <c r="G407" s="121" t="str">
        <f>A406</f>
        <v>8th, 13th &amp; 18th Floor ( Part Refuge Area)</v>
      </c>
      <c r="H407" s="122"/>
      <c r="I407" s="34"/>
      <c r="N407" s="34"/>
    </row>
    <row r="408" spans="1:14" s="2" customFormat="1" x14ac:dyDescent="0.3">
      <c r="A408" s="102">
        <f>A407+1</f>
        <v>2</v>
      </c>
      <c r="B408" s="102"/>
      <c r="C408" s="18" t="s">
        <v>189</v>
      </c>
      <c r="D408" s="70">
        <f>(4.3*3.075+2.15*2.3+2.75*3.325+1.3*2.015+1.3*2.3+1.2*1.515+0.91*0.9)*10.764</f>
        <v>382.74362100000002</v>
      </c>
      <c r="E408" s="18">
        <v>0</v>
      </c>
      <c r="F408" s="18">
        <f t="shared" si="50"/>
        <v>574.1154315</v>
      </c>
      <c r="G408" s="123"/>
      <c r="H408" s="124"/>
      <c r="I408" s="34"/>
      <c r="N408" s="34"/>
    </row>
    <row r="409" spans="1:14" s="2" customFormat="1" x14ac:dyDescent="0.3">
      <c r="A409" s="102">
        <f>A408+1</f>
        <v>3</v>
      </c>
      <c r="B409" s="102"/>
      <c r="C409" s="18" t="s">
        <v>189</v>
      </c>
      <c r="D409" s="70">
        <f>(2.75*4.325+2.15*2.4+2.75*3.375+1.975*1.275+2.14*1.3+1.615*0.9+0.685*0.9+2.75*1.01+2.22*0.925)*10.764</f>
        <v>414.80284949999998</v>
      </c>
      <c r="E409" s="18">
        <v>0</v>
      </c>
      <c r="F409" s="18">
        <f t="shared" si="50"/>
        <v>622.20427425000003</v>
      </c>
      <c r="G409" s="123"/>
      <c r="H409" s="124"/>
      <c r="I409" s="34"/>
      <c r="N409" s="34"/>
    </row>
    <row r="410" spans="1:14" s="2" customFormat="1" x14ac:dyDescent="0.3">
      <c r="A410" s="102">
        <f t="shared" ref="A410:A415" si="51">A409+1</f>
        <v>4</v>
      </c>
      <c r="B410" s="102"/>
      <c r="C410" s="18" t="s">
        <v>189</v>
      </c>
      <c r="D410" s="70">
        <f>(2.75*4.325+2.15*2.4+2.75*3.375+1.975*1.275+2.14*1.3+1.615*0.9+0.685*0.9+2.75*1.01+2.22*0.925)*10.764</f>
        <v>414.80284949999998</v>
      </c>
      <c r="E410" s="18">
        <v>0</v>
      </c>
      <c r="F410" s="18">
        <f t="shared" si="50"/>
        <v>622.20427425000003</v>
      </c>
      <c r="G410" s="123"/>
      <c r="H410" s="124"/>
      <c r="I410" s="34"/>
      <c r="N410" s="34"/>
    </row>
    <row r="411" spans="1:14" s="2" customFormat="1" x14ac:dyDescent="0.3">
      <c r="A411" s="102">
        <f t="shared" si="51"/>
        <v>5</v>
      </c>
      <c r="B411" s="102"/>
      <c r="C411" s="18" t="s">
        <v>189</v>
      </c>
      <c r="D411" s="70">
        <f>(2.75*4.325+2.15*2.4+2.75*3.375+1.975*1.275+2.14*1.3+1.615*0.9+0.685*0.9+2.75*1.01+2.22*0.925)*10.764</f>
        <v>414.80284949999998</v>
      </c>
      <c r="E411" s="18">
        <v>0</v>
      </c>
      <c r="F411" s="18">
        <f t="shared" si="50"/>
        <v>622.20427425000003</v>
      </c>
      <c r="G411" s="123"/>
      <c r="H411" s="124"/>
      <c r="I411" s="34"/>
      <c r="N411" s="34"/>
    </row>
    <row r="412" spans="1:14" s="2" customFormat="1" x14ac:dyDescent="0.3">
      <c r="A412" s="102">
        <f t="shared" si="51"/>
        <v>6</v>
      </c>
      <c r="B412" s="102"/>
      <c r="C412" s="18" t="s">
        <v>189</v>
      </c>
      <c r="D412" s="70">
        <f>(2.75*4.325+2.15*2.4+2.75*3.375+1.975*1.275+2.14*1.3+1.615*0.9+0.685*0.9+2.75*1.01+2.22*0.925)*10.764</f>
        <v>414.80284949999998</v>
      </c>
      <c r="E412" s="18">
        <v>0</v>
      </c>
      <c r="F412" s="18">
        <f t="shared" si="50"/>
        <v>622.20427425000003</v>
      </c>
      <c r="G412" s="123"/>
      <c r="H412" s="124"/>
      <c r="I412" s="34"/>
      <c r="N412" s="34"/>
    </row>
    <row r="413" spans="1:14" s="2" customFormat="1" x14ac:dyDescent="0.3">
      <c r="A413" s="102">
        <f t="shared" si="51"/>
        <v>7</v>
      </c>
      <c r="B413" s="102"/>
      <c r="C413" s="18" t="s">
        <v>189</v>
      </c>
      <c r="D413" s="70">
        <f>(2.75*4.325+2.15*2.35+2.75*3.375+1.3*1.9+1.3*2.3+2.31*0.9+2.75*1.01+1.2*1.9)*10.764</f>
        <v>417.90153599999996</v>
      </c>
      <c r="E413" s="18">
        <v>0</v>
      </c>
      <c r="F413" s="18">
        <f t="shared" si="50"/>
        <v>626.852304</v>
      </c>
      <c r="G413" s="123"/>
      <c r="H413" s="124"/>
      <c r="I413" s="34"/>
      <c r="N413" s="34"/>
    </row>
    <row r="414" spans="1:14" s="2" customFormat="1" x14ac:dyDescent="0.3">
      <c r="A414" s="102">
        <f t="shared" si="51"/>
        <v>8</v>
      </c>
      <c r="B414" s="102"/>
      <c r="C414" s="18" t="s">
        <v>189</v>
      </c>
      <c r="D414" s="70">
        <f>(4.175*2.75+2.35*2.15+3.375*2.75+1.895*1.2+1.895*1.2+2.35*0.9+1.895*1.2)*10.764</f>
        <v>374.07052800000002</v>
      </c>
      <c r="E414" s="18">
        <v>0</v>
      </c>
      <c r="F414" s="18">
        <f t="shared" si="50"/>
        <v>561.10579200000006</v>
      </c>
      <c r="G414" s="123"/>
      <c r="H414" s="124"/>
      <c r="I414" s="34"/>
      <c r="N414" s="34"/>
    </row>
    <row r="415" spans="1:14" s="2" customFormat="1" x14ac:dyDescent="0.3">
      <c r="A415" s="102">
        <f t="shared" si="51"/>
        <v>9</v>
      </c>
      <c r="B415" s="102"/>
      <c r="C415" s="130" t="s">
        <v>191</v>
      </c>
      <c r="D415" s="131"/>
      <c r="E415" s="131"/>
      <c r="F415" s="132"/>
      <c r="G415" s="123"/>
      <c r="H415" s="124"/>
      <c r="I415" s="34"/>
      <c r="N415" s="34"/>
    </row>
    <row r="416" spans="1:14" s="2" customFormat="1" x14ac:dyDescent="0.3">
      <c r="A416" s="102">
        <v>10</v>
      </c>
      <c r="B416" s="102"/>
      <c r="C416" s="18" t="s">
        <v>189</v>
      </c>
      <c r="D416" s="70">
        <f>(4.3*3.075+2.15*2.3+2.75*3.325+1.3*2.015+1.3*2.3+0.91*0.9)*10.764</f>
        <v>363.17466900000005</v>
      </c>
      <c r="E416" s="18">
        <v>0</v>
      </c>
      <c r="F416" s="18">
        <f>D416*(($F$270)+1)+E416</f>
        <v>544.76200350000011</v>
      </c>
      <c r="G416" s="123"/>
      <c r="H416" s="124"/>
      <c r="I416" s="34"/>
      <c r="N416" s="34"/>
    </row>
    <row r="417" spans="1:14" s="2" customFormat="1" x14ac:dyDescent="0.3">
      <c r="A417" s="102">
        <v>11</v>
      </c>
      <c r="B417" s="102"/>
      <c r="C417" s="18" t="s">
        <v>188</v>
      </c>
      <c r="D417" s="70">
        <f>(4.35*3.075+2.15*2.75+3.05*2.775+3.05*2.925+1.3*2.075+2.3*1.44+1.84*1.2+1.46*0.9+1.81*0.9+2.34*0.6+2.04*1.1)*10.764</f>
        <v>554.1549389999999</v>
      </c>
      <c r="E417" s="18">
        <v>0</v>
      </c>
      <c r="F417" s="18">
        <f>D417*(($F$270)+1)+E417</f>
        <v>831.23240849999979</v>
      </c>
      <c r="G417" s="128"/>
      <c r="H417" s="129"/>
      <c r="I417" s="34"/>
      <c r="N417" s="34"/>
    </row>
    <row r="418" spans="1:14" s="2" customFormat="1" x14ac:dyDescent="0.3">
      <c r="A418" s="125" t="s">
        <v>278</v>
      </c>
      <c r="B418" s="126"/>
      <c r="C418" s="126"/>
      <c r="D418" s="126"/>
      <c r="E418" s="126"/>
      <c r="F418" s="126"/>
      <c r="G418" s="126"/>
      <c r="H418" s="127"/>
      <c r="I418" s="34"/>
      <c r="L418" s="159"/>
      <c r="M418" s="159"/>
    </row>
    <row r="419" spans="1:14" s="2" customFormat="1" x14ac:dyDescent="0.3">
      <c r="A419" s="103" t="s">
        <v>279</v>
      </c>
      <c r="B419" s="104"/>
      <c r="C419" s="104"/>
      <c r="D419" s="104"/>
      <c r="E419" s="104"/>
      <c r="F419" s="104"/>
      <c r="G419" s="104"/>
      <c r="H419" s="105"/>
      <c r="I419" s="34"/>
      <c r="N419" s="34"/>
    </row>
    <row r="420" spans="1:14" s="2" customFormat="1" x14ac:dyDescent="0.3">
      <c r="A420" s="101" t="s">
        <v>282</v>
      </c>
      <c r="B420" s="101"/>
      <c r="C420" s="101"/>
      <c r="D420" s="101"/>
      <c r="E420" s="101"/>
      <c r="F420" s="101"/>
      <c r="G420" s="101"/>
      <c r="H420" s="101"/>
      <c r="I420" s="34">
        <v>1</v>
      </c>
      <c r="M420" s="18">
        <v>10.763999999999999</v>
      </c>
      <c r="N420" s="34"/>
    </row>
    <row r="421" spans="1:14" s="2" customFormat="1" x14ac:dyDescent="0.3">
      <c r="A421" s="102">
        <v>1</v>
      </c>
      <c r="B421" s="102"/>
      <c r="C421" s="18" t="s">
        <v>189</v>
      </c>
      <c r="D421" s="18">
        <f>(2.75*4.325+2.15*2.4+2.75*3.375+1.975*1.275+2.14*1.3+1.685*0.9+0.685*0.9+2.75*1.01+2.22*0.925)*10.764</f>
        <v>415.48098149999998</v>
      </c>
      <c r="E421" s="18">
        <v>0</v>
      </c>
      <c r="F421" s="18">
        <f t="shared" ref="F421:F427" si="52">D421*(($F$270)+1)+E421</f>
        <v>623.22147225000003</v>
      </c>
      <c r="G421" s="121" t="str">
        <f>A420</f>
        <v>1st Floor For Residential, Society Office &amp; Entrance Lobby Below</v>
      </c>
      <c r="H421" s="122"/>
      <c r="I421" s="34"/>
      <c r="N421" s="34"/>
    </row>
    <row r="422" spans="1:14" s="2" customFormat="1" x14ac:dyDescent="0.3">
      <c r="A422" s="102">
        <f>A421+1</f>
        <v>2</v>
      </c>
      <c r="B422" s="102"/>
      <c r="C422" s="18" t="s">
        <v>189</v>
      </c>
      <c r="D422" s="18">
        <f>(2.75*4.325+2.15*2.4+2.75*3.375+1.975*1.275+2.14*1.3+1.685*0.9+0.685*0.9+2.75*1.01+2.22*0.925)*10.764</f>
        <v>415.48098149999998</v>
      </c>
      <c r="E422" s="18">
        <v>0</v>
      </c>
      <c r="F422" s="18">
        <f t="shared" si="52"/>
        <v>623.22147225000003</v>
      </c>
      <c r="G422" s="123"/>
      <c r="H422" s="124"/>
      <c r="I422" s="34"/>
      <c r="N422" s="34"/>
    </row>
    <row r="423" spans="1:14" s="2" customFormat="1" x14ac:dyDescent="0.3">
      <c r="A423" s="102">
        <f>A422+1</f>
        <v>3</v>
      </c>
      <c r="B423" s="102"/>
      <c r="C423" s="18" t="s">
        <v>189</v>
      </c>
      <c r="D423" s="18">
        <f>(2.75*4.325+2.15*2.4+2.75*3.375+1.975*1.275+2.14*1.3+1.685*0.9+0.685*0.9+2.75*1.01+2.22*0.925)*10.764</f>
        <v>415.48098149999998</v>
      </c>
      <c r="E423" s="18">
        <v>0</v>
      </c>
      <c r="F423" s="18">
        <f t="shared" si="52"/>
        <v>623.22147225000003</v>
      </c>
      <c r="G423" s="123"/>
      <c r="H423" s="124"/>
      <c r="I423" s="34"/>
      <c r="N423" s="34"/>
    </row>
    <row r="424" spans="1:14" s="2" customFormat="1" x14ac:dyDescent="0.3">
      <c r="A424" s="102">
        <f t="shared" ref="A424:A431" si="53">A423+1</f>
        <v>4</v>
      </c>
      <c r="B424" s="102"/>
      <c r="C424" s="18" t="s">
        <v>189</v>
      </c>
      <c r="D424" s="18">
        <f>(4.3*3.075+2.15*2.3+2.75*3.325+1.3*2.015+1.3*2.3+0.91*0.9+1.2*1.515)*10.764</f>
        <v>382.74362100000002</v>
      </c>
      <c r="E424" s="18">
        <v>0</v>
      </c>
      <c r="F424" s="18">
        <f t="shared" si="52"/>
        <v>574.1154315</v>
      </c>
      <c r="G424" s="123"/>
      <c r="H424" s="124"/>
      <c r="I424" s="34"/>
      <c r="J424" s="100" t="s">
        <v>287</v>
      </c>
      <c r="K424" s="100"/>
      <c r="L424" s="100"/>
      <c r="M424" s="100"/>
      <c r="N424" s="34"/>
    </row>
    <row r="425" spans="1:14" s="2" customFormat="1" x14ac:dyDescent="0.3">
      <c r="A425" s="102">
        <f t="shared" si="53"/>
        <v>5</v>
      </c>
      <c r="B425" s="102"/>
      <c r="C425" s="18" t="s">
        <v>188</v>
      </c>
      <c r="D425" s="18">
        <f>(4.35*3.075+2.15*2.75+3.05*2.775+3.05*2.925+1.3*2.075+2.3*1.44+1.48*0.9+1.81*0.9+2.34*0.6+1.84*1.2+2.04*1.1)*10.764</f>
        <v>554.34869099999992</v>
      </c>
      <c r="E425" s="18">
        <v>0</v>
      </c>
      <c r="F425" s="18">
        <f t="shared" si="52"/>
        <v>831.52303649999988</v>
      </c>
      <c r="G425" s="123"/>
      <c r="H425" s="124"/>
      <c r="I425" s="34"/>
      <c r="J425" s="100"/>
      <c r="K425" s="100"/>
      <c r="L425" s="100"/>
      <c r="M425" s="100"/>
      <c r="N425" s="34"/>
    </row>
    <row r="426" spans="1:14" s="2" customFormat="1" x14ac:dyDescent="0.3">
      <c r="A426" s="102">
        <f t="shared" si="53"/>
        <v>6</v>
      </c>
      <c r="B426" s="102"/>
      <c r="C426" s="18" t="s">
        <v>188</v>
      </c>
      <c r="D426" s="18">
        <f>(4.35*3.075+2.15*2.75+3.05*2.775+3.05*2.925+1.3*2.075+2.3*1.44+1.48*0.9+1.81*0.9+2.34*0.6+1.84*1.2+2.04*1.1)*10.764</f>
        <v>554.34869099999992</v>
      </c>
      <c r="E426" s="18">
        <v>0</v>
      </c>
      <c r="F426" s="18">
        <f t="shared" si="52"/>
        <v>831.52303649999988</v>
      </c>
      <c r="G426" s="123"/>
      <c r="H426" s="124"/>
      <c r="I426" s="34"/>
      <c r="J426" s="100"/>
      <c r="K426" s="100"/>
      <c r="L426" s="100"/>
      <c r="M426" s="100"/>
      <c r="N426" s="34"/>
    </row>
    <row r="427" spans="1:14" s="2" customFormat="1" x14ac:dyDescent="0.3">
      <c r="A427" s="102">
        <f t="shared" si="53"/>
        <v>7</v>
      </c>
      <c r="B427" s="102"/>
      <c r="C427" s="18" t="s">
        <v>189</v>
      </c>
      <c r="D427" s="18">
        <f>(4.3*3.075+2.15*2.3+2.75*3.325+1.3*2.015+1.3*2.3+0.91*0.9+1.2*1.515)*10.764</f>
        <v>382.74362100000002</v>
      </c>
      <c r="E427" s="18">
        <v>0</v>
      </c>
      <c r="F427" s="18">
        <f t="shared" si="52"/>
        <v>574.1154315</v>
      </c>
      <c r="G427" s="123"/>
      <c r="H427" s="124"/>
      <c r="I427" s="34"/>
      <c r="J427" s="100"/>
      <c r="K427" s="100"/>
      <c r="L427" s="100"/>
      <c r="M427" s="100"/>
      <c r="N427" s="34"/>
    </row>
    <row r="428" spans="1:14" s="2" customFormat="1" x14ac:dyDescent="0.3">
      <c r="A428" s="102">
        <f t="shared" si="53"/>
        <v>8</v>
      </c>
      <c r="B428" s="102"/>
      <c r="C428" s="121" t="s">
        <v>281</v>
      </c>
      <c r="D428" s="175"/>
      <c r="E428" s="175"/>
      <c r="F428" s="122"/>
      <c r="G428" s="123"/>
      <c r="H428" s="124"/>
      <c r="I428" s="34"/>
      <c r="J428" s="100"/>
      <c r="K428" s="100"/>
      <c r="L428" s="100"/>
      <c r="M428" s="100"/>
      <c r="N428" s="34"/>
    </row>
    <row r="429" spans="1:14" s="2" customFormat="1" x14ac:dyDescent="0.3">
      <c r="A429" s="102">
        <f t="shared" si="53"/>
        <v>9</v>
      </c>
      <c r="B429" s="102"/>
      <c r="C429" s="128"/>
      <c r="D429" s="176"/>
      <c r="E429" s="176"/>
      <c r="F429" s="129"/>
      <c r="G429" s="123"/>
      <c r="H429" s="124"/>
      <c r="I429" s="34"/>
      <c r="N429" s="34"/>
    </row>
    <row r="430" spans="1:14" s="2" customFormat="1" x14ac:dyDescent="0.3">
      <c r="A430" s="102">
        <f t="shared" si="53"/>
        <v>10</v>
      </c>
      <c r="B430" s="102"/>
      <c r="C430" s="18" t="s">
        <v>189</v>
      </c>
      <c r="D430" s="18">
        <f>(2.75*4.325+2.15*2.4+2.75*3.375+1.975*1.275+2.14*1.3+1.685*0.9+0.685*0.9+2.75*1.01)*10.764</f>
        <v>393.37710749999997</v>
      </c>
      <c r="E430" s="18">
        <v>0</v>
      </c>
      <c r="F430" s="18">
        <f>D430*(($F$270)+1)+E430</f>
        <v>590.06566124999995</v>
      </c>
      <c r="G430" s="123"/>
      <c r="H430" s="124"/>
      <c r="I430" s="34"/>
      <c r="N430" s="34"/>
    </row>
    <row r="431" spans="1:14" s="2" customFormat="1" x14ac:dyDescent="0.3">
      <c r="A431" s="102">
        <f t="shared" si="53"/>
        <v>11</v>
      </c>
      <c r="B431" s="102"/>
      <c r="C431" s="18" t="s">
        <v>189</v>
      </c>
      <c r="D431" s="18">
        <f>(2.75*4.325+2.15*2.4+2.75*3.375+1.975*1.275+2.14*1.3+1.685*0.9+0.685*0.9+2.75*1.01+2.22*0.925)*10.764</f>
        <v>415.48098149999998</v>
      </c>
      <c r="E431" s="18">
        <v>0</v>
      </c>
      <c r="F431" s="18">
        <f>D431*(($F$270)+1)+E431</f>
        <v>623.22147225000003</v>
      </c>
      <c r="G431" s="123"/>
      <c r="H431" s="124"/>
      <c r="I431" s="34"/>
      <c r="N431" s="34"/>
    </row>
    <row r="432" spans="1:14" s="2" customFormat="1" ht="15.75" customHeight="1" x14ac:dyDescent="0.3">
      <c r="A432" s="101" t="s">
        <v>283</v>
      </c>
      <c r="B432" s="101"/>
      <c r="C432" s="101"/>
      <c r="D432" s="101"/>
      <c r="E432" s="101"/>
      <c r="F432" s="101"/>
      <c r="G432" s="101"/>
      <c r="H432" s="101"/>
      <c r="I432" s="34">
        <v>19</v>
      </c>
      <c r="N432" s="34"/>
    </row>
    <row r="433" spans="1:14" s="2" customFormat="1" ht="15.75" customHeight="1" x14ac:dyDescent="0.3">
      <c r="A433" s="102">
        <v>1</v>
      </c>
      <c r="B433" s="102"/>
      <c r="C433" s="18" t="s">
        <v>189</v>
      </c>
      <c r="D433" s="18">
        <f>(2.75*4.325+2.15*2.4+2.75*3.375+1.975*1.275+2.14*1.3+1.685*0.9+0.685*0.9+2.75*1.01+2.22*0.925)*10.764</f>
        <v>415.48098149999998</v>
      </c>
      <c r="E433" s="18">
        <v>0</v>
      </c>
      <c r="F433" s="18">
        <f t="shared" ref="F433:F440" si="54">D433*(($F$270)+1)+E433</f>
        <v>623.22147225000003</v>
      </c>
      <c r="G433" s="121" t="str">
        <f>A432</f>
        <v xml:space="preserve"> 2nd to 7th, 9th to 12th &amp; 14th to 17th, 19th to 23rd Floor</v>
      </c>
      <c r="H433" s="122"/>
      <c r="I433" s="34"/>
      <c r="N433" s="34"/>
    </row>
    <row r="434" spans="1:14" s="2" customFormat="1" ht="15.75" customHeight="1" x14ac:dyDescent="0.3">
      <c r="A434" s="102">
        <f>A433+1</f>
        <v>2</v>
      </c>
      <c r="B434" s="102"/>
      <c r="C434" s="18" t="s">
        <v>189</v>
      </c>
      <c r="D434" s="18">
        <f>(2.75*4.325+2.15*2.4+2.75*3.375+1.975*1.275+2.14*1.3+1.685*0.9+0.685*0.9+2.75*1.01+2.22*0.925)*10.764</f>
        <v>415.48098149999998</v>
      </c>
      <c r="E434" s="18">
        <v>0</v>
      </c>
      <c r="F434" s="18">
        <f t="shared" si="54"/>
        <v>623.22147225000003</v>
      </c>
      <c r="G434" s="123"/>
      <c r="H434" s="124"/>
      <c r="I434" s="34"/>
      <c r="N434" s="34"/>
    </row>
    <row r="435" spans="1:14" s="2" customFormat="1" ht="15.75" customHeight="1" x14ac:dyDescent="0.3">
      <c r="A435" s="102">
        <f>A434+1</f>
        <v>3</v>
      </c>
      <c r="B435" s="102"/>
      <c r="C435" s="18" t="s">
        <v>189</v>
      </c>
      <c r="D435" s="18">
        <f>(2.75*4.325+2.15*2.4+2.75*3.375+1.975*1.275+2.14*1.3+1.685*0.9+0.685*0.9+2.75*1.01+2.22*0.925)*10.764</f>
        <v>415.48098149999998</v>
      </c>
      <c r="E435" s="18">
        <v>0</v>
      </c>
      <c r="F435" s="18">
        <f t="shared" si="54"/>
        <v>623.22147225000003</v>
      </c>
      <c r="G435" s="123"/>
      <c r="H435" s="124"/>
      <c r="I435" s="34"/>
      <c r="N435" s="34"/>
    </row>
    <row r="436" spans="1:14" s="2" customFormat="1" ht="15.75" customHeight="1" x14ac:dyDescent="0.3">
      <c r="A436" s="102">
        <f t="shared" ref="A436:A443" si="55">A435+1</f>
        <v>4</v>
      </c>
      <c r="B436" s="102"/>
      <c r="C436" s="18" t="s">
        <v>189</v>
      </c>
      <c r="D436" s="18">
        <f>(4.3*3.075+2.15*2.3+2.75*3.325+1.3*2.015+1.3*2.3+0.91*0.9+1.2*1.515)*10.764</f>
        <v>382.74362100000002</v>
      </c>
      <c r="E436" s="18">
        <v>0</v>
      </c>
      <c r="F436" s="18">
        <f t="shared" si="54"/>
        <v>574.1154315</v>
      </c>
      <c r="G436" s="123"/>
      <c r="H436" s="124"/>
      <c r="I436" s="34"/>
      <c r="N436" s="34"/>
    </row>
    <row r="437" spans="1:14" s="2" customFormat="1" ht="15.75" customHeight="1" x14ac:dyDescent="0.3">
      <c r="A437" s="102">
        <f t="shared" si="55"/>
        <v>5</v>
      </c>
      <c r="B437" s="102"/>
      <c r="C437" s="18" t="s">
        <v>188</v>
      </c>
      <c r="D437" s="18">
        <f>(4.35*3.075+2.15*2.75+3.05*2.775+3.05*2.925+1.3*2.075+2.3*1.44+1.48*0.9+1.81*0.9+2.34*0.6+1.84*1.2+2.04*1.1)*10.764</f>
        <v>554.34869099999992</v>
      </c>
      <c r="E437" s="18">
        <v>0</v>
      </c>
      <c r="F437" s="18">
        <f t="shared" si="54"/>
        <v>831.52303649999988</v>
      </c>
      <c r="G437" s="123"/>
      <c r="H437" s="124"/>
      <c r="I437" s="34"/>
      <c r="N437" s="34"/>
    </row>
    <row r="438" spans="1:14" s="2" customFormat="1" ht="15.75" customHeight="1" x14ac:dyDescent="0.3">
      <c r="A438" s="102">
        <f t="shared" si="55"/>
        <v>6</v>
      </c>
      <c r="B438" s="102"/>
      <c r="C438" s="18" t="s">
        <v>188</v>
      </c>
      <c r="D438" s="18">
        <f>(4.35*3.075+2.15*2.75+3.05*2.775+3.05*2.925+1.3*2.075+2.3*1.44+1.48*0.9+1.81*0.9+2.34*0.6+1.84*1.2+2.04*1.1)*10.764</f>
        <v>554.34869099999992</v>
      </c>
      <c r="E438" s="18">
        <v>0</v>
      </c>
      <c r="F438" s="18">
        <f t="shared" si="54"/>
        <v>831.52303649999988</v>
      </c>
      <c r="G438" s="123"/>
      <c r="H438" s="124"/>
      <c r="I438" s="34"/>
      <c r="N438" s="34"/>
    </row>
    <row r="439" spans="1:14" s="2" customFormat="1" ht="15.75" customHeight="1" x14ac:dyDescent="0.3">
      <c r="A439" s="102">
        <f t="shared" si="55"/>
        <v>7</v>
      </c>
      <c r="B439" s="102"/>
      <c r="C439" s="18" t="s">
        <v>189</v>
      </c>
      <c r="D439" s="18">
        <f>(4.3*3.075+2.15*2.3+2.75*3.325+1.3*2.015+1.3*2.3+0.91*0.9+1.2*1.515)*10.764</f>
        <v>382.74362100000002</v>
      </c>
      <c r="E439" s="18">
        <v>0</v>
      </c>
      <c r="F439" s="18">
        <f t="shared" si="54"/>
        <v>574.1154315</v>
      </c>
      <c r="G439" s="123"/>
      <c r="H439" s="124"/>
      <c r="I439" s="34"/>
      <c r="N439" s="34"/>
    </row>
    <row r="440" spans="1:14" s="2" customFormat="1" ht="15.75" customHeight="1" x14ac:dyDescent="0.3">
      <c r="A440" s="102">
        <f t="shared" si="55"/>
        <v>8</v>
      </c>
      <c r="B440" s="102"/>
      <c r="C440" s="18" t="s">
        <v>189</v>
      </c>
      <c r="D440" s="18">
        <f>(4.175*2.75+2.35*2.15+3.375*2.75+1.895*1.2+1.895*1.2+1.895*1.2)*10.764</f>
        <v>351.30466799999999</v>
      </c>
      <c r="E440" s="18">
        <v>0</v>
      </c>
      <c r="F440" s="18">
        <f t="shared" si="54"/>
        <v>526.95700199999999</v>
      </c>
      <c r="G440" s="123"/>
      <c r="H440" s="124"/>
      <c r="I440" s="34"/>
      <c r="N440" s="34"/>
    </row>
    <row r="441" spans="1:14" s="2" customFormat="1" ht="15.75" customHeight="1" x14ac:dyDescent="0.3">
      <c r="A441" s="102">
        <f t="shared" si="55"/>
        <v>9</v>
      </c>
      <c r="B441" s="102"/>
      <c r="C441" s="18" t="s">
        <v>189</v>
      </c>
      <c r="D441" s="18">
        <f>(4.175*2.75+2.35*2.15+3.375*2.75+1.895*1.2+1.895*1.2+1.895*1.2)*10.764</f>
        <v>351.30466799999999</v>
      </c>
      <c r="E441" s="18">
        <v>0</v>
      </c>
      <c r="F441" s="18">
        <f>D441*(($F$270)+1)+E441/2</f>
        <v>526.95700199999999</v>
      </c>
      <c r="G441" s="123"/>
      <c r="H441" s="124"/>
      <c r="I441" s="34"/>
      <c r="N441" s="34"/>
    </row>
    <row r="442" spans="1:14" s="2" customFormat="1" ht="15.75" customHeight="1" x14ac:dyDescent="0.3">
      <c r="A442" s="102">
        <f t="shared" si="55"/>
        <v>10</v>
      </c>
      <c r="B442" s="102"/>
      <c r="C442" s="18" t="s">
        <v>189</v>
      </c>
      <c r="D442" s="18">
        <f>(2.75*4.325+2.15*2.4+2.75*3.375+1.975*1.275+2.14*1.3+1.685*0.9+0.685*0.9+2.75*1.01)*10.764</f>
        <v>393.37710749999997</v>
      </c>
      <c r="E442" s="18">
        <v>0</v>
      </c>
      <c r="F442" s="18">
        <f>D442*(($F$270)+1)+E442</f>
        <v>590.06566124999995</v>
      </c>
      <c r="G442" s="123"/>
      <c r="H442" s="124"/>
      <c r="I442" s="34"/>
      <c r="N442" s="34"/>
    </row>
    <row r="443" spans="1:14" s="2" customFormat="1" ht="15.75" customHeight="1" x14ac:dyDescent="0.3">
      <c r="A443" s="102">
        <f t="shared" si="55"/>
        <v>11</v>
      </c>
      <c r="B443" s="102"/>
      <c r="C443" s="18" t="s">
        <v>189</v>
      </c>
      <c r="D443" s="18">
        <f>(2.75*4.325+2.15*2.4+2.75*3.375+1.975*1.275+2.14*1.3+1.685*0.9+0.685*0.9+2.75*1.01+2.22*0.925)*10.764</f>
        <v>415.48098149999998</v>
      </c>
      <c r="E443" s="18">
        <v>0</v>
      </c>
      <c r="F443" s="18">
        <f>D443*(($F$270)+1)+E443</f>
        <v>623.22147225000003</v>
      </c>
      <c r="G443" s="123"/>
      <c r="H443" s="124"/>
      <c r="I443" s="34"/>
      <c r="N443" s="34"/>
    </row>
    <row r="444" spans="1:14" s="2" customFormat="1" ht="15.75" customHeight="1" x14ac:dyDescent="0.3">
      <c r="A444" s="101" t="s">
        <v>259</v>
      </c>
      <c r="B444" s="101"/>
      <c r="C444" s="101"/>
      <c r="D444" s="101"/>
      <c r="E444" s="101"/>
      <c r="F444" s="101"/>
      <c r="G444" s="101"/>
      <c r="H444" s="101"/>
      <c r="I444" s="34">
        <v>3</v>
      </c>
      <c r="N444" s="34"/>
    </row>
    <row r="445" spans="1:14" s="2" customFormat="1" ht="15.75" customHeight="1" x14ac:dyDescent="0.3">
      <c r="A445" s="102">
        <v>1</v>
      </c>
      <c r="B445" s="102"/>
      <c r="C445" s="18" t="s">
        <v>189</v>
      </c>
      <c r="D445" s="18">
        <f>(2.75*4.325+2.15*2.4+2.75*3.375+1.975*1.275+2.14*1.3+1.685*0.9+0.685*0.9+2.75*1.01+2.22*0.925)*10.764</f>
        <v>415.48098149999998</v>
      </c>
      <c r="E445" s="18">
        <v>0</v>
      </c>
      <c r="F445" s="18">
        <f t="shared" ref="F445:F451" si="56">D445*(($F$270)+1)+E445</f>
        <v>623.22147225000003</v>
      </c>
      <c r="G445" s="102" t="str">
        <f>A444</f>
        <v>8th, 13th &amp; 18th Floor (Part Refuge Area)</v>
      </c>
      <c r="H445" s="102"/>
      <c r="I445" s="34"/>
      <c r="N445" s="34"/>
    </row>
    <row r="446" spans="1:14" s="2" customFormat="1" ht="15.75" customHeight="1" x14ac:dyDescent="0.3">
      <c r="A446" s="102">
        <f>A445+1</f>
        <v>2</v>
      </c>
      <c r="B446" s="102"/>
      <c r="C446" s="18" t="s">
        <v>189</v>
      </c>
      <c r="D446" s="18">
        <f>(2.75*4.325+2.15*2.4+2.75*3.375+1.975*1.275+2.14*1.3+1.685*0.9+0.685*0.9+2.75*1.01+2.22*0.925)*10.764</f>
        <v>415.48098149999998</v>
      </c>
      <c r="E446" s="18">
        <v>0</v>
      </c>
      <c r="F446" s="18">
        <f t="shared" si="56"/>
        <v>623.22147225000003</v>
      </c>
      <c r="G446" s="102"/>
      <c r="H446" s="102"/>
      <c r="I446" s="34"/>
      <c r="N446" s="34"/>
    </row>
    <row r="447" spans="1:14" s="2" customFormat="1" ht="15.75" customHeight="1" x14ac:dyDescent="0.3">
      <c r="A447" s="102">
        <f>A446+1</f>
        <v>3</v>
      </c>
      <c r="B447" s="102"/>
      <c r="C447" s="18" t="s">
        <v>189</v>
      </c>
      <c r="D447" s="18">
        <f>(2.75*4.325+2.15*2.4+2.75*3.375+1.975*1.275+2.14*1.3+1.685*0.9+0.685*0.9+2.75*1.01+2.22*0.925)*10.764</f>
        <v>415.48098149999998</v>
      </c>
      <c r="E447" s="18">
        <v>0</v>
      </c>
      <c r="F447" s="18">
        <f t="shared" si="56"/>
        <v>623.22147225000003</v>
      </c>
      <c r="G447" s="102"/>
      <c r="H447" s="102"/>
      <c r="I447" s="34"/>
      <c r="N447" s="34"/>
    </row>
    <row r="448" spans="1:14" s="2" customFormat="1" ht="15.75" customHeight="1" x14ac:dyDescent="0.3">
      <c r="A448" s="102">
        <f t="shared" ref="A448:A455" si="57">A447+1</f>
        <v>4</v>
      </c>
      <c r="B448" s="102"/>
      <c r="C448" s="18" t="s">
        <v>189</v>
      </c>
      <c r="D448" s="18">
        <f>(4.3*3.075+2.15*2.3+2.75*3.325+1.3*2.015+1.3*2.3+0.91*0.9+1.2*1.515)*10.764</f>
        <v>382.74362100000002</v>
      </c>
      <c r="E448" s="18">
        <v>0</v>
      </c>
      <c r="F448" s="18">
        <f t="shared" si="56"/>
        <v>574.1154315</v>
      </c>
      <c r="G448" s="102"/>
      <c r="H448" s="102"/>
      <c r="I448" s="34"/>
      <c r="N448" s="34"/>
    </row>
    <row r="449" spans="1:18" s="2" customFormat="1" ht="15.75" customHeight="1" x14ac:dyDescent="0.3">
      <c r="A449" s="102">
        <f t="shared" si="57"/>
        <v>5</v>
      </c>
      <c r="B449" s="102"/>
      <c r="C449" s="18" t="s">
        <v>188</v>
      </c>
      <c r="D449" s="18">
        <f>(4.35*3.075+2.15*2.75+3.05*2.775+3.05*2.925+1.3*2.075+2.3*1.44+1.48*0.9+1.81*0.9+2.34*0.6+1.84*1.2+2.04*1.1)*10.764</f>
        <v>554.34869099999992</v>
      </c>
      <c r="E449" s="18">
        <v>0</v>
      </c>
      <c r="F449" s="18">
        <f t="shared" si="56"/>
        <v>831.52303649999988</v>
      </c>
      <c r="G449" s="102"/>
      <c r="H449" s="102"/>
      <c r="I449" s="34"/>
      <c r="N449" s="34"/>
    </row>
    <row r="450" spans="1:18" s="2" customFormat="1" ht="15.75" customHeight="1" x14ac:dyDescent="0.3">
      <c r="A450" s="102">
        <f t="shared" si="57"/>
        <v>6</v>
      </c>
      <c r="B450" s="102"/>
      <c r="C450" s="18" t="s">
        <v>188</v>
      </c>
      <c r="D450" s="18">
        <f>(4.35*3.075+2.15*2.75+3.05*2.775+3.05*2.925+1.3*2.075+2.3*1.44+1.48*0.9+1.81*0.9+2.34*0.6+1.84*1.2+2.04*1.1)*10.764</f>
        <v>554.34869099999992</v>
      </c>
      <c r="E450" s="18">
        <v>0</v>
      </c>
      <c r="F450" s="18">
        <f t="shared" si="56"/>
        <v>831.52303649999988</v>
      </c>
      <c r="G450" s="102"/>
      <c r="H450" s="102"/>
      <c r="I450" s="34"/>
      <c r="N450" s="34"/>
    </row>
    <row r="451" spans="1:18" s="2" customFormat="1" ht="15.75" customHeight="1" x14ac:dyDescent="0.3">
      <c r="A451" s="102">
        <f t="shared" si="57"/>
        <v>7</v>
      </c>
      <c r="B451" s="102"/>
      <c r="C451" s="18" t="s">
        <v>189</v>
      </c>
      <c r="D451" s="18">
        <f>(4.3*3.075+2.15*2.3+2.75*3.325+1.3*2.015+1.3*2.3+0.91*0.9+1.2*1.515)*10.764</f>
        <v>382.74362100000002</v>
      </c>
      <c r="E451" s="18">
        <v>0</v>
      </c>
      <c r="F451" s="18">
        <f t="shared" si="56"/>
        <v>574.1154315</v>
      </c>
      <c r="G451" s="102"/>
      <c r="H451" s="102"/>
      <c r="I451" s="34"/>
      <c r="N451" s="34"/>
    </row>
    <row r="452" spans="1:18" s="2" customFormat="1" ht="15.75" customHeight="1" x14ac:dyDescent="0.3">
      <c r="A452" s="102">
        <f t="shared" si="57"/>
        <v>8</v>
      </c>
      <c r="B452" s="102"/>
      <c r="C452" s="102" t="s">
        <v>191</v>
      </c>
      <c r="D452" s="102"/>
      <c r="E452" s="102"/>
      <c r="F452" s="102"/>
      <c r="G452" s="102"/>
      <c r="H452" s="102"/>
      <c r="I452" s="34"/>
      <c r="N452" s="34"/>
    </row>
    <row r="453" spans="1:18" s="2" customFormat="1" ht="15.75" customHeight="1" x14ac:dyDescent="0.3">
      <c r="A453" s="102">
        <f t="shared" si="57"/>
        <v>9</v>
      </c>
      <c r="B453" s="102"/>
      <c r="C453" s="18" t="s">
        <v>189</v>
      </c>
      <c r="D453" s="18">
        <f>(4.175*2.75+2.35*2.15+3.375*2.75+1.895*1.2+1.895*1.2+1.895*1.2)*10.764</f>
        <v>351.30466799999999</v>
      </c>
      <c r="E453" s="18">
        <v>0</v>
      </c>
      <c r="F453" s="18">
        <f>D453*(($F$270)+1)+E453/2</f>
        <v>526.95700199999999</v>
      </c>
      <c r="G453" s="102"/>
      <c r="H453" s="102"/>
      <c r="I453" s="34"/>
      <c r="N453" s="34"/>
    </row>
    <row r="454" spans="1:18" s="2" customFormat="1" ht="15.75" customHeight="1" x14ac:dyDescent="0.3">
      <c r="A454" s="102">
        <f t="shared" si="57"/>
        <v>10</v>
      </c>
      <c r="B454" s="102"/>
      <c r="C454" s="18" t="s">
        <v>189</v>
      </c>
      <c r="D454" s="18">
        <f>(2.75*4.325+2.15*2.4+2.75*3.375+1.975*1.275+2.14*1.3+1.685*0.9+0.685*0.9+2.75*1.01)*10.764</f>
        <v>393.37710749999997</v>
      </c>
      <c r="E454" s="18">
        <v>0</v>
      </c>
      <c r="F454" s="18">
        <f>D454*(($F$270)+1)+E454</f>
        <v>590.06566124999995</v>
      </c>
      <c r="G454" s="102"/>
      <c r="H454" s="102"/>
      <c r="I454" s="34"/>
      <c r="N454" s="34"/>
    </row>
    <row r="455" spans="1:18" s="2" customFormat="1" ht="15.75" customHeight="1" x14ac:dyDescent="0.3">
      <c r="A455" s="102">
        <f t="shared" si="57"/>
        <v>11</v>
      </c>
      <c r="B455" s="102"/>
      <c r="C455" s="18" t="s">
        <v>189</v>
      </c>
      <c r="D455" s="18">
        <f>(2.75*4.325+2.15*2.4+2.75*3.375+1.975*1.275+2.14*1.3+1.685*0.9+0.685*0.9+2.75*1.01+2.22*0.925)*10.764</f>
        <v>415.48098149999998</v>
      </c>
      <c r="E455" s="18">
        <v>0</v>
      </c>
      <c r="F455" s="18">
        <f>D455*(($F$270)+1)+E455</f>
        <v>623.22147225000003</v>
      </c>
      <c r="G455" s="102"/>
      <c r="H455" s="102"/>
      <c r="I455" s="34"/>
      <c r="N455" s="34"/>
    </row>
    <row r="456" spans="1:18" s="2" customFormat="1" x14ac:dyDescent="0.3">
      <c r="A456" s="125" t="s">
        <v>309</v>
      </c>
      <c r="B456" s="126"/>
      <c r="C456" s="126"/>
      <c r="D456" s="126"/>
      <c r="E456" s="126"/>
      <c r="F456" s="126"/>
      <c r="G456" s="126"/>
      <c r="H456" s="127"/>
      <c r="I456" s="34"/>
      <c r="L456" s="159"/>
      <c r="M456" s="159"/>
    </row>
    <row r="457" spans="1:18" s="2" customFormat="1" x14ac:dyDescent="0.3">
      <c r="A457" s="101" t="s">
        <v>282</v>
      </c>
      <c r="B457" s="101"/>
      <c r="C457" s="101"/>
      <c r="D457" s="101"/>
      <c r="E457" s="101"/>
      <c r="F457" s="101"/>
      <c r="G457" s="101"/>
      <c r="H457" s="101"/>
      <c r="I457" s="34">
        <v>1</v>
      </c>
      <c r="M457" s="18">
        <v>10.763999999999999</v>
      </c>
      <c r="N457" s="34"/>
    </row>
    <row r="458" spans="1:18" s="2" customFormat="1" x14ac:dyDescent="0.3">
      <c r="A458" s="102">
        <v>1</v>
      </c>
      <c r="B458" s="102"/>
      <c r="C458" s="18" t="s">
        <v>188</v>
      </c>
      <c r="D458" s="18">
        <f>(4.35*3.075+2.15*2.75+3.05*(2.775+2.925)+1.3*2.075+2.3*1.44+0.9*(1.46+1.81)+2.34*0.6+1.84*1.2+2.04*1.1)*10.764</f>
        <v>554.1549389999999</v>
      </c>
      <c r="E458" s="86">
        <f>(2*5.4+0.5*(3.8+4.05)*5.7+0.5*(5.35+5.05)*2.5)*10.764</f>
        <v>497.00078999999994</v>
      </c>
      <c r="F458" s="18">
        <f>D458*(($F$270)+1)+(IF(E458&lt;101,E458,IF(E458&lt;201,E458/2,IF(E458&lt;=301,E458/3,E458/4))))</f>
        <v>955.48260599999981</v>
      </c>
      <c r="G458" s="121" t="str">
        <f>A457</f>
        <v>1st Floor For Residential, Society Office &amp; Entrance Lobby Below</v>
      </c>
      <c r="H458" s="122"/>
      <c r="I458" s="34"/>
      <c r="N458" s="34"/>
      <c r="R458" s="18">
        <f>(2*5.4+0.5*(3.8+4.05)*5.7+0.5*(5.35+5.05)*2.5)*10.764</f>
        <v>497.00078999999994</v>
      </c>
    </row>
    <row r="459" spans="1:18" s="2" customFormat="1" x14ac:dyDescent="0.3">
      <c r="A459" s="102">
        <f>A458+1</f>
        <v>2</v>
      </c>
      <c r="B459" s="102"/>
      <c r="C459" s="18" t="s">
        <v>189</v>
      </c>
      <c r="D459" s="18">
        <f>(4.3*3.075+2.15*2.3+2.75*3.325+1.3*(2.015+2.3)+1.2*1.515+0.91*0.9)*10.764</f>
        <v>382.74362099999996</v>
      </c>
      <c r="E459" s="86">
        <f>(0.5*(6.5+6.2)*2.85+0.5*(4+3.5)*5.2+1.2*3.35)*10.764</f>
        <v>447.9707699999999</v>
      </c>
      <c r="F459" s="18">
        <f t="shared" ref="F459:F464" si="58">D459*(($F$270)+1)+(IF(E459&lt;101,E459,IF(E459&lt;201,E459/2,IF(E459&lt;=301,E459/3,E459/4))))</f>
        <v>686.10812399999986</v>
      </c>
      <c r="G459" s="123"/>
      <c r="H459" s="124"/>
      <c r="I459" s="34"/>
      <c r="J459" s="281" t="s">
        <v>315</v>
      </c>
      <c r="K459" s="281"/>
      <c r="L459" s="281"/>
      <c r="M459" s="281"/>
      <c r="N459" s="34"/>
      <c r="R459" s="18">
        <f>(0.5*(6.5+6.2)*2.85+0.5*(4+3.5)*5.2+1.2*3.35)*10.764</f>
        <v>447.9707699999999</v>
      </c>
    </row>
    <row r="460" spans="1:18" s="2" customFormat="1" x14ac:dyDescent="0.3">
      <c r="A460" s="102">
        <f>A459+1</f>
        <v>3</v>
      </c>
      <c r="B460" s="102"/>
      <c r="C460" s="18" t="s">
        <v>189</v>
      </c>
      <c r="D460" s="18">
        <f>(2.75*4.325+2.15*2.4+2.75*3.375+1.975*1.275+2.14*1.3+(1.685+0.688)*0.9+2.75*1.01+2.22*0.925)*10.764</f>
        <v>415.5100443</v>
      </c>
      <c r="E460" s="86">
        <f>(2.75*2.35+0.5*(1+0.7)*2.5+2.15*0.6+0.5*(3+2.75)*2.9+0.5*(3.5+3.05)*3.2)*10.764</f>
        <v>308.87297999999998</v>
      </c>
      <c r="F460" s="18">
        <f t="shared" si="58"/>
        <v>700.48331144999997</v>
      </c>
      <c r="G460" s="123"/>
      <c r="H460" s="124"/>
      <c r="I460" s="34"/>
      <c r="J460" s="281"/>
      <c r="K460" s="281"/>
      <c r="L460" s="281"/>
      <c r="M460" s="281"/>
      <c r="N460" s="34"/>
      <c r="R460" s="18">
        <f>(2.75*2.35+0.5*(1+0.7)*2.5+2.15*0.6+0.5*(3+2.75)*2.9+0.5*(3.5+3.05)*3.2)*10.764</f>
        <v>308.87297999999998</v>
      </c>
    </row>
    <row r="461" spans="1:18" s="2" customFormat="1" x14ac:dyDescent="0.3">
      <c r="A461" s="102">
        <f t="shared" ref="A461:A468" si="59">A460+1</f>
        <v>4</v>
      </c>
      <c r="B461" s="102"/>
      <c r="C461" s="18" t="s">
        <v>189</v>
      </c>
      <c r="D461" s="18">
        <f>(2.75*4.325+2.15*2.4+2.75*3.375+1.975*1.275+2.14*1.3+(1.685+0.688)*0.9+2.75*1.01+2.22*0.925)*10.764</f>
        <v>415.5100443</v>
      </c>
      <c r="E461" s="86">
        <f>(2.75*1.9+2.15*0.8+0.5*(2.5+2.15)*2.75)*10.764</f>
        <v>143.578305</v>
      </c>
      <c r="F461" s="18">
        <f t="shared" si="58"/>
        <v>695.05421894999995</v>
      </c>
      <c r="G461" s="123"/>
      <c r="H461" s="124"/>
      <c r="I461" s="34"/>
      <c r="J461" s="281"/>
      <c r="K461" s="281"/>
      <c r="L461" s="281"/>
      <c r="M461" s="281"/>
      <c r="N461" s="34"/>
      <c r="R461" s="18">
        <f>(2.75*1.9+2.15*0.8+0.5*(2.5+2.15)*2.75)*10.764</f>
        <v>143.578305</v>
      </c>
    </row>
    <row r="462" spans="1:18" s="2" customFormat="1" x14ac:dyDescent="0.3">
      <c r="A462" s="102">
        <f t="shared" si="59"/>
        <v>5</v>
      </c>
      <c r="B462" s="102"/>
      <c r="C462" s="18" t="s">
        <v>189</v>
      </c>
      <c r="D462" s="18">
        <f>(2.75*4.325+2.15*2.4+2.75*3.375+1.975*1.275+2.14*1.3+(1.685+0.688)*0.9+2.75*1.01+2.22*0.925)*10.764</f>
        <v>415.5100443</v>
      </c>
      <c r="E462" s="86">
        <f>(2.75*1.5+2.15*0.35+0.5*(1+1.15)*2.75)*10.764</f>
        <v>84.322484999999986</v>
      </c>
      <c r="F462" s="18">
        <f t="shared" si="58"/>
        <v>707.58755144999998</v>
      </c>
      <c r="G462" s="123"/>
      <c r="H462" s="124"/>
      <c r="I462" s="34"/>
      <c r="J462" s="281"/>
      <c r="K462" s="281"/>
      <c r="L462" s="281"/>
      <c r="M462" s="281"/>
      <c r="N462" s="34"/>
      <c r="R462" s="18">
        <f>(2.75*1.5+2.15*0.35+0.5*(1+1.15)*2.75)*10.764</f>
        <v>84.322484999999986</v>
      </c>
    </row>
    <row r="463" spans="1:18" s="2" customFormat="1" x14ac:dyDescent="0.3">
      <c r="A463" s="102">
        <f t="shared" si="59"/>
        <v>6</v>
      </c>
      <c r="B463" s="102"/>
      <c r="C463" s="18" t="s">
        <v>189</v>
      </c>
      <c r="D463" s="18">
        <f>(2.75*4.325+2.15*2.4+2.75*3.375+1.975*1.275+2.14*1.3+(1.685+0.688)*0.9+2.75*1.01+2.22*0.925)*10.764</f>
        <v>415.5100443</v>
      </c>
      <c r="E463" s="86">
        <v>0</v>
      </c>
      <c r="F463" s="18">
        <f t="shared" si="58"/>
        <v>623.26506644999995</v>
      </c>
      <c r="G463" s="123"/>
      <c r="H463" s="124"/>
      <c r="I463" s="34"/>
      <c r="J463" s="281"/>
      <c r="K463" s="281"/>
      <c r="L463" s="281"/>
      <c r="M463" s="281"/>
      <c r="N463" s="34"/>
    </row>
    <row r="464" spans="1:18" s="2" customFormat="1" x14ac:dyDescent="0.3">
      <c r="A464" s="102">
        <f t="shared" si="59"/>
        <v>7</v>
      </c>
      <c r="B464" s="102"/>
      <c r="C464" s="18" t="s">
        <v>189</v>
      </c>
      <c r="D464" s="18">
        <f>(2.75*4.325+2.15*2.35+2.75*3.375+1.3*(1.9+2.3)+1.2*1.9+2.31*0.9+2.75*1.01)*10.764</f>
        <v>417.90153599999996</v>
      </c>
      <c r="E464" s="86">
        <v>0</v>
      </c>
      <c r="F464" s="18">
        <f t="shared" si="58"/>
        <v>626.852304</v>
      </c>
      <c r="G464" s="123"/>
      <c r="H464" s="124"/>
      <c r="I464" s="34"/>
      <c r="N464" s="34"/>
    </row>
    <row r="465" spans="1:14" s="2" customFormat="1" x14ac:dyDescent="0.3">
      <c r="A465" s="102">
        <f t="shared" si="59"/>
        <v>8</v>
      </c>
      <c r="B465" s="102"/>
      <c r="C465" s="121" t="s">
        <v>281</v>
      </c>
      <c r="D465" s="175"/>
      <c r="E465" s="175"/>
      <c r="F465" s="122"/>
      <c r="G465" s="123"/>
      <c r="H465" s="124"/>
      <c r="I465" s="34"/>
      <c r="N465" s="34"/>
    </row>
    <row r="466" spans="1:14" s="2" customFormat="1" x14ac:dyDescent="0.3">
      <c r="A466" s="102">
        <f t="shared" si="59"/>
        <v>9</v>
      </c>
      <c r="B466" s="102"/>
      <c r="C466" s="128"/>
      <c r="D466" s="176"/>
      <c r="E466" s="176"/>
      <c r="F466" s="129"/>
      <c r="G466" s="123"/>
      <c r="H466" s="124"/>
      <c r="I466" s="34"/>
      <c r="N466" s="34"/>
    </row>
    <row r="467" spans="1:14" s="2" customFormat="1" x14ac:dyDescent="0.3">
      <c r="A467" s="102">
        <f t="shared" si="59"/>
        <v>10</v>
      </c>
      <c r="B467" s="102"/>
      <c r="C467" s="18" t="s">
        <v>189</v>
      </c>
      <c r="D467" s="18">
        <f>(4.3*3.075+2.15*2.3+2.75*3.325+1.3*(2.015+2.3)+0.91*0.9)*10.764</f>
        <v>363.17466899999999</v>
      </c>
      <c r="E467" s="86">
        <v>0</v>
      </c>
      <c r="F467" s="18">
        <f t="shared" ref="F467:F492" si="60">D467*(($F$270)+1)+(IF(E467&lt;101,E467,IF(E467&lt;201,E467/2,IF(E467&lt;=301,E467/3,E467/4))))</f>
        <v>544.76200349999999</v>
      </c>
      <c r="G467" s="123"/>
      <c r="H467" s="124"/>
      <c r="I467" s="34"/>
      <c r="N467" s="34"/>
    </row>
    <row r="468" spans="1:14" s="2" customFormat="1" x14ac:dyDescent="0.3">
      <c r="A468" s="102">
        <f t="shared" si="59"/>
        <v>11</v>
      </c>
      <c r="B468" s="102"/>
      <c r="C468" s="18" t="s">
        <v>188</v>
      </c>
      <c r="D468" s="18">
        <f>(4.35*3.075+2.15*2.75+3.05*(2.775+2.925)+1.3*2.075+2.3*1.44+0.9*(1.46+1.81)+2.34*0.6+1.84*1.2+2.04*1.1)*10.764</f>
        <v>554.1549389999999</v>
      </c>
      <c r="E468" s="86">
        <v>0</v>
      </c>
      <c r="F468" s="18">
        <f t="shared" si="60"/>
        <v>831.23240849999979</v>
      </c>
      <c r="G468" s="128"/>
      <c r="H468" s="129"/>
      <c r="I468" s="34"/>
      <c r="N468" s="34"/>
    </row>
    <row r="469" spans="1:14" s="2" customFormat="1" x14ac:dyDescent="0.3">
      <c r="A469" s="101" t="s">
        <v>327</v>
      </c>
      <c r="B469" s="101"/>
      <c r="C469" s="101"/>
      <c r="D469" s="101"/>
      <c r="E469" s="101"/>
      <c r="F469" s="101"/>
      <c r="G469" s="101"/>
      <c r="H469" s="101"/>
      <c r="I469" s="34">
        <f>6+4+4+5</f>
        <v>19</v>
      </c>
      <c r="M469" s="18">
        <v>10.763999999999999</v>
      </c>
      <c r="N469" s="34"/>
    </row>
    <row r="470" spans="1:14" s="2" customFormat="1" x14ac:dyDescent="0.3">
      <c r="A470" s="102">
        <v>1</v>
      </c>
      <c r="B470" s="102"/>
      <c r="C470" s="18" t="s">
        <v>188</v>
      </c>
      <c r="D470" s="18">
        <f>(4.35*3.075+2.15*2.75+3.05*(2.775+2.925)+1.3*2.075+2.3*1.44+0.9*(1.46+1.81)+2.34*0.6+1.84*1.2+2.04*1.1)*10.764</f>
        <v>554.1549389999999</v>
      </c>
      <c r="E470" s="86">
        <v>0</v>
      </c>
      <c r="F470" s="18">
        <f t="shared" si="60"/>
        <v>831.23240849999979</v>
      </c>
      <c r="G470" s="121" t="str">
        <f>A469</f>
        <v xml:space="preserve">2nd to 7th, 9th to 12th, 14th to 17th &amp; 19th to 23rd Floor </v>
      </c>
      <c r="H470" s="122"/>
      <c r="I470" s="34"/>
      <c r="N470" s="34"/>
    </row>
    <row r="471" spans="1:14" s="2" customFormat="1" x14ac:dyDescent="0.3">
      <c r="A471" s="102">
        <f>A470+1</f>
        <v>2</v>
      </c>
      <c r="B471" s="102"/>
      <c r="C471" s="18" t="s">
        <v>189</v>
      </c>
      <c r="D471" s="18">
        <f>(4.3*3.075+2.15*2.3+2.75*3.325+1.3*(2.015+2.3)+1.2*1.515+0.91*0.9)*10.764</f>
        <v>382.74362099999996</v>
      </c>
      <c r="E471" s="86">
        <v>0</v>
      </c>
      <c r="F471" s="18">
        <f t="shared" si="60"/>
        <v>574.11543149999989</v>
      </c>
      <c r="G471" s="123"/>
      <c r="H471" s="124"/>
      <c r="I471" s="34"/>
      <c r="N471" s="34"/>
    </row>
    <row r="472" spans="1:14" s="2" customFormat="1" x14ac:dyDescent="0.3">
      <c r="A472" s="102">
        <f>A471+1</f>
        <v>3</v>
      </c>
      <c r="B472" s="102"/>
      <c r="C472" s="18" t="s">
        <v>189</v>
      </c>
      <c r="D472" s="18">
        <f>(2.75*4.325+2.15*2.4+2.75*3.375+1.975*1.275+2.14*1.3+(1.685+0.688)*0.9+2.75*1.01+2.22*0.925)*10.764</f>
        <v>415.5100443</v>
      </c>
      <c r="E472" s="86">
        <v>0</v>
      </c>
      <c r="F472" s="18">
        <f t="shared" si="60"/>
        <v>623.26506644999995</v>
      </c>
      <c r="G472" s="123"/>
      <c r="H472" s="124"/>
      <c r="I472" s="34"/>
      <c r="N472" s="34"/>
    </row>
    <row r="473" spans="1:14" s="2" customFormat="1" x14ac:dyDescent="0.3">
      <c r="A473" s="102">
        <f t="shared" ref="A473:A480" si="61">A472+1</f>
        <v>4</v>
      </c>
      <c r="B473" s="102"/>
      <c r="C473" s="18" t="s">
        <v>189</v>
      </c>
      <c r="D473" s="18">
        <f>(2.75*4.325+2.15*2.4+2.75*3.375+1.975*1.275+2.14*1.3+(1.685+0.688)*0.9+2.75*1.01+2.22*0.925)*10.764</f>
        <v>415.5100443</v>
      </c>
      <c r="E473" s="86">
        <v>0</v>
      </c>
      <c r="F473" s="18">
        <f t="shared" si="60"/>
        <v>623.26506644999995</v>
      </c>
      <c r="G473" s="123"/>
      <c r="H473" s="124"/>
      <c r="I473" s="34"/>
      <c r="N473" s="34"/>
    </row>
    <row r="474" spans="1:14" s="2" customFormat="1" x14ac:dyDescent="0.3">
      <c r="A474" s="102">
        <f t="shared" si="61"/>
        <v>5</v>
      </c>
      <c r="B474" s="102"/>
      <c r="C474" s="18" t="s">
        <v>189</v>
      </c>
      <c r="D474" s="18">
        <f>(2.75*4.325+2.15*2.4+2.75*3.375+1.975*1.275+2.14*1.3+(1.685+0.688)*0.9+2.75*1.01+2.22*0.925)*10.764</f>
        <v>415.5100443</v>
      </c>
      <c r="E474" s="86">
        <v>0</v>
      </c>
      <c r="F474" s="18">
        <f t="shared" si="60"/>
        <v>623.26506644999995</v>
      </c>
      <c r="G474" s="123"/>
      <c r="H474" s="124"/>
      <c r="I474" s="34"/>
      <c r="N474" s="34"/>
    </row>
    <row r="475" spans="1:14" s="2" customFormat="1" x14ac:dyDescent="0.3">
      <c r="A475" s="102">
        <f t="shared" si="61"/>
        <v>6</v>
      </c>
      <c r="B475" s="102"/>
      <c r="C475" s="18" t="s">
        <v>189</v>
      </c>
      <c r="D475" s="18">
        <f>(2.75*4.325+2.15*2.4+2.75*3.375+1.975*1.275+2.14*1.3+(1.685+0.688)*0.9+2.75*1.01+2.22*0.925)*10.764</f>
        <v>415.5100443</v>
      </c>
      <c r="E475" s="86">
        <v>0</v>
      </c>
      <c r="F475" s="18">
        <f t="shared" si="60"/>
        <v>623.26506644999995</v>
      </c>
      <c r="G475" s="123"/>
      <c r="H475" s="124"/>
      <c r="I475" s="34"/>
      <c r="N475" s="34"/>
    </row>
    <row r="476" spans="1:14" s="2" customFormat="1" x14ac:dyDescent="0.3">
      <c r="A476" s="102">
        <f t="shared" si="61"/>
        <v>7</v>
      </c>
      <c r="B476" s="102"/>
      <c r="C476" s="18" t="s">
        <v>189</v>
      </c>
      <c r="D476" s="18">
        <f>(2.75*4.325+2.15*2.35+2.75*3.375+1.3*(1.9+2.3)+1.2*1.9+2.31*0.9+2.75*1.01)*10.764</f>
        <v>417.90153599999996</v>
      </c>
      <c r="E476" s="86">
        <v>0</v>
      </c>
      <c r="F476" s="18">
        <f t="shared" si="60"/>
        <v>626.852304</v>
      </c>
      <c r="G476" s="123"/>
      <c r="H476" s="124"/>
      <c r="I476" s="34"/>
      <c r="N476" s="34"/>
    </row>
    <row r="477" spans="1:14" s="2" customFormat="1" ht="15.75" customHeight="1" x14ac:dyDescent="0.3">
      <c r="A477" s="102">
        <f t="shared" si="61"/>
        <v>8</v>
      </c>
      <c r="B477" s="102"/>
      <c r="C477" s="18" t="s">
        <v>189</v>
      </c>
      <c r="D477" s="18">
        <f>(4.175*2.75+2.35*2.15+3.375*2.75+(1.895*1.2)*3+2.35*0.9)*10.764</f>
        <v>374.07052800000002</v>
      </c>
      <c r="E477" s="86">
        <v>0</v>
      </c>
      <c r="F477" s="18">
        <f t="shared" si="60"/>
        <v>561.10579200000006</v>
      </c>
      <c r="G477" s="123"/>
      <c r="H477" s="124"/>
      <c r="I477" s="34"/>
      <c r="N477" s="34"/>
    </row>
    <row r="478" spans="1:14" s="2" customFormat="1" x14ac:dyDescent="0.3">
      <c r="A478" s="102">
        <f t="shared" si="61"/>
        <v>9</v>
      </c>
      <c r="B478" s="102"/>
      <c r="C478" s="18" t="s">
        <v>189</v>
      </c>
      <c r="D478" s="18">
        <f>(4.175*2.75+2.35*2.15+3.375*2.75+(1.895*1.2)*3+2.35*0.9)*10.764</f>
        <v>374.07052800000002</v>
      </c>
      <c r="E478" s="86">
        <v>0</v>
      </c>
      <c r="F478" s="18">
        <f t="shared" si="60"/>
        <v>561.10579200000006</v>
      </c>
      <c r="G478" s="123"/>
      <c r="H478" s="124"/>
      <c r="I478" s="34"/>
      <c r="N478" s="34"/>
    </row>
    <row r="479" spans="1:14" s="2" customFormat="1" x14ac:dyDescent="0.3">
      <c r="A479" s="102">
        <f t="shared" si="61"/>
        <v>10</v>
      </c>
      <c r="B479" s="102"/>
      <c r="C479" s="18" t="s">
        <v>189</v>
      </c>
      <c r="D479" s="18">
        <f>(4.3*3.075+2.15*2.3+2.75*3.325+1.3*(2.015+2.3)+0.91*0.9)*10.764</f>
        <v>363.17466899999999</v>
      </c>
      <c r="E479" s="86">
        <v>0</v>
      </c>
      <c r="F479" s="18">
        <f t="shared" si="60"/>
        <v>544.76200349999999</v>
      </c>
      <c r="G479" s="123"/>
      <c r="H479" s="124"/>
      <c r="I479" s="34"/>
      <c r="N479" s="34"/>
    </row>
    <row r="480" spans="1:14" s="2" customFormat="1" x14ac:dyDescent="0.3">
      <c r="A480" s="102">
        <f t="shared" si="61"/>
        <v>11</v>
      </c>
      <c r="B480" s="102"/>
      <c r="C480" s="18" t="s">
        <v>188</v>
      </c>
      <c r="D480" s="18">
        <f>(4.35*3.075+2.15*2.75+3.05*(2.775+2.925)+1.3*2.075+2.3*1.44+0.9*(1.46+1.81)+2.34*0.6+1.84*1.2+2.04*1.1)*10.764</f>
        <v>554.1549389999999</v>
      </c>
      <c r="E480" s="86">
        <v>0</v>
      </c>
      <c r="F480" s="18">
        <f t="shared" si="60"/>
        <v>831.23240849999979</v>
      </c>
      <c r="G480" s="128"/>
      <c r="H480" s="129"/>
      <c r="I480" s="34"/>
      <c r="N480" s="34"/>
    </row>
    <row r="481" spans="1:14" s="2" customFormat="1" x14ac:dyDescent="0.3">
      <c r="A481" s="101" t="s">
        <v>259</v>
      </c>
      <c r="B481" s="101"/>
      <c r="C481" s="101"/>
      <c r="D481" s="101"/>
      <c r="E481" s="101"/>
      <c r="F481" s="101"/>
      <c r="G481" s="101"/>
      <c r="H481" s="101"/>
      <c r="I481" s="34">
        <v>3</v>
      </c>
      <c r="M481" s="18">
        <v>10.763999999999999</v>
      </c>
      <c r="N481" s="34"/>
    </row>
    <row r="482" spans="1:14" s="2" customFormat="1" x14ac:dyDescent="0.3">
      <c r="A482" s="102">
        <v>1</v>
      </c>
      <c r="B482" s="102"/>
      <c r="C482" s="18" t="s">
        <v>188</v>
      </c>
      <c r="D482" s="18">
        <f>(4.35*3.075+2.15*2.75+3.05*(2.775+2.925)+1.3*2.075+2.3*1.44+0.9*(1.46+1.81)+2.34*0.6+1.84*1.2+2.04*1.1)*10.764</f>
        <v>554.1549389999999</v>
      </c>
      <c r="E482" s="86">
        <v>0</v>
      </c>
      <c r="F482" s="18">
        <f t="shared" si="60"/>
        <v>831.23240849999979</v>
      </c>
      <c r="G482" s="121" t="str">
        <f>A481</f>
        <v>8th, 13th &amp; 18th Floor (Part Refuge Area)</v>
      </c>
      <c r="H482" s="122"/>
      <c r="I482" s="34"/>
      <c r="N482" s="34"/>
    </row>
    <row r="483" spans="1:14" s="2" customFormat="1" x14ac:dyDescent="0.3">
      <c r="A483" s="102">
        <f>A482+1</f>
        <v>2</v>
      </c>
      <c r="B483" s="102"/>
      <c r="C483" s="18" t="s">
        <v>189</v>
      </c>
      <c r="D483" s="18">
        <f>(4.3*3.075+2.15*2.3+2.75*3.325+1.3*(2.015+2.3)+1.2*1.515+0.91*0.9)*10.764</f>
        <v>382.74362099999996</v>
      </c>
      <c r="E483" s="86">
        <v>0</v>
      </c>
      <c r="F483" s="18">
        <f t="shared" si="60"/>
        <v>574.11543149999989</v>
      </c>
      <c r="G483" s="123"/>
      <c r="H483" s="124"/>
      <c r="I483" s="34"/>
      <c r="N483" s="34"/>
    </row>
    <row r="484" spans="1:14" s="2" customFormat="1" x14ac:dyDescent="0.3">
      <c r="A484" s="102">
        <f>A483+1</f>
        <v>3</v>
      </c>
      <c r="B484" s="102"/>
      <c r="C484" s="18" t="s">
        <v>189</v>
      </c>
      <c r="D484" s="18">
        <f>(2.75*4.325+2.15*2.4+2.75*3.375+1.975*1.275+2.14*1.3+(1.685+0.688)*0.9+2.75*1.01+2.22*0.925)*10.764</f>
        <v>415.5100443</v>
      </c>
      <c r="E484" s="86">
        <v>0</v>
      </c>
      <c r="F484" s="18">
        <f t="shared" si="60"/>
        <v>623.26506644999995</v>
      </c>
      <c r="G484" s="123"/>
      <c r="H484" s="124"/>
      <c r="I484" s="34"/>
      <c r="N484" s="34"/>
    </row>
    <row r="485" spans="1:14" s="2" customFormat="1" x14ac:dyDescent="0.3">
      <c r="A485" s="102">
        <f t="shared" ref="A485:A492" si="62">A484+1</f>
        <v>4</v>
      </c>
      <c r="B485" s="102"/>
      <c r="C485" s="18" t="s">
        <v>189</v>
      </c>
      <c r="D485" s="18">
        <f>(2.75*4.325+2.15*2.4+2.75*3.375+1.975*1.275+2.14*1.3+(1.685+0.688)*0.9+2.75*1.01+2.22*0.925)*10.764</f>
        <v>415.5100443</v>
      </c>
      <c r="E485" s="86">
        <v>0</v>
      </c>
      <c r="F485" s="18">
        <f t="shared" si="60"/>
        <v>623.26506644999995</v>
      </c>
      <c r="G485" s="123"/>
      <c r="H485" s="124"/>
      <c r="I485" s="34"/>
      <c r="N485" s="34"/>
    </row>
    <row r="486" spans="1:14" s="2" customFormat="1" x14ac:dyDescent="0.3">
      <c r="A486" s="102">
        <f t="shared" si="62"/>
        <v>5</v>
      </c>
      <c r="B486" s="102"/>
      <c r="C486" s="18" t="s">
        <v>189</v>
      </c>
      <c r="D486" s="18">
        <f>(2.75*4.325+2.15*2.4+2.75*3.375+1.975*1.275+2.14*1.3+(1.685+0.688)*0.9+2.75*1.01+2.22*0.925)*10.764</f>
        <v>415.5100443</v>
      </c>
      <c r="E486" s="86">
        <v>0</v>
      </c>
      <c r="F486" s="18">
        <f t="shared" si="60"/>
        <v>623.26506644999995</v>
      </c>
      <c r="G486" s="123"/>
      <c r="H486" s="124"/>
      <c r="I486" s="34"/>
      <c r="N486" s="34"/>
    </row>
    <row r="487" spans="1:14" s="2" customFormat="1" x14ac:dyDescent="0.3">
      <c r="A487" s="102">
        <f t="shared" si="62"/>
        <v>6</v>
      </c>
      <c r="B487" s="102"/>
      <c r="C487" s="18" t="s">
        <v>189</v>
      </c>
      <c r="D487" s="18">
        <f>(2.75*4.325+2.15*2.4+2.75*3.375+1.975*1.275+2.14*1.3+(1.685+0.688)*0.9+2.75*1.01+2.22*0.925)*10.764</f>
        <v>415.5100443</v>
      </c>
      <c r="E487" s="86">
        <v>0</v>
      </c>
      <c r="F487" s="18">
        <f t="shared" si="60"/>
        <v>623.26506644999995</v>
      </c>
      <c r="G487" s="123"/>
      <c r="H487" s="124"/>
      <c r="I487" s="34"/>
      <c r="N487" s="34"/>
    </row>
    <row r="488" spans="1:14" s="2" customFormat="1" x14ac:dyDescent="0.3">
      <c r="A488" s="102">
        <f t="shared" si="62"/>
        <v>7</v>
      </c>
      <c r="B488" s="102"/>
      <c r="C488" s="18" t="s">
        <v>189</v>
      </c>
      <c r="D488" s="18">
        <f>(2.75*4.325+2.15*2.35+2.75*3.375+1.3*(1.9+2.3)+1.2*1.9+2.31*0.9+2.75*1.01)*10.764</f>
        <v>417.90153599999996</v>
      </c>
      <c r="E488" s="86">
        <v>0</v>
      </c>
      <c r="F488" s="18">
        <f t="shared" si="60"/>
        <v>626.852304</v>
      </c>
      <c r="G488" s="123"/>
      <c r="H488" s="124"/>
      <c r="I488" s="34"/>
      <c r="N488" s="34"/>
    </row>
    <row r="489" spans="1:14" s="2" customFormat="1" ht="15.75" customHeight="1" x14ac:dyDescent="0.3">
      <c r="A489" s="102">
        <f t="shared" si="62"/>
        <v>8</v>
      </c>
      <c r="B489" s="102"/>
      <c r="C489" s="130" t="s">
        <v>191</v>
      </c>
      <c r="D489" s="131"/>
      <c r="E489" s="131"/>
      <c r="F489" s="132"/>
      <c r="G489" s="123"/>
      <c r="H489" s="124"/>
      <c r="I489" s="34"/>
      <c r="N489" s="34"/>
    </row>
    <row r="490" spans="1:14" s="2" customFormat="1" x14ac:dyDescent="0.3">
      <c r="A490" s="102">
        <f t="shared" si="62"/>
        <v>9</v>
      </c>
      <c r="B490" s="102"/>
      <c r="C490" s="18" t="s">
        <v>189</v>
      </c>
      <c r="D490" s="18">
        <f>(4.175*2.75+2.35*2.15+3.375*2.75+(1.895*1.2)*3+2.35*0.9)*10.764</f>
        <v>374.07052800000002</v>
      </c>
      <c r="E490" s="86">
        <v>0</v>
      </c>
      <c r="F490" s="18">
        <f t="shared" si="60"/>
        <v>561.10579200000006</v>
      </c>
      <c r="G490" s="123"/>
      <c r="H490" s="124"/>
      <c r="I490" s="34"/>
      <c r="N490" s="34"/>
    </row>
    <row r="491" spans="1:14" s="2" customFormat="1" x14ac:dyDescent="0.3">
      <c r="A491" s="102">
        <f t="shared" si="62"/>
        <v>10</v>
      </c>
      <c r="B491" s="102"/>
      <c r="C491" s="18" t="s">
        <v>189</v>
      </c>
      <c r="D491" s="18">
        <f>(4.3*3.075+2.15*2.3+2.75*3.325+1.3*(2.015+2.3)+0.91*0.9)*10.764</f>
        <v>363.17466899999999</v>
      </c>
      <c r="E491" s="86">
        <v>0</v>
      </c>
      <c r="F491" s="18">
        <f t="shared" si="60"/>
        <v>544.76200349999999</v>
      </c>
      <c r="G491" s="123"/>
      <c r="H491" s="124"/>
      <c r="I491" s="34"/>
      <c r="N491" s="34"/>
    </row>
    <row r="492" spans="1:14" s="2" customFormat="1" x14ac:dyDescent="0.3">
      <c r="A492" s="102">
        <f t="shared" si="62"/>
        <v>11</v>
      </c>
      <c r="B492" s="102"/>
      <c r="C492" s="18" t="s">
        <v>188</v>
      </c>
      <c r="D492" s="18">
        <f>(4.35*3.075+2.15*2.75+3.05*(2.775+2.925)+1.3*2.075+2.3*1.44+0.9*(1.46+1.81)+2.34*0.6+1.84*1.2+2.04*1.1)*10.764</f>
        <v>554.1549389999999</v>
      </c>
      <c r="E492" s="86">
        <v>0</v>
      </c>
      <c r="F492" s="18">
        <f t="shared" si="60"/>
        <v>831.23240849999979</v>
      </c>
      <c r="G492" s="128"/>
      <c r="H492" s="129"/>
      <c r="I492" s="34"/>
      <c r="N492" s="34"/>
    </row>
    <row r="493" spans="1:14" s="2" customFormat="1" x14ac:dyDescent="0.3">
      <c r="A493" s="125" t="s">
        <v>255</v>
      </c>
      <c r="B493" s="126"/>
      <c r="C493" s="126"/>
      <c r="D493" s="126"/>
      <c r="E493" s="126"/>
      <c r="F493" s="126"/>
      <c r="G493" s="126"/>
      <c r="H493" s="127"/>
      <c r="I493" s="34"/>
      <c r="N493" s="34"/>
    </row>
    <row r="494" spans="1:14" s="2" customFormat="1" x14ac:dyDescent="0.3">
      <c r="A494" s="103" t="s">
        <v>192</v>
      </c>
      <c r="B494" s="104"/>
      <c r="C494" s="104"/>
      <c r="D494" s="104"/>
      <c r="E494" s="104"/>
      <c r="F494" s="104"/>
      <c r="G494" s="104"/>
      <c r="H494" s="105"/>
      <c r="I494" s="70">
        <v>10.763999999999999</v>
      </c>
      <c r="N494" s="34"/>
    </row>
    <row r="495" spans="1:14" s="2" customFormat="1" x14ac:dyDescent="0.3">
      <c r="A495" s="103" t="s">
        <v>262</v>
      </c>
      <c r="B495" s="104"/>
      <c r="C495" s="104"/>
      <c r="D495" s="104"/>
      <c r="E495" s="104"/>
      <c r="F495" s="104"/>
      <c r="G495" s="104"/>
      <c r="H495" s="105"/>
      <c r="I495" s="34"/>
      <c r="N495" s="34"/>
    </row>
    <row r="496" spans="1:14" s="2" customFormat="1" x14ac:dyDescent="0.3">
      <c r="A496" s="18">
        <v>1</v>
      </c>
      <c r="B496" s="18" t="s">
        <v>261</v>
      </c>
      <c r="C496" s="18" t="s">
        <v>188</v>
      </c>
      <c r="D496" s="70">
        <f>(2.9*4.6+2.15*3.05+2.75*3.05+2.87*3.05+2.1*0.6+1.15*2.1+1.3*2.05+5.4*0.9+(2.9*0.9))*10.764</f>
        <v>547.3332539999999</v>
      </c>
      <c r="E496" s="70">
        <v>0</v>
      </c>
      <c r="F496" s="18">
        <f>D496*(($F$270)+1)+E496</f>
        <v>820.99988099999985</v>
      </c>
      <c r="G496" s="121" t="str">
        <f>A495</f>
        <v>1st Floor for Residential (Part Society Office)</v>
      </c>
      <c r="H496" s="122"/>
      <c r="I496" s="34"/>
      <c r="N496" s="34"/>
    </row>
    <row r="497" spans="1:14" s="2" customFormat="1" x14ac:dyDescent="0.3">
      <c r="A497" s="18">
        <f>A496+1</f>
        <v>2</v>
      </c>
      <c r="B497" s="18" t="s">
        <v>261</v>
      </c>
      <c r="C497" s="18" t="s">
        <v>188</v>
      </c>
      <c r="D497" s="70">
        <f>(2.9*4.6+2.15*3.05+2.75*3.05+2.885*3.05+2.1*0.6+1.2*2.1+1.3*2.05+5.4*0.9+(2.9*0.9))*10.764</f>
        <v>548.95592699999997</v>
      </c>
      <c r="E497" s="70">
        <v>0</v>
      </c>
      <c r="F497" s="18">
        <f>D497*(($F$270)+1)+E497</f>
        <v>823.43389049999996</v>
      </c>
      <c r="G497" s="123"/>
      <c r="H497" s="124"/>
      <c r="I497" s="34"/>
      <c r="N497" s="34"/>
    </row>
    <row r="498" spans="1:14" s="2" customFormat="1" x14ac:dyDescent="0.3">
      <c r="A498" s="18">
        <f>A497+1</f>
        <v>3</v>
      </c>
      <c r="B498" s="18" t="s">
        <v>261</v>
      </c>
      <c r="C498" s="18" t="s">
        <v>188</v>
      </c>
      <c r="D498" s="70">
        <f>(2.9*4.6+2.15*3.05+2.75*3.05+2.885*3.05+2.1*0.6+1.2*2.1+1.3*2.05+5.4*0.9+(2.9*0.9))*10.764</f>
        <v>548.95592699999997</v>
      </c>
      <c r="E498" s="70">
        <v>0</v>
      </c>
      <c r="F498" s="18">
        <f>D498*(($F$270)+1)+E498</f>
        <v>823.43389049999996</v>
      </c>
      <c r="G498" s="123"/>
      <c r="H498" s="124"/>
      <c r="I498" s="34"/>
      <c r="N498" s="34"/>
    </row>
    <row r="499" spans="1:14" s="2" customFormat="1" x14ac:dyDescent="0.3">
      <c r="A499" s="18">
        <f t="shared" ref="A499:A504" si="63">A498+1</f>
        <v>4</v>
      </c>
      <c r="B499" s="18" t="s">
        <v>261</v>
      </c>
      <c r="C499" s="18" t="s">
        <v>188</v>
      </c>
      <c r="D499" s="70">
        <f>(2.82*4.6+2.15*3.05+2.75*3.05+2.85*3.05+2.1*0.6+1.2*2.1+1.2*2.05+5.4*0.9+(2.82*0.9))*10.764</f>
        <v>540.86408999999992</v>
      </c>
      <c r="E499" s="70">
        <v>0</v>
      </c>
      <c r="F499" s="18">
        <f>D499*(($F$270)+1)+E499</f>
        <v>811.29613499999982</v>
      </c>
      <c r="G499" s="123"/>
      <c r="H499" s="124"/>
      <c r="I499" s="34"/>
      <c r="N499" s="34"/>
    </row>
    <row r="500" spans="1:14" s="2" customFormat="1" x14ac:dyDescent="0.3">
      <c r="A500" s="18">
        <f t="shared" si="63"/>
        <v>5</v>
      </c>
      <c r="B500" s="18" t="s">
        <v>261</v>
      </c>
      <c r="C500" s="18" t="s">
        <v>188</v>
      </c>
      <c r="D500" s="70">
        <f>(2.82*4.6+2.15*3.05+2.75*3.05+2.85*3.05+2.1*0.6+1.2*2.1+1.2*2.06+5.4*0.9)*10.764</f>
        <v>513.67422599999998</v>
      </c>
      <c r="E500" s="70">
        <f>(5.6*0.9+2.6*2.9)*10.764</f>
        <v>135.41111999999998</v>
      </c>
      <c r="F500" s="18">
        <f>D500*(($F$270)+1)+E500</f>
        <v>905.92245899999989</v>
      </c>
      <c r="G500" s="123"/>
      <c r="H500" s="124"/>
      <c r="I500" s="34"/>
      <c r="N500" s="34"/>
    </row>
    <row r="501" spans="1:14" s="2" customFormat="1" x14ac:dyDescent="0.3">
      <c r="A501" s="18">
        <f t="shared" si="63"/>
        <v>6</v>
      </c>
      <c r="B501" s="130" t="s">
        <v>263</v>
      </c>
      <c r="C501" s="131"/>
      <c r="D501" s="131"/>
      <c r="E501" s="131"/>
      <c r="F501" s="132"/>
      <c r="G501" s="123"/>
      <c r="H501" s="124"/>
      <c r="I501" s="34"/>
      <c r="N501" s="34"/>
    </row>
    <row r="502" spans="1:14" s="2" customFormat="1" x14ac:dyDescent="0.3">
      <c r="A502" s="18">
        <f t="shared" si="63"/>
        <v>7</v>
      </c>
      <c r="B502" s="18" t="s">
        <v>261</v>
      </c>
      <c r="C502" s="18" t="s">
        <v>188</v>
      </c>
      <c r="D502" s="70">
        <f>(3*4.6+2.15*3.05+2.75*3.35+3.04*3.5+2.15*1.15+2.09*1.2+3*0.9+(3*0.9))*10.764</f>
        <v>544.55614200000002</v>
      </c>
      <c r="E502" s="70">
        <v>0</v>
      </c>
      <c r="F502" s="18">
        <f>D502*(($F$270)+1)+E502</f>
        <v>816.83421300000009</v>
      </c>
      <c r="G502" s="123"/>
      <c r="H502" s="124"/>
      <c r="I502" s="34"/>
      <c r="N502" s="34"/>
    </row>
    <row r="503" spans="1:14" s="2" customFormat="1" x14ac:dyDescent="0.3">
      <c r="A503" s="18">
        <f t="shared" si="63"/>
        <v>8</v>
      </c>
      <c r="B503" s="18" t="s">
        <v>261</v>
      </c>
      <c r="C503" s="18" t="s">
        <v>188</v>
      </c>
      <c r="D503" s="70">
        <f>(3*4.6+2.15*3.05+2.75*3.35+3.04*3.5+2.15*1.15+2.09*1.2+3*0.9+(3*0.9))*10.764</f>
        <v>544.55614200000002</v>
      </c>
      <c r="E503" s="70">
        <v>0</v>
      </c>
      <c r="F503" s="18">
        <f>D503*(($F$270)+1)+E503</f>
        <v>816.83421300000009</v>
      </c>
      <c r="G503" s="123"/>
      <c r="H503" s="124"/>
      <c r="I503" s="34"/>
      <c r="J503" s="2">
        <f>23*11</f>
        <v>253</v>
      </c>
      <c r="N503" s="34"/>
    </row>
    <row r="504" spans="1:14" s="2" customFormat="1" x14ac:dyDescent="0.3">
      <c r="A504" s="18">
        <f t="shared" si="63"/>
        <v>9</v>
      </c>
      <c r="B504" s="18" t="s">
        <v>261</v>
      </c>
      <c r="C504" s="18" t="s">
        <v>188</v>
      </c>
      <c r="D504" s="70">
        <f>(2.82*4.6+2.15*3.05+2.75*3.05+2.85*3.05+2.1*0.6+2.05*1.3+2.05*1.2+5.4*0.9+(2.82*0.9))*10.764</f>
        <v>542.42486999999983</v>
      </c>
      <c r="E504" s="70">
        <f>(1.2*2.9+6.4*1.2+4.9*1.1)*10.764</f>
        <v>178.14419999999998</v>
      </c>
      <c r="F504" s="18">
        <f>D504*(($F$270)+1)+E504</f>
        <v>991.7815049999997</v>
      </c>
      <c r="G504" s="123"/>
      <c r="H504" s="124"/>
      <c r="I504" s="34"/>
      <c r="N504" s="34"/>
    </row>
    <row r="505" spans="1:14" s="2" customFormat="1" ht="15.75" customHeight="1" x14ac:dyDescent="0.3">
      <c r="A505" s="18">
        <v>10</v>
      </c>
      <c r="B505" s="18" t="s">
        <v>261</v>
      </c>
      <c r="C505" s="18" t="s">
        <v>188</v>
      </c>
      <c r="D505" s="70">
        <f>(2.9*4.6+2.15*3.05+2.75*3.05+2.885*3.05+2.1*0.6+1.2*2.1+1.3*2.05+5.4*0.9+(2.9*0.9))*10.764</f>
        <v>548.95592699999997</v>
      </c>
      <c r="E505" s="70">
        <v>0</v>
      </c>
      <c r="F505" s="18">
        <f>D505*(($F$270)+1)+E505</f>
        <v>823.43389049999996</v>
      </c>
      <c r="G505" s="123"/>
      <c r="H505" s="124"/>
      <c r="I505" s="34"/>
      <c r="N505" s="34"/>
    </row>
    <row r="506" spans="1:14" s="2" customFormat="1" x14ac:dyDescent="0.3">
      <c r="A506" s="18">
        <v>11</v>
      </c>
      <c r="B506" s="18" t="s">
        <v>261</v>
      </c>
      <c r="C506" s="18" t="s">
        <v>188</v>
      </c>
      <c r="D506" s="70">
        <f>(2.9*4.6+2.15*3.05+2.75*3.05+2.87*3.05+2.1*0.6+1.15*2.1+1.3*2.05+5.4*0.9+(2.9*0.9))*10.764</f>
        <v>547.3332539999999</v>
      </c>
      <c r="E506" s="70">
        <v>0</v>
      </c>
      <c r="F506" s="18">
        <f>D506*(($F$270)+1)+E506</f>
        <v>820.99988099999985</v>
      </c>
      <c r="G506" s="128"/>
      <c r="H506" s="129"/>
      <c r="I506" s="34"/>
      <c r="N506" s="34"/>
    </row>
    <row r="507" spans="1:14" s="2" customFormat="1" x14ac:dyDescent="0.3">
      <c r="A507" s="101" t="s">
        <v>151</v>
      </c>
      <c r="B507" s="101"/>
      <c r="C507" s="101"/>
      <c r="D507" s="101"/>
      <c r="E507" s="101"/>
      <c r="F507" s="101"/>
      <c r="G507" s="101"/>
      <c r="H507" s="101"/>
      <c r="I507" s="34"/>
      <c r="N507" s="34"/>
    </row>
    <row r="508" spans="1:14" s="2" customFormat="1" x14ac:dyDescent="0.3">
      <c r="A508" s="18">
        <v>1</v>
      </c>
      <c r="B508" s="18" t="s">
        <v>229</v>
      </c>
      <c r="C508" s="18" t="s">
        <v>188</v>
      </c>
      <c r="D508" s="70">
        <f>(2.9*4.6+2.15*3.05+2.75*3.05+2.87*3.05+2.1*0.6+1.15*2.1+1.3*2.05+5.4*0.9+(2.9*0.9))*10.764</f>
        <v>547.3332539999999</v>
      </c>
      <c r="E508" s="70">
        <v>0</v>
      </c>
      <c r="F508" s="18">
        <f t="shared" ref="F508:F518" si="64">D508*(($F$270)+1)+E508</f>
        <v>820.99988099999985</v>
      </c>
      <c r="G508" s="102" t="str">
        <f>A507</f>
        <v>2nd Floor</v>
      </c>
      <c r="H508" s="102"/>
      <c r="I508" s="34"/>
      <c r="N508" s="34"/>
    </row>
    <row r="509" spans="1:14" s="2" customFormat="1" x14ac:dyDescent="0.3">
      <c r="A509" s="18">
        <f>A508+1</f>
        <v>2</v>
      </c>
      <c r="B509" s="18" t="s">
        <v>229</v>
      </c>
      <c r="C509" s="18" t="s">
        <v>188</v>
      </c>
      <c r="D509" s="70">
        <f>(2.9*4.6+2.15*3.05+2.75*3.05+2.885*3.05+2.1*0.6+1.2*2.1+1.3*2.05+5.4*0.9+(2.9*0.9))*10.764</f>
        <v>548.95592699999997</v>
      </c>
      <c r="E509" s="70">
        <v>0</v>
      </c>
      <c r="F509" s="18">
        <f t="shared" si="64"/>
        <v>823.43389049999996</v>
      </c>
      <c r="G509" s="102"/>
      <c r="H509" s="102"/>
      <c r="I509" s="34"/>
      <c r="N509" s="34"/>
    </row>
    <row r="510" spans="1:14" s="2" customFormat="1" x14ac:dyDescent="0.3">
      <c r="A510" s="18">
        <f>A509+1</f>
        <v>3</v>
      </c>
      <c r="B510" s="18" t="s">
        <v>229</v>
      </c>
      <c r="C510" s="18" t="s">
        <v>188</v>
      </c>
      <c r="D510" s="70">
        <f>(2.9*4.6+2.15*3.05+2.75*3.05+2.885*3.05+2.1*0.6+1.2*2.1+1.3*2.05+5.4*0.9+(2.9*0.9))*10.764</f>
        <v>548.95592699999997</v>
      </c>
      <c r="E510" s="70">
        <v>0</v>
      </c>
      <c r="F510" s="18">
        <f t="shared" si="64"/>
        <v>823.43389049999996</v>
      </c>
      <c r="G510" s="102"/>
      <c r="H510" s="102"/>
      <c r="I510" s="34"/>
      <c r="N510" s="34"/>
    </row>
    <row r="511" spans="1:14" s="2" customFormat="1" x14ac:dyDescent="0.3">
      <c r="A511" s="18">
        <f t="shared" ref="A511:A516" si="65">A510+1</f>
        <v>4</v>
      </c>
      <c r="B511" s="18" t="s">
        <v>229</v>
      </c>
      <c r="C511" s="18" t="s">
        <v>188</v>
      </c>
      <c r="D511" s="70">
        <f>(2.82*4.6+2.15*3.05+2.75*3.05+2.85*3.05+2.1*0.6+1.2*2.1+1.2*2.05+5.4*0.9+(2.82*0.9))*10.764</f>
        <v>540.86408999999992</v>
      </c>
      <c r="E511" s="70">
        <v>0</v>
      </c>
      <c r="F511" s="18">
        <f t="shared" si="64"/>
        <v>811.29613499999982</v>
      </c>
      <c r="G511" s="102"/>
      <c r="H511" s="102"/>
      <c r="I511" s="34"/>
      <c r="N511" s="34"/>
    </row>
    <row r="512" spans="1:14" s="2" customFormat="1" x14ac:dyDescent="0.3">
      <c r="A512" s="18">
        <f t="shared" si="65"/>
        <v>5</v>
      </c>
      <c r="B512" s="18" t="s">
        <v>229</v>
      </c>
      <c r="C512" s="18" t="s">
        <v>188</v>
      </c>
      <c r="D512" s="70">
        <f>(2.82*4.6+2.15*3.05+2.75*3.05+2.85*3.05+2.1*0.6+1.2*2.1+1.2*2.06+5.4*0.9+(2.82*0.9))*10.764</f>
        <v>540.99325799999997</v>
      </c>
      <c r="E512" s="70">
        <v>0</v>
      </c>
      <c r="F512" s="18">
        <f t="shared" si="64"/>
        <v>811.48988699999995</v>
      </c>
      <c r="G512" s="102"/>
      <c r="H512" s="102"/>
      <c r="I512" s="34"/>
      <c r="N512" s="34"/>
    </row>
    <row r="513" spans="1:14" s="2" customFormat="1" x14ac:dyDescent="0.3">
      <c r="A513" s="18">
        <f t="shared" si="65"/>
        <v>6</v>
      </c>
      <c r="B513" s="18" t="s">
        <v>229</v>
      </c>
      <c r="C513" s="18" t="s">
        <v>188</v>
      </c>
      <c r="D513" s="70">
        <f>(2.82*4.6+2.15*3.05+2.75*3.05+2.85*3.05+2.1*0.6+2.05*1.3+2.05*1.2+5.4*0.9)*10.764</f>
        <v>515.10583799999995</v>
      </c>
      <c r="E513" s="70">
        <f>(2.1*2.82+1.45*2.85)*10.764</f>
        <v>108.22663800000001</v>
      </c>
      <c r="F513" s="18">
        <f t="shared" si="64"/>
        <v>880.8853949999999</v>
      </c>
      <c r="G513" s="102"/>
      <c r="H513" s="102"/>
      <c r="I513" s="34"/>
      <c r="N513" s="34"/>
    </row>
    <row r="514" spans="1:14" s="2" customFormat="1" x14ac:dyDescent="0.3">
      <c r="A514" s="18">
        <f t="shared" si="65"/>
        <v>7</v>
      </c>
      <c r="B514" s="18" t="s">
        <v>229</v>
      </c>
      <c r="C514" s="18" t="s">
        <v>188</v>
      </c>
      <c r="D514" s="70">
        <f>(3*4.6+2.15*3.05+2.75*3.35+3.04*3.5+2.15*1.15+2.09*1.2+3*0.9+(3*0.9))*10.764</f>
        <v>544.55614200000002</v>
      </c>
      <c r="E514" s="70">
        <v>0</v>
      </c>
      <c r="F514" s="18">
        <f t="shared" si="64"/>
        <v>816.83421300000009</v>
      </c>
      <c r="G514" s="102"/>
      <c r="H514" s="102"/>
      <c r="I514" s="34"/>
      <c r="N514" s="34"/>
    </row>
    <row r="515" spans="1:14" s="2" customFormat="1" x14ac:dyDescent="0.3">
      <c r="A515" s="18">
        <f t="shared" si="65"/>
        <v>8</v>
      </c>
      <c r="B515" s="18" t="s">
        <v>229</v>
      </c>
      <c r="C515" s="18" t="s">
        <v>188</v>
      </c>
      <c r="D515" s="70">
        <f>(3*4.6+2.15*3.05+2.75*3.35+3.04*3.5+2.15*1.15+2.09*1.2+3*0.9+(3*0.9))*10.764</f>
        <v>544.55614200000002</v>
      </c>
      <c r="E515" s="70">
        <v>0</v>
      </c>
      <c r="F515" s="18">
        <f t="shared" si="64"/>
        <v>816.83421300000009</v>
      </c>
      <c r="G515" s="102"/>
      <c r="H515" s="102"/>
      <c r="I515" s="34"/>
      <c r="N515" s="34"/>
    </row>
    <row r="516" spans="1:14" s="2" customFormat="1" x14ac:dyDescent="0.3">
      <c r="A516" s="18">
        <f t="shared" si="65"/>
        <v>9</v>
      </c>
      <c r="B516" s="18" t="s">
        <v>229</v>
      </c>
      <c r="C516" s="18" t="s">
        <v>188</v>
      </c>
      <c r="D516" s="70">
        <f>(2.82*4.6+2.15*3.05+2.75*3.05+2.85*3.05+2.1*0.6+2.05*1.3+2.05*1.2+5.4*0.9+(2.82*0.9))*10.764</f>
        <v>542.42486999999983</v>
      </c>
      <c r="E516" s="70">
        <v>0</v>
      </c>
      <c r="F516" s="18">
        <f t="shared" si="64"/>
        <v>813.63730499999974</v>
      </c>
      <c r="G516" s="102"/>
      <c r="H516" s="102"/>
      <c r="I516" s="34"/>
      <c r="N516" s="34"/>
    </row>
    <row r="517" spans="1:14" s="2" customFormat="1" x14ac:dyDescent="0.3">
      <c r="A517" s="18">
        <v>10</v>
      </c>
      <c r="B517" s="18" t="s">
        <v>229</v>
      </c>
      <c r="C517" s="18" t="s">
        <v>188</v>
      </c>
      <c r="D517" s="70">
        <f>(2.9*4.6+2.15*3.05+2.75*3.05+2.885*3.05+2.1*0.6+1.2*2.1+1.3*2.05+5.4*0.9+(2.9*0.9))*10.764</f>
        <v>548.95592699999997</v>
      </c>
      <c r="E517" s="70">
        <v>0</v>
      </c>
      <c r="F517" s="18">
        <f t="shared" si="64"/>
        <v>823.43389049999996</v>
      </c>
      <c r="G517" s="102"/>
      <c r="H517" s="102"/>
      <c r="I517" s="34"/>
      <c r="N517" s="34"/>
    </row>
    <row r="518" spans="1:14" s="2" customFormat="1" x14ac:dyDescent="0.3">
      <c r="A518" s="18">
        <v>11</v>
      </c>
      <c r="B518" s="18" t="s">
        <v>229</v>
      </c>
      <c r="C518" s="18" t="s">
        <v>188</v>
      </c>
      <c r="D518" s="70">
        <f>(2.9*4.6+2.15*3.05+2.75*3.05+2.87*3.05+2.1*0.6+1.15*2.1+1.3*2.05+5.4*0.9+(2.9*0.9))*10.764</f>
        <v>547.3332539999999</v>
      </c>
      <c r="E518" s="70">
        <v>0</v>
      </c>
      <c r="F518" s="18">
        <f t="shared" si="64"/>
        <v>820.99988099999985</v>
      </c>
      <c r="G518" s="102"/>
      <c r="H518" s="102"/>
      <c r="I518" s="34"/>
      <c r="N518" s="34"/>
    </row>
    <row r="519" spans="1:14" s="2" customFormat="1" x14ac:dyDescent="0.3">
      <c r="A519" s="103" t="s">
        <v>258</v>
      </c>
      <c r="B519" s="104"/>
      <c r="C519" s="104"/>
      <c r="D519" s="104"/>
      <c r="E519" s="104"/>
      <c r="F519" s="104"/>
      <c r="G519" s="104"/>
      <c r="H519" s="105"/>
      <c r="I519" s="34">
        <f>5+4+4+4</f>
        <v>17</v>
      </c>
      <c r="N519" s="34"/>
    </row>
    <row r="520" spans="1:14" s="2" customFormat="1" x14ac:dyDescent="0.3">
      <c r="A520" s="18">
        <v>1</v>
      </c>
      <c r="B520" s="18" t="s">
        <v>229</v>
      </c>
      <c r="C520" s="18" t="s">
        <v>188</v>
      </c>
      <c r="D520" s="70">
        <f>(2.9*4.6+2.15*3.05+2.75*3.05+2.87*3.05+2.1*0.6+1.15*2.1+1.3*2.05+5.4*0.9+(2.9*0.9))*10.764</f>
        <v>547.3332539999999</v>
      </c>
      <c r="E520" s="70">
        <v>0</v>
      </c>
      <c r="F520" s="18">
        <f t="shared" ref="F520:F530" si="66">D520*(($F$270)+1)+E520</f>
        <v>820.99988099999985</v>
      </c>
      <c r="G520" s="121" t="str">
        <f>A519</f>
        <v>3rd to 7th, 9th to 12th, 14th to 17th, 19th to 22nd Floor</v>
      </c>
      <c r="H520" s="122"/>
      <c r="I520" s="34"/>
      <c r="N520" s="34"/>
    </row>
    <row r="521" spans="1:14" s="2" customFormat="1" x14ac:dyDescent="0.3">
      <c r="A521" s="18">
        <f>A520+1</f>
        <v>2</v>
      </c>
      <c r="B521" s="18" t="s">
        <v>229</v>
      </c>
      <c r="C521" s="18" t="s">
        <v>188</v>
      </c>
      <c r="D521" s="70">
        <f>(2.9*4.6+2.15*3.05+2.75*3.05+2.885*3.05+2.1*0.6+1.2*2.1+1.3*2.05+5.4*0.9+(2.9*0.9))*10.764</f>
        <v>548.95592699999997</v>
      </c>
      <c r="E521" s="70">
        <v>0</v>
      </c>
      <c r="F521" s="18">
        <f t="shared" si="66"/>
        <v>823.43389049999996</v>
      </c>
      <c r="G521" s="123"/>
      <c r="H521" s="124"/>
      <c r="I521" s="34"/>
      <c r="N521" s="34"/>
    </row>
    <row r="522" spans="1:14" s="2" customFormat="1" x14ac:dyDescent="0.3">
      <c r="A522" s="18">
        <f>A521+1</f>
        <v>3</v>
      </c>
      <c r="B522" s="18" t="s">
        <v>229</v>
      </c>
      <c r="C522" s="18" t="s">
        <v>188</v>
      </c>
      <c r="D522" s="70">
        <f>(2.9*4.6+2.15*3.05+2.75*3.05+2.885*3.05+2.1*0.6+1.2*2.1+1.3*2.05+5.4*0.9+(2.9*0.9))*10.764</f>
        <v>548.95592699999997</v>
      </c>
      <c r="E522" s="70">
        <v>0</v>
      </c>
      <c r="F522" s="18">
        <f t="shared" si="66"/>
        <v>823.43389049999996</v>
      </c>
      <c r="G522" s="123"/>
      <c r="H522" s="124"/>
      <c r="I522" s="34"/>
      <c r="N522" s="34"/>
    </row>
    <row r="523" spans="1:14" s="2" customFormat="1" x14ac:dyDescent="0.3">
      <c r="A523" s="18">
        <f t="shared" ref="A523:A528" si="67">A522+1</f>
        <v>4</v>
      </c>
      <c r="B523" s="18" t="s">
        <v>229</v>
      </c>
      <c r="C523" s="18" t="s">
        <v>188</v>
      </c>
      <c r="D523" s="70">
        <f>(2.82*4.6+2.15*3.05+2.75*3.05+2.85*3.05+2.1*0.6+1.2*2.1+1.2*2.05+5.4*0.9+(2.82*0.9))*10.764</f>
        <v>540.86408999999992</v>
      </c>
      <c r="E523" s="70">
        <v>0</v>
      </c>
      <c r="F523" s="18">
        <f t="shared" si="66"/>
        <v>811.29613499999982</v>
      </c>
      <c r="G523" s="123"/>
      <c r="H523" s="124"/>
      <c r="I523" s="34"/>
      <c r="N523" s="34"/>
    </row>
    <row r="524" spans="1:14" s="2" customFormat="1" x14ac:dyDescent="0.3">
      <c r="A524" s="18">
        <f t="shared" si="67"/>
        <v>5</v>
      </c>
      <c r="B524" s="18" t="s">
        <v>229</v>
      </c>
      <c r="C524" s="18" t="s">
        <v>188</v>
      </c>
      <c r="D524" s="70">
        <f>(2.82*4.6+2.15*3.05+2.75*3.05+2.85*3.05+2.1*0.6+1.2*2.1+1.2*2.06+5.4*0.9+(2.82*0.9))*10.764</f>
        <v>540.99325799999997</v>
      </c>
      <c r="E524" s="70">
        <v>0</v>
      </c>
      <c r="F524" s="18">
        <f t="shared" si="66"/>
        <v>811.48988699999995</v>
      </c>
      <c r="G524" s="123"/>
      <c r="H524" s="124"/>
      <c r="I524" s="34"/>
      <c r="N524" s="34"/>
    </row>
    <row r="525" spans="1:14" s="2" customFormat="1" x14ac:dyDescent="0.3">
      <c r="A525" s="18">
        <f t="shared" si="67"/>
        <v>6</v>
      </c>
      <c r="B525" s="18" t="s">
        <v>229</v>
      </c>
      <c r="C525" s="18" t="s">
        <v>188</v>
      </c>
      <c r="D525" s="70">
        <f>(2.82*4.6+2.15*3.05+2.75*3.05+2.85*3.05+2.1*0.6+2.05*1.3+2.05*1.2+5.4*0.9+(2.82*0.9))*10.764</f>
        <v>542.42486999999983</v>
      </c>
      <c r="E525" s="70">
        <v>0</v>
      </c>
      <c r="F525" s="18">
        <f t="shared" si="66"/>
        <v>813.63730499999974</v>
      </c>
      <c r="G525" s="123"/>
      <c r="H525" s="124"/>
      <c r="I525" s="34"/>
      <c r="N525" s="34"/>
    </row>
    <row r="526" spans="1:14" s="2" customFormat="1" x14ac:dyDescent="0.3">
      <c r="A526" s="18">
        <f t="shared" si="67"/>
        <v>7</v>
      </c>
      <c r="B526" s="18" t="s">
        <v>229</v>
      </c>
      <c r="C526" s="18" t="s">
        <v>188</v>
      </c>
      <c r="D526" s="70">
        <f>(3*4.6+2.15*3.05+2.75*3.35+3.04*3.5+2.15*1.15+2.09*1.2+3*0.9+(3*0.9))*10.764</f>
        <v>544.55614200000002</v>
      </c>
      <c r="E526" s="70">
        <v>0</v>
      </c>
      <c r="F526" s="18">
        <f t="shared" si="66"/>
        <v>816.83421300000009</v>
      </c>
      <c r="G526" s="123"/>
      <c r="H526" s="124"/>
      <c r="I526" s="34"/>
      <c r="N526" s="34"/>
    </row>
    <row r="527" spans="1:14" s="2" customFormat="1" x14ac:dyDescent="0.3">
      <c r="A527" s="18">
        <f t="shared" si="67"/>
        <v>8</v>
      </c>
      <c r="B527" s="18" t="s">
        <v>229</v>
      </c>
      <c r="C527" s="18" t="s">
        <v>188</v>
      </c>
      <c r="D527" s="70">
        <f>(3*4.6+2.15*3.05+2.75*3.35+3.04*3.5+2.15*1.15+2.09*1.2+3*0.9+(3*0.9))*10.764</f>
        <v>544.55614200000002</v>
      </c>
      <c r="E527" s="70">
        <v>0</v>
      </c>
      <c r="F527" s="18">
        <f t="shared" si="66"/>
        <v>816.83421300000009</v>
      </c>
      <c r="G527" s="123"/>
      <c r="H527" s="124"/>
      <c r="I527" s="34"/>
      <c r="N527" s="34"/>
    </row>
    <row r="528" spans="1:14" s="2" customFormat="1" x14ac:dyDescent="0.3">
      <c r="A528" s="18">
        <f t="shared" si="67"/>
        <v>9</v>
      </c>
      <c r="B528" s="18" t="s">
        <v>229</v>
      </c>
      <c r="C528" s="18" t="s">
        <v>188</v>
      </c>
      <c r="D528" s="70">
        <f>(2.82*4.6+2.15*3.05+2.75*3.05+2.85*3.05+2.1*0.6+2.05*1.3+2.05*1.2+5.4*0.9+(2.82*0.9))*10.764</f>
        <v>542.42486999999983</v>
      </c>
      <c r="E528" s="70">
        <v>0</v>
      </c>
      <c r="F528" s="18">
        <f t="shared" si="66"/>
        <v>813.63730499999974</v>
      </c>
      <c r="G528" s="123"/>
      <c r="H528" s="124"/>
      <c r="I528" s="34"/>
      <c r="N528" s="34"/>
    </row>
    <row r="529" spans="1:14" s="2" customFormat="1" ht="15.75" customHeight="1" x14ac:dyDescent="0.3">
      <c r="A529" s="18">
        <v>10</v>
      </c>
      <c r="B529" s="18" t="s">
        <v>229</v>
      </c>
      <c r="C529" s="18" t="s">
        <v>188</v>
      </c>
      <c r="D529" s="70">
        <f>(2.9*4.6+2.15*3.05+2.75*3.05+2.885*3.05+2.1*0.6+1.2*2.1+1.3*2.05+5.4*0.9+(2.9*0.9))*10.764</f>
        <v>548.95592699999997</v>
      </c>
      <c r="E529" s="70">
        <v>0</v>
      </c>
      <c r="F529" s="18">
        <f t="shared" si="66"/>
        <v>823.43389049999996</v>
      </c>
      <c r="G529" s="123"/>
      <c r="H529" s="124"/>
      <c r="I529" s="34"/>
      <c r="N529" s="34"/>
    </row>
    <row r="530" spans="1:14" s="2" customFormat="1" ht="15.75" customHeight="1" x14ac:dyDescent="0.3">
      <c r="A530" s="18">
        <v>11</v>
      </c>
      <c r="B530" s="18" t="s">
        <v>229</v>
      </c>
      <c r="C530" s="18" t="s">
        <v>188</v>
      </c>
      <c r="D530" s="70">
        <f>(2.9*4.6+2.15*3.05+2.75*3.05+2.87*3.05+2.1*0.6+1.15*2.1+1.3*2.05+5.4*0.9+(2.9*0.9))*10.764</f>
        <v>547.3332539999999</v>
      </c>
      <c r="E530" s="70">
        <v>0</v>
      </c>
      <c r="F530" s="18">
        <f t="shared" si="66"/>
        <v>820.99988099999985</v>
      </c>
      <c r="G530" s="128"/>
      <c r="H530" s="129"/>
      <c r="I530" s="34"/>
      <c r="N530" s="34"/>
    </row>
    <row r="531" spans="1:14" s="2" customFormat="1" x14ac:dyDescent="0.3">
      <c r="A531" s="101" t="s">
        <v>259</v>
      </c>
      <c r="B531" s="101"/>
      <c r="C531" s="101"/>
      <c r="D531" s="101"/>
      <c r="E531" s="101"/>
      <c r="F531" s="101"/>
      <c r="G531" s="101"/>
      <c r="H531" s="101"/>
      <c r="I531" s="34"/>
      <c r="N531" s="34"/>
    </row>
    <row r="532" spans="1:14" s="2" customFormat="1" x14ac:dyDescent="0.3">
      <c r="A532" s="18">
        <v>1</v>
      </c>
      <c r="B532" s="18" t="s">
        <v>229</v>
      </c>
      <c r="C532" s="18" t="s">
        <v>188</v>
      </c>
      <c r="D532" s="70">
        <f>(2.9*4.6+2.15*3.05+2.75*3.05+2.87*3.05+2.1*0.6+1.15*2.1+1.3*2.05+5.4*0.9+(2.9*0.9))*10.764</f>
        <v>547.3332539999999</v>
      </c>
      <c r="E532" s="70">
        <v>0</v>
      </c>
      <c r="F532" s="18">
        <f t="shared" ref="F532:F542" si="68">D532*(($F$270)+1)+E532</f>
        <v>820.99988099999985</v>
      </c>
      <c r="G532" s="102" t="str">
        <f>A531</f>
        <v>8th, 13th &amp; 18th Floor (Part Refuge Area)</v>
      </c>
      <c r="H532" s="102"/>
      <c r="I532" s="34"/>
      <c r="N532" s="34"/>
    </row>
    <row r="533" spans="1:14" s="2" customFormat="1" x14ac:dyDescent="0.3">
      <c r="A533" s="18">
        <f>A532+1</f>
        <v>2</v>
      </c>
      <c r="B533" s="18" t="s">
        <v>229</v>
      </c>
      <c r="C533" s="18" t="s">
        <v>188</v>
      </c>
      <c r="D533" s="70">
        <f>(2.9*4.6+2.15*3.05+2.75*3.05+2.885*3.05+2.1*0.6+1.2*2.1+1.3*2.05+5.4*0.9+(2.9*0.9))*10.764</f>
        <v>548.95592699999997</v>
      </c>
      <c r="E533" s="70">
        <v>0</v>
      </c>
      <c r="F533" s="18">
        <f t="shared" si="68"/>
        <v>823.43389049999996</v>
      </c>
      <c r="G533" s="102"/>
      <c r="H533" s="102"/>
      <c r="I533" s="34"/>
      <c r="N533" s="34"/>
    </row>
    <row r="534" spans="1:14" s="2" customFormat="1" x14ac:dyDescent="0.3">
      <c r="A534" s="18">
        <f>A533+1</f>
        <v>3</v>
      </c>
      <c r="B534" s="18" t="s">
        <v>229</v>
      </c>
      <c r="C534" s="18" t="s">
        <v>188</v>
      </c>
      <c r="D534" s="70">
        <f>(2.9*4.6+2.15*3.05+2.75*3.05+2.885*3.05+2.1*0.6+1.2*2.1+1.3*2.05+5.4*0.9+(2.9*0.9))*10.764</f>
        <v>548.95592699999997</v>
      </c>
      <c r="E534" s="70">
        <v>0</v>
      </c>
      <c r="F534" s="18">
        <f t="shared" si="68"/>
        <v>823.43389049999996</v>
      </c>
      <c r="G534" s="102"/>
      <c r="H534" s="102"/>
      <c r="I534" s="34"/>
      <c r="N534" s="34"/>
    </row>
    <row r="535" spans="1:14" s="2" customFormat="1" x14ac:dyDescent="0.3">
      <c r="A535" s="18">
        <f t="shared" ref="A535:A540" si="69">A534+1</f>
        <v>4</v>
      </c>
      <c r="B535" s="18" t="s">
        <v>229</v>
      </c>
      <c r="C535" s="18" t="s">
        <v>188</v>
      </c>
      <c r="D535" s="70">
        <f>(2.82*4.6+2.15*3.05+2.75*3.05+2.85*3.05+2.1*0.6+1.2*2.1+1.2*2.05+5.4*0.9+(2.82*0.9))*10.764</f>
        <v>540.86408999999992</v>
      </c>
      <c r="E535" s="70">
        <v>0</v>
      </c>
      <c r="F535" s="18">
        <f t="shared" si="68"/>
        <v>811.29613499999982</v>
      </c>
      <c r="G535" s="102"/>
      <c r="H535" s="102"/>
      <c r="I535" s="34"/>
      <c r="N535" s="34"/>
    </row>
    <row r="536" spans="1:14" s="2" customFormat="1" x14ac:dyDescent="0.3">
      <c r="A536" s="18">
        <f t="shared" si="69"/>
        <v>5</v>
      </c>
      <c r="B536" s="18" t="s">
        <v>229</v>
      </c>
      <c r="C536" s="18" t="s">
        <v>188</v>
      </c>
      <c r="D536" s="70">
        <f>(2.82*4.6+2.15*3.05+2.75*3.05+2.85*3.05+2.1*0.6+1.2*2.1+1.2*2.06+5.4*0.9+(2.82*0.9))*10.764</f>
        <v>540.99325799999997</v>
      </c>
      <c r="E536" s="70">
        <v>0</v>
      </c>
      <c r="F536" s="18">
        <f t="shared" si="68"/>
        <v>811.48988699999995</v>
      </c>
      <c r="G536" s="102"/>
      <c r="H536" s="102"/>
      <c r="I536" s="34"/>
      <c r="N536" s="34"/>
    </row>
    <row r="537" spans="1:14" s="2" customFormat="1" x14ac:dyDescent="0.3">
      <c r="A537" s="18">
        <f t="shared" si="69"/>
        <v>6</v>
      </c>
      <c r="B537" s="18" t="s">
        <v>229</v>
      </c>
      <c r="C537" s="18" t="s">
        <v>188</v>
      </c>
      <c r="D537" s="70">
        <f>(2.82*4.6+2.15*3.05+2.75*3.05+2.85*3.05+2.1*0.6+2.05*1.3+2.05*1.2+5.4*0.9+(2.82*0.9))*10.764</f>
        <v>542.42486999999983</v>
      </c>
      <c r="E537" s="70">
        <v>0</v>
      </c>
      <c r="F537" s="18">
        <f t="shared" si="68"/>
        <v>813.63730499999974</v>
      </c>
      <c r="G537" s="102"/>
      <c r="H537" s="102"/>
      <c r="I537" s="34"/>
      <c r="N537" s="34"/>
    </row>
    <row r="538" spans="1:14" s="2" customFormat="1" x14ac:dyDescent="0.3">
      <c r="A538" s="18">
        <f t="shared" si="69"/>
        <v>7</v>
      </c>
      <c r="B538" s="18" t="s">
        <v>229</v>
      </c>
      <c r="C538" s="18" t="s">
        <v>188</v>
      </c>
      <c r="D538" s="70">
        <f>(3*4.6+2.15*3.05+2.75*3.35+3.04*3.5+2.15*1.15+2.09*1.2+3*0.9+(3*0.9))*10.764</f>
        <v>544.55614200000002</v>
      </c>
      <c r="E538" s="70">
        <v>0</v>
      </c>
      <c r="F538" s="18">
        <f t="shared" si="68"/>
        <v>816.83421300000009</v>
      </c>
      <c r="G538" s="102"/>
      <c r="H538" s="102"/>
      <c r="I538" s="34"/>
      <c r="N538" s="34"/>
    </row>
    <row r="539" spans="1:14" s="2" customFormat="1" x14ac:dyDescent="0.3">
      <c r="A539" s="18">
        <f t="shared" si="69"/>
        <v>8</v>
      </c>
      <c r="B539" s="18" t="s">
        <v>229</v>
      </c>
      <c r="C539" s="18" t="s">
        <v>188</v>
      </c>
      <c r="D539" s="70">
        <f>(3*4.6+2.15*3.05+2.75*3.35+3.04*3.5+2.15*1.15+2.09*1.2+3*0.9+(3*0.9))*10.764</f>
        <v>544.55614200000002</v>
      </c>
      <c r="E539" s="70">
        <v>0</v>
      </c>
      <c r="F539" s="18">
        <f t="shared" si="68"/>
        <v>816.83421300000009</v>
      </c>
      <c r="G539" s="102"/>
      <c r="H539" s="102"/>
      <c r="I539" s="34"/>
      <c r="N539" s="34"/>
    </row>
    <row r="540" spans="1:14" s="2" customFormat="1" x14ac:dyDescent="0.3">
      <c r="A540" s="18">
        <f t="shared" si="69"/>
        <v>9</v>
      </c>
      <c r="B540" s="18" t="s">
        <v>229</v>
      </c>
      <c r="C540" s="18" t="s">
        <v>188</v>
      </c>
      <c r="D540" s="70">
        <f>(2.82*4.6+2.15*3.05+2.75*3.05+2.85*3.05+2.1*0.6+2.05*1.3+2.05*1.2+5.4*0.9+(2.82*0.9))*10.764</f>
        <v>542.42486999999983</v>
      </c>
      <c r="E540" s="70">
        <v>0</v>
      </c>
      <c r="F540" s="18">
        <f t="shared" si="68"/>
        <v>813.63730499999974</v>
      </c>
      <c r="G540" s="102"/>
      <c r="H540" s="102"/>
      <c r="I540" s="34"/>
      <c r="N540" s="34"/>
    </row>
    <row r="541" spans="1:14" s="2" customFormat="1" x14ac:dyDescent="0.3">
      <c r="A541" s="18">
        <v>10</v>
      </c>
      <c r="B541" s="18" t="s">
        <v>229</v>
      </c>
      <c r="C541" s="18" t="s">
        <v>188</v>
      </c>
      <c r="D541" s="70">
        <f>(2.9*4.6+2.15*3.05+2.75*3.05+2.885*3.05+2.1*0.6+1.2*2.1+1.3*2.05+5.4*0.9+(2.9*0.9))*10.764</f>
        <v>548.95592699999997</v>
      </c>
      <c r="E541" s="70">
        <v>0</v>
      </c>
      <c r="F541" s="18">
        <f t="shared" si="68"/>
        <v>823.43389049999996</v>
      </c>
      <c r="G541" s="102"/>
      <c r="H541" s="102"/>
      <c r="I541" s="34"/>
      <c r="N541" s="34"/>
    </row>
    <row r="542" spans="1:14" s="2" customFormat="1" x14ac:dyDescent="0.3">
      <c r="A542" s="18">
        <v>11</v>
      </c>
      <c r="B542" s="18" t="s">
        <v>229</v>
      </c>
      <c r="C542" s="18" t="s">
        <v>189</v>
      </c>
      <c r="D542" s="70">
        <f>(2.9*4.6+2.15*3.05+2.75*3.05+1.3*2.05+1.4*2.05+4.4*0.9+(2.9*0.9))*10.764</f>
        <v>434.75795999999991</v>
      </c>
      <c r="E542" s="70">
        <v>0</v>
      </c>
      <c r="F542" s="18">
        <f t="shared" si="68"/>
        <v>652.13693999999987</v>
      </c>
      <c r="G542" s="102"/>
      <c r="H542" s="102"/>
      <c r="I542" s="34"/>
      <c r="N542" s="34"/>
    </row>
    <row r="543" spans="1:14" s="2" customFormat="1" x14ac:dyDescent="0.3">
      <c r="A543" s="18" t="s">
        <v>260</v>
      </c>
      <c r="B543" s="102" t="s">
        <v>191</v>
      </c>
      <c r="C543" s="102"/>
      <c r="D543" s="102"/>
      <c r="E543" s="102"/>
      <c r="F543" s="102"/>
      <c r="G543" s="102"/>
      <c r="H543" s="102"/>
      <c r="I543" s="34"/>
      <c r="N543" s="34"/>
    </row>
    <row r="544" spans="1:14" s="2" customFormat="1" x14ac:dyDescent="0.3">
      <c r="A544" s="103" t="s">
        <v>264</v>
      </c>
      <c r="B544" s="104"/>
      <c r="C544" s="104"/>
      <c r="D544" s="104"/>
      <c r="E544" s="104"/>
      <c r="F544" s="104"/>
      <c r="G544" s="104"/>
      <c r="H544" s="105"/>
      <c r="I544" s="34"/>
      <c r="N544" s="34"/>
    </row>
    <row r="545" spans="1:14" s="2" customFormat="1" x14ac:dyDescent="0.3">
      <c r="A545" s="18">
        <v>1</v>
      </c>
      <c r="B545" s="18" t="s">
        <v>261</v>
      </c>
      <c r="C545" s="18" t="s">
        <v>188</v>
      </c>
      <c r="D545" s="70">
        <f>(2.9*4.6+2.15*3.05+2.75*3.05+2.87*3.05+2.1*0.6+1.15*2.1+1.3*2.05+5.4*0.9+(2.9*0.9))*10.764</f>
        <v>547.3332539999999</v>
      </c>
      <c r="E545" s="18">
        <v>0</v>
      </c>
      <c r="F545" s="18">
        <f t="shared" ref="F545:F555" si="70">D545*(($F$270)+1)+E545</f>
        <v>820.99988099999985</v>
      </c>
      <c r="G545" s="121" t="str">
        <f>A544</f>
        <v>23rd Floor</v>
      </c>
      <c r="H545" s="122"/>
      <c r="I545" s="34"/>
      <c r="N545" s="34"/>
    </row>
    <row r="546" spans="1:14" s="2" customFormat="1" x14ac:dyDescent="0.3">
      <c r="A546" s="18">
        <f>A545+1</f>
        <v>2</v>
      </c>
      <c r="B546" s="18" t="s">
        <v>261</v>
      </c>
      <c r="C546" s="18" t="s">
        <v>188</v>
      </c>
      <c r="D546" s="70">
        <f>(2.9*4.6+2.15*3.05+2.75*3.05+2.885*3.05+2.1*0.6+1.2*2.1+1.3*2.05+5.4*0.9+(2.9*0.9))*10.764</f>
        <v>548.95592699999997</v>
      </c>
      <c r="E546" s="18">
        <v>0</v>
      </c>
      <c r="F546" s="18">
        <f t="shared" si="70"/>
        <v>823.43389049999996</v>
      </c>
      <c r="G546" s="123"/>
      <c r="H546" s="124"/>
      <c r="I546" s="34"/>
      <c r="N546" s="34"/>
    </row>
    <row r="547" spans="1:14" s="2" customFormat="1" x14ac:dyDescent="0.3">
      <c r="A547" s="18">
        <f>A546+1</f>
        <v>3</v>
      </c>
      <c r="B547" s="18" t="s">
        <v>261</v>
      </c>
      <c r="C547" s="18" t="s">
        <v>188</v>
      </c>
      <c r="D547" s="70">
        <f>(2.9*4.6+2.15*3.05+2.75*3.05+2.885*3.05+2.1*0.6+1.2*2.1+1.3*2.05+5.4*0.9+(2.9*0.9))*10.764</f>
        <v>548.95592699999997</v>
      </c>
      <c r="E547" s="18">
        <v>0</v>
      </c>
      <c r="F547" s="18">
        <f t="shared" si="70"/>
        <v>823.43389049999996</v>
      </c>
      <c r="G547" s="123"/>
      <c r="H547" s="124"/>
      <c r="I547" s="34"/>
      <c r="N547" s="34"/>
    </row>
    <row r="548" spans="1:14" s="2" customFormat="1" x14ac:dyDescent="0.3">
      <c r="A548" s="18">
        <f t="shared" ref="A548:A553" si="71">A547+1</f>
        <v>4</v>
      </c>
      <c r="B548" s="18" t="s">
        <v>261</v>
      </c>
      <c r="C548" s="18" t="s">
        <v>188</v>
      </c>
      <c r="D548" s="70">
        <f>(2.82*4.6+2.15*3.05+2.75*3.05+2.85*3.05+2.1*0.6+1.2*2.1+1.2*2.05+5.4*0.9+(2.82*0.9))*10.764</f>
        <v>540.86408999999992</v>
      </c>
      <c r="E548" s="18">
        <v>0</v>
      </c>
      <c r="F548" s="18">
        <f t="shared" si="70"/>
        <v>811.29613499999982</v>
      </c>
      <c r="G548" s="123"/>
      <c r="H548" s="124"/>
      <c r="I548" s="34"/>
      <c r="N548" s="34"/>
    </row>
    <row r="549" spans="1:14" s="2" customFormat="1" x14ac:dyDescent="0.3">
      <c r="A549" s="18">
        <f t="shared" si="71"/>
        <v>5</v>
      </c>
      <c r="B549" s="18" t="s">
        <v>261</v>
      </c>
      <c r="C549" s="18" t="s">
        <v>188</v>
      </c>
      <c r="D549" s="70">
        <f>(2.82*4.6+2.15*3.05+2.75*3.05+2.85*3.05+2.1*0.6+1.2*2.1+1.2*2.06+5.4*0.9+(2.82*0.9))*10.764</f>
        <v>540.99325799999997</v>
      </c>
      <c r="E549" s="18">
        <v>0</v>
      </c>
      <c r="F549" s="18">
        <f t="shared" si="70"/>
        <v>811.48988699999995</v>
      </c>
      <c r="G549" s="123"/>
      <c r="H549" s="124"/>
      <c r="I549" s="34"/>
      <c r="N549" s="34"/>
    </row>
    <row r="550" spans="1:14" s="2" customFormat="1" x14ac:dyDescent="0.3">
      <c r="A550" s="18">
        <f t="shared" si="71"/>
        <v>6</v>
      </c>
      <c r="B550" s="18" t="s">
        <v>261</v>
      </c>
      <c r="C550" s="18" t="s">
        <v>188</v>
      </c>
      <c r="D550" s="70">
        <f>(2.82*4.6+2.15*3.05+2.75*3.05+2.85*3.05+2.1*0.6+2.05*1.3+2.05*1.2+5.4*0.9+(2.82*0.9))*10.764</f>
        <v>542.42486999999983</v>
      </c>
      <c r="E550" s="18">
        <v>0</v>
      </c>
      <c r="F550" s="18">
        <f t="shared" si="70"/>
        <v>813.63730499999974</v>
      </c>
      <c r="G550" s="123"/>
      <c r="H550" s="124"/>
      <c r="I550" s="34"/>
      <c r="N550" s="34"/>
    </row>
    <row r="551" spans="1:14" s="2" customFormat="1" x14ac:dyDescent="0.3">
      <c r="A551" s="18">
        <f t="shared" si="71"/>
        <v>7</v>
      </c>
      <c r="B551" s="18" t="s">
        <v>261</v>
      </c>
      <c r="C551" s="18" t="s">
        <v>188</v>
      </c>
      <c r="D551" s="70">
        <f>(3*4.6+2.15*3.05+2.75*3.35+3.04*3.5+2.15*1.15+2.09*1.2+3*0.9+(3*0.9))*10.764</f>
        <v>544.55614200000002</v>
      </c>
      <c r="E551" s="18">
        <v>0</v>
      </c>
      <c r="F551" s="18">
        <f t="shared" si="70"/>
        <v>816.83421300000009</v>
      </c>
      <c r="G551" s="123"/>
      <c r="H551" s="124"/>
      <c r="I551" s="34"/>
      <c r="N551" s="34"/>
    </row>
    <row r="552" spans="1:14" s="2" customFormat="1" x14ac:dyDescent="0.3">
      <c r="A552" s="18">
        <f t="shared" si="71"/>
        <v>8</v>
      </c>
      <c r="B552" s="18" t="s">
        <v>261</v>
      </c>
      <c r="C552" s="18" t="s">
        <v>188</v>
      </c>
      <c r="D552" s="70">
        <f>(3*4.6+2.15*3.05+2.75*3.35+3.04*3.5+2.15*1.15+2.09*1.2+3*0.9+(3*0.9))*10.764</f>
        <v>544.55614200000002</v>
      </c>
      <c r="E552" s="18">
        <v>0</v>
      </c>
      <c r="F552" s="18">
        <f t="shared" si="70"/>
        <v>816.83421300000009</v>
      </c>
      <c r="G552" s="123"/>
      <c r="H552" s="124"/>
      <c r="I552" s="34"/>
      <c r="N552" s="34"/>
    </row>
    <row r="553" spans="1:14" s="2" customFormat="1" x14ac:dyDescent="0.3">
      <c r="A553" s="18">
        <f t="shared" si="71"/>
        <v>9</v>
      </c>
      <c r="B553" s="18" t="s">
        <v>261</v>
      </c>
      <c r="C553" s="18" t="s">
        <v>188</v>
      </c>
      <c r="D553" s="70">
        <f>(2.82*4.6+2.15*3.05+2.75*3.05+2.85*3.05+2.1*0.6+2.05*1.3+2.05*1.2+5.4*0.9+(2.82*0.9))*10.764</f>
        <v>542.42486999999983</v>
      </c>
      <c r="E553" s="18">
        <v>0</v>
      </c>
      <c r="F553" s="18">
        <f t="shared" si="70"/>
        <v>813.63730499999974</v>
      </c>
      <c r="G553" s="123"/>
      <c r="H553" s="124"/>
      <c r="I553" s="34"/>
      <c r="N553" s="34"/>
    </row>
    <row r="554" spans="1:14" s="2" customFormat="1" x14ac:dyDescent="0.3">
      <c r="A554" s="18">
        <v>10</v>
      </c>
      <c r="B554" s="18" t="s">
        <v>261</v>
      </c>
      <c r="C554" s="18" t="s">
        <v>188</v>
      </c>
      <c r="D554" s="70">
        <f>(2.9*4.6+2.15*3.05+2.75*3.05+2.885*3.05+2.1*0.6+1.2*2.1+1.3*2.05+5.4*0.9+(2.9*0.9))*10.764</f>
        <v>548.95592699999997</v>
      </c>
      <c r="E554" s="18">
        <v>0</v>
      </c>
      <c r="F554" s="18">
        <f t="shared" si="70"/>
        <v>823.43389049999996</v>
      </c>
      <c r="G554" s="123"/>
      <c r="H554" s="124"/>
      <c r="I554" s="34" t="e">
        <f>3300000/F556</f>
        <v>#DIV/0!</v>
      </c>
    </row>
    <row r="555" spans="1:14" s="2" customFormat="1" x14ac:dyDescent="0.3">
      <c r="A555" s="18">
        <v>11</v>
      </c>
      <c r="B555" s="18" t="s">
        <v>261</v>
      </c>
      <c r="C555" s="18" t="s">
        <v>188</v>
      </c>
      <c r="D555" s="70">
        <f>(2.9*4.6+2.15*3.05+2.75*3.05+2.87*3.05+2.1*0.6+1.15*2.1+1.3*2.05+5.4*0.9+(2.9*0.9))*10.764</f>
        <v>547.3332539999999</v>
      </c>
      <c r="E555" s="18">
        <v>0</v>
      </c>
      <c r="F555" s="18">
        <f t="shared" si="70"/>
        <v>820.99988099999985</v>
      </c>
      <c r="G555" s="128"/>
      <c r="H555" s="129"/>
    </row>
    <row r="556" spans="1:14" s="2" customFormat="1" x14ac:dyDescent="0.3">
      <c r="A556" s="140" t="s">
        <v>207</v>
      </c>
      <c r="B556" s="140"/>
      <c r="C556" s="140"/>
      <c r="D556" s="140"/>
      <c r="E556" s="140"/>
      <c r="F556" s="140"/>
      <c r="G556" s="140"/>
      <c r="H556" s="140"/>
      <c r="I556" s="34"/>
      <c r="L556" s="159"/>
      <c r="M556" s="159"/>
    </row>
    <row r="557" spans="1:14" s="2" customFormat="1" x14ac:dyDescent="0.3">
      <c r="A557" s="101" t="s">
        <v>192</v>
      </c>
      <c r="B557" s="101"/>
      <c r="C557" s="101"/>
      <c r="D557" s="101"/>
      <c r="E557" s="101"/>
      <c r="F557" s="101"/>
      <c r="G557" s="101"/>
      <c r="H557" s="101"/>
      <c r="I557" s="34">
        <f>3608816/F559</f>
        <v>4491.3384496381104</v>
      </c>
      <c r="N557" s="34"/>
    </row>
    <row r="558" spans="1:14" s="2" customFormat="1" x14ac:dyDescent="0.3">
      <c r="A558" s="101" t="s">
        <v>187</v>
      </c>
      <c r="B558" s="101"/>
      <c r="C558" s="101"/>
      <c r="D558" s="101"/>
      <c r="E558" s="101"/>
      <c r="F558" s="101"/>
      <c r="G558" s="101"/>
      <c r="H558" s="101"/>
      <c r="I558" s="34">
        <f>3608816/F560</f>
        <v>4491.3384496381104</v>
      </c>
      <c r="N558" s="34"/>
    </row>
    <row r="559" spans="1:14" s="2" customFormat="1" x14ac:dyDescent="0.3">
      <c r="A559" s="102">
        <v>1</v>
      </c>
      <c r="B559" s="102"/>
      <c r="C559" s="18" t="s">
        <v>188</v>
      </c>
      <c r="D559" s="18">
        <f>(4.35*3.1+2.15*2.75+3.05*2.75+3.05*2.9+1.3*2.1+2.3*1.45+2.3*0.6+1*3.05+2.2*1.2)*10.764</f>
        <v>535.67045999999993</v>
      </c>
      <c r="E559" s="18">
        <v>0</v>
      </c>
      <c r="F559" s="18">
        <f t="shared" ref="F559:F566" si="72">D559*(($F$270)+1)+E559</f>
        <v>803.50568999999996</v>
      </c>
      <c r="G559" s="102" t="str">
        <f>A558</f>
        <v>1st Floor</v>
      </c>
      <c r="H559" s="102"/>
      <c r="I559" s="34"/>
      <c r="N559" s="34"/>
    </row>
    <row r="560" spans="1:14" s="2" customFormat="1" x14ac:dyDescent="0.3">
      <c r="A560" s="102">
        <f>A559+1</f>
        <v>2</v>
      </c>
      <c r="B560" s="102"/>
      <c r="C560" s="18" t="s">
        <v>188</v>
      </c>
      <c r="D560" s="18">
        <f>(4.35*3.1+2.15*2.75+3.05*2.75+3.05*2.9+1.3*2.1+2.3*1.45+2.3*0.6+1*3.05+2.2*1.2)*10.764</f>
        <v>535.67045999999993</v>
      </c>
      <c r="E560" s="18">
        <v>0</v>
      </c>
      <c r="F560" s="18">
        <f t="shared" si="72"/>
        <v>803.50568999999996</v>
      </c>
      <c r="G560" s="102"/>
      <c r="H560" s="102"/>
      <c r="I560" s="34"/>
      <c r="N560" s="34"/>
    </row>
    <row r="561" spans="1:14" s="2" customFormat="1" x14ac:dyDescent="0.3">
      <c r="A561" s="102">
        <f>A560+1</f>
        <v>3</v>
      </c>
      <c r="B561" s="102"/>
      <c r="C561" s="18" t="s">
        <v>189</v>
      </c>
      <c r="D561" s="18">
        <f>(2.75*4.275+2.15*2.35+2.75*3.35+2.3*1.3+1.8*1.25+1*2.2+1.05*2.15)*10.764</f>
        <v>384.47662499999996</v>
      </c>
      <c r="E561" s="18">
        <v>0</v>
      </c>
      <c r="F561" s="18">
        <f t="shared" si="72"/>
        <v>576.71493749999991</v>
      </c>
      <c r="G561" s="102"/>
      <c r="H561" s="102"/>
      <c r="I561" s="34"/>
      <c r="N561" s="34"/>
    </row>
    <row r="562" spans="1:14" s="2" customFormat="1" x14ac:dyDescent="0.3">
      <c r="A562" s="102">
        <f t="shared" ref="A562:A573" si="73">A561+1</f>
        <v>4</v>
      </c>
      <c r="B562" s="102"/>
      <c r="C562" s="18" t="s">
        <v>189</v>
      </c>
      <c r="D562" s="18">
        <f>(2.75*4.275+2.15*2.35+2.75*3.35+2.3*1.3+1.8*1.25+1*2.2+1.05*2.15)*10.764</f>
        <v>384.47662499999996</v>
      </c>
      <c r="E562" s="18">
        <v>0</v>
      </c>
      <c r="F562" s="18">
        <f t="shared" si="72"/>
        <v>576.71493749999991</v>
      </c>
      <c r="G562" s="102"/>
      <c r="H562" s="102"/>
      <c r="I562" s="34"/>
      <c r="J562" s="2">
        <f>3200000/F563</f>
        <v>5548.6684875402598</v>
      </c>
      <c r="N562" s="34"/>
    </row>
    <row r="563" spans="1:14" s="2" customFormat="1" x14ac:dyDescent="0.3">
      <c r="A563" s="102">
        <f t="shared" si="73"/>
        <v>5</v>
      </c>
      <c r="B563" s="102"/>
      <c r="C563" s="18" t="s">
        <v>189</v>
      </c>
      <c r="D563" s="18">
        <f>(2.75*4.275+2.15*2.35+2.75*3.35+2.3*1.3+1.8*1.25+1*2.2+1.05*2.15)*10.764</f>
        <v>384.47662499999996</v>
      </c>
      <c r="E563" s="18">
        <v>0</v>
      </c>
      <c r="F563" s="18">
        <f t="shared" si="72"/>
        <v>576.71493749999991</v>
      </c>
      <c r="G563" s="102"/>
      <c r="H563" s="102"/>
      <c r="I563" s="34"/>
      <c r="N563" s="34"/>
    </row>
    <row r="564" spans="1:14" s="2" customFormat="1" x14ac:dyDescent="0.3">
      <c r="A564" s="102">
        <f t="shared" si="73"/>
        <v>6</v>
      </c>
      <c r="B564" s="102"/>
      <c r="C564" s="18" t="s">
        <v>189</v>
      </c>
      <c r="D564" s="18">
        <f>(2.75*4.275+2.15*2.35+2.75*3.35+2.3*1.3+1.8*1.25+1*2.2+1.05*2.15)*10.764</f>
        <v>384.47662499999996</v>
      </c>
      <c r="E564" s="18">
        <v>0</v>
      </c>
      <c r="F564" s="18">
        <f t="shared" si="72"/>
        <v>576.71493749999991</v>
      </c>
      <c r="G564" s="102"/>
      <c r="H564" s="102"/>
      <c r="I564" s="34"/>
      <c r="N564" s="34"/>
    </row>
    <row r="565" spans="1:14" s="2" customFormat="1" x14ac:dyDescent="0.3">
      <c r="A565" s="102">
        <f t="shared" si="73"/>
        <v>7</v>
      </c>
      <c r="B565" s="102"/>
      <c r="C565" s="18" t="s">
        <v>189</v>
      </c>
      <c r="D565" s="18">
        <f t="shared" ref="D565:D568" si="74">(2.75*4.275+2.15*2.35+2.75*3.35+2.3*1.3+1.8*1.25+1*2.2+1.05*2.15)*10.764</f>
        <v>384.47662499999996</v>
      </c>
      <c r="E565" s="18">
        <v>0</v>
      </c>
      <c r="F565" s="18">
        <f t="shared" si="72"/>
        <v>576.71493749999991</v>
      </c>
      <c r="G565" s="102"/>
      <c r="H565" s="102"/>
      <c r="I565" s="34"/>
      <c r="N565" s="34"/>
    </row>
    <row r="566" spans="1:14" s="2" customFormat="1" x14ac:dyDescent="0.3">
      <c r="A566" s="102">
        <f t="shared" si="73"/>
        <v>8</v>
      </c>
      <c r="B566" s="102"/>
      <c r="C566" s="18" t="s">
        <v>189</v>
      </c>
      <c r="D566" s="18">
        <f t="shared" si="74"/>
        <v>384.47662499999996</v>
      </c>
      <c r="E566" s="18">
        <v>0</v>
      </c>
      <c r="F566" s="18">
        <f t="shared" si="72"/>
        <v>576.71493749999991</v>
      </c>
      <c r="G566" s="102"/>
      <c r="H566" s="102"/>
      <c r="I566" s="34"/>
      <c r="N566" s="34"/>
    </row>
    <row r="567" spans="1:14" s="2" customFormat="1" x14ac:dyDescent="0.3">
      <c r="A567" s="102">
        <f t="shared" si="73"/>
        <v>9</v>
      </c>
      <c r="B567" s="102"/>
      <c r="C567" s="18" t="s">
        <v>189</v>
      </c>
      <c r="D567" s="18">
        <f t="shared" si="74"/>
        <v>384.47662499999996</v>
      </c>
      <c r="E567" s="18">
        <v>0</v>
      </c>
      <c r="F567" s="18">
        <f>D567*(($F$270)+1)+E567/2</f>
        <v>576.71493749999991</v>
      </c>
      <c r="G567" s="102"/>
      <c r="H567" s="102"/>
      <c r="I567" s="34"/>
      <c r="N567" s="34"/>
    </row>
    <row r="568" spans="1:14" s="2" customFormat="1" x14ac:dyDescent="0.3">
      <c r="A568" s="102">
        <f t="shared" si="73"/>
        <v>10</v>
      </c>
      <c r="B568" s="102"/>
      <c r="C568" s="18" t="s">
        <v>189</v>
      </c>
      <c r="D568" s="18">
        <f t="shared" si="74"/>
        <v>384.47662499999996</v>
      </c>
      <c r="E568" s="18">
        <v>0</v>
      </c>
      <c r="F568" s="18">
        <f>D568*(($F$270)+1)+E568</f>
        <v>576.71493749999991</v>
      </c>
      <c r="G568" s="102"/>
      <c r="H568" s="102"/>
      <c r="I568" s="34"/>
      <c r="N568" s="34"/>
    </row>
    <row r="569" spans="1:14" s="2" customFormat="1" x14ac:dyDescent="0.3">
      <c r="A569" s="102">
        <f t="shared" si="73"/>
        <v>11</v>
      </c>
      <c r="B569" s="102"/>
      <c r="C569" s="18" t="s">
        <v>189</v>
      </c>
      <c r="D569" s="18">
        <f>(2.75*4.275+2.15*2.35+2.75*3.35+2.3*1.3+1.8*1.25+1*2.2)*10.764</f>
        <v>360.176895</v>
      </c>
      <c r="E569" s="18">
        <v>0</v>
      </c>
      <c r="F569" s="18">
        <f>D569*(($F$270)+1)+E569</f>
        <v>540.26534249999997</v>
      </c>
      <c r="G569" s="102"/>
      <c r="H569" s="102"/>
      <c r="I569" s="34"/>
      <c r="N569" s="34"/>
    </row>
    <row r="570" spans="1:14" s="2" customFormat="1" x14ac:dyDescent="0.3">
      <c r="A570" s="102">
        <f t="shared" si="73"/>
        <v>12</v>
      </c>
      <c r="B570" s="102"/>
      <c r="C570" s="18" t="s">
        <v>188</v>
      </c>
      <c r="D570" s="18">
        <f>(4.35*3.1+2.15*2.75+3.05*2.75+3.05*2.9+1.3*2.1+2.3*1.45+2.3*0.6+1*3.05+2.2*1.2)*10.764</f>
        <v>535.67045999999993</v>
      </c>
      <c r="E570" s="18">
        <v>0</v>
      </c>
      <c r="F570" s="18">
        <f>D570*(($F$270)+1)+E570</f>
        <v>803.50568999999996</v>
      </c>
      <c r="G570" s="102"/>
      <c r="H570" s="102"/>
      <c r="I570" s="34">
        <f>2644005/F572</f>
        <v>5168.4550802017757</v>
      </c>
      <c r="J570" s="2">
        <f>2480000/F572</f>
        <v>4847.8609529484265</v>
      </c>
      <c r="N570" s="34"/>
    </row>
    <row r="571" spans="1:14" s="2" customFormat="1" x14ac:dyDescent="0.3">
      <c r="A571" s="102">
        <v>14</v>
      </c>
      <c r="B571" s="102"/>
      <c r="C571" s="18" t="s">
        <v>189</v>
      </c>
      <c r="D571" s="18">
        <f>(2.75*4.125+2.15*2.35+2.75*3.35+1.55*1.25+1.55*1.25+1*2.2)*10.764</f>
        <v>341.04388499999999</v>
      </c>
      <c r="E571" s="18">
        <v>0</v>
      </c>
      <c r="F571" s="18">
        <f>D571*(($F$270)+1)+E571</f>
        <v>511.56582749999995</v>
      </c>
      <c r="G571" s="102"/>
      <c r="H571" s="102"/>
      <c r="I571" s="34"/>
      <c r="N571" s="34"/>
    </row>
    <row r="572" spans="1:14" s="2" customFormat="1" x14ac:dyDescent="0.3">
      <c r="A572" s="102">
        <f t="shared" si="73"/>
        <v>15</v>
      </c>
      <c r="B572" s="102"/>
      <c r="C572" s="18" t="s">
        <v>189</v>
      </c>
      <c r="D572" s="18">
        <f>(2.75*4.125+2.15*2.35+2.75*3.35+1.55*1.25+1.55*1.25+1*2.2)*10.764</f>
        <v>341.04388499999999</v>
      </c>
      <c r="E572" s="18">
        <v>0</v>
      </c>
      <c r="F572" s="18">
        <f>D572*(($F$270)+1)+E572/2</f>
        <v>511.56582749999995</v>
      </c>
      <c r="G572" s="102"/>
      <c r="H572" s="102"/>
      <c r="I572" s="34"/>
      <c r="L572" s="159"/>
      <c r="M572" s="159"/>
    </row>
    <row r="573" spans="1:14" s="2" customFormat="1" ht="15.75" customHeight="1" x14ac:dyDescent="0.3">
      <c r="A573" s="102">
        <f t="shared" si="73"/>
        <v>16</v>
      </c>
      <c r="B573" s="102"/>
      <c r="C573" s="18" t="s">
        <v>188</v>
      </c>
      <c r="D573" s="18">
        <f>(4.35*3.1+2.15*2.75+3.05*2.75+3.05*2.9+1.3*2.1+2.3*1.45+2.3*0.6+1*3.05+2.2*1.2)*10.764</f>
        <v>535.67045999999993</v>
      </c>
      <c r="E573" s="18">
        <v>0</v>
      </c>
      <c r="F573" s="18">
        <f>D573*(($F$270)+1)+E573</f>
        <v>803.50568999999996</v>
      </c>
      <c r="G573" s="102"/>
      <c r="H573" s="102"/>
      <c r="I573" s="34"/>
      <c r="N573" s="34"/>
    </row>
    <row r="574" spans="1:14" s="2" customFormat="1" ht="15.75" customHeight="1" x14ac:dyDescent="0.3">
      <c r="A574" s="101" t="s">
        <v>290</v>
      </c>
      <c r="B574" s="101"/>
      <c r="C574" s="101"/>
      <c r="D574" s="101"/>
      <c r="E574" s="101"/>
      <c r="F574" s="101"/>
      <c r="G574" s="101"/>
      <c r="H574" s="101"/>
      <c r="I574" s="34"/>
      <c r="N574" s="34"/>
    </row>
    <row r="575" spans="1:14" s="2" customFormat="1" ht="15.75" customHeight="1" x14ac:dyDescent="0.3">
      <c r="A575" s="102">
        <v>1</v>
      </c>
      <c r="B575" s="102"/>
      <c r="C575" s="18" t="s">
        <v>188</v>
      </c>
      <c r="D575" s="18">
        <f>(4.35*3.1+2.15*2.75+3.05*2.75+3.05*2.9+1.3*2.1+2.3*1.45+2.3*0.6+1*3.05+2.2*1.2)*10.764</f>
        <v>535.67045999999993</v>
      </c>
      <c r="E575" s="18">
        <v>0</v>
      </c>
      <c r="F575" s="18">
        <f t="shared" ref="F575:F582" si="75">D575*(($F$270)+1)+E575</f>
        <v>803.50568999999996</v>
      </c>
      <c r="G575" s="102" t="str">
        <f>A574</f>
        <v xml:space="preserve"> 2nd Floor</v>
      </c>
      <c r="H575" s="102"/>
      <c r="I575" s="34">
        <f>15+2*15+12*16</f>
        <v>237</v>
      </c>
      <c r="N575" s="34"/>
    </row>
    <row r="576" spans="1:14" s="2" customFormat="1" ht="15.75" customHeight="1" x14ac:dyDescent="0.3">
      <c r="A576" s="102">
        <f>A575+1</f>
        <v>2</v>
      </c>
      <c r="B576" s="102"/>
      <c r="C576" s="18" t="s">
        <v>188</v>
      </c>
      <c r="D576" s="18">
        <f>(4.35*3.1+2.15*2.75+3.05*2.75+3.05*2.9+1.3*2.1+2.3*1.45+2.3*0.6+1*3.05+2.2*1.2)*10.764</f>
        <v>535.67045999999993</v>
      </c>
      <c r="E576" s="18">
        <v>0</v>
      </c>
      <c r="F576" s="18">
        <f t="shared" si="75"/>
        <v>803.50568999999996</v>
      </c>
      <c r="G576" s="102"/>
      <c r="H576" s="102"/>
      <c r="I576" s="34"/>
      <c r="N576" s="34"/>
    </row>
    <row r="577" spans="1:17" s="2" customFormat="1" ht="15.75" customHeight="1" x14ac:dyDescent="0.3">
      <c r="A577" s="102">
        <f>A576+1</f>
        <v>3</v>
      </c>
      <c r="B577" s="102"/>
      <c r="C577" s="18" t="s">
        <v>189</v>
      </c>
      <c r="D577" s="18">
        <f>(2.75*4.275+2.15*2.35+2.75*3.35+2.3*1.3+1.8*1.25+1*2.2+1.05*2.15)*10.764</f>
        <v>384.47662499999996</v>
      </c>
      <c r="E577" s="18">
        <v>0</v>
      </c>
      <c r="F577" s="18">
        <f t="shared" si="75"/>
        <v>576.71493749999991</v>
      </c>
      <c r="G577" s="102"/>
      <c r="H577" s="102"/>
      <c r="I577" s="34"/>
      <c r="N577" s="34"/>
    </row>
    <row r="578" spans="1:17" s="2" customFormat="1" ht="15.75" customHeight="1" x14ac:dyDescent="0.3">
      <c r="A578" s="102">
        <f t="shared" ref="A578:A590" si="76">A577+1</f>
        <v>4</v>
      </c>
      <c r="B578" s="102"/>
      <c r="C578" s="18" t="s">
        <v>189</v>
      </c>
      <c r="D578" s="18">
        <f>(2.75*4.275+2.15*2.35+2.75*3.35+2.3*1.3+1.8*1.25+1*2.2+1.05*2.15)*10.764</f>
        <v>384.47662499999996</v>
      </c>
      <c r="E578" s="18">
        <v>0</v>
      </c>
      <c r="F578" s="18">
        <f t="shared" si="75"/>
        <v>576.71493749999991</v>
      </c>
      <c r="G578" s="102"/>
      <c r="H578" s="102"/>
      <c r="I578" s="34"/>
      <c r="N578" s="34"/>
    </row>
    <row r="579" spans="1:17" s="2" customFormat="1" ht="15.75" customHeight="1" x14ac:dyDescent="0.3">
      <c r="A579" s="102">
        <f t="shared" si="76"/>
        <v>5</v>
      </c>
      <c r="B579" s="102"/>
      <c r="C579" s="18" t="s">
        <v>189</v>
      </c>
      <c r="D579" s="18">
        <f t="shared" ref="D579:D584" si="77">(2.75*4.275+2.15*2.35+2.75*3.35+2.3*1.3+1.8*1.25+1*2.2+1.05*2.15)*10.764</f>
        <v>384.47662499999996</v>
      </c>
      <c r="E579" s="18">
        <v>0</v>
      </c>
      <c r="F579" s="18">
        <f t="shared" si="75"/>
        <v>576.71493749999991</v>
      </c>
      <c r="G579" s="102"/>
      <c r="H579" s="102"/>
      <c r="I579" s="34"/>
      <c r="N579" s="34"/>
    </row>
    <row r="580" spans="1:17" s="2" customFormat="1" ht="15.75" customHeight="1" x14ac:dyDescent="0.3">
      <c r="A580" s="102">
        <f t="shared" si="76"/>
        <v>6</v>
      </c>
      <c r="B580" s="102"/>
      <c r="C580" s="18" t="s">
        <v>189</v>
      </c>
      <c r="D580" s="18">
        <f t="shared" si="77"/>
        <v>384.47662499999996</v>
      </c>
      <c r="E580" s="18">
        <v>0</v>
      </c>
      <c r="F580" s="18">
        <f t="shared" si="75"/>
        <v>576.71493749999991</v>
      </c>
      <c r="G580" s="102"/>
      <c r="H580" s="102"/>
      <c r="I580" s="34"/>
      <c r="N580" s="34"/>
    </row>
    <row r="581" spans="1:17" s="2" customFormat="1" ht="15.75" customHeight="1" x14ac:dyDescent="0.3">
      <c r="A581" s="102">
        <f t="shared" si="76"/>
        <v>7</v>
      </c>
      <c r="B581" s="102"/>
      <c r="C581" s="18" t="s">
        <v>189</v>
      </c>
      <c r="D581" s="18">
        <f t="shared" si="77"/>
        <v>384.47662499999996</v>
      </c>
      <c r="E581" s="18">
        <v>0</v>
      </c>
      <c r="F581" s="18">
        <f t="shared" si="75"/>
        <v>576.71493749999991</v>
      </c>
      <c r="G581" s="102"/>
      <c r="H581" s="102"/>
      <c r="I581" s="34"/>
      <c r="N581" s="34"/>
    </row>
    <row r="582" spans="1:17" s="2" customFormat="1" ht="15.75" customHeight="1" x14ac:dyDescent="0.3">
      <c r="A582" s="102">
        <f t="shared" si="76"/>
        <v>8</v>
      </c>
      <c r="B582" s="102"/>
      <c r="C582" s="18" t="s">
        <v>189</v>
      </c>
      <c r="D582" s="18">
        <f t="shared" si="77"/>
        <v>384.47662499999996</v>
      </c>
      <c r="E582" s="18">
        <v>0</v>
      </c>
      <c r="F582" s="18">
        <f t="shared" si="75"/>
        <v>576.71493749999991</v>
      </c>
      <c r="G582" s="102"/>
      <c r="H582" s="102"/>
      <c r="I582" s="34"/>
      <c r="N582" s="34"/>
    </row>
    <row r="583" spans="1:17" s="2" customFormat="1" ht="15.75" customHeight="1" x14ac:dyDescent="0.3">
      <c r="A583" s="102">
        <f t="shared" si="76"/>
        <v>9</v>
      </c>
      <c r="B583" s="102"/>
      <c r="C583" s="18" t="s">
        <v>189</v>
      </c>
      <c r="D583" s="18">
        <f t="shared" si="77"/>
        <v>384.47662499999996</v>
      </c>
      <c r="E583" s="18">
        <v>0</v>
      </c>
      <c r="F583" s="18">
        <f>D583*(($F$270)+1)+E583/2</f>
        <v>576.71493749999991</v>
      </c>
      <c r="G583" s="102"/>
      <c r="H583" s="102"/>
      <c r="I583" s="34"/>
      <c r="N583" s="34"/>
    </row>
    <row r="584" spans="1:17" s="2" customFormat="1" ht="15.75" customHeight="1" x14ac:dyDescent="0.3">
      <c r="A584" s="102">
        <f t="shared" si="76"/>
        <v>10</v>
      </c>
      <c r="B584" s="102"/>
      <c r="C584" s="18" t="s">
        <v>189</v>
      </c>
      <c r="D584" s="18">
        <f t="shared" si="77"/>
        <v>384.47662499999996</v>
      </c>
      <c r="E584" s="18">
        <v>0</v>
      </c>
      <c r="F584" s="18">
        <f>D584*(($F$270)+1)+E584</f>
        <v>576.71493749999991</v>
      </c>
      <c r="G584" s="102"/>
      <c r="H584" s="102"/>
      <c r="I584" s="34"/>
      <c r="N584" s="34"/>
    </row>
    <row r="585" spans="1:17" s="2" customFormat="1" ht="15.75" customHeight="1" x14ac:dyDescent="0.3">
      <c r="A585" s="102">
        <f t="shared" si="76"/>
        <v>11</v>
      </c>
      <c r="B585" s="102"/>
      <c r="C585" s="18" t="s">
        <v>189</v>
      </c>
      <c r="D585" s="18">
        <f>(2.75*4.275+2.15*2.35+2.75*3.35+2.3*1.3+1.8*1.25+1*2.2)*10.764</f>
        <v>360.176895</v>
      </c>
      <c r="E585" s="18">
        <v>0</v>
      </c>
      <c r="F585" s="18">
        <v>571</v>
      </c>
      <c r="G585" s="102"/>
      <c r="H585" s="102"/>
      <c r="I585" s="79" t="s">
        <v>291</v>
      </c>
      <c r="J585" s="80"/>
      <c r="K585" s="80"/>
      <c r="L585" s="80"/>
      <c r="M585" s="80"/>
      <c r="N585" s="79"/>
      <c r="O585" s="80"/>
      <c r="P585" s="80"/>
      <c r="Q585" s="80"/>
    </row>
    <row r="586" spans="1:17" s="2" customFormat="1" ht="15.75" customHeight="1" x14ac:dyDescent="0.3">
      <c r="A586" s="102">
        <f t="shared" si="76"/>
        <v>12</v>
      </c>
      <c r="B586" s="102"/>
      <c r="C586" s="18" t="s">
        <v>188</v>
      </c>
      <c r="D586" s="18">
        <f>(4.35*3.1+2.15*2.75+3.05*2.75+3.05*2.9+1.3*2.1+2.3*1.45+2.3*0.6+1*3.05+2.2*1.2)*10.764</f>
        <v>535.67045999999993</v>
      </c>
      <c r="E586" s="18">
        <v>0</v>
      </c>
      <c r="F586" s="18">
        <f>D586*(($F$270)+1)+E586</f>
        <v>803.50568999999996</v>
      </c>
      <c r="G586" s="102"/>
      <c r="H586" s="102"/>
      <c r="I586" s="34"/>
      <c r="N586" s="34"/>
    </row>
    <row r="587" spans="1:17" s="2" customFormat="1" ht="15.75" customHeight="1" x14ac:dyDescent="0.3">
      <c r="A587" s="102">
        <f t="shared" si="76"/>
        <v>13</v>
      </c>
      <c r="B587" s="102"/>
      <c r="C587" s="18" t="s">
        <v>188</v>
      </c>
      <c r="D587" s="18">
        <f>(4.35*3.1+2.15*2.75+3.05*2.75+3.05*2.9+1.3*2.1+2.3*1.45+2.3*0.6+1*3.05+2.2*1.2)*10.764</f>
        <v>535.67045999999993</v>
      </c>
      <c r="E587" s="18">
        <v>0</v>
      </c>
      <c r="F587" s="18">
        <f>D587*(($F$270)+1)+E587</f>
        <v>803.50568999999996</v>
      </c>
      <c r="G587" s="102"/>
      <c r="H587" s="102"/>
      <c r="I587" s="34"/>
      <c r="N587" s="34"/>
    </row>
    <row r="588" spans="1:17" s="2" customFormat="1" ht="15.75" customHeight="1" x14ac:dyDescent="0.3">
      <c r="A588" s="102">
        <f t="shared" si="76"/>
        <v>14</v>
      </c>
      <c r="B588" s="102"/>
      <c r="C588" s="18" t="s">
        <v>189</v>
      </c>
      <c r="D588" s="18">
        <f>(2.75*4.125+2.15*2.35+2.75*3.35+1.55*1.25+1.55*1.25+1*2.2)*10.764</f>
        <v>341.04388499999999</v>
      </c>
      <c r="E588" s="18">
        <v>0</v>
      </c>
      <c r="F588" s="18">
        <f>D588*(($F$270)+1)+E588</f>
        <v>511.56582749999995</v>
      </c>
      <c r="G588" s="102"/>
      <c r="H588" s="102"/>
      <c r="I588" s="34"/>
      <c r="N588" s="34"/>
    </row>
    <row r="589" spans="1:17" s="2" customFormat="1" x14ac:dyDescent="0.3">
      <c r="A589" s="102">
        <f t="shared" si="76"/>
        <v>15</v>
      </c>
      <c r="B589" s="102"/>
      <c r="C589" s="18" t="s">
        <v>189</v>
      </c>
      <c r="D589" s="18">
        <f>(2.75*4.125+2.15*2.35+2.75*3.35+1.55*1.25+1.55*1.25+1*2.2)*10.764</f>
        <v>341.04388499999999</v>
      </c>
      <c r="E589" s="18">
        <v>0</v>
      </c>
      <c r="F589" s="18">
        <f>D589*(($F$270)+1)+E589/2</f>
        <v>511.56582749999995</v>
      </c>
      <c r="G589" s="102"/>
      <c r="H589" s="102"/>
      <c r="I589" s="34"/>
      <c r="L589" s="159"/>
      <c r="M589" s="159"/>
    </row>
    <row r="590" spans="1:17" s="2" customFormat="1" ht="15.75" customHeight="1" x14ac:dyDescent="0.3">
      <c r="A590" s="102">
        <f t="shared" si="76"/>
        <v>16</v>
      </c>
      <c r="B590" s="102"/>
      <c r="C590" s="18" t="s">
        <v>188</v>
      </c>
      <c r="D590" s="18">
        <f>(4.35*3.1+2.15*2.75+3.05*2.75+3.05*2.9+1.3*2.1+2.3*1.45+2.3*0.6+1*3.05+2.2*1.2)*10.764</f>
        <v>535.67045999999993</v>
      </c>
      <c r="E590" s="18">
        <v>0</v>
      </c>
      <c r="F590" s="18">
        <f>D590*(($F$270)+1)+E590</f>
        <v>803.50568999999996</v>
      </c>
      <c r="G590" s="102"/>
      <c r="H590" s="102"/>
      <c r="I590" s="34"/>
      <c r="N590" s="34"/>
    </row>
    <row r="591" spans="1:17" s="2" customFormat="1" ht="15.75" customHeight="1" x14ac:dyDescent="0.3">
      <c r="A591" s="101" t="s">
        <v>289</v>
      </c>
      <c r="B591" s="101"/>
      <c r="C591" s="101"/>
      <c r="D591" s="101"/>
      <c r="E591" s="101"/>
      <c r="F591" s="101"/>
      <c r="G591" s="101"/>
      <c r="H591" s="101"/>
      <c r="I591" s="34"/>
      <c r="N591" s="34"/>
    </row>
    <row r="592" spans="1:17" s="2" customFormat="1" ht="15.75" customHeight="1" x14ac:dyDescent="0.3">
      <c r="A592" s="102">
        <v>1</v>
      </c>
      <c r="B592" s="102"/>
      <c r="C592" s="18" t="s">
        <v>188</v>
      </c>
      <c r="D592" s="18">
        <f>(4.35*3.1+2.15*2.75+3.05*2.75+3.05*2.9+1.3*2.1+2.3*1.45+2.3*0.6+1*3.05+2.2*1.2)*10.764</f>
        <v>535.67045999999993</v>
      </c>
      <c r="E592" s="18">
        <v>0</v>
      </c>
      <c r="F592" s="18">
        <f t="shared" ref="F592:F599" si="78">D592*(($F$270)+1)+E592</f>
        <v>803.50568999999996</v>
      </c>
      <c r="G592" s="102" t="str">
        <f>A591</f>
        <v>3rd to 7th, 9th to 12th &amp; 14th to 15th Floor</v>
      </c>
      <c r="H592" s="102"/>
      <c r="I592" s="34">
        <f>15+2*15+12*16</f>
        <v>237</v>
      </c>
      <c r="N592" s="34"/>
    </row>
    <row r="593" spans="1:14" s="2" customFormat="1" ht="15.75" customHeight="1" x14ac:dyDescent="0.3">
      <c r="A593" s="102">
        <f>A592+1</f>
        <v>2</v>
      </c>
      <c r="B593" s="102"/>
      <c r="C593" s="18" t="s">
        <v>188</v>
      </c>
      <c r="D593" s="18">
        <f>(4.35*3.1+2.15*2.75+3.05*2.75+3.05*2.9+1.3*2.1+2.3*1.45+2.3*0.6+1*3.05+2.2*1.2)*10.764</f>
        <v>535.67045999999993</v>
      </c>
      <c r="E593" s="18">
        <v>0</v>
      </c>
      <c r="F593" s="18">
        <f t="shared" si="78"/>
        <v>803.50568999999996</v>
      </c>
      <c r="G593" s="102"/>
      <c r="H593" s="102"/>
      <c r="I593" s="34"/>
      <c r="N593" s="34"/>
    </row>
    <row r="594" spans="1:14" s="2" customFormat="1" ht="15.75" customHeight="1" x14ac:dyDescent="0.3">
      <c r="A594" s="102">
        <f>A593+1</f>
        <v>3</v>
      </c>
      <c r="B594" s="102"/>
      <c r="C594" s="18" t="s">
        <v>189</v>
      </c>
      <c r="D594" s="18">
        <f>(2.75*4.275+2.15*2.35+2.75*3.35+2.3*1.3+1.8*1.25+1*2.2+1.05*2.15)*10.764</f>
        <v>384.47662499999996</v>
      </c>
      <c r="E594" s="18">
        <v>0</v>
      </c>
      <c r="F594" s="18">
        <f t="shared" si="78"/>
        <v>576.71493749999991</v>
      </c>
      <c r="G594" s="102"/>
      <c r="H594" s="102"/>
      <c r="I594" s="34"/>
      <c r="N594" s="34"/>
    </row>
    <row r="595" spans="1:14" s="2" customFormat="1" ht="15.75" customHeight="1" x14ac:dyDescent="0.3">
      <c r="A595" s="102">
        <f t="shared" ref="A595:A607" si="79">A594+1</f>
        <v>4</v>
      </c>
      <c r="B595" s="102"/>
      <c r="C595" s="18" t="s">
        <v>189</v>
      </c>
      <c r="D595" s="18">
        <f>(2.75*4.275+2.15*2.35+2.75*3.35+2.3*1.3+1.8*1.25+1*2.2+1.05*2.15)*10.764</f>
        <v>384.47662499999996</v>
      </c>
      <c r="E595" s="18">
        <v>0</v>
      </c>
      <c r="F595" s="18">
        <f t="shared" si="78"/>
        <v>576.71493749999991</v>
      </c>
      <c r="G595" s="102"/>
      <c r="H595" s="102"/>
      <c r="I595" s="34"/>
      <c r="N595" s="34"/>
    </row>
    <row r="596" spans="1:14" s="2" customFormat="1" ht="15.75" customHeight="1" x14ac:dyDescent="0.3">
      <c r="A596" s="102">
        <f t="shared" si="79"/>
        <v>5</v>
      </c>
      <c r="B596" s="102"/>
      <c r="C596" s="18" t="s">
        <v>189</v>
      </c>
      <c r="D596" s="18">
        <f t="shared" ref="D596:D601" si="80">(2.75*4.275+2.15*2.35+2.75*3.35+2.3*1.3+1.8*1.25+1*2.2+1.05*2.15)*10.764</f>
        <v>384.47662499999996</v>
      </c>
      <c r="E596" s="18">
        <v>0</v>
      </c>
      <c r="F596" s="18">
        <f t="shared" si="78"/>
        <v>576.71493749999991</v>
      </c>
      <c r="G596" s="102"/>
      <c r="H596" s="102"/>
      <c r="I596" s="34"/>
      <c r="N596" s="34"/>
    </row>
    <row r="597" spans="1:14" s="2" customFormat="1" ht="15.75" customHeight="1" x14ac:dyDescent="0.3">
      <c r="A597" s="102">
        <f t="shared" si="79"/>
        <v>6</v>
      </c>
      <c r="B597" s="102"/>
      <c r="C597" s="18" t="s">
        <v>189</v>
      </c>
      <c r="D597" s="18">
        <f t="shared" si="80"/>
        <v>384.47662499999996</v>
      </c>
      <c r="E597" s="18">
        <v>0</v>
      </c>
      <c r="F597" s="18">
        <f t="shared" si="78"/>
        <v>576.71493749999991</v>
      </c>
      <c r="G597" s="102"/>
      <c r="H597" s="102"/>
      <c r="I597" s="34"/>
      <c r="N597" s="34"/>
    </row>
    <row r="598" spans="1:14" s="2" customFormat="1" ht="15.75" customHeight="1" x14ac:dyDescent="0.3">
      <c r="A598" s="102">
        <f t="shared" si="79"/>
        <v>7</v>
      </c>
      <c r="B598" s="102"/>
      <c r="C598" s="18" t="s">
        <v>189</v>
      </c>
      <c r="D598" s="18">
        <f t="shared" si="80"/>
        <v>384.47662499999996</v>
      </c>
      <c r="E598" s="18">
        <v>0</v>
      </c>
      <c r="F598" s="18">
        <f t="shared" si="78"/>
        <v>576.71493749999991</v>
      </c>
      <c r="G598" s="102"/>
      <c r="H598" s="102"/>
      <c r="I598" s="34"/>
      <c r="N598" s="34"/>
    </row>
    <row r="599" spans="1:14" s="2" customFormat="1" ht="15.75" customHeight="1" x14ac:dyDescent="0.3">
      <c r="A599" s="102">
        <f t="shared" si="79"/>
        <v>8</v>
      </c>
      <c r="B599" s="102"/>
      <c r="C599" s="18" t="s">
        <v>189</v>
      </c>
      <c r="D599" s="18">
        <f t="shared" si="80"/>
        <v>384.47662499999996</v>
      </c>
      <c r="E599" s="18">
        <v>0</v>
      </c>
      <c r="F599" s="18">
        <f t="shared" si="78"/>
        <v>576.71493749999991</v>
      </c>
      <c r="G599" s="102"/>
      <c r="H599" s="102"/>
      <c r="I599" s="34"/>
      <c r="N599" s="34"/>
    </row>
    <row r="600" spans="1:14" s="2" customFormat="1" ht="15.75" customHeight="1" x14ac:dyDescent="0.3">
      <c r="A600" s="102">
        <f t="shared" si="79"/>
        <v>9</v>
      </c>
      <c r="B600" s="102"/>
      <c r="C600" s="18" t="s">
        <v>189</v>
      </c>
      <c r="D600" s="18">
        <f t="shared" si="80"/>
        <v>384.47662499999996</v>
      </c>
      <c r="E600" s="18">
        <v>0</v>
      </c>
      <c r="F600" s="18">
        <f>D600*(($F$270)+1)+E600/2</f>
        <v>576.71493749999991</v>
      </c>
      <c r="G600" s="102"/>
      <c r="H600" s="102"/>
      <c r="I600" s="34"/>
      <c r="N600" s="34"/>
    </row>
    <row r="601" spans="1:14" s="2" customFormat="1" ht="15.75" customHeight="1" x14ac:dyDescent="0.3">
      <c r="A601" s="102">
        <f t="shared" si="79"/>
        <v>10</v>
      </c>
      <c r="B601" s="102"/>
      <c r="C601" s="18" t="s">
        <v>189</v>
      </c>
      <c r="D601" s="18">
        <f t="shared" si="80"/>
        <v>384.47662499999996</v>
      </c>
      <c r="E601" s="18">
        <v>0</v>
      </c>
      <c r="F601" s="18">
        <f>D601*(($F$270)+1)+E601</f>
        <v>576.71493749999991</v>
      </c>
      <c r="G601" s="102"/>
      <c r="H601" s="102"/>
      <c r="I601" s="34"/>
      <c r="N601" s="34"/>
    </row>
    <row r="602" spans="1:14" s="2" customFormat="1" ht="15.75" customHeight="1" x14ac:dyDescent="0.3">
      <c r="A602" s="102">
        <f t="shared" si="79"/>
        <v>11</v>
      </c>
      <c r="B602" s="102"/>
      <c r="C602" s="18" t="s">
        <v>189</v>
      </c>
      <c r="D602" s="18">
        <f>(2.75*4.275+2.15*2.35+2.75*3.35+2.3*1.3+1.8*1.25+1*2.2)*10.764</f>
        <v>360.176895</v>
      </c>
      <c r="E602" s="18">
        <v>0</v>
      </c>
      <c r="F602" s="18">
        <f>D602*(($F$270)+1)+E602</f>
        <v>540.26534249999997</v>
      </c>
      <c r="G602" s="102"/>
      <c r="H602" s="102"/>
      <c r="I602" s="34"/>
      <c r="N602" s="34"/>
    </row>
    <row r="603" spans="1:14" s="2" customFormat="1" ht="15.75" customHeight="1" x14ac:dyDescent="0.3">
      <c r="A603" s="102">
        <f t="shared" si="79"/>
        <v>12</v>
      </c>
      <c r="B603" s="102"/>
      <c r="C603" s="18" t="s">
        <v>188</v>
      </c>
      <c r="D603" s="18">
        <f>(4.35*3.1+2.15*2.75+3.05*2.75+3.05*2.9+1.3*2.1+2.3*1.45+2.3*0.6+1*3.05+2.2*1.2)*10.764</f>
        <v>535.67045999999993</v>
      </c>
      <c r="E603" s="18">
        <v>0</v>
      </c>
      <c r="F603" s="18">
        <f>D603*(($F$270)+1)+E603</f>
        <v>803.50568999999996</v>
      </c>
      <c r="G603" s="102"/>
      <c r="H603" s="102"/>
      <c r="I603" s="34"/>
      <c r="N603" s="34"/>
    </row>
    <row r="604" spans="1:14" s="2" customFormat="1" ht="15.75" customHeight="1" x14ac:dyDescent="0.3">
      <c r="A604" s="102">
        <f t="shared" si="79"/>
        <v>13</v>
      </c>
      <c r="B604" s="102"/>
      <c r="C604" s="18" t="s">
        <v>188</v>
      </c>
      <c r="D604" s="18">
        <f>(4.35*3.1+2.15*2.75+3.05*2.75+3.05*2.9+1.3*2.1+2.3*1.45+2.3*0.6+1*3.05+2.2*1.2)*10.764</f>
        <v>535.67045999999993</v>
      </c>
      <c r="E604" s="18">
        <v>0</v>
      </c>
      <c r="F604" s="18">
        <f>D604*(($F$270)+1)+E604</f>
        <v>803.50568999999996</v>
      </c>
      <c r="G604" s="102"/>
      <c r="H604" s="102"/>
      <c r="I604" s="34"/>
      <c r="N604" s="34"/>
    </row>
    <row r="605" spans="1:14" s="2" customFormat="1" ht="15.75" customHeight="1" x14ac:dyDescent="0.3">
      <c r="A605" s="102">
        <f t="shared" si="79"/>
        <v>14</v>
      </c>
      <c r="B605" s="102"/>
      <c r="C605" s="18" t="s">
        <v>189</v>
      </c>
      <c r="D605" s="18">
        <f>(2.75*4.125+2.15*2.35+2.75*3.35+1.55*1.25+1.55*1.25+1*2.2)*10.764</f>
        <v>341.04388499999999</v>
      </c>
      <c r="E605" s="18">
        <v>0</v>
      </c>
      <c r="F605" s="18">
        <f>D605*(($F$270)+1)+E605</f>
        <v>511.56582749999995</v>
      </c>
      <c r="G605" s="102"/>
      <c r="H605" s="102"/>
      <c r="I605" s="34"/>
      <c r="N605" s="34"/>
    </row>
    <row r="606" spans="1:14" s="2" customFormat="1" x14ac:dyDescent="0.3">
      <c r="A606" s="102">
        <f t="shared" si="79"/>
        <v>15</v>
      </c>
      <c r="B606" s="102"/>
      <c r="C606" s="18" t="s">
        <v>189</v>
      </c>
      <c r="D606" s="18">
        <f>(2.75*4.125+2.15*2.35+2.75*3.35+1.55*1.25+1.55*1.25+1*2.2)*10.764</f>
        <v>341.04388499999999</v>
      </c>
      <c r="E606" s="18">
        <v>0</v>
      </c>
      <c r="F606" s="18">
        <f>D606*(($F$270)+1)+E606/2</f>
        <v>511.56582749999995</v>
      </c>
      <c r="G606" s="102"/>
      <c r="H606" s="102"/>
      <c r="I606" s="34"/>
      <c r="L606" s="159"/>
      <c r="M606" s="159"/>
    </row>
    <row r="607" spans="1:14" s="2" customFormat="1" ht="15.75" customHeight="1" x14ac:dyDescent="0.3">
      <c r="A607" s="102">
        <f t="shared" si="79"/>
        <v>16</v>
      </c>
      <c r="B607" s="102"/>
      <c r="C607" s="18" t="s">
        <v>188</v>
      </c>
      <c r="D607" s="18">
        <f>(4.35*3.1+2.15*2.75+3.05*2.75+3.05*2.9+1.3*2.1+2.3*1.45+2.3*0.6+1*3.05+2.2*1.2)*10.764</f>
        <v>535.67045999999993</v>
      </c>
      <c r="E607" s="18">
        <v>0</v>
      </c>
      <c r="F607" s="18">
        <f>D607*(($F$270)+1)+E607</f>
        <v>803.50568999999996</v>
      </c>
      <c r="G607" s="102"/>
      <c r="H607" s="102"/>
      <c r="I607" s="34"/>
      <c r="N607" s="34"/>
    </row>
    <row r="608" spans="1:14" s="2" customFormat="1" ht="15.75" customHeight="1" x14ac:dyDescent="0.3">
      <c r="A608" s="101" t="s">
        <v>268</v>
      </c>
      <c r="B608" s="101"/>
      <c r="C608" s="101"/>
      <c r="D608" s="101"/>
      <c r="E608" s="101"/>
      <c r="F608" s="101"/>
      <c r="G608" s="101"/>
      <c r="H608" s="101"/>
      <c r="I608" s="34"/>
      <c r="N608" s="34"/>
    </row>
    <row r="609" spans="1:16" s="2" customFormat="1" ht="15.75" customHeight="1" x14ac:dyDescent="0.3">
      <c r="A609" s="102">
        <v>1</v>
      </c>
      <c r="B609" s="102"/>
      <c r="C609" s="18" t="s">
        <v>188</v>
      </c>
      <c r="D609" s="18">
        <f t="shared" ref="D609:D610" si="81">(4.35*3.1+2.15*2.75+3.05*2.75+3.05*2.9+1.3*2.1+2.3*1.45+2.3*0.6+1*3.05+2.2*1.2)*10.764</f>
        <v>535.67045999999993</v>
      </c>
      <c r="E609" s="18">
        <v>0</v>
      </c>
      <c r="F609" s="18">
        <f>D609*(($F$270)+1)+E609</f>
        <v>803.50568999999996</v>
      </c>
      <c r="G609" s="121" t="str">
        <f>A608</f>
        <v>8th &amp; 13th Floor (Part Refuge Area)</v>
      </c>
      <c r="H609" s="122"/>
      <c r="I609" s="34"/>
      <c r="N609" s="34"/>
    </row>
    <row r="610" spans="1:16" s="2" customFormat="1" ht="15.75" customHeight="1" x14ac:dyDescent="0.3">
      <c r="A610" s="102">
        <f>A609+1</f>
        <v>2</v>
      </c>
      <c r="B610" s="102"/>
      <c r="C610" s="18" t="s">
        <v>188</v>
      </c>
      <c r="D610" s="18">
        <f t="shared" si="81"/>
        <v>535.67045999999993</v>
      </c>
      <c r="E610" s="18">
        <v>0</v>
      </c>
      <c r="F610" s="18">
        <f>D610*(($F$270)+1)+E610</f>
        <v>803.50568999999996</v>
      </c>
      <c r="G610" s="123"/>
      <c r="H610" s="124"/>
      <c r="I610" s="34">
        <f>2480000/F612</f>
        <v>4300.2180778437014</v>
      </c>
      <c r="N610" s="34"/>
    </row>
    <row r="611" spans="1:16" s="2" customFormat="1" ht="15.75" customHeight="1" x14ac:dyDescent="0.3">
      <c r="A611" s="102">
        <f>A610+1</f>
        <v>3</v>
      </c>
      <c r="B611" s="102"/>
      <c r="C611" s="18" t="s">
        <v>189</v>
      </c>
      <c r="D611" s="18">
        <f>(2.75*4.275+2.15*2.35+2.75*3.35+2.3*1.3+1.8*1.25+1*2.2+1.05*2.15)*10.764</f>
        <v>384.47662499999996</v>
      </c>
      <c r="E611" s="18">
        <v>0</v>
      </c>
      <c r="F611" s="18">
        <f>D611*(($F$270)+1)+E611</f>
        <v>576.71493749999991</v>
      </c>
      <c r="G611" s="123"/>
      <c r="H611" s="124"/>
      <c r="I611" s="34"/>
      <c r="N611" s="34"/>
    </row>
    <row r="612" spans="1:16" s="2" customFormat="1" ht="15.75" customHeight="1" x14ac:dyDescent="0.3">
      <c r="A612" s="102">
        <f t="shared" ref="A612:A624" si="82">A611+1</f>
        <v>4</v>
      </c>
      <c r="B612" s="102"/>
      <c r="C612" s="18" t="s">
        <v>189</v>
      </c>
      <c r="D612" s="18">
        <f t="shared" ref="D612:D618" si="83">(2.75*4.275+2.15*2.35+2.75*3.35+2.3*1.3+1.8*1.25+1*2.2+1.05*2.15)*10.764</f>
        <v>384.47662499999996</v>
      </c>
      <c r="E612" s="18">
        <v>0</v>
      </c>
      <c r="F612" s="18">
        <f>D612*(($F$270)+1)+E612</f>
        <v>576.71493749999991</v>
      </c>
      <c r="G612" s="123"/>
      <c r="H612" s="124"/>
      <c r="I612" s="34"/>
      <c r="N612" s="34"/>
    </row>
    <row r="613" spans="1:16" s="2" customFormat="1" ht="15.75" customHeight="1" x14ac:dyDescent="0.3">
      <c r="A613" s="102">
        <f t="shared" si="82"/>
        <v>5</v>
      </c>
      <c r="B613" s="102"/>
      <c r="C613" s="18" t="s">
        <v>189</v>
      </c>
      <c r="D613" s="18">
        <f t="shared" si="83"/>
        <v>384.47662499999996</v>
      </c>
      <c r="E613" s="18">
        <v>0</v>
      </c>
      <c r="F613" s="18">
        <f>D613*(($F$270)+1)+E613</f>
        <v>576.71493749999991</v>
      </c>
      <c r="G613" s="123"/>
      <c r="H613" s="124"/>
      <c r="I613" s="34"/>
      <c r="N613" s="34"/>
    </row>
    <row r="614" spans="1:16" s="2" customFormat="1" ht="15.75" customHeight="1" x14ac:dyDescent="0.3">
      <c r="A614" s="102">
        <f t="shared" si="82"/>
        <v>6</v>
      </c>
      <c r="B614" s="102"/>
      <c r="C614" s="130" t="s">
        <v>191</v>
      </c>
      <c r="D614" s="131"/>
      <c r="E614" s="131"/>
      <c r="F614" s="132"/>
      <c r="G614" s="123"/>
      <c r="H614" s="124"/>
      <c r="I614" s="34"/>
      <c r="N614" s="34"/>
    </row>
    <row r="615" spans="1:16" s="2" customFormat="1" ht="15.75" customHeight="1" x14ac:dyDescent="0.3">
      <c r="A615" s="102">
        <f t="shared" si="82"/>
        <v>7</v>
      </c>
      <c r="B615" s="102"/>
      <c r="C615" s="18" t="s">
        <v>189</v>
      </c>
      <c r="D615" s="18">
        <f t="shared" si="83"/>
        <v>384.47662499999996</v>
      </c>
      <c r="E615" s="18">
        <v>0</v>
      </c>
      <c r="F615" s="18">
        <f>D615*(($F$270)+1)+E615</f>
        <v>576.71493749999991</v>
      </c>
      <c r="G615" s="123"/>
      <c r="H615" s="124"/>
      <c r="I615" s="34"/>
      <c r="N615" s="34"/>
    </row>
    <row r="616" spans="1:16" s="2" customFormat="1" ht="15.75" customHeight="1" x14ac:dyDescent="0.3">
      <c r="A616" s="102">
        <f t="shared" si="82"/>
        <v>8</v>
      </c>
      <c r="B616" s="102"/>
      <c r="C616" s="18" t="s">
        <v>189</v>
      </c>
      <c r="D616" s="18">
        <f t="shared" si="83"/>
        <v>384.47662499999996</v>
      </c>
      <c r="E616" s="18">
        <v>0</v>
      </c>
      <c r="F616" s="18">
        <f>D616*(($F$270)+1)+E616</f>
        <v>576.71493749999991</v>
      </c>
      <c r="G616" s="123"/>
      <c r="H616" s="124"/>
      <c r="I616" s="34"/>
      <c r="N616" s="34"/>
    </row>
    <row r="617" spans="1:16" s="2" customFormat="1" ht="15.75" customHeight="1" x14ac:dyDescent="0.3">
      <c r="A617" s="102">
        <f t="shared" si="82"/>
        <v>9</v>
      </c>
      <c r="B617" s="102"/>
      <c r="C617" s="18" t="s">
        <v>189</v>
      </c>
      <c r="D617" s="18">
        <f t="shared" si="83"/>
        <v>384.47662499999996</v>
      </c>
      <c r="E617" s="18">
        <v>0</v>
      </c>
      <c r="F617" s="18">
        <f>D617*(($F$270)+1)+E617/2</f>
        <v>576.71493749999991</v>
      </c>
      <c r="G617" s="123"/>
      <c r="H617" s="124"/>
      <c r="I617" s="34"/>
      <c r="N617" s="34"/>
    </row>
    <row r="618" spans="1:16" s="2" customFormat="1" ht="15.75" customHeight="1" x14ac:dyDescent="0.3">
      <c r="A618" s="102">
        <f t="shared" si="82"/>
        <v>10</v>
      </c>
      <c r="B618" s="102"/>
      <c r="C618" s="18" t="s">
        <v>189</v>
      </c>
      <c r="D618" s="18">
        <f t="shared" si="83"/>
        <v>384.47662499999996</v>
      </c>
      <c r="E618" s="18">
        <v>0</v>
      </c>
      <c r="F618" s="18">
        <f>D618*(($F$270)+1)+E618</f>
        <v>576.71493749999991</v>
      </c>
      <c r="G618" s="123"/>
      <c r="H618" s="124"/>
      <c r="I618" s="34"/>
      <c r="N618" s="34"/>
    </row>
    <row r="619" spans="1:16" s="2" customFormat="1" ht="15.75" customHeight="1" x14ac:dyDescent="0.3">
      <c r="A619" s="102">
        <f t="shared" si="82"/>
        <v>11</v>
      </c>
      <c r="B619" s="102"/>
      <c r="C619" s="18" t="s">
        <v>189</v>
      </c>
      <c r="D619" s="18">
        <f>(2.75*4.275+2.15*2.35+2.75*3.35+2.3*1.3+1.8*1.25+1*2.2)*10.764</f>
        <v>360.176895</v>
      </c>
      <c r="E619" s="18">
        <v>0</v>
      </c>
      <c r="F619" s="18">
        <f>D619*(($F$270)+1)+E619</f>
        <v>540.26534249999997</v>
      </c>
      <c r="G619" s="123"/>
      <c r="H619" s="124"/>
      <c r="I619" s="34"/>
      <c r="N619" s="34"/>
    </row>
    <row r="620" spans="1:16" s="2" customFormat="1" ht="15.75" customHeight="1" x14ac:dyDescent="0.3">
      <c r="A620" s="102">
        <f t="shared" si="82"/>
        <v>12</v>
      </c>
      <c r="B620" s="102"/>
      <c r="C620" s="18" t="s">
        <v>188</v>
      </c>
      <c r="D620" s="18">
        <f>(4.35*3.1+2.15*2.75+3.05*2.75+3.05*2.9+1.3*2.1+2.3*1.45+2.3*0.6+1*3.05+2.2*1.2)*10.764</f>
        <v>535.67045999999993</v>
      </c>
      <c r="E620" s="18">
        <v>0</v>
      </c>
      <c r="F620" s="18">
        <f>D620*(($F$270)+1)+E620</f>
        <v>803.50568999999996</v>
      </c>
      <c r="G620" s="123"/>
      <c r="H620" s="124"/>
      <c r="I620" s="34"/>
      <c r="N620" s="34"/>
    </row>
    <row r="621" spans="1:16" s="2" customFormat="1" ht="15.75" customHeight="1" x14ac:dyDescent="0.3">
      <c r="A621" s="102">
        <f t="shared" si="82"/>
        <v>13</v>
      </c>
      <c r="B621" s="102"/>
      <c r="C621" s="18" t="s">
        <v>188</v>
      </c>
      <c r="D621" s="18">
        <f>(4.35*3.1+2.15*2.75+3.05*2.75+3.05*2.9+1.3*2.1+2.3*1.45+2.3*0.6+1*3.05+2.2*1.2)*10.764</f>
        <v>535.67045999999993</v>
      </c>
      <c r="E621" s="18">
        <v>0</v>
      </c>
      <c r="F621" s="18">
        <f>D621*(($F$270)+1)+E621</f>
        <v>803.50568999999996</v>
      </c>
      <c r="G621" s="123"/>
      <c r="H621" s="124"/>
      <c r="I621" s="34">
        <f>1390435/F623</f>
        <v>2717.9982032713083</v>
      </c>
      <c r="N621" s="34"/>
    </row>
    <row r="622" spans="1:16" s="2" customFormat="1" x14ac:dyDescent="0.3">
      <c r="A622" s="102">
        <f t="shared" si="82"/>
        <v>14</v>
      </c>
      <c r="B622" s="102"/>
      <c r="C622" s="18" t="s">
        <v>189</v>
      </c>
      <c r="D622" s="18">
        <f>(2.75*4.125+2.15*2.35+2.75*3.35+1.55*1.25+1.55*1.25+1*2.2)*10.764</f>
        <v>341.04388499999999</v>
      </c>
      <c r="E622" s="18">
        <v>0</v>
      </c>
      <c r="F622" s="18">
        <f>D622*(($F$270)+1)+E622</f>
        <v>511.56582749999995</v>
      </c>
      <c r="G622" s="123"/>
      <c r="H622" s="124"/>
      <c r="I622" s="34">
        <f>2144696/F624</f>
        <v>2669.1733819582537</v>
      </c>
      <c r="N622" s="34"/>
    </row>
    <row r="623" spans="1:16" s="2" customFormat="1" ht="15.75" customHeight="1" x14ac:dyDescent="0.3">
      <c r="A623" s="102">
        <f t="shared" si="82"/>
        <v>15</v>
      </c>
      <c r="B623" s="102"/>
      <c r="C623" s="18" t="s">
        <v>189</v>
      </c>
      <c r="D623" s="18">
        <f>(2.75*4.125+2.15*2.35+2.75*3.35+1.55*1.25+1.55*1.25+1*2.2)*10.764</f>
        <v>341.04388499999999</v>
      </c>
      <c r="E623" s="18">
        <v>0</v>
      </c>
      <c r="F623" s="18">
        <f>D623*(($F$270)+1)+E623/2</f>
        <v>511.56582749999995</v>
      </c>
      <c r="G623" s="123"/>
      <c r="H623" s="124"/>
      <c r="I623" s="34"/>
    </row>
    <row r="624" spans="1:16" s="2" customFormat="1" x14ac:dyDescent="0.3">
      <c r="A624" s="102">
        <f t="shared" si="82"/>
        <v>16</v>
      </c>
      <c r="B624" s="102"/>
      <c r="C624" s="18" t="s">
        <v>188</v>
      </c>
      <c r="D624" s="18">
        <f>(4.35*3.1+2.15*2.75+3.05*2.75+3.05*2.9+1.3*2.1+2.3*1.45+2.3*0.6+1*3.05+2.2*1.2)*10.764</f>
        <v>535.67045999999993</v>
      </c>
      <c r="E624" s="18">
        <v>0</v>
      </c>
      <c r="F624" s="18">
        <f>D624*(($F$270)+1)+E624</f>
        <v>803.50568999999996</v>
      </c>
      <c r="G624" s="128"/>
      <c r="H624" s="129"/>
      <c r="I624" s="34"/>
      <c r="N624" s="2" t="e">
        <f t="shared" ref="N624" ca="1" si="84">O624&amp;""&amp;",..,"&amp;""&amp;P624</f>
        <v>#REF!</v>
      </c>
      <c r="O624" s="2" t="e">
        <f ca="1">(SUMPRODUCT(MID(0&amp;(LEFT(#REF!,SUM(LEN(#REF!)-LEN(SUBSTITUTE(#REF!,{"0","1","2"},""))))), LARGE(INDEX(ISNUMBER(--MID((LEFT(#REF!,SUM(LEN(#REF!)-LEN(SUBSTITUTE(#REF!,{"0","1","2"},""))))), ROW(INDIRECT("1:"&amp;LEN((LEFT(#REF!,SUM(LEN(#REF!)-LEN(SUBSTITUTE(#REF!,{"0","1","2"},"")))))))), 1)) * ROW(INDIRECT("1:"&amp;LEN((LEFT(#REF!,SUM(LEN(#REF!)-LEN(SUBSTITUTE(#REF!,{"0","1","2"},"")))))))), 0), ROW(INDIRECT("1:"&amp;LEN((LEFT(#REF!,SUM(LEN(#REF!)-LEN(SUBSTITUTE(#REF!,{"0","1","2"},"")))))))))+1, 1) * 10^ROW(INDIRECT("1:"&amp;LEN((LEFT(#REF!,SUM(LEN(#REF!)-LEN(SUBSTITUTE(#REF!,{"0","1","2"},""))))))))/10))*100+1</f>
        <v>#REF!</v>
      </c>
      <c r="P624" s="2" t="e">
        <f ca="1">(SUMPRODUCT(MID(0&amp;(--TRIM(RIGHT(SUBSTITUTE(LEFT(#REF!,_xlfn.AGGREGATE(16,6,FIND({0,1,2,3,4,5,6,7,8,9},#REF!,ROW(INDIRECT("1:"&amp;LEN(#REF!)))),1))," ",REPT(" ",LEN(#REF!))),LEN(#REF!)))), LARGE(INDEX(ISNUMBER(--MID((--TRIM(RIGHT(SUBSTITUTE(LEFT(#REF!,_xlfn.AGGREGATE(16,6,FIND({0,1,2,3,4,5,6,7,8,9},#REF!,ROW(INDIRECT("1:"&amp;LEN(#REF!)))),1))," ",REPT(" ",LEN(#REF!))),LEN(#REF!)))), ROW(INDIRECT("1:"&amp;LEN((--TRIM(RIGHT(SUBSTITUTE(LEFT(#REF!,_xlfn.AGGREGATE(16,6,FIND({0,1,2,3,4,5,6,7,8,9},#REF!,ROW(INDIRECT("1:"&amp;LEN(#REF!)))),1))," ",REPT(" ",LEN(#REF!))),LEN(#REF!))))))), 1)) * ROW(INDIRECT("1:"&amp;LEN((--TRIM(RIGHT(SUBSTITUTE(LEFT(#REF!,_xlfn.AGGREGATE(16,6,FIND({0,1,2,3,4,5,6,7,8,9},#REF!,ROW(INDIRECT("1:"&amp;LEN(#REF!)))),1))," ",REPT(" ",LEN(#REF!))),LEN(#REF!))))))), 0), ROW(INDIRECT("1:"&amp;LEN((--TRIM(RIGHT(SUBSTITUTE(LEFT(#REF!,_xlfn.AGGREGATE(16,6,FIND({0,1,2,3,4,5,6,7,8,9},#REF!,ROW(INDIRECT("1:"&amp;LEN(#REF!)))),1))," ",REPT(" ",LEN(#REF!))),LEN(#REF!))))))))+1, 1) * 10^ROW(INDIRECT("1:"&amp;LEN((--TRIM(RIGHT(SUBSTITUTE(LEFT(#REF!,_xlfn.AGGREGATE(16,6,FIND({0,1,2,3,4,5,6,7,8,9},#REF!,ROW(INDIRECT("1:"&amp;LEN(#REF!)))),1))," ",REPT(" ",LEN(#REF!))),LEN(#REF!)))))))/10))*100+1</f>
        <v>#REF!</v>
      </c>
    </row>
    <row r="625" spans="1:8" s="61" customFormat="1" x14ac:dyDescent="0.3">
      <c r="A625" s="219" t="s">
        <v>71</v>
      </c>
      <c r="B625" s="219"/>
      <c r="C625" s="219"/>
      <c r="D625" s="219"/>
      <c r="E625" s="219"/>
      <c r="F625" s="219"/>
      <c r="G625" s="219"/>
      <c r="H625" s="219"/>
    </row>
    <row r="626" spans="1:8" s="1" customFormat="1" ht="45.9" customHeight="1" x14ac:dyDescent="0.3">
      <c r="A626" s="60">
        <v>1</v>
      </c>
      <c r="B626" s="180" t="s">
        <v>332</v>
      </c>
      <c r="C626" s="181"/>
      <c r="D626" s="181"/>
      <c r="E626" s="181"/>
      <c r="F626" s="181"/>
      <c r="G626" s="181"/>
      <c r="H626" s="182"/>
    </row>
    <row r="627" spans="1:8" s="1" customFormat="1" x14ac:dyDescent="0.3">
      <c r="A627" s="60">
        <f>A626+1</f>
        <v>2</v>
      </c>
      <c r="B627" s="95" t="s">
        <v>195</v>
      </c>
      <c r="C627" s="96"/>
      <c r="D627" s="96"/>
      <c r="E627" s="96"/>
      <c r="F627" s="96"/>
      <c r="G627" s="96"/>
      <c r="H627" s="97"/>
    </row>
    <row r="628" spans="1:8" s="1" customFormat="1" x14ac:dyDescent="0.3">
      <c r="A628" s="60">
        <f t="shared" ref="A628:A641" si="85">A627+1</f>
        <v>3</v>
      </c>
      <c r="B628" s="177" t="s">
        <v>157</v>
      </c>
      <c r="C628" s="178"/>
      <c r="D628" s="178"/>
      <c r="E628" s="178"/>
      <c r="F628" s="178"/>
      <c r="G628" s="178"/>
      <c r="H628" s="179"/>
    </row>
    <row r="629" spans="1:8" s="1" customFormat="1" x14ac:dyDescent="0.3">
      <c r="A629" s="60">
        <f t="shared" si="85"/>
        <v>4</v>
      </c>
      <c r="B629" s="177" t="s">
        <v>231</v>
      </c>
      <c r="C629" s="178"/>
      <c r="D629" s="178"/>
      <c r="E629" s="178"/>
      <c r="F629" s="178"/>
      <c r="G629" s="178"/>
      <c r="H629" s="179"/>
    </row>
    <row r="630" spans="1:8" s="61" customFormat="1" x14ac:dyDescent="0.3">
      <c r="A630" s="60">
        <f t="shared" si="85"/>
        <v>5</v>
      </c>
      <c r="B630" s="177" t="s">
        <v>158</v>
      </c>
      <c r="C630" s="178"/>
      <c r="D630" s="178"/>
      <c r="E630" s="178"/>
      <c r="F630" s="178"/>
      <c r="G630" s="178"/>
      <c r="H630" s="179"/>
    </row>
    <row r="631" spans="1:8" s="61" customFormat="1" x14ac:dyDescent="0.3">
      <c r="A631" s="60">
        <f t="shared" si="85"/>
        <v>6</v>
      </c>
      <c r="B631" s="177" t="s">
        <v>159</v>
      </c>
      <c r="C631" s="178"/>
      <c r="D631" s="178"/>
      <c r="E631" s="178"/>
      <c r="F631" s="178"/>
      <c r="G631" s="178"/>
      <c r="H631" s="179"/>
    </row>
    <row r="632" spans="1:8" s="61" customFormat="1" x14ac:dyDescent="0.3">
      <c r="A632" s="60">
        <f t="shared" si="85"/>
        <v>7</v>
      </c>
      <c r="B632" s="95" t="s">
        <v>216</v>
      </c>
      <c r="C632" s="96"/>
      <c r="D632" s="96"/>
      <c r="E632" s="96"/>
      <c r="F632" s="96"/>
      <c r="G632" s="96"/>
      <c r="H632" s="97"/>
    </row>
    <row r="633" spans="1:8" s="61" customFormat="1" x14ac:dyDescent="0.3">
      <c r="A633" s="60">
        <f t="shared" si="85"/>
        <v>8</v>
      </c>
      <c r="B633" s="95" t="s">
        <v>237</v>
      </c>
      <c r="C633" s="96"/>
      <c r="D633" s="96"/>
      <c r="E633" s="96"/>
      <c r="F633" s="96"/>
      <c r="G633" s="96"/>
      <c r="H633" s="97"/>
    </row>
    <row r="634" spans="1:8" x14ac:dyDescent="0.3">
      <c r="A634" s="60">
        <f t="shared" si="85"/>
        <v>9</v>
      </c>
      <c r="B634" s="95" t="s">
        <v>220</v>
      </c>
      <c r="C634" s="96"/>
      <c r="D634" s="96"/>
      <c r="E634" s="96"/>
      <c r="F634" s="96"/>
      <c r="G634" s="96"/>
      <c r="H634" s="97"/>
    </row>
    <row r="635" spans="1:8" ht="15.75" customHeight="1" x14ac:dyDescent="0.3">
      <c r="A635" s="60">
        <v>10</v>
      </c>
      <c r="B635" s="95" t="s">
        <v>256</v>
      </c>
      <c r="C635" s="96"/>
      <c r="D635" s="96"/>
      <c r="E635" s="96"/>
      <c r="F635" s="96"/>
      <c r="G635" s="96"/>
      <c r="H635" s="97"/>
    </row>
    <row r="636" spans="1:8" x14ac:dyDescent="0.3">
      <c r="A636" s="60">
        <f>A635+1</f>
        <v>11</v>
      </c>
      <c r="B636" s="95" t="s">
        <v>288</v>
      </c>
      <c r="C636" s="96"/>
      <c r="D636" s="96"/>
      <c r="E636" s="96"/>
      <c r="F636" s="96"/>
      <c r="G636" s="96"/>
      <c r="H636" s="97"/>
    </row>
    <row r="637" spans="1:8" ht="33" customHeight="1" x14ac:dyDescent="0.3">
      <c r="A637" s="60">
        <f t="shared" si="85"/>
        <v>12</v>
      </c>
      <c r="B637" s="95" t="s">
        <v>324</v>
      </c>
      <c r="C637" s="96"/>
      <c r="D637" s="96"/>
      <c r="E637" s="96"/>
      <c r="F637" s="96"/>
      <c r="G637" s="96"/>
      <c r="H637" s="97"/>
    </row>
    <row r="638" spans="1:8" ht="33" customHeight="1" x14ac:dyDescent="0.3">
      <c r="A638" s="81">
        <f t="shared" si="85"/>
        <v>13</v>
      </c>
      <c r="B638" s="249" t="s">
        <v>296</v>
      </c>
      <c r="C638" s="250"/>
      <c r="D638" s="250"/>
      <c r="E638" s="250"/>
      <c r="F638" s="250"/>
      <c r="G638" s="250"/>
      <c r="H638" s="251"/>
    </row>
    <row r="639" spans="1:8" x14ac:dyDescent="0.3">
      <c r="A639" s="81">
        <f t="shared" si="85"/>
        <v>14</v>
      </c>
      <c r="B639" s="249" t="s">
        <v>298</v>
      </c>
      <c r="C639" s="250"/>
      <c r="D639" s="250"/>
      <c r="E639" s="250"/>
      <c r="F639" s="250"/>
      <c r="G639" s="250"/>
      <c r="H639" s="251"/>
    </row>
    <row r="640" spans="1:8" x14ac:dyDescent="0.3">
      <c r="A640" s="60">
        <f t="shared" si="85"/>
        <v>15</v>
      </c>
      <c r="B640" s="95" t="s">
        <v>302</v>
      </c>
      <c r="C640" s="96"/>
      <c r="D640" s="96"/>
      <c r="E640" s="96"/>
      <c r="F640" s="96"/>
      <c r="G640" s="96"/>
      <c r="H640" s="97"/>
    </row>
    <row r="641" spans="1:8" x14ac:dyDescent="0.3">
      <c r="A641" s="60">
        <f t="shared" si="85"/>
        <v>16</v>
      </c>
      <c r="B641" s="95" t="s">
        <v>326</v>
      </c>
      <c r="C641" s="96"/>
      <c r="D641" s="96"/>
      <c r="E641" s="96"/>
      <c r="F641" s="96"/>
      <c r="G641" s="96"/>
      <c r="H641" s="97"/>
    </row>
    <row r="642" spans="1:8" x14ac:dyDescent="0.3">
      <c r="A642" s="60">
        <f>A641+1</f>
        <v>17</v>
      </c>
      <c r="B642" s="95" t="s">
        <v>313</v>
      </c>
      <c r="C642" s="96"/>
      <c r="D642" s="96"/>
      <c r="E642" s="96"/>
      <c r="F642" s="96"/>
      <c r="G642" s="96"/>
      <c r="H642" s="97"/>
    </row>
    <row r="643" spans="1:8" x14ac:dyDescent="0.3">
      <c r="A643" s="220" t="s">
        <v>65</v>
      </c>
      <c r="B643" s="220"/>
      <c r="C643" s="220"/>
      <c r="D643" s="220"/>
      <c r="E643" s="220"/>
      <c r="F643" s="220"/>
      <c r="G643" s="220"/>
      <c r="H643" s="220"/>
    </row>
    <row r="644" spans="1:8" x14ac:dyDescent="0.3">
      <c r="A644" s="133" t="s">
        <v>217</v>
      </c>
      <c r="B644" s="133"/>
      <c r="C644" s="133"/>
      <c r="D644" s="133"/>
      <c r="E644" s="133"/>
      <c r="F644" s="133"/>
      <c r="G644" s="133"/>
      <c r="H644" s="133"/>
    </row>
    <row r="645" spans="1:8" hidden="1" x14ac:dyDescent="0.3">
      <c r="A645" s="212" t="s">
        <v>66</v>
      </c>
      <c r="B645" s="212"/>
      <c r="C645" s="212"/>
      <c r="D645" s="212"/>
      <c r="E645" s="212"/>
      <c r="F645" s="212"/>
      <c r="G645" s="212"/>
      <c r="H645" s="212"/>
    </row>
    <row r="646" spans="1:8" ht="35.25" hidden="1" customHeight="1" x14ac:dyDescent="0.3">
      <c r="A646" s="133" t="s">
        <v>67</v>
      </c>
      <c r="B646" s="133"/>
      <c r="C646" s="133"/>
      <c r="D646" s="133"/>
      <c r="E646" s="133"/>
      <c r="F646" s="133"/>
      <c r="G646" s="133"/>
      <c r="H646" s="133"/>
    </row>
    <row r="647" spans="1:8" x14ac:dyDescent="0.3">
      <c r="A647" s="133" t="s">
        <v>68</v>
      </c>
      <c r="B647" s="133"/>
      <c r="C647" s="133"/>
      <c r="D647" s="133"/>
      <c r="E647" s="133"/>
      <c r="F647" s="133"/>
      <c r="G647" s="133"/>
      <c r="H647" s="133"/>
    </row>
    <row r="648" spans="1:8" x14ac:dyDescent="0.3">
      <c r="A648" s="133" t="s">
        <v>160</v>
      </c>
      <c r="B648" s="133"/>
      <c r="C648" s="133"/>
      <c r="D648" s="133"/>
      <c r="E648" s="133"/>
      <c r="F648" s="133"/>
      <c r="G648" s="133"/>
      <c r="H648" s="133"/>
    </row>
    <row r="649" spans="1:8" x14ac:dyDescent="0.3">
      <c r="A649" s="207" t="s">
        <v>161</v>
      </c>
      <c r="B649" s="207"/>
      <c r="C649" s="207"/>
      <c r="D649" s="207"/>
      <c r="E649" s="207"/>
      <c r="F649" s="207"/>
      <c r="G649" s="207"/>
      <c r="H649" s="207"/>
    </row>
    <row r="650" spans="1:8" x14ac:dyDescent="0.3">
      <c r="A650" s="217" t="s">
        <v>103</v>
      </c>
      <c r="B650" s="217"/>
      <c r="C650" s="217" t="s">
        <v>330</v>
      </c>
      <c r="D650" s="217"/>
      <c r="E650" s="217" t="s">
        <v>136</v>
      </c>
      <c r="F650" s="217"/>
      <c r="G650" s="217" t="s">
        <v>331</v>
      </c>
      <c r="H650" s="217"/>
    </row>
    <row r="651" spans="1:8" x14ac:dyDescent="0.3">
      <c r="A651" s="216" t="s">
        <v>105</v>
      </c>
      <c r="B651" s="216"/>
      <c r="C651" s="216"/>
      <c r="D651" s="216"/>
      <c r="E651" s="216"/>
      <c r="F651" s="216"/>
      <c r="G651" s="216"/>
      <c r="H651" s="216"/>
    </row>
    <row r="652" spans="1:8" x14ac:dyDescent="0.3">
      <c r="A652" s="216"/>
      <c r="B652" s="216"/>
      <c r="C652" s="216"/>
      <c r="D652" s="216"/>
      <c r="E652" s="216"/>
      <c r="F652" s="216"/>
      <c r="G652" s="216"/>
      <c r="H652" s="216"/>
    </row>
    <row r="653" spans="1:8" ht="34.5" customHeight="1" x14ac:dyDescent="0.3">
      <c r="A653" s="216"/>
      <c r="B653" s="216"/>
      <c r="C653" s="216"/>
      <c r="D653" s="216"/>
      <c r="E653" s="216"/>
      <c r="F653" s="216"/>
      <c r="G653" s="216"/>
      <c r="H653" s="216"/>
    </row>
    <row r="654" spans="1:8" ht="15" customHeight="1" x14ac:dyDescent="0.3">
      <c r="A654" s="13" t="s">
        <v>69</v>
      </c>
      <c r="B654" s="14"/>
      <c r="C654" s="14"/>
      <c r="D654" s="13" t="str">
        <f>E8</f>
        <v>Kohinoor Eden (Building No. 1 to 7)</v>
      </c>
      <c r="F654" s="14"/>
      <c r="G654" s="14"/>
      <c r="H654" s="14"/>
    </row>
    <row r="655" spans="1:8" x14ac:dyDescent="0.3">
      <c r="A655" s="14"/>
      <c r="B655" s="14"/>
      <c r="C655" s="14"/>
      <c r="D655" s="14"/>
      <c r="E655" s="14"/>
      <c r="F655" s="14"/>
      <c r="G655" s="14"/>
      <c r="H655" s="14"/>
    </row>
    <row r="656" spans="1:8" x14ac:dyDescent="0.3">
      <c r="A656" s="14"/>
      <c r="B656" s="14"/>
      <c r="C656" s="14"/>
      <c r="D656" s="14"/>
      <c r="E656" s="14"/>
      <c r="F656" s="14"/>
      <c r="G656" s="14"/>
      <c r="H656" s="14"/>
    </row>
    <row r="698" spans="1:1" x14ac:dyDescent="0.3">
      <c r="A698" s="16" t="s">
        <v>253</v>
      </c>
    </row>
    <row r="733" spans="1:1" x14ac:dyDescent="0.3">
      <c r="A733" s="16" t="s">
        <v>70</v>
      </c>
    </row>
  </sheetData>
  <mergeCells count="868">
    <mergeCell ref="B641:H641"/>
    <mergeCell ref="B642:H642"/>
    <mergeCell ref="A481:H481"/>
    <mergeCell ref="A482:B482"/>
    <mergeCell ref="G482:H492"/>
    <mergeCell ref="A483:B483"/>
    <mergeCell ref="A484:B484"/>
    <mergeCell ref="A485:B485"/>
    <mergeCell ref="A486:B486"/>
    <mergeCell ref="A487:B487"/>
    <mergeCell ref="A488:B488"/>
    <mergeCell ref="A489:B489"/>
    <mergeCell ref="A490:B490"/>
    <mergeCell ref="A491:B491"/>
    <mergeCell ref="A492:B492"/>
    <mergeCell ref="C489:F489"/>
    <mergeCell ref="A624:B624"/>
    <mergeCell ref="A620:B620"/>
    <mergeCell ref="A622:B622"/>
    <mergeCell ref="A613:B613"/>
    <mergeCell ref="A574:H574"/>
    <mergeCell ref="B633:H633"/>
    <mergeCell ref="A614:B614"/>
    <mergeCell ref="L456:M456"/>
    <mergeCell ref="A457:H457"/>
    <mergeCell ref="A458:B458"/>
    <mergeCell ref="A459:B459"/>
    <mergeCell ref="A460:B460"/>
    <mergeCell ref="A461:B461"/>
    <mergeCell ref="A462:B462"/>
    <mergeCell ref="A463:B463"/>
    <mergeCell ref="G458:H468"/>
    <mergeCell ref="C465:F466"/>
    <mergeCell ref="J459:M463"/>
    <mergeCell ref="A465:B465"/>
    <mergeCell ref="A466:B466"/>
    <mergeCell ref="A467:B467"/>
    <mergeCell ref="A468:B468"/>
    <mergeCell ref="A253:B253"/>
    <mergeCell ref="L253:M253"/>
    <mergeCell ref="A254:B254"/>
    <mergeCell ref="L254:M254"/>
    <mergeCell ref="A255:B255"/>
    <mergeCell ref="L255:M255"/>
    <mergeCell ref="A256:B256"/>
    <mergeCell ref="A257:B257"/>
    <mergeCell ref="A258:B258"/>
    <mergeCell ref="G251:H267"/>
    <mergeCell ref="A259:B259"/>
    <mergeCell ref="A260:B260"/>
    <mergeCell ref="A261:B261"/>
    <mergeCell ref="A262:B262"/>
    <mergeCell ref="A263:B263"/>
    <mergeCell ref="A264:B264"/>
    <mergeCell ref="A265:B265"/>
    <mergeCell ref="A266:B266"/>
    <mergeCell ref="A267:B267"/>
    <mergeCell ref="A249:H249"/>
    <mergeCell ref="L249:M249"/>
    <mergeCell ref="A250:H250"/>
    <mergeCell ref="L250:M250"/>
    <mergeCell ref="A251:B251"/>
    <mergeCell ref="L251:M251"/>
    <mergeCell ref="A252:B252"/>
    <mergeCell ref="L252:M252"/>
    <mergeCell ref="C215:D215"/>
    <mergeCell ref="E215:F215"/>
    <mergeCell ref="G215:H215"/>
    <mergeCell ref="A215:B215"/>
    <mergeCell ref="G219:H219"/>
    <mergeCell ref="A231:B231"/>
    <mergeCell ref="A232:B232"/>
    <mergeCell ref="A233:B233"/>
    <mergeCell ref="A234:B234"/>
    <mergeCell ref="A235:B235"/>
    <mergeCell ref="L228:M228"/>
    <mergeCell ref="L229:M229"/>
    <mergeCell ref="C226:C227"/>
    <mergeCell ref="C220:D220"/>
    <mergeCell ref="E220:F220"/>
    <mergeCell ref="E221:F221"/>
    <mergeCell ref="D68:H68"/>
    <mergeCell ref="A62:C68"/>
    <mergeCell ref="A145:B145"/>
    <mergeCell ref="C145:H145"/>
    <mergeCell ref="A147:B147"/>
    <mergeCell ref="C147:H147"/>
    <mergeCell ref="A148:B148"/>
    <mergeCell ref="E148:F148"/>
    <mergeCell ref="G148:H148"/>
    <mergeCell ref="A111:B111"/>
    <mergeCell ref="A113:B113"/>
    <mergeCell ref="A114:B114"/>
    <mergeCell ref="A115:B115"/>
    <mergeCell ref="A116:B116"/>
    <mergeCell ref="C116:D116"/>
    <mergeCell ref="A121:B121"/>
    <mergeCell ref="A141:B141"/>
    <mergeCell ref="A142:B142"/>
    <mergeCell ref="A143:B143"/>
    <mergeCell ref="A144:B144"/>
    <mergeCell ref="A139:B139"/>
    <mergeCell ref="D66:H66"/>
    <mergeCell ref="A84:B84"/>
    <mergeCell ref="C75:H75"/>
    <mergeCell ref="A149:B149"/>
    <mergeCell ref="E149:F158"/>
    <mergeCell ref="G149:H158"/>
    <mergeCell ref="A150:B150"/>
    <mergeCell ref="A151:B151"/>
    <mergeCell ref="A152:B152"/>
    <mergeCell ref="A153:B153"/>
    <mergeCell ref="A154:B154"/>
    <mergeCell ref="A155:B155"/>
    <mergeCell ref="A156:B156"/>
    <mergeCell ref="A157:B157"/>
    <mergeCell ref="A158:B158"/>
    <mergeCell ref="A222:B222"/>
    <mergeCell ref="C222:D222"/>
    <mergeCell ref="A208:B208"/>
    <mergeCell ref="C208:D208"/>
    <mergeCell ref="E208:F208"/>
    <mergeCell ref="G208:H208"/>
    <mergeCell ref="A209:B209"/>
    <mergeCell ref="C209:D209"/>
    <mergeCell ref="E209:F209"/>
    <mergeCell ref="G209:H209"/>
    <mergeCell ref="G212:H212"/>
    <mergeCell ref="C211:D211"/>
    <mergeCell ref="C217:D217"/>
    <mergeCell ref="E217:F217"/>
    <mergeCell ref="G217:H217"/>
    <mergeCell ref="C218:D218"/>
    <mergeCell ref="E218:F218"/>
    <mergeCell ref="G218:H218"/>
    <mergeCell ref="A217:A218"/>
    <mergeCell ref="G211:H211"/>
    <mergeCell ref="B639:H639"/>
    <mergeCell ref="B638:H638"/>
    <mergeCell ref="A595:B595"/>
    <mergeCell ref="A596:B596"/>
    <mergeCell ref="A597:B597"/>
    <mergeCell ref="A598:B598"/>
    <mergeCell ref="A599:B599"/>
    <mergeCell ref="A600:B600"/>
    <mergeCell ref="A601:B601"/>
    <mergeCell ref="A602:B602"/>
    <mergeCell ref="A603:B603"/>
    <mergeCell ref="B634:H634"/>
    <mergeCell ref="B635:H635"/>
    <mergeCell ref="B632:H632"/>
    <mergeCell ref="A623:B623"/>
    <mergeCell ref="B631:H631"/>
    <mergeCell ref="C614:F614"/>
    <mergeCell ref="A605:B605"/>
    <mergeCell ref="A606:B606"/>
    <mergeCell ref="A615:B615"/>
    <mergeCell ref="A616:B616"/>
    <mergeCell ref="A617:B617"/>
    <mergeCell ref="A621:B621"/>
    <mergeCell ref="A618:B618"/>
    <mergeCell ref="L606:M606"/>
    <mergeCell ref="A607:B607"/>
    <mergeCell ref="A196:E196"/>
    <mergeCell ref="E207:F207"/>
    <mergeCell ref="B226:B227"/>
    <mergeCell ref="A226:A227"/>
    <mergeCell ref="A413:B413"/>
    <mergeCell ref="L235:M235"/>
    <mergeCell ref="L234:M234"/>
    <mergeCell ref="L233:M233"/>
    <mergeCell ref="L232:M232"/>
    <mergeCell ref="L231:M231"/>
    <mergeCell ref="L230:M230"/>
    <mergeCell ref="L227:M227"/>
    <mergeCell ref="C212:D212"/>
    <mergeCell ref="E212:F212"/>
    <mergeCell ref="A206:B206"/>
    <mergeCell ref="A390:B390"/>
    <mergeCell ref="C219:D219"/>
    <mergeCell ref="E219:F219"/>
    <mergeCell ref="A280:B280"/>
    <mergeCell ref="A230:H230"/>
    <mergeCell ref="E226:E227"/>
    <mergeCell ref="G226:H227"/>
    <mergeCell ref="E162:F162"/>
    <mergeCell ref="G162:H162"/>
    <mergeCell ref="E163:F172"/>
    <mergeCell ref="G163:H172"/>
    <mergeCell ref="A172:B172"/>
    <mergeCell ref="A161:B161"/>
    <mergeCell ref="A162:B162"/>
    <mergeCell ref="A163:B163"/>
    <mergeCell ref="A187:B187"/>
    <mergeCell ref="A176:B176"/>
    <mergeCell ref="C176:D176"/>
    <mergeCell ref="E176:F176"/>
    <mergeCell ref="G176:H176"/>
    <mergeCell ref="A164:B164"/>
    <mergeCell ref="A165:B165"/>
    <mergeCell ref="A166:B166"/>
    <mergeCell ref="A167:B167"/>
    <mergeCell ref="E40:H40"/>
    <mergeCell ref="A40:D40"/>
    <mergeCell ref="D64:H64"/>
    <mergeCell ref="C117:H117"/>
    <mergeCell ref="D67:H67"/>
    <mergeCell ref="G120:H120"/>
    <mergeCell ref="A102:B102"/>
    <mergeCell ref="C102:H102"/>
    <mergeCell ref="A104:B104"/>
    <mergeCell ref="C104:H104"/>
    <mergeCell ref="A105:B105"/>
    <mergeCell ref="E105:F105"/>
    <mergeCell ref="G105:H105"/>
    <mergeCell ref="A106:B106"/>
    <mergeCell ref="E106:F115"/>
    <mergeCell ref="A117:B117"/>
    <mergeCell ref="F116:G116"/>
    <mergeCell ref="A107:B107"/>
    <mergeCell ref="A108:B108"/>
    <mergeCell ref="A109:B109"/>
    <mergeCell ref="A110:B110"/>
    <mergeCell ref="A48:B48"/>
    <mergeCell ref="C48:E48"/>
    <mergeCell ref="G48:H48"/>
    <mergeCell ref="G50:H50"/>
    <mergeCell ref="D59:H59"/>
    <mergeCell ref="C50:E50"/>
    <mergeCell ref="D62:H62"/>
    <mergeCell ref="D63:H63"/>
    <mergeCell ref="C49:E49"/>
    <mergeCell ref="A57:B57"/>
    <mergeCell ref="C57:E57"/>
    <mergeCell ref="A49:B49"/>
    <mergeCell ref="A58:H58"/>
    <mergeCell ref="A59:C59"/>
    <mergeCell ref="A60:C60"/>
    <mergeCell ref="G57:H57"/>
    <mergeCell ref="C51:H51"/>
    <mergeCell ref="D61:H61"/>
    <mergeCell ref="A61:C61"/>
    <mergeCell ref="G49:H49"/>
    <mergeCell ref="A50:B51"/>
    <mergeCell ref="C56:H56"/>
    <mergeCell ref="A53:B53"/>
    <mergeCell ref="C53:E53"/>
    <mergeCell ref="G53:H53"/>
    <mergeCell ref="A54:B54"/>
    <mergeCell ref="C54:E54"/>
    <mergeCell ref="G106:H115"/>
    <mergeCell ref="A651:H653"/>
    <mergeCell ref="A650:B650"/>
    <mergeCell ref="E650:F650"/>
    <mergeCell ref="C650:D650"/>
    <mergeCell ref="G650:H650"/>
    <mergeCell ref="A205:H205"/>
    <mergeCell ref="A203:E203"/>
    <mergeCell ref="F203:H203"/>
    <mergeCell ref="A204:E204"/>
    <mergeCell ref="F204:H204"/>
    <mergeCell ref="A274:H274"/>
    <mergeCell ref="A212:B212"/>
    <mergeCell ref="A207:B207"/>
    <mergeCell ref="A646:H646"/>
    <mergeCell ref="A210:H210"/>
    <mergeCell ref="A649:H649"/>
    <mergeCell ref="A647:H647"/>
    <mergeCell ref="A625:H625"/>
    <mergeCell ref="A643:H643"/>
    <mergeCell ref="A644:H644"/>
    <mergeCell ref="A648:H648"/>
    <mergeCell ref="C159:H159"/>
    <mergeCell ref="C161:H161"/>
    <mergeCell ref="A645:H645"/>
    <mergeCell ref="D60:H60"/>
    <mergeCell ref="G285:H295"/>
    <mergeCell ref="D65:H65"/>
    <mergeCell ref="A112:B112"/>
    <mergeCell ref="A119:B119"/>
    <mergeCell ref="C119:H119"/>
    <mergeCell ref="A120:B120"/>
    <mergeCell ref="E120:F120"/>
    <mergeCell ref="A275:B275"/>
    <mergeCell ref="A211:B211"/>
    <mergeCell ref="D269:D270"/>
    <mergeCell ref="E269:E270"/>
    <mergeCell ref="G269:H270"/>
    <mergeCell ref="A182:B182"/>
    <mergeCell ref="A183:B183"/>
    <mergeCell ref="A184:B184"/>
    <mergeCell ref="A73:B73"/>
    <mergeCell ref="C73:H73"/>
    <mergeCell ref="A82:B82"/>
    <mergeCell ref="A83:B83"/>
    <mergeCell ref="A71:C71"/>
    <mergeCell ref="D71:H71"/>
    <mergeCell ref="A79:B79"/>
    <mergeCell ref="A81:B81"/>
    <mergeCell ref="E77:F77"/>
    <mergeCell ref="A72:C72"/>
    <mergeCell ref="A77:B77"/>
    <mergeCell ref="A80:B80"/>
    <mergeCell ref="A76:B76"/>
    <mergeCell ref="C76:D76"/>
    <mergeCell ref="E76:F76"/>
    <mergeCell ref="A75:B75"/>
    <mergeCell ref="G76:H76"/>
    <mergeCell ref="A85:B85"/>
    <mergeCell ref="A41:D41"/>
    <mergeCell ref="E41:H41"/>
    <mergeCell ref="E42:H42"/>
    <mergeCell ref="E43:H43"/>
    <mergeCell ref="E44:H44"/>
    <mergeCell ref="A42:D42"/>
    <mergeCell ref="A43:D43"/>
    <mergeCell ref="A44:D44"/>
    <mergeCell ref="A45:H45"/>
    <mergeCell ref="A47:H47"/>
    <mergeCell ref="A52:H52"/>
    <mergeCell ref="A69:C69"/>
    <mergeCell ref="A70:C70"/>
    <mergeCell ref="D69:H69"/>
    <mergeCell ref="E78:F87"/>
    <mergeCell ref="G78:H87"/>
    <mergeCell ref="A86:B86"/>
    <mergeCell ref="A87:B87"/>
    <mergeCell ref="D70:H70"/>
    <mergeCell ref="D72:H72"/>
    <mergeCell ref="A78:B78"/>
    <mergeCell ref="G77:H77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20:D21"/>
    <mergeCell ref="E20:H21"/>
    <mergeCell ref="E13:H13"/>
    <mergeCell ref="A14:B14"/>
    <mergeCell ref="C14:H14"/>
    <mergeCell ref="C15:H15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E24:H24"/>
    <mergeCell ref="A26:D26"/>
    <mergeCell ref="E26:H26"/>
    <mergeCell ref="A23:D23"/>
    <mergeCell ref="E23:H23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25:D25"/>
    <mergeCell ref="E25:H25"/>
    <mergeCell ref="A39:D39"/>
    <mergeCell ref="E39:H39"/>
    <mergeCell ref="F31:H31"/>
    <mergeCell ref="F32:H32"/>
    <mergeCell ref="C30:E30"/>
    <mergeCell ref="F33:H33"/>
    <mergeCell ref="F34:H34"/>
    <mergeCell ref="A36:B36"/>
    <mergeCell ref="F30:H30"/>
    <mergeCell ref="A31:B31"/>
    <mergeCell ref="A30:B30"/>
    <mergeCell ref="C31:E31"/>
    <mergeCell ref="A32:B32"/>
    <mergeCell ref="C32:E32"/>
    <mergeCell ref="A35:H35"/>
    <mergeCell ref="A34:B34"/>
    <mergeCell ref="A38:H38"/>
    <mergeCell ref="C34:E34"/>
    <mergeCell ref="A37:B37"/>
    <mergeCell ref="C37:H37"/>
    <mergeCell ref="C36:H36"/>
    <mergeCell ref="C207:D207"/>
    <mergeCell ref="F194:H194"/>
    <mergeCell ref="F196:H196"/>
    <mergeCell ref="C214:D214"/>
    <mergeCell ref="E214:F214"/>
    <mergeCell ref="G214:H214"/>
    <mergeCell ref="A221:B221"/>
    <mergeCell ref="A213:B213"/>
    <mergeCell ref="C221:D221"/>
    <mergeCell ref="F200:H200"/>
    <mergeCell ref="C213:D213"/>
    <mergeCell ref="E213:F213"/>
    <mergeCell ref="G213:H213"/>
    <mergeCell ref="F198:H198"/>
    <mergeCell ref="F201:H201"/>
    <mergeCell ref="F195:H195"/>
    <mergeCell ref="A202:E202"/>
    <mergeCell ref="G220:H220"/>
    <mergeCell ref="A216:B216"/>
    <mergeCell ref="C216:D216"/>
    <mergeCell ref="E211:F211"/>
    <mergeCell ref="A214:B214"/>
    <mergeCell ref="E206:F206"/>
    <mergeCell ref="F202:H202"/>
    <mergeCell ref="A272:H272"/>
    <mergeCell ref="A281:B281"/>
    <mergeCell ref="A271:H271"/>
    <mergeCell ref="A273:H273"/>
    <mergeCell ref="G275:H283"/>
    <mergeCell ref="A282:B282"/>
    <mergeCell ref="A401:B401"/>
    <mergeCell ref="A404:B404"/>
    <mergeCell ref="B630:H630"/>
    <mergeCell ref="B626:H626"/>
    <mergeCell ref="B627:H627"/>
    <mergeCell ref="B628:H628"/>
    <mergeCell ref="B629:H629"/>
    <mergeCell ref="A405:B405"/>
    <mergeCell ref="A394:H394"/>
    <mergeCell ref="A402:B402"/>
    <mergeCell ref="A403:B403"/>
    <mergeCell ref="A406:H406"/>
    <mergeCell ref="A407:B407"/>
    <mergeCell ref="G407:H417"/>
    <mergeCell ref="A441:B441"/>
    <mergeCell ref="A442:B442"/>
    <mergeCell ref="A443:B443"/>
    <mergeCell ref="A418:H418"/>
    <mergeCell ref="L418:M418"/>
    <mergeCell ref="A422:B422"/>
    <mergeCell ref="A423:B423"/>
    <mergeCell ref="A424:B424"/>
    <mergeCell ref="A425:B425"/>
    <mergeCell ref="A426:B426"/>
    <mergeCell ref="A427:B427"/>
    <mergeCell ref="A428:B428"/>
    <mergeCell ref="A429:B429"/>
    <mergeCell ref="C428:F429"/>
    <mergeCell ref="L556:M556"/>
    <mergeCell ref="A559:B559"/>
    <mergeCell ref="A560:B560"/>
    <mergeCell ref="A561:B561"/>
    <mergeCell ref="A562:B562"/>
    <mergeCell ref="A556:H556"/>
    <mergeCell ref="A557:H557"/>
    <mergeCell ref="A558:H558"/>
    <mergeCell ref="A495:H495"/>
    <mergeCell ref="G496:H506"/>
    <mergeCell ref="G559:H573"/>
    <mergeCell ref="A571:B571"/>
    <mergeCell ref="A564:B564"/>
    <mergeCell ref="A565:B565"/>
    <mergeCell ref="A566:B566"/>
    <mergeCell ref="A573:B573"/>
    <mergeCell ref="A572:B572"/>
    <mergeCell ref="G508:H518"/>
    <mergeCell ref="A519:H519"/>
    <mergeCell ref="G520:H530"/>
    <mergeCell ref="G545:H555"/>
    <mergeCell ref="A531:H531"/>
    <mergeCell ref="G532:H543"/>
    <mergeCell ref="B543:F543"/>
    <mergeCell ref="L282:M282"/>
    <mergeCell ref="A285:B285"/>
    <mergeCell ref="A292:B292"/>
    <mergeCell ref="A293:B293"/>
    <mergeCell ref="A284:H284"/>
    <mergeCell ref="A294:B294"/>
    <mergeCell ref="A295:B295"/>
    <mergeCell ref="A289:B289"/>
    <mergeCell ref="A297:B297"/>
    <mergeCell ref="L294:M294"/>
    <mergeCell ref="A286:B286"/>
    <mergeCell ref="A287:B287"/>
    <mergeCell ref="A291:B291"/>
    <mergeCell ref="A288:B288"/>
    <mergeCell ref="A290:B290"/>
    <mergeCell ref="G297:H307"/>
    <mergeCell ref="C269:C270"/>
    <mergeCell ref="A236:B236"/>
    <mergeCell ref="A237:B237"/>
    <mergeCell ref="B269:B270"/>
    <mergeCell ref="A248:B248"/>
    <mergeCell ref="A356:H356"/>
    <mergeCell ref="A368:H368"/>
    <mergeCell ref="A245:B245"/>
    <mergeCell ref="A246:B246"/>
    <mergeCell ref="A247:B247"/>
    <mergeCell ref="A348:B348"/>
    <mergeCell ref="A349:B349"/>
    <mergeCell ref="A327:B327"/>
    <mergeCell ref="A328:B328"/>
    <mergeCell ref="A309:B309"/>
    <mergeCell ref="A283:B283"/>
    <mergeCell ref="A333:B333"/>
    <mergeCell ref="A276:B276"/>
    <mergeCell ref="A277:B277"/>
    <mergeCell ref="A278:B278"/>
    <mergeCell ref="A325:B325"/>
    <mergeCell ref="A326:B326"/>
    <mergeCell ref="G309:H319"/>
    <mergeCell ref="A362:B362"/>
    <mergeCell ref="A296:H296"/>
    <mergeCell ref="A323:B323"/>
    <mergeCell ref="G323:H331"/>
    <mergeCell ref="A438:B438"/>
    <mergeCell ref="A439:B439"/>
    <mergeCell ref="A440:B440"/>
    <mergeCell ref="A434:B434"/>
    <mergeCell ref="A435:B435"/>
    <mergeCell ref="G470:H480"/>
    <mergeCell ref="A471:B471"/>
    <mergeCell ref="A472:B472"/>
    <mergeCell ref="A473:B473"/>
    <mergeCell ref="A474:B474"/>
    <mergeCell ref="A475:B475"/>
    <mergeCell ref="A476:B476"/>
    <mergeCell ref="A477:B477"/>
    <mergeCell ref="A478:B478"/>
    <mergeCell ref="A479:B479"/>
    <mergeCell ref="A430:B430"/>
    <mergeCell ref="A431:B431"/>
    <mergeCell ref="A395:B395"/>
    <mergeCell ref="A437:B437"/>
    <mergeCell ref="C415:F415"/>
    <mergeCell ref="A389:B389"/>
    <mergeCell ref="A269:A270"/>
    <mergeCell ref="A279:B279"/>
    <mergeCell ref="A123:B123"/>
    <mergeCell ref="A124:B124"/>
    <mergeCell ref="A125:B125"/>
    <mergeCell ref="A126:B126"/>
    <mergeCell ref="L572:M572"/>
    <mergeCell ref="A567:B567"/>
    <mergeCell ref="A568:B568"/>
    <mergeCell ref="A569:B569"/>
    <mergeCell ref="A570:B570"/>
    <mergeCell ref="A197:E197"/>
    <mergeCell ref="F197:H197"/>
    <mergeCell ref="A198:E198"/>
    <mergeCell ref="A200:E200"/>
    <mergeCell ref="A199:E199"/>
    <mergeCell ref="F199:H199"/>
    <mergeCell ref="L342:M342"/>
    <mergeCell ref="A345:B345"/>
    <mergeCell ref="G345:H355"/>
    <mergeCell ref="A346:B346"/>
    <mergeCell ref="A347:B347"/>
    <mergeCell ref="L354:M354"/>
    <mergeCell ref="C364:F364"/>
    <mergeCell ref="L589:M589"/>
    <mergeCell ref="A609:B609"/>
    <mergeCell ref="A610:B610"/>
    <mergeCell ref="A611:B611"/>
    <mergeCell ref="A612:B612"/>
    <mergeCell ref="A608:H608"/>
    <mergeCell ref="A583:B583"/>
    <mergeCell ref="A584:B584"/>
    <mergeCell ref="A588:B588"/>
    <mergeCell ref="A589:B589"/>
    <mergeCell ref="A590:B590"/>
    <mergeCell ref="A585:B585"/>
    <mergeCell ref="G609:H624"/>
    <mergeCell ref="A619:B619"/>
    <mergeCell ref="G575:H590"/>
    <mergeCell ref="A578:B578"/>
    <mergeCell ref="A579:B579"/>
    <mergeCell ref="A580:B580"/>
    <mergeCell ref="A581:B581"/>
    <mergeCell ref="A591:H591"/>
    <mergeCell ref="A592:B592"/>
    <mergeCell ref="G592:H607"/>
    <mergeCell ref="A593:B593"/>
    <mergeCell ref="A594:B594"/>
    <mergeCell ref="A129:B129"/>
    <mergeCell ref="A130:B130"/>
    <mergeCell ref="A92:B92"/>
    <mergeCell ref="E92:F101"/>
    <mergeCell ref="G92:H101"/>
    <mergeCell ref="L306:M306"/>
    <mergeCell ref="A95:B95"/>
    <mergeCell ref="A96:B96"/>
    <mergeCell ref="A97:B97"/>
    <mergeCell ref="A98:B98"/>
    <mergeCell ref="A99:B99"/>
    <mergeCell ref="A100:B100"/>
    <mergeCell ref="A101:B101"/>
    <mergeCell ref="A134:B134"/>
    <mergeCell ref="E134:F134"/>
    <mergeCell ref="A175:B175"/>
    <mergeCell ref="C175:H175"/>
    <mergeCell ref="G177:H177"/>
    <mergeCell ref="E121:F130"/>
    <mergeCell ref="A185:B185"/>
    <mergeCell ref="A186:B186"/>
    <mergeCell ref="A173:B173"/>
    <mergeCell ref="L272:M272"/>
    <mergeCell ref="A268:H268"/>
    <mergeCell ref="L320:M320"/>
    <mergeCell ref="L330:M330"/>
    <mergeCell ref="A338:B338"/>
    <mergeCell ref="A320:H320"/>
    <mergeCell ref="A339:B339"/>
    <mergeCell ref="A318:B318"/>
    <mergeCell ref="A305:B305"/>
    <mergeCell ref="A307:B307"/>
    <mergeCell ref="A308:H308"/>
    <mergeCell ref="A313:B313"/>
    <mergeCell ref="C317:F317"/>
    <mergeCell ref="A321:H321"/>
    <mergeCell ref="A329:B329"/>
    <mergeCell ref="A330:B330"/>
    <mergeCell ref="A331:B331"/>
    <mergeCell ref="A332:H332"/>
    <mergeCell ref="A298:B298"/>
    <mergeCell ref="A299:B299"/>
    <mergeCell ref="A88:B88"/>
    <mergeCell ref="C88:H88"/>
    <mergeCell ref="A90:B90"/>
    <mergeCell ref="C90:H90"/>
    <mergeCell ref="A91:B91"/>
    <mergeCell ref="E91:F91"/>
    <mergeCell ref="G91:H91"/>
    <mergeCell ref="A93:B93"/>
    <mergeCell ref="A94:B94"/>
    <mergeCell ref="A135:B135"/>
    <mergeCell ref="E135:F144"/>
    <mergeCell ref="G135:H144"/>
    <mergeCell ref="A131:B131"/>
    <mergeCell ref="C131:H131"/>
    <mergeCell ref="A133:B133"/>
    <mergeCell ref="C133:H133"/>
    <mergeCell ref="A137:B137"/>
    <mergeCell ref="A138:B138"/>
    <mergeCell ref="G134:H134"/>
    <mergeCell ref="A136:B136"/>
    <mergeCell ref="A127:B127"/>
    <mergeCell ref="A128:B128"/>
    <mergeCell ref="A140:B140"/>
    <mergeCell ref="A189:H189"/>
    <mergeCell ref="A190:B190"/>
    <mergeCell ref="G207:H207"/>
    <mergeCell ref="A192:E192"/>
    <mergeCell ref="E177:F177"/>
    <mergeCell ref="C173:H173"/>
    <mergeCell ref="G178:H187"/>
    <mergeCell ref="A179:B179"/>
    <mergeCell ref="A180:B180"/>
    <mergeCell ref="A181:B181"/>
    <mergeCell ref="F188:H188"/>
    <mergeCell ref="A191:H191"/>
    <mergeCell ref="A177:B177"/>
    <mergeCell ref="A178:B178"/>
    <mergeCell ref="E178:F187"/>
    <mergeCell ref="C190:H190"/>
    <mergeCell ref="F193:H193"/>
    <mergeCell ref="A193:E193"/>
    <mergeCell ref="A194:E194"/>
    <mergeCell ref="C206:D206"/>
    <mergeCell ref="A195:E195"/>
    <mergeCell ref="A188:E188"/>
    <mergeCell ref="G206:H206"/>
    <mergeCell ref="A201:E201"/>
    <mergeCell ref="G221:H221"/>
    <mergeCell ref="E216:F216"/>
    <mergeCell ref="G216:H216"/>
    <mergeCell ref="A224:H224"/>
    <mergeCell ref="E222:F222"/>
    <mergeCell ref="G222:H222"/>
    <mergeCell ref="G231:H248"/>
    <mergeCell ref="A223:B223"/>
    <mergeCell ref="C223:D223"/>
    <mergeCell ref="A241:B241"/>
    <mergeCell ref="A242:B242"/>
    <mergeCell ref="A243:B243"/>
    <mergeCell ref="A244:B244"/>
    <mergeCell ref="A228:H228"/>
    <mergeCell ref="A229:H229"/>
    <mergeCell ref="A238:B238"/>
    <mergeCell ref="D226:D227"/>
    <mergeCell ref="G223:H223"/>
    <mergeCell ref="E223:F223"/>
    <mergeCell ref="A239:B239"/>
    <mergeCell ref="A240:B240"/>
    <mergeCell ref="A225:H225"/>
    <mergeCell ref="A219:A220"/>
    <mergeCell ref="A464:B464"/>
    <mergeCell ref="A370:H370"/>
    <mergeCell ref="A371:B371"/>
    <mergeCell ref="G371:H381"/>
    <mergeCell ref="A372:B372"/>
    <mergeCell ref="A373:B373"/>
    <mergeCell ref="A374:B374"/>
    <mergeCell ref="A375:B375"/>
    <mergeCell ref="C379:F379"/>
    <mergeCell ref="A376:B376"/>
    <mergeCell ref="A377:B377"/>
    <mergeCell ref="C378:F378"/>
    <mergeCell ref="A382:H382"/>
    <mergeCell ref="A383:B383"/>
    <mergeCell ref="A399:B399"/>
    <mergeCell ref="A400:B400"/>
    <mergeCell ref="A397:B397"/>
    <mergeCell ref="G395:H405"/>
    <mergeCell ref="A354:B354"/>
    <mergeCell ref="A355:B355"/>
    <mergeCell ref="A342:B342"/>
    <mergeCell ref="A391:B391"/>
    <mergeCell ref="A392:B392"/>
    <mergeCell ref="A393:B393"/>
    <mergeCell ref="A456:H456"/>
    <mergeCell ref="A369:H369"/>
    <mergeCell ref="A357:B357"/>
    <mergeCell ref="G357:H367"/>
    <mergeCell ref="A358:B358"/>
    <mergeCell ref="A363:B363"/>
    <mergeCell ref="A364:B364"/>
    <mergeCell ref="A365:B365"/>
    <mergeCell ref="A366:B366"/>
    <mergeCell ref="A367:B367"/>
    <mergeCell ref="A344:H344"/>
    <mergeCell ref="A582:B582"/>
    <mergeCell ref="A575:B575"/>
    <mergeCell ref="A576:B576"/>
    <mergeCell ref="A577:B577"/>
    <mergeCell ref="A586:B586"/>
    <mergeCell ref="A587:B587"/>
    <mergeCell ref="A604:B604"/>
    <mergeCell ref="A469:H469"/>
    <mergeCell ref="A470:B470"/>
    <mergeCell ref="A544:H544"/>
    <mergeCell ref="A493:H493"/>
    <mergeCell ref="A494:H494"/>
    <mergeCell ref="A563:B563"/>
    <mergeCell ref="B501:F501"/>
    <mergeCell ref="A480:B480"/>
    <mergeCell ref="A436:B436"/>
    <mergeCell ref="A350:B350"/>
    <mergeCell ref="A351:B351"/>
    <mergeCell ref="A507:H507"/>
    <mergeCell ref="G383:H393"/>
    <mergeCell ref="A420:H420"/>
    <mergeCell ref="A421:B421"/>
    <mergeCell ref="G421:H431"/>
    <mergeCell ref="A410:B410"/>
    <mergeCell ref="A411:B411"/>
    <mergeCell ref="A412:B412"/>
    <mergeCell ref="A408:B408"/>
    <mergeCell ref="A409:B409"/>
    <mergeCell ref="A398:B398"/>
    <mergeCell ref="A414:B414"/>
    <mergeCell ref="A415:B415"/>
    <mergeCell ref="A416:B416"/>
    <mergeCell ref="A417:B417"/>
    <mergeCell ref="A385:B385"/>
    <mergeCell ref="A386:B386"/>
    <mergeCell ref="A387:B387"/>
    <mergeCell ref="A433:B433"/>
    <mergeCell ref="G433:H443"/>
    <mergeCell ref="A396:B396"/>
    <mergeCell ref="A300:B300"/>
    <mergeCell ref="A301:B301"/>
    <mergeCell ref="A302:B302"/>
    <mergeCell ref="A378:B378"/>
    <mergeCell ref="A379:B379"/>
    <mergeCell ref="A380:B380"/>
    <mergeCell ref="A310:B310"/>
    <mergeCell ref="A311:B311"/>
    <mergeCell ref="A353:B353"/>
    <mergeCell ref="A314:B314"/>
    <mergeCell ref="A306:B306"/>
    <mergeCell ref="A315:B315"/>
    <mergeCell ref="A316:B316"/>
    <mergeCell ref="A317:B317"/>
    <mergeCell ref="A352:B352"/>
    <mergeCell ref="A324:B324"/>
    <mergeCell ref="A303:B303"/>
    <mergeCell ref="A319:B319"/>
    <mergeCell ref="A359:B359"/>
    <mergeCell ref="A360:B360"/>
    <mergeCell ref="A361:B361"/>
    <mergeCell ref="A322:H322"/>
    <mergeCell ref="A343:B343"/>
    <mergeCell ref="A304:B304"/>
    <mergeCell ref="A381:B381"/>
    <mergeCell ref="A384:B384"/>
    <mergeCell ref="A419:H419"/>
    <mergeCell ref="A46:B46"/>
    <mergeCell ref="C46:H46"/>
    <mergeCell ref="K43:N43"/>
    <mergeCell ref="I61:M61"/>
    <mergeCell ref="A388:B388"/>
    <mergeCell ref="G333:H343"/>
    <mergeCell ref="A334:B334"/>
    <mergeCell ref="A335:B335"/>
    <mergeCell ref="A336:B336"/>
    <mergeCell ref="A337:B337"/>
    <mergeCell ref="F192:H192"/>
    <mergeCell ref="G54:H54"/>
    <mergeCell ref="A55:B56"/>
    <mergeCell ref="C55:E55"/>
    <mergeCell ref="G55:H55"/>
    <mergeCell ref="A168:B168"/>
    <mergeCell ref="A169:B169"/>
    <mergeCell ref="A170:B170"/>
    <mergeCell ref="A171:B171"/>
    <mergeCell ref="A159:B159"/>
    <mergeCell ref="G121:H130"/>
    <mergeCell ref="A122:B122"/>
    <mergeCell ref="B640:H640"/>
    <mergeCell ref="I196:J196"/>
    <mergeCell ref="B637:H637"/>
    <mergeCell ref="B636:H636"/>
    <mergeCell ref="J424:M428"/>
    <mergeCell ref="A444:H444"/>
    <mergeCell ref="A445:B445"/>
    <mergeCell ref="G445:H455"/>
    <mergeCell ref="A446:B446"/>
    <mergeCell ref="A447:B447"/>
    <mergeCell ref="A448:B448"/>
    <mergeCell ref="A449:B449"/>
    <mergeCell ref="A450:B450"/>
    <mergeCell ref="A451:B451"/>
    <mergeCell ref="A452:B452"/>
    <mergeCell ref="A453:B453"/>
    <mergeCell ref="A454:B454"/>
    <mergeCell ref="A455:B455"/>
    <mergeCell ref="C452:F452"/>
    <mergeCell ref="A432:H432"/>
    <mergeCell ref="A340:B340"/>
    <mergeCell ref="A341:B341"/>
    <mergeCell ref="A312:B312"/>
  </mergeCells>
  <phoneticPr fontId="26" type="noConversion"/>
  <dataValidations disablePrompts="1" count="2">
    <dataValidation type="list" allowBlank="1" showInputMessage="1" showErrorMessage="1" sqref="I249" xr:uid="{00000000-0002-0000-0000-000000000000}">
      <formula1>"Saleable area Loading :,Builder Saleable Area"</formula1>
    </dataValidation>
    <dataValidation type="list" allowBlank="1" showInputMessage="1" showErrorMessage="1" sqref="I250" xr:uid="{00000000-0002-0000-0000-000001000000}">
      <formula1>".45,.50,.55,.60"</formula1>
    </dataValidation>
  </dataValidations>
  <hyperlinks>
    <hyperlink ref="C37" r:id="rId1" xr:uid="{00000000-0004-0000-0000-000000000000}"/>
    <hyperlink ref="I190" r:id="rId2" xr:uid="{00000000-0004-0000-0000-000001000000}"/>
  </hyperlinks>
  <printOptions horizontalCentered="1"/>
  <pageMargins left="0.39370078740157483" right="0.39370078740157483" top="0.78740157480314965" bottom="0.78740157480314965" header="0.19685039370078741" footer="0.19685039370078741"/>
  <pageSetup paperSize="2" scale="94" fitToHeight="0" orientation="portrait" r:id="rId3"/>
  <headerFooter>
    <oddHeader>&amp;C&amp;G</oddHeader>
    <oddFooter>&amp;L&amp;"Times New Roman,Bold"&amp;12Ref No: &amp;F&amp;C&amp;G&amp;R&amp;"Times New Roman,Bold"&amp;12                                                &amp;P</oddFooter>
  </headerFooter>
  <rowBreaks count="5" manualBreakCount="5">
    <brk id="223" max="7" man="1"/>
    <brk id="624" max="7" man="1"/>
    <brk id="653" max="7" man="1"/>
    <brk id="697" max="7" man="1"/>
    <brk id="732" max="7" man="1"/>
  </rowBreaks>
  <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L36"/>
  <sheetViews>
    <sheetView topLeftCell="A4" workbookViewId="0">
      <selection activeCell="F21" sqref="F21"/>
    </sheetView>
  </sheetViews>
  <sheetFormatPr defaultRowHeight="14.4" x14ac:dyDescent="0.3"/>
  <cols>
    <col min="2" max="2" width="12.33203125" customWidth="1"/>
  </cols>
  <sheetData>
    <row r="2" spans="1:12" x14ac:dyDescent="0.3">
      <c r="B2" s="3" t="s">
        <v>72</v>
      </c>
      <c r="C2" s="282"/>
      <c r="D2" s="282"/>
    </row>
    <row r="3" spans="1:12" x14ac:dyDescent="0.3">
      <c r="D3" s="4"/>
      <c r="E3" s="4"/>
      <c r="F3" s="4"/>
      <c r="G3" s="4"/>
      <c r="H3" s="4"/>
      <c r="I3" s="4"/>
    </row>
    <row r="4" spans="1:12" x14ac:dyDescent="0.3">
      <c r="A4" s="3" t="s">
        <v>73</v>
      </c>
      <c r="B4" s="5" t="s">
        <v>74</v>
      </c>
      <c r="C4" s="283" t="s">
        <v>75</v>
      </c>
      <c r="D4" s="283"/>
      <c r="E4" s="283"/>
      <c r="F4" s="6"/>
      <c r="G4" s="283" t="s">
        <v>76</v>
      </c>
      <c r="H4" s="283"/>
      <c r="I4" s="283"/>
      <c r="J4" s="283" t="s">
        <v>77</v>
      </c>
      <c r="K4" s="283"/>
      <c r="L4" s="283"/>
    </row>
    <row r="5" spans="1:12" x14ac:dyDescent="0.3">
      <c r="A5" s="3">
        <v>202</v>
      </c>
      <c r="B5" s="5"/>
      <c r="C5" s="5" t="s">
        <v>78</v>
      </c>
      <c r="D5" s="5" t="s">
        <v>79</v>
      </c>
      <c r="E5" s="5" t="s">
        <v>58</v>
      </c>
      <c r="F5" s="5"/>
      <c r="G5" s="5" t="s">
        <v>78</v>
      </c>
      <c r="H5" s="5" t="s">
        <v>79</v>
      </c>
      <c r="I5" s="5" t="s">
        <v>58</v>
      </c>
      <c r="J5" s="5" t="s">
        <v>78</v>
      </c>
      <c r="K5" s="5" t="s">
        <v>79</v>
      </c>
      <c r="L5" s="5" t="s">
        <v>58</v>
      </c>
    </row>
    <row r="6" spans="1:12" x14ac:dyDescent="0.3">
      <c r="B6" s="7" t="s">
        <v>80</v>
      </c>
      <c r="C6" s="7"/>
      <c r="D6" s="7"/>
      <c r="E6" s="7">
        <f>C6*D6</f>
        <v>0</v>
      </c>
      <c r="F6" s="7" t="s">
        <v>81</v>
      </c>
      <c r="G6" s="7"/>
      <c r="H6" s="7"/>
      <c r="I6" s="7">
        <f>G6*H6</f>
        <v>0</v>
      </c>
      <c r="J6" s="7"/>
      <c r="K6" s="7"/>
      <c r="L6" s="7">
        <f>J6*K6</f>
        <v>0</v>
      </c>
    </row>
    <row r="7" spans="1:12" x14ac:dyDescent="0.3">
      <c r="B7" s="7"/>
      <c r="C7" s="7"/>
      <c r="D7" s="7"/>
      <c r="E7" s="7">
        <f t="shared" ref="E7:E33" si="0">C7*D7</f>
        <v>0</v>
      </c>
      <c r="F7" s="7" t="s">
        <v>82</v>
      </c>
      <c r="G7" s="7"/>
      <c r="H7" s="7"/>
      <c r="I7" s="7">
        <f t="shared" ref="I7:I29" si="1">G7*H7</f>
        <v>0</v>
      </c>
      <c r="J7" s="7"/>
      <c r="K7" s="7"/>
      <c r="L7" s="7">
        <f t="shared" ref="L7:L29" si="2">J7*K7</f>
        <v>0</v>
      </c>
    </row>
    <row r="8" spans="1:12" x14ac:dyDescent="0.3">
      <c r="B8" s="7"/>
      <c r="C8" s="7"/>
      <c r="D8" s="7"/>
      <c r="E8" s="7">
        <f t="shared" si="0"/>
        <v>0</v>
      </c>
      <c r="F8" s="7"/>
      <c r="G8" s="7"/>
      <c r="H8" s="7"/>
      <c r="I8" s="7">
        <f t="shared" si="1"/>
        <v>0</v>
      </c>
      <c r="J8" s="7"/>
      <c r="K8" s="7"/>
      <c r="L8" s="7">
        <f t="shared" si="2"/>
        <v>0</v>
      </c>
    </row>
    <row r="9" spans="1:12" x14ac:dyDescent="0.3">
      <c r="B9" s="7" t="s">
        <v>83</v>
      </c>
      <c r="C9" s="7"/>
      <c r="D9" s="7"/>
      <c r="E9" s="7">
        <f t="shared" si="0"/>
        <v>0</v>
      </c>
      <c r="F9" s="7" t="s">
        <v>81</v>
      </c>
      <c r="G9" s="7"/>
      <c r="H9" s="7"/>
      <c r="I9" s="7">
        <f t="shared" si="1"/>
        <v>0</v>
      </c>
      <c r="J9" s="7"/>
      <c r="K9" s="7"/>
      <c r="L9" s="7">
        <f t="shared" si="2"/>
        <v>0</v>
      </c>
    </row>
    <row r="10" spans="1:12" x14ac:dyDescent="0.3">
      <c r="B10" s="7"/>
      <c r="C10" s="7"/>
      <c r="D10" s="7"/>
      <c r="E10" s="7">
        <f t="shared" si="0"/>
        <v>0</v>
      </c>
      <c r="F10" s="7" t="s">
        <v>82</v>
      </c>
      <c r="G10" s="7"/>
      <c r="H10" s="7"/>
      <c r="I10" s="7">
        <f t="shared" si="1"/>
        <v>0</v>
      </c>
      <c r="J10" s="7"/>
      <c r="K10" s="7"/>
      <c r="L10" s="7">
        <f t="shared" si="2"/>
        <v>0</v>
      </c>
    </row>
    <row r="11" spans="1:12" x14ac:dyDescent="0.3">
      <c r="B11" s="7"/>
      <c r="C11" s="7"/>
      <c r="D11" s="7"/>
      <c r="E11" s="7">
        <f t="shared" si="0"/>
        <v>0</v>
      </c>
      <c r="F11" s="7"/>
      <c r="G11" s="7"/>
      <c r="H11" s="7"/>
      <c r="I11" s="7">
        <f t="shared" si="1"/>
        <v>0</v>
      </c>
      <c r="J11" s="7"/>
      <c r="K11" s="7"/>
      <c r="L11" s="7">
        <f t="shared" si="2"/>
        <v>0</v>
      </c>
    </row>
    <row r="12" spans="1:12" x14ac:dyDescent="0.3">
      <c r="B12" s="7"/>
      <c r="C12" s="7"/>
      <c r="D12" s="7"/>
      <c r="E12" s="7">
        <f t="shared" si="0"/>
        <v>0</v>
      </c>
      <c r="F12" s="7"/>
      <c r="G12" s="7"/>
      <c r="H12" s="7"/>
      <c r="I12" s="7">
        <f t="shared" si="1"/>
        <v>0</v>
      </c>
      <c r="J12" s="7"/>
      <c r="K12" s="7"/>
      <c r="L12" s="7">
        <f t="shared" si="2"/>
        <v>0</v>
      </c>
    </row>
    <row r="13" spans="1:12" x14ac:dyDescent="0.3">
      <c r="B13" s="7" t="s">
        <v>84</v>
      </c>
      <c r="C13" s="7"/>
      <c r="D13" s="7"/>
      <c r="E13" s="7">
        <f t="shared" si="0"/>
        <v>0</v>
      </c>
      <c r="F13" s="7" t="s">
        <v>81</v>
      </c>
      <c r="G13" s="7"/>
      <c r="H13" s="7"/>
      <c r="I13" s="7">
        <f t="shared" si="1"/>
        <v>0</v>
      </c>
      <c r="J13" s="7"/>
      <c r="K13" s="7"/>
      <c r="L13" s="7">
        <f t="shared" si="2"/>
        <v>0</v>
      </c>
    </row>
    <row r="14" spans="1:12" x14ac:dyDescent="0.3">
      <c r="B14" s="7"/>
      <c r="C14" s="7"/>
      <c r="D14" s="7"/>
      <c r="E14" s="7">
        <f t="shared" si="0"/>
        <v>0</v>
      </c>
      <c r="F14" s="7" t="s">
        <v>82</v>
      </c>
      <c r="G14" s="7"/>
      <c r="H14" s="7"/>
      <c r="I14" s="7">
        <f t="shared" si="1"/>
        <v>0</v>
      </c>
      <c r="J14" s="7"/>
      <c r="K14" s="7"/>
      <c r="L14" s="7">
        <f t="shared" si="2"/>
        <v>0</v>
      </c>
    </row>
    <row r="15" spans="1:12" x14ac:dyDescent="0.3">
      <c r="B15" s="7"/>
      <c r="C15" s="7"/>
      <c r="D15" s="7"/>
      <c r="E15" s="7">
        <f t="shared" si="0"/>
        <v>0</v>
      </c>
      <c r="F15" s="7"/>
      <c r="G15" s="7"/>
      <c r="H15" s="7"/>
      <c r="I15" s="7">
        <f t="shared" si="1"/>
        <v>0</v>
      </c>
      <c r="J15" s="7"/>
      <c r="K15" s="7"/>
      <c r="L15" s="7">
        <f t="shared" si="2"/>
        <v>0</v>
      </c>
    </row>
    <row r="16" spans="1:12" x14ac:dyDescent="0.3">
      <c r="B16" s="7"/>
      <c r="C16" s="7"/>
      <c r="D16" s="7"/>
      <c r="E16" s="7">
        <f t="shared" si="0"/>
        <v>0</v>
      </c>
      <c r="F16" s="7"/>
      <c r="G16" s="7"/>
      <c r="H16" s="7"/>
      <c r="I16" s="7">
        <f t="shared" si="1"/>
        <v>0</v>
      </c>
      <c r="J16" s="7"/>
      <c r="K16" s="7"/>
      <c r="L16" s="7">
        <f t="shared" si="2"/>
        <v>0</v>
      </c>
    </row>
    <row r="17" spans="2:12" x14ac:dyDescent="0.3">
      <c r="B17" s="7" t="s">
        <v>85</v>
      </c>
      <c r="C17" s="7"/>
      <c r="D17" s="7"/>
      <c r="E17" s="7">
        <f t="shared" si="0"/>
        <v>0</v>
      </c>
      <c r="F17" s="7" t="s">
        <v>81</v>
      </c>
      <c r="G17" s="7"/>
      <c r="H17" s="7"/>
      <c r="I17" s="7">
        <f t="shared" si="1"/>
        <v>0</v>
      </c>
      <c r="J17" s="7"/>
      <c r="K17" s="7"/>
      <c r="L17" s="7">
        <f t="shared" si="2"/>
        <v>0</v>
      </c>
    </row>
    <row r="18" spans="2:12" x14ac:dyDescent="0.3">
      <c r="B18" s="7"/>
      <c r="C18" s="7"/>
      <c r="D18" s="7"/>
      <c r="E18" s="7">
        <f t="shared" si="0"/>
        <v>0</v>
      </c>
      <c r="F18" s="7" t="s">
        <v>82</v>
      </c>
      <c r="G18" s="7"/>
      <c r="H18" s="7"/>
      <c r="I18" s="7">
        <f t="shared" si="1"/>
        <v>0</v>
      </c>
      <c r="J18" s="7"/>
      <c r="K18" s="7"/>
      <c r="L18" s="7">
        <f t="shared" si="2"/>
        <v>0</v>
      </c>
    </row>
    <row r="19" spans="2:12" x14ac:dyDescent="0.3">
      <c r="B19" s="7"/>
      <c r="C19" s="7"/>
      <c r="D19" s="7"/>
      <c r="E19" s="7">
        <f t="shared" si="0"/>
        <v>0</v>
      </c>
      <c r="F19" s="7"/>
      <c r="G19" s="7"/>
      <c r="H19" s="7"/>
      <c r="I19" s="7">
        <f t="shared" si="1"/>
        <v>0</v>
      </c>
      <c r="J19" s="7"/>
      <c r="K19" s="7"/>
      <c r="L19" s="7">
        <f t="shared" si="2"/>
        <v>0</v>
      </c>
    </row>
    <row r="20" spans="2:12" x14ac:dyDescent="0.3">
      <c r="B20" s="7" t="s">
        <v>85</v>
      </c>
      <c r="C20" s="7"/>
      <c r="D20" s="7"/>
      <c r="E20" s="7">
        <f t="shared" si="0"/>
        <v>0</v>
      </c>
      <c r="F20" s="7" t="s">
        <v>81</v>
      </c>
      <c r="G20" s="7"/>
      <c r="H20" s="7"/>
      <c r="I20" s="7">
        <f t="shared" si="1"/>
        <v>0</v>
      </c>
      <c r="J20" s="7"/>
      <c r="K20" s="7"/>
      <c r="L20" s="7">
        <f t="shared" si="2"/>
        <v>0</v>
      </c>
    </row>
    <row r="21" spans="2:12" x14ac:dyDescent="0.3">
      <c r="B21" s="7"/>
      <c r="C21" s="7"/>
      <c r="D21" s="7"/>
      <c r="E21" s="7">
        <f t="shared" si="0"/>
        <v>0</v>
      </c>
      <c r="F21" s="7" t="s">
        <v>82</v>
      </c>
      <c r="G21" s="7"/>
      <c r="H21" s="7"/>
      <c r="I21" s="7">
        <f t="shared" si="1"/>
        <v>0</v>
      </c>
      <c r="J21" s="7"/>
      <c r="K21" s="7"/>
      <c r="L21" s="7">
        <f t="shared" si="2"/>
        <v>0</v>
      </c>
    </row>
    <row r="22" spans="2:12" x14ac:dyDescent="0.3">
      <c r="B22" s="7"/>
      <c r="C22" s="7"/>
      <c r="D22" s="7"/>
      <c r="E22" s="7">
        <f t="shared" si="0"/>
        <v>0</v>
      </c>
      <c r="F22" s="7"/>
      <c r="G22" s="7"/>
      <c r="H22" s="7"/>
      <c r="I22" s="7">
        <f t="shared" si="1"/>
        <v>0</v>
      </c>
      <c r="J22" s="7"/>
      <c r="K22" s="7"/>
      <c r="L22" s="7">
        <f t="shared" si="2"/>
        <v>0</v>
      </c>
    </row>
    <row r="23" spans="2:12" x14ac:dyDescent="0.3">
      <c r="B23" s="7" t="s">
        <v>86</v>
      </c>
      <c r="C23" s="7"/>
      <c r="D23" s="7"/>
      <c r="E23" s="7">
        <f t="shared" si="0"/>
        <v>0</v>
      </c>
      <c r="F23" s="7" t="s">
        <v>87</v>
      </c>
      <c r="G23" s="7"/>
      <c r="H23" s="7"/>
      <c r="I23" s="7">
        <f t="shared" si="1"/>
        <v>0</v>
      </c>
      <c r="J23" s="7"/>
      <c r="K23" s="7"/>
      <c r="L23" s="7">
        <f t="shared" si="2"/>
        <v>0</v>
      </c>
    </row>
    <row r="24" spans="2:12" x14ac:dyDescent="0.3">
      <c r="B24" s="7" t="s">
        <v>88</v>
      </c>
      <c r="C24" s="7"/>
      <c r="D24" s="7"/>
      <c r="E24" s="7">
        <f t="shared" si="0"/>
        <v>0</v>
      </c>
      <c r="F24" s="7" t="s">
        <v>87</v>
      </c>
      <c r="G24" s="7"/>
      <c r="H24" s="7"/>
      <c r="I24" s="7">
        <f t="shared" si="1"/>
        <v>0</v>
      </c>
      <c r="J24" s="7"/>
      <c r="K24" s="7"/>
      <c r="L24" s="7">
        <f t="shared" si="2"/>
        <v>0</v>
      </c>
    </row>
    <row r="25" spans="2:12" x14ac:dyDescent="0.3">
      <c r="B25" s="7" t="s">
        <v>89</v>
      </c>
      <c r="C25" s="7"/>
      <c r="D25" s="7"/>
      <c r="E25" s="7">
        <f t="shared" si="0"/>
        <v>0</v>
      </c>
      <c r="F25" s="7" t="s">
        <v>87</v>
      </c>
      <c r="G25" s="7"/>
      <c r="H25" s="7"/>
      <c r="I25" s="7">
        <f t="shared" si="1"/>
        <v>0</v>
      </c>
      <c r="J25" s="7"/>
      <c r="K25" s="7"/>
      <c r="L25" s="7">
        <f t="shared" si="2"/>
        <v>0</v>
      </c>
    </row>
    <row r="26" spans="2:12" x14ac:dyDescent="0.3">
      <c r="B26" s="7"/>
      <c r="C26" s="7"/>
      <c r="D26" s="7"/>
      <c r="E26" s="7">
        <f t="shared" si="0"/>
        <v>0</v>
      </c>
      <c r="F26" s="7"/>
      <c r="G26" s="7"/>
      <c r="H26" s="7"/>
      <c r="I26" s="7">
        <f t="shared" si="1"/>
        <v>0</v>
      </c>
      <c r="J26" s="7"/>
      <c r="K26" s="7"/>
      <c r="L26" s="7">
        <f t="shared" si="2"/>
        <v>0</v>
      </c>
    </row>
    <row r="27" spans="2:12" x14ac:dyDescent="0.3">
      <c r="B27" s="7" t="s">
        <v>90</v>
      </c>
      <c r="C27" s="7"/>
      <c r="D27" s="7"/>
      <c r="E27" s="7">
        <f t="shared" si="0"/>
        <v>0</v>
      </c>
      <c r="F27" s="7"/>
      <c r="G27" s="7"/>
      <c r="H27" s="7"/>
      <c r="I27" s="7">
        <f t="shared" si="1"/>
        <v>0</v>
      </c>
      <c r="J27" s="7"/>
      <c r="K27" s="7"/>
      <c r="L27" s="7">
        <f t="shared" si="2"/>
        <v>0</v>
      </c>
    </row>
    <row r="28" spans="2:12" x14ac:dyDescent="0.3">
      <c r="B28" s="7" t="s">
        <v>91</v>
      </c>
      <c r="C28" s="7"/>
      <c r="D28" s="7"/>
      <c r="E28" s="7">
        <f t="shared" si="0"/>
        <v>0</v>
      </c>
      <c r="F28" s="7"/>
      <c r="G28" s="7"/>
      <c r="H28" s="7"/>
      <c r="I28" s="7">
        <f t="shared" si="1"/>
        <v>0</v>
      </c>
      <c r="J28" s="7"/>
      <c r="K28" s="7"/>
      <c r="L28" s="7">
        <f t="shared" si="2"/>
        <v>0</v>
      </c>
    </row>
    <row r="29" spans="2:12" x14ac:dyDescent="0.3">
      <c r="B29" s="7" t="s">
        <v>92</v>
      </c>
      <c r="C29" s="7"/>
      <c r="D29" s="7"/>
      <c r="E29" s="7">
        <f t="shared" si="0"/>
        <v>0</v>
      </c>
      <c r="F29" s="7"/>
      <c r="G29" s="7"/>
      <c r="H29" s="7"/>
      <c r="I29" s="7">
        <f t="shared" si="1"/>
        <v>0</v>
      </c>
      <c r="J29" s="7"/>
      <c r="K29" s="7"/>
      <c r="L29" s="7">
        <f t="shared" si="2"/>
        <v>0</v>
      </c>
    </row>
    <row r="30" spans="2:12" x14ac:dyDescent="0.3">
      <c r="B30" s="7" t="s">
        <v>93</v>
      </c>
      <c r="C30" s="7"/>
      <c r="D30" s="7"/>
      <c r="E30" s="7">
        <f t="shared" si="0"/>
        <v>0</v>
      </c>
      <c r="F30" s="7"/>
      <c r="G30" s="7"/>
      <c r="H30" s="7"/>
      <c r="I30" s="7">
        <f>G30*H30</f>
        <v>0</v>
      </c>
      <c r="J30" s="7"/>
      <c r="K30" s="7"/>
      <c r="L30" s="7">
        <f>J30*K30</f>
        <v>0</v>
      </c>
    </row>
    <row r="31" spans="2:12" x14ac:dyDescent="0.3">
      <c r="B31" s="7"/>
      <c r="C31" s="7"/>
      <c r="D31" s="7"/>
      <c r="E31" s="7">
        <f t="shared" si="0"/>
        <v>0</v>
      </c>
      <c r="F31" s="7"/>
      <c r="G31" s="7"/>
      <c r="H31" s="7"/>
      <c r="I31" s="7">
        <f>G31*H31</f>
        <v>0</v>
      </c>
      <c r="J31" s="7"/>
      <c r="K31" s="7"/>
      <c r="L31" s="7">
        <f>J31*K31</f>
        <v>0</v>
      </c>
    </row>
    <row r="32" spans="2:12" x14ac:dyDescent="0.3">
      <c r="B32" s="7"/>
      <c r="C32" s="7"/>
      <c r="D32" s="7"/>
      <c r="E32" s="7">
        <f t="shared" si="0"/>
        <v>0</v>
      </c>
      <c r="F32" s="7"/>
      <c r="G32" s="7"/>
      <c r="H32" s="7"/>
      <c r="I32" s="7">
        <f>G32*H32</f>
        <v>0</v>
      </c>
      <c r="J32" s="7"/>
      <c r="K32" s="7"/>
      <c r="L32" s="7">
        <f>J32*K32</f>
        <v>0</v>
      </c>
    </row>
    <row r="33" spans="2:12" x14ac:dyDescent="0.3">
      <c r="B33" s="7"/>
      <c r="C33" s="7"/>
      <c r="D33" s="7"/>
      <c r="E33" s="7">
        <f t="shared" si="0"/>
        <v>0</v>
      </c>
      <c r="F33" s="7"/>
      <c r="G33" s="7"/>
      <c r="H33" s="7"/>
      <c r="I33" s="7">
        <f>G33*H33</f>
        <v>0</v>
      </c>
      <c r="J33" s="7"/>
      <c r="K33" s="7"/>
      <c r="L33" s="7">
        <f>J33*K33</f>
        <v>0</v>
      </c>
    </row>
    <row r="34" spans="2:12" x14ac:dyDescent="0.3">
      <c r="B34" s="7" t="s">
        <v>59</v>
      </c>
      <c r="C34" s="7"/>
      <c r="D34" s="7">
        <f>E34*10.764</f>
        <v>0</v>
      </c>
      <c r="E34" s="7">
        <f>SUM(E6:E33)</f>
        <v>0</v>
      </c>
      <c r="F34" s="7"/>
      <c r="G34" s="7"/>
      <c r="H34" s="7">
        <f>I34*10.764</f>
        <v>0</v>
      </c>
      <c r="I34" s="7">
        <f>SUM(I6:I33)</f>
        <v>0</v>
      </c>
      <c r="J34" s="7"/>
      <c r="K34" s="7">
        <f>L34*10.764</f>
        <v>0</v>
      </c>
      <c r="L34" s="7">
        <f>SUM(L6:L33)</f>
        <v>0</v>
      </c>
    </row>
    <row r="36" spans="2:12" x14ac:dyDescent="0.3">
      <c r="D36">
        <f>D34+H34</f>
        <v>0</v>
      </c>
      <c r="E36">
        <f>E34+I34</f>
        <v>0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I16"/>
  <sheetViews>
    <sheetView zoomScale="115" zoomScaleNormal="115" workbookViewId="0">
      <selection activeCell="D13" sqref="D13"/>
    </sheetView>
  </sheetViews>
  <sheetFormatPr defaultColWidth="8.6640625" defaultRowHeight="14.4" x14ac:dyDescent="0.3"/>
  <cols>
    <col min="1" max="1" width="8.6640625" style="20"/>
    <col min="2" max="2" width="22.109375" style="20" customWidth="1"/>
    <col min="3" max="3" width="37" style="20" customWidth="1"/>
    <col min="4" max="5" width="11.44140625" style="20" customWidth="1"/>
    <col min="6" max="6" width="14" style="20" customWidth="1"/>
    <col min="7" max="7" width="20" style="20" customWidth="1"/>
    <col min="8" max="8" width="16.44140625" style="20" customWidth="1"/>
    <col min="9" max="16384" width="8.6640625" style="20"/>
  </cols>
  <sheetData>
    <row r="1" spans="1:9" ht="15" customHeight="1" x14ac:dyDescent="0.3"/>
    <row r="2" spans="1:9" ht="15" customHeight="1" x14ac:dyDescent="0.3">
      <c r="A2" s="21"/>
      <c r="B2" s="21"/>
      <c r="C2" s="21"/>
      <c r="D2" s="21"/>
      <c r="E2" s="21"/>
      <c r="F2" s="21"/>
      <c r="G2" s="21"/>
      <c r="H2" s="21"/>
    </row>
    <row r="3" spans="1:9" ht="15.75" customHeight="1" x14ac:dyDescent="0.3">
      <c r="A3" s="21"/>
      <c r="B3" s="284" t="s">
        <v>137</v>
      </c>
      <c r="C3" s="284"/>
      <c r="D3" s="284"/>
      <c r="E3" s="284"/>
      <c r="F3" s="284"/>
      <c r="G3" s="284"/>
      <c r="H3" s="284"/>
    </row>
    <row r="4" spans="1:9" x14ac:dyDescent="0.3">
      <c r="A4" s="21"/>
      <c r="B4" s="22" t="s">
        <v>138</v>
      </c>
      <c r="C4" s="22" t="s">
        <v>139</v>
      </c>
      <c r="D4" s="22" t="s">
        <v>73</v>
      </c>
      <c r="E4" s="22" t="s">
        <v>140</v>
      </c>
      <c r="F4" s="22" t="s">
        <v>147</v>
      </c>
      <c r="G4" s="22" t="s">
        <v>148</v>
      </c>
      <c r="H4" s="22" t="s">
        <v>141</v>
      </c>
    </row>
    <row r="5" spans="1:9" ht="15" customHeight="1" x14ac:dyDescent="0.3">
      <c r="A5" s="21"/>
      <c r="B5" s="24" t="s">
        <v>142</v>
      </c>
      <c r="C5" s="25"/>
      <c r="D5" s="24" t="s">
        <v>143</v>
      </c>
      <c r="E5" s="24">
        <v>1106</v>
      </c>
      <c r="F5" s="26">
        <f>E5*1.6</f>
        <v>1769.6000000000001</v>
      </c>
      <c r="G5" s="26">
        <f>H5/F5</f>
        <v>31532.549728752259</v>
      </c>
      <c r="H5" s="27">
        <v>55800000</v>
      </c>
    </row>
    <row r="6" spans="1:9" x14ac:dyDescent="0.3">
      <c r="A6" s="21"/>
      <c r="B6" s="24" t="s">
        <v>142</v>
      </c>
      <c r="C6" s="28"/>
      <c r="D6" s="24"/>
      <c r="E6" s="24"/>
      <c r="F6" s="26">
        <f t="shared" ref="F6:F11" si="0">E6*1.6</f>
        <v>0</v>
      </c>
      <c r="G6" s="26" t="e">
        <f t="shared" ref="G6:G11" si="1">H6/F6</f>
        <v>#DIV/0!</v>
      </c>
      <c r="H6" s="27"/>
    </row>
    <row r="7" spans="1:9" ht="15" customHeight="1" x14ac:dyDescent="0.3">
      <c r="A7" s="21"/>
      <c r="B7" s="24" t="s">
        <v>142</v>
      </c>
      <c r="C7" s="25"/>
      <c r="D7" s="24"/>
      <c r="E7" s="24"/>
      <c r="F7" s="26">
        <f t="shared" si="0"/>
        <v>0</v>
      </c>
      <c r="G7" s="26" t="e">
        <f t="shared" si="1"/>
        <v>#DIV/0!</v>
      </c>
      <c r="H7" s="27"/>
    </row>
    <row r="8" spans="1:9" x14ac:dyDescent="0.3">
      <c r="A8" s="21"/>
      <c r="B8" s="24" t="s">
        <v>142</v>
      </c>
      <c r="C8" s="28"/>
      <c r="D8" s="24"/>
      <c r="E8" s="24"/>
      <c r="F8" s="26">
        <f t="shared" si="0"/>
        <v>0</v>
      </c>
      <c r="G8" s="26" t="e">
        <f t="shared" si="1"/>
        <v>#DIV/0!</v>
      </c>
      <c r="H8" s="27"/>
    </row>
    <row r="9" spans="1:9" ht="15" customHeight="1" x14ac:dyDescent="0.3">
      <c r="A9" s="21"/>
      <c r="B9" s="24" t="s">
        <v>142</v>
      </c>
      <c r="C9" s="28"/>
      <c r="D9" s="24"/>
      <c r="E9" s="24"/>
      <c r="F9" s="26">
        <f t="shared" si="0"/>
        <v>0</v>
      </c>
      <c r="G9" s="26" t="e">
        <f t="shared" si="1"/>
        <v>#DIV/0!</v>
      </c>
      <c r="H9" s="27"/>
    </row>
    <row r="10" spans="1:9" ht="15" customHeight="1" x14ac:dyDescent="0.3">
      <c r="A10" s="21"/>
      <c r="B10" s="24" t="s">
        <v>144</v>
      </c>
      <c r="C10" s="25"/>
      <c r="D10" s="24"/>
      <c r="E10" s="24"/>
      <c r="F10" s="26">
        <f t="shared" si="0"/>
        <v>0</v>
      </c>
      <c r="G10" s="26" t="e">
        <f t="shared" si="1"/>
        <v>#DIV/0!</v>
      </c>
      <c r="H10" s="27"/>
    </row>
    <row r="11" spans="1:9" ht="15" customHeight="1" x14ac:dyDescent="0.3">
      <c r="A11" s="21"/>
      <c r="B11" s="24" t="s">
        <v>144</v>
      </c>
      <c r="C11" s="25"/>
      <c r="D11" s="24"/>
      <c r="E11" s="24"/>
      <c r="F11" s="26">
        <f t="shared" si="0"/>
        <v>0</v>
      </c>
      <c r="G11" s="26" t="e">
        <f t="shared" si="1"/>
        <v>#DIV/0!</v>
      </c>
      <c r="H11" s="27"/>
    </row>
    <row r="12" spans="1:9" ht="15" customHeight="1" x14ac:dyDescent="0.3">
      <c r="A12" s="21"/>
      <c r="B12" s="29" t="s">
        <v>145</v>
      </c>
      <c r="C12" s="24"/>
      <c r="D12" s="24"/>
      <c r="E12" s="24"/>
      <c r="F12" s="24"/>
      <c r="G12" s="30" t="e">
        <f>AVERAGE(G5:G11)</f>
        <v>#DIV/0!</v>
      </c>
      <c r="H12" s="24"/>
    </row>
    <row r="13" spans="1:9" ht="15" customHeight="1" x14ac:dyDescent="0.3">
      <c r="B13" s="29" t="s">
        <v>146</v>
      </c>
      <c r="C13" s="24"/>
      <c r="D13" s="24"/>
      <c r="E13" s="24"/>
      <c r="F13" s="31"/>
      <c r="G13" s="29"/>
      <c r="H13" s="29"/>
      <c r="I13" s="23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"/>
  <sheetViews>
    <sheetView workbookViewId="0">
      <selection activeCell="D10" sqref="D10"/>
    </sheetView>
  </sheetViews>
  <sheetFormatPr defaultRowHeight="14.4" x14ac:dyDescent="0.3"/>
  <sheetData/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Acrobat Document" dvAspect="DVASPECT_ICON" shapeId="4097" r:id="rId3">
          <objectPr defaultSize="0" r:id="rId4">
            <anchor moveWithCells="1">
              <from>
                <xdr:col>3</xdr:col>
                <xdr:colOff>0</xdr:colOff>
                <xdr:row>0</xdr:row>
                <xdr:rowOff>0</xdr:rowOff>
              </from>
              <to>
                <xdr:col>4</xdr:col>
                <xdr:colOff>304800</xdr:colOff>
                <xdr:row>4</xdr:row>
                <xdr:rowOff>7620</xdr:rowOff>
              </to>
            </anchor>
          </objectPr>
        </oleObject>
      </mc:Choice>
      <mc:Fallback>
        <oleObject progId="Acrobat Document" dvAspect="DVASPECT_ICON" shapeId="4097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Flat detail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pranitam503@gmail.com</cp:lastModifiedBy>
  <cp:lastPrinted>2025-09-13T06:25:45Z</cp:lastPrinted>
  <dcterms:created xsi:type="dcterms:W3CDTF">2019-07-16T09:29:46Z</dcterms:created>
  <dcterms:modified xsi:type="dcterms:W3CDTF">2025-09-13T06:31:22Z</dcterms:modified>
</cp:coreProperties>
</file>