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Kunal\Sept 25\Axis\Update\20486 - Maplewoods Phase I, II &amp; III\"/>
    </mc:Choice>
  </mc:AlternateContent>
  <xr:revisionPtr revIDLastSave="0" documentId="13_ncr:1_{FEAC153D-1079-42AF-817A-D7CC0AC4E180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Report!$A$1:$H$607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68" i="1" l="1"/>
  <c r="L165" i="1"/>
  <c r="L162" i="1"/>
  <c r="M163" i="1" s="1"/>
  <c r="I414" i="1"/>
  <c r="I390" i="1"/>
  <c r="I371" i="1"/>
  <c r="I345" i="1"/>
  <c r="I311" i="1"/>
  <c r="I271" i="1"/>
  <c r="I210" i="1"/>
  <c r="D427" i="1"/>
  <c r="F427" i="1" s="1"/>
  <c r="H427" i="1" s="1"/>
  <c r="D426" i="1"/>
  <c r="F426" i="1" s="1"/>
  <c r="H426" i="1" s="1"/>
  <c r="D424" i="1"/>
  <c r="F424" i="1" s="1"/>
  <c r="H424" i="1" s="1"/>
  <c r="D423" i="1"/>
  <c r="D422" i="1"/>
  <c r="F422" i="1" s="1"/>
  <c r="H422" i="1" s="1"/>
  <c r="G413" i="1"/>
  <c r="G408" i="1"/>
  <c r="D420" i="1"/>
  <c r="F420" i="1" s="1"/>
  <c r="H420" i="1" s="1"/>
  <c r="D419" i="1"/>
  <c r="F419" i="1" s="1"/>
  <c r="H419" i="1" s="1"/>
  <c r="D418" i="1"/>
  <c r="F418" i="1" s="1"/>
  <c r="H418" i="1" s="1"/>
  <c r="D417" i="1"/>
  <c r="F417" i="1" s="1"/>
  <c r="H417" i="1" s="1"/>
  <c r="D416" i="1"/>
  <c r="F416" i="1" s="1"/>
  <c r="H416" i="1" s="1"/>
  <c r="D415" i="1"/>
  <c r="F415" i="1" s="1"/>
  <c r="H415" i="1" s="1"/>
  <c r="D413" i="1"/>
  <c r="F413" i="1" s="1"/>
  <c r="D412" i="1"/>
  <c r="F412" i="1" s="1"/>
  <c r="D410" i="1"/>
  <c r="F410" i="1" s="1"/>
  <c r="H410" i="1" s="1"/>
  <c r="D409" i="1"/>
  <c r="F409" i="1" s="1"/>
  <c r="H409" i="1" s="1"/>
  <c r="D408" i="1"/>
  <c r="F408" i="1" s="1"/>
  <c r="A423" i="1"/>
  <c r="A424" i="1" s="1"/>
  <c r="A425" i="1" s="1"/>
  <c r="A416" i="1"/>
  <c r="A417" i="1" s="1"/>
  <c r="A418" i="1" s="1"/>
  <c r="A419" i="1" s="1"/>
  <c r="A420" i="1" s="1"/>
  <c r="F423" i="1"/>
  <c r="H423" i="1" s="1"/>
  <c r="A409" i="1"/>
  <c r="A410" i="1" s="1"/>
  <c r="J402" i="1"/>
  <c r="J364" i="1"/>
  <c r="D401" i="1"/>
  <c r="F401" i="1" s="1"/>
  <c r="H401" i="1" s="1"/>
  <c r="D399" i="1"/>
  <c r="F399" i="1" s="1"/>
  <c r="H399" i="1" s="1"/>
  <c r="D398" i="1"/>
  <c r="F398" i="1" s="1"/>
  <c r="H398" i="1" s="1"/>
  <c r="A398" i="1"/>
  <c r="A399" i="1" s="1"/>
  <c r="D397" i="1"/>
  <c r="F397" i="1" s="1"/>
  <c r="H397" i="1" s="1"/>
  <c r="D395" i="1"/>
  <c r="F395" i="1" s="1"/>
  <c r="H395" i="1" s="1"/>
  <c r="D394" i="1"/>
  <c r="F394" i="1" s="1"/>
  <c r="H394" i="1" s="1"/>
  <c r="D393" i="1"/>
  <c r="F393" i="1" s="1"/>
  <c r="H393" i="1" s="1"/>
  <c r="D392" i="1"/>
  <c r="F392" i="1" s="1"/>
  <c r="H392" i="1" s="1"/>
  <c r="A392" i="1"/>
  <c r="A393" i="1" s="1"/>
  <c r="A394" i="1" s="1"/>
  <c r="A395" i="1" s="1"/>
  <c r="D391" i="1"/>
  <c r="F391" i="1" s="1"/>
  <c r="H391" i="1" s="1"/>
  <c r="G389" i="1"/>
  <c r="D389" i="1"/>
  <c r="F389" i="1" s="1"/>
  <c r="D387" i="1"/>
  <c r="F387" i="1" s="1"/>
  <c r="H387" i="1" s="1"/>
  <c r="D386" i="1"/>
  <c r="F386" i="1" s="1"/>
  <c r="H386" i="1" s="1"/>
  <c r="A386" i="1"/>
  <c r="A387" i="1" s="1"/>
  <c r="D385" i="1"/>
  <c r="F385" i="1" s="1"/>
  <c r="H385" i="1" s="1"/>
  <c r="J383" i="1"/>
  <c r="D357" i="1"/>
  <c r="D382" i="1"/>
  <c r="F382" i="1" s="1"/>
  <c r="H382" i="1" s="1"/>
  <c r="D380" i="1"/>
  <c r="F380" i="1" s="1"/>
  <c r="H380" i="1" s="1"/>
  <c r="D379" i="1"/>
  <c r="F379" i="1" s="1"/>
  <c r="H379" i="1" s="1"/>
  <c r="D378" i="1"/>
  <c r="F378" i="1" s="1"/>
  <c r="H378" i="1" s="1"/>
  <c r="A379" i="1"/>
  <c r="A380" i="1" s="1"/>
  <c r="D376" i="1"/>
  <c r="F376" i="1" s="1"/>
  <c r="H376" i="1" s="1"/>
  <c r="D375" i="1"/>
  <c r="F375" i="1" s="1"/>
  <c r="H375" i="1" s="1"/>
  <c r="D374" i="1"/>
  <c r="D373" i="1"/>
  <c r="F373" i="1" s="1"/>
  <c r="H373" i="1" s="1"/>
  <c r="D372" i="1"/>
  <c r="F372" i="1" s="1"/>
  <c r="H372" i="1" s="1"/>
  <c r="G370" i="1"/>
  <c r="D370" i="1"/>
  <c r="F370" i="1" s="1"/>
  <c r="D368" i="1"/>
  <c r="D367" i="1"/>
  <c r="F367" i="1" s="1"/>
  <c r="H367" i="1" s="1"/>
  <c r="D366" i="1"/>
  <c r="F366" i="1" s="1"/>
  <c r="H366" i="1" s="1"/>
  <c r="F374" i="1"/>
  <c r="H374" i="1" s="1"/>
  <c r="A373" i="1"/>
  <c r="A374" i="1" s="1"/>
  <c r="A375" i="1" s="1"/>
  <c r="A376" i="1" s="1"/>
  <c r="J360" i="1"/>
  <c r="D193" i="1"/>
  <c r="F193" i="1" s="1"/>
  <c r="H193" i="1" s="1"/>
  <c r="D192" i="1"/>
  <c r="F192" i="1" s="1"/>
  <c r="H192" i="1" s="1"/>
  <c r="D191" i="1"/>
  <c r="F191" i="1" s="1"/>
  <c r="H191" i="1" s="1"/>
  <c r="D190" i="1"/>
  <c r="F190" i="1" s="1"/>
  <c r="H190" i="1" s="1"/>
  <c r="D189" i="1"/>
  <c r="F189" i="1" s="1"/>
  <c r="H189" i="1" s="1"/>
  <c r="D188" i="1"/>
  <c r="F188" i="1" s="1"/>
  <c r="H188" i="1" s="1"/>
  <c r="D187" i="1"/>
  <c r="F187" i="1" s="1"/>
  <c r="H187" i="1" s="1"/>
  <c r="D186" i="1"/>
  <c r="F186" i="1" s="1"/>
  <c r="H186" i="1" s="1"/>
  <c r="D185" i="1"/>
  <c r="F185" i="1" s="1"/>
  <c r="H185" i="1" s="1"/>
  <c r="D184" i="1"/>
  <c r="F184" i="1" s="1"/>
  <c r="H184" i="1" s="1"/>
  <c r="D183" i="1"/>
  <c r="F183" i="1" s="1"/>
  <c r="H183" i="1" s="1"/>
  <c r="D182" i="1"/>
  <c r="F182" i="1" s="1"/>
  <c r="H182" i="1" s="1"/>
  <c r="D181" i="1"/>
  <c r="F181" i="1" s="1"/>
  <c r="H181" i="1" s="1"/>
  <c r="D180" i="1"/>
  <c r="F180" i="1" s="1"/>
  <c r="H180" i="1" s="1"/>
  <c r="D179" i="1"/>
  <c r="F179" i="1" s="1"/>
  <c r="H179" i="1" s="1"/>
  <c r="D178" i="1"/>
  <c r="F178" i="1" s="1"/>
  <c r="H178" i="1" s="1"/>
  <c r="D177" i="1"/>
  <c r="F177" i="1" s="1"/>
  <c r="H177" i="1" s="1"/>
  <c r="B460" i="1"/>
  <c r="G310" i="1"/>
  <c r="G305" i="1"/>
  <c r="G266" i="1"/>
  <c r="G265" i="1"/>
  <c r="D223" i="1"/>
  <c r="F223" i="1" s="1"/>
  <c r="H223" i="1" s="1"/>
  <c r="D222" i="1"/>
  <c r="F222" i="1" s="1"/>
  <c r="H222" i="1" s="1"/>
  <c r="D220" i="1"/>
  <c r="F220" i="1" s="1"/>
  <c r="H220" i="1" s="1"/>
  <c r="D219" i="1"/>
  <c r="F219" i="1" s="1"/>
  <c r="H219" i="1" s="1"/>
  <c r="D218" i="1"/>
  <c r="F218" i="1" s="1"/>
  <c r="H218" i="1" s="1"/>
  <c r="G209" i="1"/>
  <c r="A219" i="1"/>
  <c r="A220" i="1" s="1"/>
  <c r="A221" i="1" s="1"/>
  <c r="A222" i="1" s="1"/>
  <c r="A223" i="1" s="1"/>
  <c r="D216" i="1"/>
  <c r="F216" i="1" s="1"/>
  <c r="H216" i="1" s="1"/>
  <c r="D215" i="1"/>
  <c r="F215" i="1" s="1"/>
  <c r="H215" i="1" s="1"/>
  <c r="D214" i="1"/>
  <c r="F214" i="1" s="1"/>
  <c r="H214" i="1" s="1"/>
  <c r="D213" i="1"/>
  <c r="F213" i="1" s="1"/>
  <c r="H213" i="1" s="1"/>
  <c r="D212" i="1"/>
  <c r="F212" i="1" s="1"/>
  <c r="H212" i="1" s="1"/>
  <c r="D211" i="1"/>
  <c r="F211" i="1" s="1"/>
  <c r="H211" i="1" s="1"/>
  <c r="F368" i="1"/>
  <c r="H368" i="1" s="1"/>
  <c r="A367" i="1"/>
  <c r="A368" i="1" s="1"/>
  <c r="D209" i="1"/>
  <c r="F209" i="1" s="1"/>
  <c r="D208" i="1"/>
  <c r="F208" i="1" s="1"/>
  <c r="H208" i="1" s="1"/>
  <c r="G204" i="1"/>
  <c r="D206" i="1"/>
  <c r="F206" i="1" s="1"/>
  <c r="H206" i="1" s="1"/>
  <c r="D205" i="1"/>
  <c r="F205" i="1" s="1"/>
  <c r="H205" i="1" s="1"/>
  <c r="D204" i="1"/>
  <c r="F204" i="1" s="1"/>
  <c r="A212" i="1"/>
  <c r="A213" i="1" s="1"/>
  <c r="A214" i="1" s="1"/>
  <c r="A215" i="1" s="1"/>
  <c r="A216" i="1" s="1"/>
  <c r="A205" i="1"/>
  <c r="A206" i="1" s="1"/>
  <c r="A207" i="1" s="1"/>
  <c r="A178" i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C127" i="1"/>
  <c r="J138" i="1"/>
  <c r="J137" i="1"/>
  <c r="J136" i="1"/>
  <c r="J135" i="1"/>
  <c r="C136" i="1"/>
  <c r="C108" i="1"/>
  <c r="C107" i="1"/>
  <c r="C80" i="1"/>
  <c r="C94" i="1"/>
  <c r="C93" i="1"/>
  <c r="C91" i="1"/>
  <c r="C79" i="1"/>
  <c r="H408" i="1" l="1"/>
  <c r="G157" i="1"/>
  <c r="G158" i="1" s="1"/>
  <c r="E162" i="1"/>
  <c r="C167" i="1"/>
  <c r="E167" i="1"/>
  <c r="C165" i="1"/>
  <c r="E166" i="1"/>
  <c r="C166" i="1"/>
  <c r="E165" i="1"/>
  <c r="C157" i="1"/>
  <c r="C158" i="1" s="1"/>
  <c r="E157" i="1"/>
  <c r="E158" i="1" s="1"/>
  <c r="C162" i="1"/>
  <c r="H412" i="1"/>
  <c r="H413" i="1"/>
  <c r="H370" i="1"/>
  <c r="G165" i="1" s="1"/>
  <c r="H389" i="1"/>
  <c r="G166" i="1" s="1"/>
  <c r="H209" i="1"/>
  <c r="H204" i="1"/>
  <c r="C120" i="1"/>
  <c r="C121" i="1" s="1"/>
  <c r="G162" i="1" l="1"/>
  <c r="G167" i="1"/>
  <c r="C122" i="1"/>
  <c r="K313" i="1"/>
  <c r="D324" i="1"/>
  <c r="F324" i="1" s="1"/>
  <c r="H324" i="1" s="1"/>
  <c r="D323" i="1"/>
  <c r="F323" i="1" s="1"/>
  <c r="H323" i="1" s="1"/>
  <c r="D322" i="1"/>
  <c r="F322" i="1" s="1"/>
  <c r="H322" i="1" s="1"/>
  <c r="D321" i="1"/>
  <c r="F321" i="1" s="1"/>
  <c r="H321" i="1" s="1"/>
  <c r="D320" i="1"/>
  <c r="F320" i="1" s="1"/>
  <c r="H320" i="1" s="1"/>
  <c r="A320" i="1"/>
  <c r="A321" i="1" s="1"/>
  <c r="A322" i="1" s="1"/>
  <c r="A323" i="1" s="1"/>
  <c r="A324" i="1" s="1"/>
  <c r="D319" i="1"/>
  <c r="F319" i="1" s="1"/>
  <c r="H319" i="1" s="1"/>
  <c r="J319" i="1" l="1"/>
  <c r="J96" i="1"/>
  <c r="J95" i="1"/>
  <c r="J94" i="1"/>
  <c r="J93" i="1"/>
  <c r="D297" i="1" l="1"/>
  <c r="F297" i="1" s="1"/>
  <c r="H297" i="1" s="1"/>
  <c r="D293" i="1"/>
  <c r="F293" i="1" s="1"/>
  <c r="H293" i="1" s="1"/>
  <c r="D292" i="1"/>
  <c r="F292" i="1" s="1"/>
  <c r="H292" i="1" s="1"/>
  <c r="D291" i="1"/>
  <c r="F291" i="1" s="1"/>
  <c r="H291" i="1" s="1"/>
  <c r="D290" i="1"/>
  <c r="F290" i="1" s="1"/>
  <c r="H290" i="1" s="1"/>
  <c r="D288" i="1"/>
  <c r="F288" i="1" s="1"/>
  <c r="H288" i="1" s="1"/>
  <c r="D287" i="1"/>
  <c r="F287" i="1" s="1"/>
  <c r="H287" i="1" s="1"/>
  <c r="D286" i="1"/>
  <c r="F286" i="1" s="1"/>
  <c r="H286" i="1" s="1"/>
  <c r="D285" i="1"/>
  <c r="F285" i="1" s="1"/>
  <c r="H285" i="1" s="1"/>
  <c r="D284" i="1"/>
  <c r="F284" i="1" s="1"/>
  <c r="H284" i="1" s="1"/>
  <c r="D283" i="1"/>
  <c r="F283" i="1" s="1"/>
  <c r="H283" i="1" s="1"/>
  <c r="D281" i="1"/>
  <c r="F281" i="1" s="1"/>
  <c r="H281" i="1" s="1"/>
  <c r="D279" i="1"/>
  <c r="F279" i="1" s="1"/>
  <c r="H279" i="1" s="1"/>
  <c r="D278" i="1"/>
  <c r="F278" i="1" s="1"/>
  <c r="H278" i="1" s="1"/>
  <c r="D277" i="1"/>
  <c r="F277" i="1" s="1"/>
  <c r="H277" i="1" s="1"/>
  <c r="D276" i="1"/>
  <c r="F276" i="1" s="1"/>
  <c r="H276" i="1" s="1"/>
  <c r="D275" i="1"/>
  <c r="F275" i="1" s="1"/>
  <c r="H275" i="1" s="1"/>
  <c r="D274" i="1"/>
  <c r="F274" i="1" s="1"/>
  <c r="H274" i="1" s="1"/>
  <c r="D273" i="1"/>
  <c r="F273" i="1" s="1"/>
  <c r="H273" i="1" s="1"/>
  <c r="D272" i="1"/>
  <c r="F272" i="1" s="1"/>
  <c r="H272" i="1" s="1"/>
  <c r="D261" i="1"/>
  <c r="F261" i="1" s="1"/>
  <c r="H261" i="1" s="1"/>
  <c r="D260" i="1"/>
  <c r="F260" i="1" s="1"/>
  <c r="H260" i="1" s="1"/>
  <c r="D259" i="1"/>
  <c r="F259" i="1" s="1"/>
  <c r="H259" i="1" s="1"/>
  <c r="D258" i="1"/>
  <c r="F258" i="1" s="1"/>
  <c r="H258" i="1" s="1"/>
  <c r="D255" i="1"/>
  <c r="F255" i="1" s="1"/>
  <c r="H255" i="1" s="1"/>
  <c r="D254" i="1"/>
  <c r="F254" i="1" s="1"/>
  <c r="H254" i="1" s="1"/>
  <c r="D252" i="1"/>
  <c r="F252" i="1" s="1"/>
  <c r="H252" i="1" s="1"/>
  <c r="D251" i="1"/>
  <c r="F251" i="1" s="1"/>
  <c r="H251" i="1" s="1"/>
  <c r="D250" i="1"/>
  <c r="F250" i="1" s="1"/>
  <c r="H250" i="1" s="1"/>
  <c r="D249" i="1"/>
  <c r="F249" i="1" s="1"/>
  <c r="H249" i="1" s="1"/>
  <c r="D246" i="1"/>
  <c r="F246" i="1" s="1"/>
  <c r="H246" i="1" s="1"/>
  <c r="D245" i="1"/>
  <c r="F245" i="1" s="1"/>
  <c r="H245" i="1" s="1"/>
  <c r="D243" i="1"/>
  <c r="F243" i="1" s="1"/>
  <c r="H243" i="1" s="1"/>
  <c r="D242" i="1"/>
  <c r="F242" i="1" s="1"/>
  <c r="H242" i="1" s="1"/>
  <c r="D241" i="1"/>
  <c r="F241" i="1" s="1"/>
  <c r="H241" i="1" s="1"/>
  <c r="D240" i="1"/>
  <c r="F240" i="1" s="1"/>
  <c r="H240" i="1" s="1"/>
  <c r="D237" i="1"/>
  <c r="F237" i="1" s="1"/>
  <c r="H237" i="1" s="1"/>
  <c r="D236" i="1"/>
  <c r="F236" i="1" s="1"/>
  <c r="H236" i="1" s="1"/>
  <c r="D234" i="1"/>
  <c r="F234" i="1" s="1"/>
  <c r="H234" i="1" s="1"/>
  <c r="D233" i="1"/>
  <c r="F233" i="1" s="1"/>
  <c r="H233" i="1" s="1"/>
  <c r="D232" i="1"/>
  <c r="F232" i="1" s="1"/>
  <c r="H232" i="1" s="1"/>
  <c r="D231" i="1"/>
  <c r="F231" i="1" s="1"/>
  <c r="H231" i="1" s="1"/>
  <c r="D228" i="1"/>
  <c r="F228" i="1" s="1"/>
  <c r="H228" i="1" s="1"/>
  <c r="D227" i="1"/>
  <c r="D270" i="1"/>
  <c r="F270" i="1" s="1"/>
  <c r="H270" i="1" s="1"/>
  <c r="D269" i="1"/>
  <c r="F269" i="1" s="1"/>
  <c r="H269" i="1" s="1"/>
  <c r="D268" i="1"/>
  <c r="F268" i="1" s="1"/>
  <c r="H268" i="1" s="1"/>
  <c r="D267" i="1"/>
  <c r="F267" i="1" s="1"/>
  <c r="H267" i="1" s="1"/>
  <c r="D266" i="1"/>
  <c r="F266" i="1" s="1"/>
  <c r="H266" i="1" s="1"/>
  <c r="D263" i="1"/>
  <c r="F263" i="1" s="1"/>
  <c r="H263" i="1" s="1"/>
  <c r="F357" i="1"/>
  <c r="H357" i="1" s="1"/>
  <c r="D358" i="1"/>
  <c r="F358" i="1" s="1"/>
  <c r="H358" i="1" s="1"/>
  <c r="D355" i="1"/>
  <c r="F355" i="1" s="1"/>
  <c r="H355" i="1" s="1"/>
  <c r="D354" i="1"/>
  <c r="F354" i="1" s="1"/>
  <c r="H354" i="1" s="1"/>
  <c r="D353" i="1"/>
  <c r="F353" i="1" s="1"/>
  <c r="H353" i="1" s="1"/>
  <c r="D351" i="1"/>
  <c r="F351" i="1" s="1"/>
  <c r="H351" i="1" s="1"/>
  <c r="D350" i="1"/>
  <c r="F350" i="1" s="1"/>
  <c r="H350" i="1" s="1"/>
  <c r="D349" i="1"/>
  <c r="F349" i="1" s="1"/>
  <c r="H349" i="1" s="1"/>
  <c r="D348" i="1"/>
  <c r="F348" i="1" s="1"/>
  <c r="H348" i="1" s="1"/>
  <c r="D347" i="1"/>
  <c r="F347" i="1" s="1"/>
  <c r="H347" i="1" s="1"/>
  <c r="D344" i="1"/>
  <c r="F344" i="1" s="1"/>
  <c r="H344" i="1" s="1"/>
  <c r="D343" i="1"/>
  <c r="F343" i="1" s="1"/>
  <c r="H343" i="1" s="1"/>
  <c r="D341" i="1"/>
  <c r="F341" i="1" s="1"/>
  <c r="H341" i="1" s="1"/>
  <c r="D340" i="1"/>
  <c r="F340" i="1" s="1"/>
  <c r="H340" i="1" s="1"/>
  <c r="D339" i="1"/>
  <c r="D331" i="1"/>
  <c r="F331" i="1" s="1"/>
  <c r="H331" i="1" s="1"/>
  <c r="D330" i="1"/>
  <c r="F330" i="1" s="1"/>
  <c r="H330" i="1" s="1"/>
  <c r="D328" i="1"/>
  <c r="F328" i="1" s="1"/>
  <c r="H328" i="1" s="1"/>
  <c r="D327" i="1"/>
  <c r="F327" i="1" s="1"/>
  <c r="H327" i="1" s="1"/>
  <c r="D326" i="1"/>
  <c r="F326" i="1" s="1"/>
  <c r="H326" i="1" s="1"/>
  <c r="D316" i="1"/>
  <c r="F316" i="1" s="1"/>
  <c r="H316" i="1" s="1"/>
  <c r="D315" i="1"/>
  <c r="F315" i="1" s="1"/>
  <c r="H315" i="1" s="1"/>
  <c r="D317" i="1"/>
  <c r="F317" i="1" s="1"/>
  <c r="H317" i="1" s="1"/>
  <c r="D314" i="1"/>
  <c r="F314" i="1" s="1"/>
  <c r="H314" i="1" s="1"/>
  <c r="D313" i="1"/>
  <c r="F313" i="1" s="1"/>
  <c r="H313" i="1" s="1"/>
  <c r="D312" i="1"/>
  <c r="F312" i="1" s="1"/>
  <c r="H312" i="1" s="1"/>
  <c r="D310" i="1"/>
  <c r="F310" i="1" s="1"/>
  <c r="H310" i="1" s="1"/>
  <c r="D309" i="1"/>
  <c r="F309" i="1" s="1"/>
  <c r="H309" i="1" s="1"/>
  <c r="D307" i="1"/>
  <c r="F307" i="1" s="1"/>
  <c r="H307" i="1" s="1"/>
  <c r="D306" i="1"/>
  <c r="F306" i="1" s="1"/>
  <c r="H306" i="1" s="1"/>
  <c r="D305" i="1"/>
  <c r="D346" i="1"/>
  <c r="F346" i="1" s="1"/>
  <c r="H346" i="1" s="1"/>
  <c r="F339" i="1" l="1"/>
  <c r="C163" i="1"/>
  <c r="F305" i="1"/>
  <c r="C161" i="1"/>
  <c r="F227" i="1"/>
  <c r="C99" i="1"/>
  <c r="J110" i="1"/>
  <c r="J109" i="1"/>
  <c r="J108" i="1"/>
  <c r="J107" i="1"/>
  <c r="D265" i="1"/>
  <c r="F265" i="1" s="1"/>
  <c r="H265" i="1" s="1"/>
  <c r="J299" i="1"/>
  <c r="A291" i="1"/>
  <c r="A292" i="1" s="1"/>
  <c r="A293" i="1" s="1"/>
  <c r="A294" i="1" s="1"/>
  <c r="A295" i="1" s="1"/>
  <c r="A296" i="1" s="1"/>
  <c r="A297" i="1" s="1"/>
  <c r="A282" i="1"/>
  <c r="A283" i="1" s="1"/>
  <c r="A284" i="1" s="1"/>
  <c r="A285" i="1" s="1"/>
  <c r="A286" i="1" s="1"/>
  <c r="A287" i="1" s="1"/>
  <c r="A288" i="1" s="1"/>
  <c r="A273" i="1"/>
  <c r="A274" i="1" s="1"/>
  <c r="A275" i="1" s="1"/>
  <c r="A276" i="1" s="1"/>
  <c r="A277" i="1" s="1"/>
  <c r="A278" i="1" s="1"/>
  <c r="A279" i="1" s="1"/>
  <c r="A255" i="1"/>
  <c r="A256" i="1" s="1"/>
  <c r="A257" i="1" s="1"/>
  <c r="A258" i="1" s="1"/>
  <c r="A259" i="1" s="1"/>
  <c r="A260" i="1" s="1"/>
  <c r="A261" i="1" s="1"/>
  <c r="A264" i="1"/>
  <c r="A265" i="1" s="1"/>
  <c r="A266" i="1" s="1"/>
  <c r="A267" i="1" s="1"/>
  <c r="A268" i="1" s="1"/>
  <c r="A269" i="1" s="1"/>
  <c r="A270" i="1" s="1"/>
  <c r="A246" i="1"/>
  <c r="A247" i="1" s="1"/>
  <c r="A248" i="1" s="1"/>
  <c r="A249" i="1" s="1"/>
  <c r="A250" i="1" s="1"/>
  <c r="A251" i="1" s="1"/>
  <c r="A252" i="1" s="1"/>
  <c r="A237" i="1"/>
  <c r="A238" i="1" s="1"/>
  <c r="A239" i="1" s="1"/>
  <c r="A240" i="1" s="1"/>
  <c r="A241" i="1" s="1"/>
  <c r="A242" i="1" s="1"/>
  <c r="A243" i="1" s="1"/>
  <c r="J227" i="1"/>
  <c r="A228" i="1"/>
  <c r="A229" i="1" s="1"/>
  <c r="A230" i="1" s="1"/>
  <c r="A231" i="1" s="1"/>
  <c r="A232" i="1" s="1"/>
  <c r="A233" i="1" s="1"/>
  <c r="A234" i="1" s="1"/>
  <c r="J339" i="1"/>
  <c r="A354" i="1"/>
  <c r="A355" i="1" s="1"/>
  <c r="A356" i="1" s="1"/>
  <c r="A347" i="1"/>
  <c r="A348" i="1" s="1"/>
  <c r="A349" i="1" s="1"/>
  <c r="A350" i="1" s="1"/>
  <c r="A351" i="1" s="1"/>
  <c r="A340" i="1"/>
  <c r="A341" i="1" s="1"/>
  <c r="A342" i="1" s="1"/>
  <c r="A327" i="1"/>
  <c r="A328" i="1" s="1"/>
  <c r="A329" i="1" s="1"/>
  <c r="H100" i="1"/>
  <c r="H339" i="1" l="1"/>
  <c r="G163" i="1" s="1"/>
  <c r="E163" i="1"/>
  <c r="C164" i="1"/>
  <c r="C168" i="1" s="1"/>
  <c r="H227" i="1"/>
  <c r="G164" i="1" s="1"/>
  <c r="E164" i="1"/>
  <c r="H305" i="1"/>
  <c r="G161" i="1" s="1"/>
  <c r="E161" i="1"/>
  <c r="J104" i="1"/>
  <c r="C103" i="1" s="1"/>
  <c r="J105" i="1"/>
  <c r="D112" i="1"/>
  <c r="D108" i="1"/>
  <c r="D110" i="1"/>
  <c r="J103" i="1"/>
  <c r="J102" i="1"/>
  <c r="D111" i="1"/>
  <c r="D107" i="1"/>
  <c r="D106" i="1"/>
  <c r="J99" i="1"/>
  <c r="J101" i="1" s="1"/>
  <c r="D109" i="1"/>
  <c r="D105" i="1"/>
  <c r="D103" i="1" l="1"/>
  <c r="J106" i="1"/>
  <c r="J111" i="1" s="1"/>
  <c r="E168" i="1"/>
  <c r="A313" i="1"/>
  <c r="A314" i="1" s="1"/>
  <c r="A315" i="1" s="1"/>
  <c r="A316" i="1" s="1"/>
  <c r="A317" i="1" s="1"/>
  <c r="J306" i="1"/>
  <c r="A306" i="1"/>
  <c r="A307" i="1" s="1"/>
  <c r="A308" i="1" s="1"/>
  <c r="K312" i="1" l="1"/>
  <c r="L312" i="1" s="1"/>
  <c r="L313" i="1" s="1"/>
  <c r="J112" i="1"/>
  <c r="D104" i="1"/>
  <c r="I100" i="1" s="1"/>
  <c r="I101" i="1" s="1"/>
  <c r="G103" i="1"/>
  <c r="G168" i="1"/>
  <c r="E43" i="1"/>
  <c r="J100" i="1" l="1"/>
  <c r="I99" i="1" s="1"/>
  <c r="C101" i="1" s="1"/>
  <c r="E103" i="1"/>
  <c r="F430" i="1"/>
  <c r="G169" i="1" l="1"/>
  <c r="E169" i="1"/>
  <c r="C169" i="1"/>
  <c r="E44" i="1" l="1"/>
  <c r="C15" i="1" l="1"/>
  <c r="E30" i="1" l="1"/>
  <c r="F431" i="1" l="1"/>
  <c r="F432" i="1"/>
  <c r="F433" i="1"/>
  <c r="A431" i="1"/>
  <c r="A432" i="1" s="1"/>
  <c r="A433" i="1" s="1"/>
  <c r="G430" i="1"/>
  <c r="G431" i="1" s="1"/>
  <c r="G432" i="1" s="1"/>
  <c r="G433" i="1" s="1"/>
  <c r="F154" i="1" l="1"/>
  <c r="A441" i="1"/>
  <c r="A453" i="1"/>
  <c r="A447" i="1"/>
  <c r="F457" i="1" l="1"/>
  <c r="F456" i="1"/>
  <c r="F455" i="1"/>
  <c r="F454" i="1"/>
  <c r="F453" i="1"/>
  <c r="F451" i="1"/>
  <c r="F450" i="1"/>
  <c r="F449" i="1"/>
  <c r="F448" i="1"/>
  <c r="F447" i="1"/>
  <c r="F445" i="1"/>
  <c r="F444" i="1"/>
  <c r="F443" i="1"/>
  <c r="F442" i="1"/>
  <c r="F441" i="1"/>
  <c r="F439" i="1"/>
  <c r="F438" i="1"/>
  <c r="F436" i="1"/>
  <c r="F435" i="1"/>
  <c r="F437" i="1"/>
  <c r="A454" i="1"/>
  <c r="A442" i="1"/>
  <c r="A448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482" i="1"/>
  <c r="G453" i="1"/>
  <c r="G454" i="1" s="1"/>
  <c r="G455" i="1" s="1"/>
  <c r="G456" i="1" s="1"/>
  <c r="G457" i="1" s="1"/>
  <c r="G447" i="1"/>
  <c r="G448" i="1" s="1"/>
  <c r="G449" i="1" s="1"/>
  <c r="G450" i="1" s="1"/>
  <c r="G451" i="1" s="1"/>
  <c r="G441" i="1"/>
  <c r="G442" i="1" s="1"/>
  <c r="G443" i="1" s="1"/>
  <c r="G444" i="1" s="1"/>
  <c r="G445" i="1" s="1"/>
  <c r="G435" i="1"/>
  <c r="G436" i="1" s="1"/>
  <c r="G437" i="1" s="1"/>
  <c r="G438" i="1" s="1"/>
  <c r="G439" i="1" s="1"/>
  <c r="A435" i="1"/>
  <c r="A436" i="1" s="1"/>
  <c r="A437" i="1" s="1"/>
  <c r="A438" i="1" s="1"/>
  <c r="A439" i="1" s="1"/>
  <c r="C113" i="1"/>
  <c r="D55" i="1"/>
  <c r="G50" i="1"/>
  <c r="G51" i="1" s="1"/>
  <c r="C50" i="1"/>
  <c r="E27" i="1"/>
  <c r="E25" i="1"/>
  <c r="E7" i="1"/>
  <c r="E3" i="1"/>
  <c r="A455" i="1"/>
  <c r="A443" i="1"/>
  <c r="A449" i="1"/>
  <c r="D65" i="1" l="1"/>
  <c r="A444" i="1"/>
  <c r="A450" i="1"/>
  <c r="H72" i="1"/>
  <c r="A456" i="1"/>
  <c r="H114" i="1"/>
  <c r="J118" i="1" l="1"/>
  <c r="D117" i="1" s="1"/>
  <c r="J116" i="1"/>
  <c r="J119" i="1"/>
  <c r="J113" i="1"/>
  <c r="J115" i="1" s="1"/>
  <c r="D121" i="1"/>
  <c r="D123" i="1"/>
  <c r="D126" i="1"/>
  <c r="D120" i="1"/>
  <c r="D124" i="1"/>
  <c r="D125" i="1"/>
  <c r="D122" i="1"/>
  <c r="J117" i="1"/>
  <c r="D84" i="1"/>
  <c r="D82" i="1"/>
  <c r="D81" i="1"/>
  <c r="D78" i="1"/>
  <c r="D80" i="1"/>
  <c r="J77" i="1"/>
  <c r="D83" i="1"/>
  <c r="J71" i="1"/>
  <c r="J73" i="1" s="1"/>
  <c r="D79" i="1"/>
  <c r="J75" i="1"/>
  <c r="J76" i="1"/>
  <c r="C75" i="1" s="1"/>
  <c r="J74" i="1"/>
  <c r="J121" i="1"/>
  <c r="J122" i="1" s="1"/>
  <c r="J123" i="1" s="1"/>
  <c r="J124" i="1" s="1"/>
  <c r="J79" i="1"/>
  <c r="J80" i="1" s="1"/>
  <c r="J81" i="1" s="1"/>
  <c r="J82" i="1" s="1"/>
  <c r="D119" i="1"/>
  <c r="D77" i="1"/>
  <c r="H86" i="1"/>
  <c r="A457" i="1"/>
  <c r="A445" i="1"/>
  <c r="A451" i="1"/>
  <c r="J78" i="1" l="1"/>
  <c r="J83" i="1" s="1"/>
  <c r="J84" i="1" s="1"/>
  <c r="D75" i="1"/>
  <c r="J120" i="1"/>
  <c r="J125" i="1" s="1"/>
  <c r="J126" i="1" s="1"/>
  <c r="C118" i="1" s="1"/>
  <c r="E117" i="1" s="1"/>
  <c r="J91" i="1"/>
  <c r="J92" i="1" s="1"/>
  <c r="J97" i="1" s="1"/>
  <c r="J89" i="1"/>
  <c r="J88" i="1"/>
  <c r="D97" i="1"/>
  <c r="D95" i="1"/>
  <c r="D93" i="1"/>
  <c r="D91" i="1"/>
  <c r="J90" i="1"/>
  <c r="C89" i="1" s="1"/>
  <c r="D98" i="1"/>
  <c r="D96" i="1"/>
  <c r="D94" i="1"/>
  <c r="D92" i="1"/>
  <c r="J85" i="1"/>
  <c r="J87" i="1" s="1"/>
  <c r="G75" i="1" l="1"/>
  <c r="J98" i="1"/>
  <c r="C90" i="1" s="1"/>
  <c r="E89" i="1" s="1"/>
  <c r="J114" i="1"/>
  <c r="D89" i="1"/>
  <c r="J72" i="1"/>
  <c r="D76" i="1"/>
  <c r="E75" i="1"/>
  <c r="G117" i="1"/>
  <c r="D118" i="1"/>
  <c r="I114" i="1" s="1"/>
  <c r="I72" i="1" l="1"/>
  <c r="I73" i="1" s="1"/>
  <c r="G89" i="1"/>
  <c r="D69" i="1" s="1"/>
  <c r="D70" i="1" s="1"/>
  <c r="J86" i="1"/>
  <c r="D90" i="1"/>
  <c r="I86" i="1" s="1"/>
  <c r="I115" i="1"/>
  <c r="I113" i="1" s="1"/>
  <c r="C115" i="1" s="1"/>
  <c r="H128" i="1"/>
  <c r="D136" i="1" l="1"/>
  <c r="J133" i="1"/>
  <c r="J134" i="1" s="1"/>
  <c r="J139" i="1" s="1"/>
  <c r="J140" i="1" s="1"/>
  <c r="D131" i="1"/>
  <c r="J127" i="1"/>
  <c r="J129" i="1" s="1"/>
  <c r="J131" i="1"/>
  <c r="D137" i="1"/>
  <c r="D134" i="1"/>
  <c r="D140" i="1"/>
  <c r="D133" i="1"/>
  <c r="J130" i="1"/>
  <c r="D138" i="1"/>
  <c r="D139" i="1"/>
  <c r="J132" i="1"/>
  <c r="D135" i="1"/>
  <c r="I71" i="1"/>
  <c r="C73" i="1" s="1"/>
  <c r="F70" i="1"/>
  <c r="I87" i="1"/>
  <c r="I85" i="1" s="1"/>
  <c r="C87" i="1" s="1"/>
  <c r="E131" i="1" l="1"/>
  <c r="J128" i="1"/>
  <c r="D132" i="1"/>
  <c r="I128" i="1" s="1"/>
  <c r="I129" i="1" s="1"/>
  <c r="G131" i="1"/>
  <c r="I127" i="1" l="1"/>
  <c r="C12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Sachin</author>
    <author>SACHIN</author>
  </authors>
  <commentList>
    <comment ref="E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  <comment ref="H196" authorId="1" shapeId="0" xr:uid="{F3BCC74C-CB36-459B-A27D-2DAA53424E36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Give loading of 50% for A Category</t>
        </r>
      </text>
    </comment>
  </commentList>
</comments>
</file>

<file path=xl/sharedStrings.xml><?xml version="1.0" encoding="utf-8"?>
<sst xmlns="http://schemas.openxmlformats.org/spreadsheetml/2006/main" count="601" uniqueCount="298">
  <si>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</si>
  <si>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</si>
  <si>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</si>
  <si>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</si>
  <si>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</si>
  <si>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</si>
  <si>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</si>
  <si>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</si>
  <si>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</si>
  <si>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</si>
  <si>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</si>
  <si>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</si>
  <si>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</si>
  <si>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</si>
  <si>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</si>
  <si>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</si>
  <si>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</si>
  <si>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</si>
  <si>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</si>
  <si>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</si>
  <si>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</si>
  <si>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</si>
  <si>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</si>
  <si>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</si>
  <si>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</si>
  <si>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</si>
  <si>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</si>
  <si>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</si>
  <si>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</si>
  <si>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</si>
  <si>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</si>
  <si>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</si>
  <si>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</si>
  <si>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</si>
  <si>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</si>
  <si>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</si>
  <si>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</si>
  <si>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</si>
  <si>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</si>
  <si>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</si>
  <si>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</si>
  <si>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</si>
  <si>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</si>
  <si>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</si>
  <si>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</si>
  <si>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</si>
  <si>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</si>
  <si>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</si>
  <si>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</si>
  <si>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</si>
  <si>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</si>
  <si>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</si>
  <si>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</si>
  <si>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</si>
  <si>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</si>
  <si>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</si>
  <si>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</si>
  <si>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</si>
  <si>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</si>
  <si>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</si>
  <si>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</si>
  <si>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</si>
  <si>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</si>
  <si>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</si>
  <si>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</si>
  <si>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</si>
  <si>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</si>
  <si>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</si>
  <si>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</si>
  <si>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</si>
  <si>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</si>
  <si>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</si>
  <si>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</si>
  <si>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</si>
  <si>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</si>
  <si>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</si>
  <si>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</si>
  <si>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</si>
  <si>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</si>
  <si>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</si>
  <si>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</si>
  <si>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</si>
  <si>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</si>
  <si>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</si>
  <si>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</si>
  <si>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</si>
  <si>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</si>
  <si>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</si>
  <si>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</si>
  <si>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</si>
  <si>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</si>
  <si>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</si>
  <si>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</si>
  <si>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</si>
  <si>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</si>
  <si>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</si>
  <si>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</si>
  <si>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</si>
  <si>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</si>
  <si>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</si>
  <si>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</si>
  <si>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</si>
  <si>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</si>
  <si>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</si>
  <si>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</si>
  <si>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</si>
  <si>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</si>
  <si>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</si>
  <si>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</si>
  <si>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</si>
  <si>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</si>
  <si>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</si>
  <si>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</si>
  <si>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</si>
  <si>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</si>
  <si>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</si>
  <si>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</si>
  <si>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</si>
  <si>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</si>
  <si>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</si>
  <si>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</si>
  <si>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2nd Floor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</si>
  <si>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</si>
  <si>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</si>
  <si>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</si>
  <si>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</si>
  <si>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</si>
  <si>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</si>
  <si>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</si>
  <si>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</si>
  <si>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</si>
  <si>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</si>
  <si>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</si>
  <si>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</si>
  <si>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</si>
  <si>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</si>
  <si>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</si>
  <si>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</si>
  <si>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</si>
  <si>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</si>
  <si>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</si>
  <si>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</si>
  <si>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</si>
  <si>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</si>
  <si>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</si>
  <si>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</si>
  <si>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</si>
  <si>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</si>
  <si>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</si>
  <si>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</si>
  <si>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 xml:space="preserve">Violations Observed if any : </t>
  </si>
  <si>
    <t>Saleable area Loading :</t>
  </si>
  <si>
    <t>3rd, 5th, 7th, 9th, 11th, 13th, 15th Floor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</si>
  <si>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</si>
  <si>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</si>
  <si>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</si>
  <si>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</si>
  <si>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</si>
  <si>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</si>
  <si>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</si>
  <si>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</si>
  <si>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</si>
  <si>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</si>
  <si>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</si>
  <si>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</si>
  <si>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</si>
  <si>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</si>
  <si>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</si>
  <si>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</si>
  <si>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Latitude, Longitude</t>
  </si>
  <si>
    <t>Grand Total</t>
  </si>
  <si>
    <t>Provided Contact Details (Name &amp; Contact No.)</t>
  </si>
  <si>
    <t>Site Person - Contact Details (Name &amp; Contact No.)</t>
  </si>
  <si>
    <t>Axis Goregaon</t>
  </si>
  <si>
    <t>Name / No of the Existing Building</t>
  </si>
  <si>
    <t>As per Layout</t>
  </si>
  <si>
    <t xml:space="preserve">Details of Residential &amp; Commercials in Building   </t>
  </si>
  <si>
    <t>Floor Rise Rate from    Floor</t>
  </si>
  <si>
    <t>BKS Galaxy Realtors LLP</t>
  </si>
  <si>
    <t>Rajesh Pangul 8422061676</t>
  </si>
  <si>
    <t>Approved Plans, CC, Sale Plans</t>
  </si>
  <si>
    <t>Gut No.</t>
  </si>
  <si>
    <t>51(2) 56 and 57(2)</t>
  </si>
  <si>
    <t>Thane</t>
  </si>
  <si>
    <t>Digha</t>
  </si>
  <si>
    <t>Thane Belapur Road</t>
  </si>
  <si>
    <t>Krishna Business Park Airoli</t>
  </si>
  <si>
    <t>Slums</t>
  </si>
  <si>
    <t>Central Road</t>
  </si>
  <si>
    <t>Open Plot</t>
  </si>
  <si>
    <t>3.1 KM from Airoli Railway Station</t>
  </si>
  <si>
    <t>Other Plot</t>
  </si>
  <si>
    <t>Navi Mumbai Municipal Corporation</t>
  </si>
  <si>
    <t>NRV/A-17163</t>
  </si>
  <si>
    <t>NMMC/TPO/BP/17163/2023</t>
  </si>
  <si>
    <t>Gymmnasium, Yoga Room, Kids Play Area, Terrace Garden, Banquet Hall, Sit Out Area, EV charging Point</t>
  </si>
  <si>
    <t>Wing C</t>
  </si>
  <si>
    <t>Upper Stilt Level Floor For Parking &amp; Meter Room</t>
  </si>
  <si>
    <t>1st Floor For Parking</t>
  </si>
  <si>
    <t>2nd, 3rd &amp; 4th Floor For Parking</t>
  </si>
  <si>
    <t>5th Floor For Fitness Center, Society Office, Creche &amp; Drivers Room</t>
  </si>
  <si>
    <t>6th Floor For Residential (Part Refuge Area)</t>
  </si>
  <si>
    <t>5A</t>
  </si>
  <si>
    <t>Refuge Area</t>
  </si>
  <si>
    <t>3.5BHK</t>
  </si>
  <si>
    <t>10th, 15th, 20th, 25th, 30th &amp; 35th Floor (Part Refuge Area)</t>
  </si>
  <si>
    <t>Wing E</t>
  </si>
  <si>
    <t>Lower Stilt Level Floor For Parking &amp; Meter Room</t>
  </si>
  <si>
    <t>Upper Stilt Level Floor For Parking &amp; Natural Terrace</t>
  </si>
  <si>
    <t>4th Floor For Parking</t>
  </si>
  <si>
    <t>1st, 2nd &amp; 3rd Floor For Parking</t>
  </si>
  <si>
    <t>Wing F</t>
  </si>
  <si>
    <t>Double Height Entrance Lobby</t>
  </si>
  <si>
    <t>Upper Stilt Level Floor For Residential</t>
  </si>
  <si>
    <t>1st, 2nd &amp; 3rd Floor For Part Residential</t>
  </si>
  <si>
    <t>4th Floor For Part Residential</t>
  </si>
  <si>
    <t>Fitness Center, Society Office, Creche &amp; Drivers Room</t>
  </si>
  <si>
    <t>5th Floor For Part Residential &amp; Amenity Area</t>
  </si>
  <si>
    <t>7th to 9th, 11th to 14th, 16th to 19th, 21st to 24th, 26th to 29th, 
31st to 34th &amp; 36th to 38th Floor For Residential</t>
  </si>
  <si>
    <t>7th to 9th, 11th to 14th, 16th to 19th, 21st to 24th &amp; 26th Floor</t>
  </si>
  <si>
    <t>10th, 15th, 20th &amp; 25th Floor (Part Refuge Area)</t>
  </si>
  <si>
    <t>27th Floor (Part Refuge Area)</t>
  </si>
  <si>
    <t>Terrace Area</t>
  </si>
  <si>
    <t>Wing D</t>
  </si>
  <si>
    <t>We considered Gross carpet area = Net carpet + W Area.</t>
  </si>
  <si>
    <t>Wing E is same Wing B</t>
  </si>
  <si>
    <t>Office No. 1031, Wing J, Akshar Business Park, Plot No. 03 Sector 25, Near APMC Market,
Vashi, Navi Mumbai, Maharashtra 400703 TEL: 022-46090378/79/80                                                                       
E mail : vsjcapf@gmail.com. Web site : www.vsjadon.com</t>
  </si>
  <si>
    <t>11500 to 12000</t>
  </si>
  <si>
    <t>Nikhil</t>
  </si>
  <si>
    <t>don’t raise the rates befor completion of RCC</t>
  </si>
  <si>
    <t>12000 to 12700</t>
  </si>
  <si>
    <t xml:space="preserve">Smith </t>
  </si>
  <si>
    <t>21st Floor</t>
  </si>
  <si>
    <t>7th to 9th, 11th to 14th, 16th to 19th, 22nd to 24th, 26th to 29th, 
31st to 34th &amp; 36th to 38th Floor For Residential</t>
  </si>
  <si>
    <t>Recommended Rates/Other Charges of the Property have been revised on 21/02/2024 &amp; 28/08/2024.</t>
  </si>
  <si>
    <t>28/08/2024 (Sale area change Flat No. Wing C 2101)</t>
  </si>
  <si>
    <t>Mr. Raj : 8928974011</t>
  </si>
  <si>
    <t>Gangaram Lambore</t>
  </si>
  <si>
    <t>Maplewoods Phase I, II &amp; III</t>
  </si>
  <si>
    <t>Phase I - P51700050973
Phase II - P51700051868
Phase III -  P51700080212</t>
  </si>
  <si>
    <t>06 Buildings</t>
  </si>
  <si>
    <t>Building A &amp; B = LG +UG + 1st to 38th Floor.</t>
  </si>
  <si>
    <t>Building A 
(Wing A1 + A2)</t>
  </si>
  <si>
    <r>
      <rPr>
        <b/>
        <sz val="12"/>
        <rFont val="Times New Roman"/>
        <family val="1"/>
      </rPr>
      <t>Phase III</t>
    </r>
    <r>
      <rPr>
        <sz val="12"/>
        <rFont val="Times New Roman"/>
        <family val="1"/>
      </rPr>
      <t xml:space="preserve">
Building A &amp; B = LG +UG + 1st to 38th Floor.</t>
    </r>
  </si>
  <si>
    <t>As per RERA - Phase I = 31/12/2028
                         Phase II = 31/12/2029
                         Phase III = 31/12/2030</t>
  </si>
  <si>
    <r>
      <rPr>
        <b/>
        <sz val="12"/>
        <rFont val="Times New Roman"/>
        <family val="1"/>
      </rPr>
      <t xml:space="preserve">Phase I </t>
    </r>
    <r>
      <rPr>
        <sz val="12"/>
        <rFont val="Times New Roman"/>
        <family val="1"/>
      </rPr>
      <t xml:space="preserve">
Building D = Upper Stilt + 1st to 38th Floor 
Building F = Lower Stilt + Upper Stilt + 1st to 27th Floor</t>
    </r>
  </si>
  <si>
    <r>
      <rPr>
        <b/>
        <sz val="12"/>
        <rFont val="Times New Roman"/>
        <family val="1"/>
      </rPr>
      <t xml:space="preserve">Phase II </t>
    </r>
    <r>
      <rPr>
        <sz val="12"/>
        <rFont val="Times New Roman"/>
        <family val="1"/>
      </rPr>
      <t xml:space="preserve">
Building C = Upper Stilt + 1st to 38th Floor 
Building E = Lower Stilt + Upper Stilt + 1st to 38th Floor</t>
    </r>
  </si>
  <si>
    <t xml:space="preserve">Building C &amp; D = Upper Stilt + 1st to 38th Floor </t>
  </si>
  <si>
    <t>Building E = Lower Stilt + Upper Stilt + 1st to 38th Floor</t>
  </si>
  <si>
    <t>Building F = Lower Stilt + Upper Stilt + 1st to 38th Floor</t>
  </si>
  <si>
    <r>
      <t xml:space="preserve">Total BUA = 108748.18 Sq. M.
Residential Unit - 1284 Nos, Commercial Shop - 17 Nos &amp; EWS/LIG Building (MHADA) Residential Unit - 112 Nos.
</t>
    </r>
    <r>
      <rPr>
        <b/>
        <sz val="12"/>
        <color rgb="FF000000"/>
        <rFont val="Times New Roman"/>
        <family val="1"/>
      </rPr>
      <t xml:space="preserve">Building C &amp; D </t>
    </r>
    <r>
      <rPr>
        <sz val="12"/>
        <color indexed="8"/>
        <rFont val="Times New Roman"/>
        <family val="1"/>
      </rPr>
      <t xml:space="preserve"> = Upper Stilt + 1st to 38th Floor 
</t>
    </r>
    <r>
      <rPr>
        <b/>
        <sz val="12"/>
        <color rgb="FF000000"/>
        <rFont val="Times New Roman"/>
        <family val="1"/>
      </rPr>
      <t xml:space="preserve">Building E </t>
    </r>
    <r>
      <rPr>
        <sz val="12"/>
        <color indexed="8"/>
        <rFont val="Times New Roman"/>
        <family val="1"/>
      </rPr>
      <t xml:space="preserve">= Lower Stilt + Upper Stilt + 1st to 38th Floor
</t>
    </r>
    <r>
      <rPr>
        <b/>
        <sz val="12"/>
        <color rgb="FF000000"/>
        <rFont val="Times New Roman"/>
        <family val="1"/>
      </rPr>
      <t xml:space="preserve">Building F </t>
    </r>
    <r>
      <rPr>
        <sz val="12"/>
        <color indexed="8"/>
        <rFont val="Times New Roman"/>
        <family val="1"/>
      </rPr>
      <t xml:space="preserve">= Lower Stilt + Upper Stilt + 1st to 27th Floor
</t>
    </r>
    <r>
      <rPr>
        <b/>
        <sz val="12"/>
        <color rgb="FF000000"/>
        <rFont val="Times New Roman"/>
        <family val="1"/>
      </rPr>
      <t>Building A &amp; B</t>
    </r>
    <r>
      <rPr>
        <sz val="12"/>
        <color indexed="8"/>
        <rFont val="Times New Roman"/>
        <family val="1"/>
      </rPr>
      <t xml:space="preserve"> = LG +UG + 1st to 38th Floor.</t>
    </r>
  </si>
  <si>
    <t xml:space="preserve">Building C = Upper Stilt + 1st to 38th Floor </t>
  </si>
  <si>
    <t xml:space="preserve">Building D = Upper Stilt + 1st to 38th Floor </t>
  </si>
  <si>
    <t>Building C</t>
  </si>
  <si>
    <t>Building D</t>
  </si>
  <si>
    <t>Building E</t>
  </si>
  <si>
    <t>Building F</t>
  </si>
  <si>
    <t>Building A</t>
  </si>
  <si>
    <t>Wing A1</t>
  </si>
  <si>
    <t>Wing A2</t>
  </si>
  <si>
    <t>Building B</t>
  </si>
  <si>
    <t>Shop No. (Sale Plan)</t>
  </si>
  <si>
    <t>Carpet area</t>
  </si>
  <si>
    <t>Flat No. (Sale Plan)</t>
  </si>
  <si>
    <t>Carpet Area</t>
  </si>
  <si>
    <t>Fungible area</t>
  </si>
  <si>
    <r>
      <t xml:space="preserve">Shop No.
</t>
    </r>
    <r>
      <rPr>
        <b/>
        <sz val="11"/>
        <rFont val="Times New Roman"/>
        <family val="1"/>
      </rPr>
      <t>(Approved Plan)</t>
    </r>
  </si>
  <si>
    <r>
      <t xml:space="preserve">Flat No.
</t>
    </r>
    <r>
      <rPr>
        <b/>
        <sz val="11"/>
        <rFont val="Times New Roman"/>
        <family val="1"/>
      </rPr>
      <t>(Approved Plan)</t>
    </r>
  </si>
  <si>
    <t>Phase I</t>
  </si>
  <si>
    <t>Phase II</t>
  </si>
  <si>
    <t>Phase III</t>
  </si>
  <si>
    <t>Wing A1 + A2</t>
  </si>
  <si>
    <t>Lower Ground Floor For Commercial, Parking, Entrance Lobby, Meter Room &amp; OWC Room</t>
  </si>
  <si>
    <t>Shop</t>
  </si>
  <si>
    <t>Building A (Wing A1)</t>
  </si>
  <si>
    <t>Upper Ground Floor For Parking &amp; Natural Terrace</t>
  </si>
  <si>
    <t>1st to 4th Floor as Podium Parking</t>
  </si>
  <si>
    <t>5th Floor For Natural Terrace, Parking, Fitness Center, Society Office &amp; Drivers Room</t>
  </si>
  <si>
    <t>3BHK</t>
  </si>
  <si>
    <t>-</t>
  </si>
  <si>
    <t>7th to 9th, 11th to 14th, 16th to 19th, 21st to 24th, 26th to 29th, 31st to 34th &amp; 36th to 38th Floor</t>
  </si>
  <si>
    <t>2BHK</t>
  </si>
  <si>
    <t>10th, 15th, 20th, 25th, 30th &amp; 35th Floor For Residential (Part Refuge Area)</t>
  </si>
  <si>
    <t>Building A (Wing A2)</t>
  </si>
  <si>
    <t>Building A (Wing A1+A2)</t>
  </si>
  <si>
    <t>Lower Ground Floor For Parking, Entrance Lobby, Meter Room &amp; OWC Room</t>
  </si>
  <si>
    <t>1st to 4th Floor For Parking</t>
  </si>
  <si>
    <t>5th Floor as Podium Parking, Fitness Center &amp; Drivers Room</t>
  </si>
  <si>
    <t>7th to 9th, 11th to 14th, 16th to 19th, 21st to 24th, 
26th to 29th, 31st to 34th &amp; 36th to 38th Floor</t>
  </si>
  <si>
    <t>Flats - 1284, Shops - 17</t>
  </si>
  <si>
    <t>Kunal Kadam</t>
  </si>
  <si>
    <t>s</t>
  </si>
  <si>
    <t>19.182147,72.997177</t>
  </si>
  <si>
    <t>https://maps.app.goo.gl/e9rxCv5jgqVduTY5A</t>
  </si>
  <si>
    <t xml:space="preserve">Building C to F = Construction work is in process at the time of Visit. (Internal visit was not allowed).
Building A &amp; B = Work not started.
</t>
  </si>
  <si>
    <t>Project Consist of Building A to F &amp; Mhada Building, but only Wing A to F was registered on RERA, therefore we have drafted report for Wing A to F.</t>
  </si>
  <si>
    <t>We have added Phase III Building A &amp; B (on 23/09/2025).</t>
  </si>
  <si>
    <t>Phase I - Building D &amp; F
Phase II - Building C &amp; E
Phase III - Building A &amp;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</si>
</sst>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0000"/>
      <name val="Times New Roman"/>
      <family val="1"/>
    </font>
    <font>
      <b/>
      <sz val="1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4" fillId="0" borderId="0"/>
    <xf numFmtId="0" fontId="2" fillId="0" borderId="0"/>
    <xf numFmtId="0" fontId="4" fillId="0" borderId="0"/>
    <xf numFmtId="0" fontId="1" fillId="0" borderId="0"/>
    <xf numFmtId="165" fontId="4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263">
    <xf numFmtId="0" fontId="0" fillId="0" borderId="0" xfId="0"/>
    <xf numFmtId="0" fontId="4" fillId="0" borderId="0" xfId="4"/>
    <xf numFmtId="0" fontId="1" fillId="0" borderId="0" xfId="5"/>
    <xf numFmtId="0" fontId="8" fillId="0" borderId="1" xfId="5" applyFont="1" applyBorder="1" applyAlignment="1">
      <alignment horizontal="center" vertical="top" wrapText="1"/>
    </xf>
    <xf numFmtId="0" fontId="18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8" fillId="0" borderId="1" xfId="5" applyFont="1" applyBorder="1" applyAlignment="1">
      <alignment horizontal="center" vertical="center"/>
    </xf>
    <xf numFmtId="1" fontId="17" fillId="0" borderId="1" xfId="5" applyNumberFormat="1" applyFont="1" applyBorder="1" applyAlignment="1">
      <alignment horizontal="center" vertical="center"/>
    </xf>
    <xf numFmtId="0" fontId="4" fillId="0" borderId="1" xfId="4" applyBorder="1" applyAlignment="1">
      <alignment horizontal="center" vertical="center"/>
    </xf>
    <xf numFmtId="0" fontId="16" fillId="0" borderId="0" xfId="0" applyFont="1" applyProtection="1">
      <protection hidden="1"/>
    </xf>
    <xf numFmtId="0" fontId="16" fillId="0" borderId="11" xfId="0" applyFont="1" applyBorder="1" applyProtection="1">
      <protection hidden="1"/>
    </xf>
    <xf numFmtId="0" fontId="11" fillId="0" borderId="4" xfId="1" applyFont="1" applyBorder="1" applyAlignment="1" applyProtection="1">
      <alignment horizontal="center" vertical="top"/>
      <protection locked="0"/>
    </xf>
    <xf numFmtId="0" fontId="11" fillId="0" borderId="5" xfId="1" applyFont="1" applyBorder="1" applyAlignment="1" applyProtection="1">
      <alignment horizontal="center" vertical="top"/>
      <protection locked="0"/>
    </xf>
    <xf numFmtId="0" fontId="5" fillId="0" borderId="1" xfId="1" applyFont="1" applyBorder="1" applyAlignment="1" applyProtection="1">
      <alignment vertical="top" wrapText="1"/>
      <protection locked="0"/>
    </xf>
    <xf numFmtId="9" fontId="6" fillId="0" borderId="1" xfId="8" applyFont="1" applyFill="1" applyBorder="1" applyAlignment="1" applyProtection="1">
      <alignment horizontal="center" vertical="top" wrapText="1"/>
      <protection locked="0"/>
    </xf>
    <xf numFmtId="9" fontId="6" fillId="0" borderId="7" xfId="8" applyFont="1" applyFill="1" applyBorder="1" applyAlignment="1" applyProtection="1">
      <alignment horizontal="center" vertical="top" wrapText="1"/>
      <protection locked="0"/>
    </xf>
    <xf numFmtId="0" fontId="6" fillId="0" borderId="0" xfId="1" applyFont="1"/>
    <xf numFmtId="0" fontId="14" fillId="0" borderId="0" xfId="1" applyFont="1"/>
    <xf numFmtId="0" fontId="11" fillId="0" borderId="0" xfId="1" applyFont="1"/>
    <xf numFmtId="1" fontId="6" fillId="0" borderId="0" xfId="1" applyNumberFormat="1" applyFont="1"/>
    <xf numFmtId="14" fontId="6" fillId="0" borderId="0" xfId="1" applyNumberFormat="1" applyFont="1"/>
    <xf numFmtId="0" fontId="6" fillId="0" borderId="0" xfId="1" applyFont="1" applyProtection="1">
      <protection hidden="1"/>
    </xf>
    <xf numFmtId="0" fontId="21" fillId="0" borderId="0" xfId="1" applyFont="1"/>
    <xf numFmtId="0" fontId="6" fillId="0" borderId="10" xfId="1" applyFont="1" applyBorder="1"/>
    <xf numFmtId="0" fontId="16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5" fillId="0" borderId="0" xfId="1" applyFont="1"/>
    <xf numFmtId="0" fontId="5" fillId="0" borderId="0" xfId="2" applyFont="1"/>
    <xf numFmtId="0" fontId="6" fillId="0" borderId="0" xfId="0" applyFont="1" applyAlignment="1">
      <alignment horizontal="center" vertical="center"/>
    </xf>
    <xf numFmtId="1" fontId="6" fillId="0" borderId="0" xfId="1" applyNumberFormat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7" fillId="0" borderId="0" xfId="1" applyFont="1" applyAlignment="1" applyProtection="1">
      <alignment vertical="top"/>
      <protection locked="0"/>
    </xf>
    <xf numFmtId="0" fontId="7" fillId="0" borderId="0" xfId="1" applyFont="1" applyAlignment="1" applyProtection="1">
      <alignment vertical="top" wrapText="1"/>
      <protection locked="0"/>
    </xf>
    <xf numFmtId="0" fontId="6" fillId="0" borderId="0" xfId="1" applyFont="1" applyProtection="1">
      <protection locked="0"/>
    </xf>
    <xf numFmtId="0" fontId="9" fillId="0" borderId="0" xfId="1" applyFont="1" applyProtection="1">
      <protection locked="0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center" vertical="top" wrapText="1"/>
      <protection locked="0"/>
    </xf>
    <xf numFmtId="0" fontId="6" fillId="0" borderId="7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22" fillId="2" borderId="30" xfId="0" applyFont="1" applyFill="1" applyBorder="1"/>
    <xf numFmtId="0" fontId="23" fillId="0" borderId="31" xfId="0" applyFont="1" applyBorder="1"/>
    <xf numFmtId="0" fontId="23" fillId="0" borderId="1" xfId="0" applyFont="1" applyBorder="1"/>
    <xf numFmtId="0" fontId="23" fillId="0" borderId="5" xfId="0" applyFont="1" applyBorder="1"/>
    <xf numFmtId="0" fontId="11" fillId="0" borderId="1" xfId="1" applyFont="1" applyBorder="1" applyAlignment="1" applyProtection="1">
      <alignment horizontal="center" vertical="top"/>
      <protection locked="0"/>
    </xf>
    <xf numFmtId="1" fontId="6" fillId="0" borderId="1" xfId="1" applyNumberFormat="1" applyFont="1" applyBorder="1" applyAlignment="1" applyProtection="1">
      <alignment horizontal="center" vertical="top" wrapText="1"/>
      <protection locked="0"/>
    </xf>
    <xf numFmtId="1" fontId="11" fillId="0" borderId="1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>
      <alignment horizontal="center" vertical="center"/>
    </xf>
    <xf numFmtId="168" fontId="5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>
      <alignment horizontal="center" vertical="center"/>
    </xf>
    <xf numFmtId="0" fontId="6" fillId="2" borderId="0" xfId="1" applyFont="1" applyFill="1"/>
    <xf numFmtId="14" fontId="6" fillId="2" borderId="0" xfId="1" applyNumberFormat="1" applyFont="1" applyFill="1"/>
    <xf numFmtId="14" fontId="6" fillId="0" borderId="0" xfId="1" applyNumberFormat="1" applyFont="1" applyAlignment="1">
      <alignment horizontal="left"/>
    </xf>
    <xf numFmtId="0" fontId="22" fillId="2" borderId="15" xfId="0" applyFont="1" applyFill="1" applyBorder="1"/>
    <xf numFmtId="0" fontId="23" fillId="0" borderId="9" xfId="0" applyFont="1" applyBorder="1"/>
    <xf numFmtId="1" fontId="7" fillId="0" borderId="8" xfId="1" applyNumberFormat="1" applyFont="1" applyBorder="1" applyAlignment="1" applyProtection="1">
      <alignment horizontal="center" vertical="center" wrapText="1"/>
      <protection locked="0"/>
    </xf>
    <xf numFmtId="1" fontId="7" fillId="0" borderId="21" xfId="1" applyNumberFormat="1" applyFont="1" applyBorder="1" applyAlignment="1" applyProtection="1">
      <alignment horizontal="center" vertical="center" wrapText="1"/>
      <protection locked="0"/>
    </xf>
    <xf numFmtId="1" fontId="7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3" xfId="0" applyNumberFormat="1" applyFont="1" applyBorder="1" applyAlignment="1" applyProtection="1">
      <alignment horizontal="center" vertical="top" wrapText="1"/>
      <protection locked="0"/>
    </xf>
    <xf numFmtId="0" fontId="11" fillId="0" borderId="3" xfId="1" applyFont="1" applyBorder="1" applyAlignment="1" applyProtection="1">
      <alignment horizontal="left" vertical="top" wrapText="1"/>
      <protection locked="0"/>
    </xf>
    <xf numFmtId="0" fontId="11" fillId="0" borderId="3" xfId="1" applyFont="1" applyBorder="1" applyAlignment="1" applyProtection="1">
      <alignment horizontal="left" vertical="top"/>
      <protection locked="0"/>
    </xf>
    <xf numFmtId="0" fontId="11" fillId="0" borderId="17" xfId="1" applyFont="1" applyBorder="1" applyAlignment="1" applyProtection="1">
      <alignment horizontal="left" vertical="top" wrapText="1"/>
      <protection locked="0"/>
    </xf>
    <xf numFmtId="0" fontId="11" fillId="0" borderId="24" xfId="1" applyFont="1" applyBorder="1" applyAlignment="1" applyProtection="1">
      <alignment horizontal="left" vertical="top" wrapText="1"/>
      <protection locked="0"/>
    </xf>
    <xf numFmtId="0" fontId="11" fillId="0" borderId="18" xfId="1" applyFont="1" applyBorder="1" applyAlignment="1" applyProtection="1">
      <alignment horizontal="left" vertical="top" wrapText="1"/>
      <protection locked="0"/>
    </xf>
    <xf numFmtId="0" fontId="11" fillId="0" borderId="25" xfId="1" applyFont="1" applyBorder="1" applyAlignment="1" applyProtection="1">
      <alignment horizontal="left" vertical="top" wrapText="1"/>
      <protection locked="0"/>
    </xf>
    <xf numFmtId="0" fontId="11" fillId="0" borderId="0" xfId="1" applyFont="1" applyAlignment="1" applyProtection="1">
      <alignment horizontal="left" vertical="top" wrapText="1"/>
      <protection locked="0"/>
    </xf>
    <xf numFmtId="0" fontId="11" fillId="0" borderId="26" xfId="1" applyFont="1" applyBorder="1" applyAlignment="1" applyProtection="1">
      <alignment horizontal="left" vertical="top" wrapText="1"/>
      <protection locked="0"/>
    </xf>
    <xf numFmtId="0" fontId="11" fillId="0" borderId="19" xfId="1" applyFont="1" applyBorder="1" applyAlignment="1" applyProtection="1">
      <alignment horizontal="left" vertical="top" wrapText="1"/>
      <protection locked="0"/>
    </xf>
    <xf numFmtId="0" fontId="11" fillId="0" borderId="2" xfId="1" applyFont="1" applyBorder="1" applyAlignment="1" applyProtection="1">
      <alignment horizontal="left" vertical="top" wrapText="1"/>
      <protection locked="0"/>
    </xf>
    <xf numFmtId="0" fontId="11" fillId="0" borderId="20" xfId="1" applyFont="1" applyBorder="1" applyAlignment="1" applyProtection="1">
      <alignment horizontal="left" vertical="top" wrapText="1"/>
      <protection locked="0"/>
    </xf>
    <xf numFmtId="1" fontId="5" fillId="0" borderId="39" xfId="0" applyNumberFormat="1" applyFont="1" applyBorder="1" applyAlignment="1" applyProtection="1">
      <alignment horizontal="center" vertical="center" wrapText="1"/>
      <protection locked="0"/>
    </xf>
    <xf numFmtId="1" fontId="5" fillId="0" borderId="40" xfId="0" applyNumberFormat="1" applyFont="1" applyBorder="1" applyAlignment="1" applyProtection="1">
      <alignment horizontal="center" vertical="center" wrapText="1"/>
      <protection locked="0"/>
    </xf>
    <xf numFmtId="0" fontId="6" fillId="0" borderId="4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center" vertical="top" wrapText="1"/>
      <protection locked="0"/>
    </xf>
    <xf numFmtId="9" fontId="6" fillId="0" borderId="17" xfId="8" applyFont="1" applyFill="1" applyBorder="1" applyAlignment="1" applyProtection="1">
      <alignment horizontal="center" vertical="center" wrapText="1"/>
      <protection locked="0"/>
    </xf>
    <xf numFmtId="9" fontId="6" fillId="0" borderId="18" xfId="8" applyFont="1" applyFill="1" applyBorder="1" applyAlignment="1" applyProtection="1">
      <alignment horizontal="center" vertical="center" wrapText="1"/>
      <protection locked="0"/>
    </xf>
    <xf numFmtId="9" fontId="6" fillId="0" borderId="25" xfId="8" applyFont="1" applyFill="1" applyBorder="1" applyAlignment="1" applyProtection="1">
      <alignment horizontal="center" vertical="center" wrapText="1"/>
      <protection locked="0"/>
    </xf>
    <xf numFmtId="9" fontId="6" fillId="0" borderId="26" xfId="8" applyFont="1" applyFill="1" applyBorder="1" applyAlignment="1" applyProtection="1">
      <alignment horizontal="center" vertical="center" wrapText="1"/>
      <protection locked="0"/>
    </xf>
    <xf numFmtId="9" fontId="6" fillId="0" borderId="28" xfId="8" applyFont="1" applyFill="1" applyBorder="1" applyAlignment="1" applyProtection="1">
      <alignment horizontal="center" vertical="center" wrapText="1"/>
      <protection locked="0"/>
    </xf>
    <xf numFmtId="9" fontId="6" fillId="0" borderId="29" xfId="8" applyFont="1" applyFill="1" applyBorder="1" applyAlignment="1" applyProtection="1">
      <alignment horizontal="center" vertical="center" wrapText="1"/>
      <protection locked="0"/>
    </xf>
    <xf numFmtId="9" fontId="6" fillId="0" borderId="27" xfId="8" applyFont="1" applyFill="1" applyBorder="1" applyAlignment="1" applyProtection="1">
      <alignment horizontal="center" vertical="center" wrapText="1"/>
      <protection locked="0"/>
    </xf>
    <xf numFmtId="9" fontId="6" fillId="0" borderId="10" xfId="8" applyFont="1" applyFill="1" applyBorder="1" applyAlignment="1" applyProtection="1">
      <alignment horizontal="center" vertical="center" wrapText="1"/>
      <protection locked="0"/>
    </xf>
    <xf numFmtId="9" fontId="6" fillId="0" borderId="12" xfId="8" applyFont="1" applyFill="1" applyBorder="1" applyAlignment="1" applyProtection="1">
      <alignment horizontal="center" vertical="center" wrapText="1"/>
      <protection locked="0"/>
    </xf>
    <xf numFmtId="0" fontId="6" fillId="0" borderId="6" xfId="1" applyFont="1" applyBorder="1" applyAlignment="1" applyProtection="1">
      <alignment horizontal="center" vertical="top" wrapText="1"/>
      <protection locked="0"/>
    </xf>
    <xf numFmtId="0" fontId="6" fillId="0" borderId="7" xfId="1" applyFont="1" applyBorder="1" applyAlignment="1" applyProtection="1">
      <alignment horizontal="center" vertical="top" wrapText="1"/>
      <protection locked="0"/>
    </xf>
    <xf numFmtId="0" fontId="11" fillId="0" borderId="19" xfId="1" applyFont="1" applyBorder="1" applyAlignment="1" applyProtection="1">
      <alignment horizontal="left" vertical="top"/>
      <protection locked="0"/>
    </xf>
    <xf numFmtId="0" fontId="11" fillId="0" borderId="2" xfId="1" applyFont="1" applyBorder="1" applyAlignment="1" applyProtection="1">
      <alignment horizontal="left" vertical="top"/>
      <protection locked="0"/>
    </xf>
    <xf numFmtId="0" fontId="11" fillId="0" borderId="20" xfId="1" applyFont="1" applyBorder="1" applyAlignment="1" applyProtection="1">
      <alignment horizontal="left" vertical="top"/>
      <protection locked="0"/>
    </xf>
    <xf numFmtId="0" fontId="12" fillId="0" borderId="22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12" fillId="0" borderId="13" xfId="1" applyFont="1" applyBorder="1" applyAlignment="1" applyProtection="1">
      <alignment horizontal="left" vertical="top" wrapText="1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center" vertical="top" wrapText="1"/>
      <protection locked="0"/>
    </xf>
    <xf numFmtId="1" fontId="5" fillId="0" borderId="8" xfId="1" applyNumberFormat="1" applyFont="1" applyBorder="1" applyAlignment="1" applyProtection="1">
      <alignment horizontal="center" vertical="center" wrapText="1"/>
      <protection locked="0"/>
    </xf>
    <xf numFmtId="1" fontId="5" fillId="0" borderId="9" xfId="1" applyNumberFormat="1" applyFont="1" applyBorder="1" applyAlignment="1" applyProtection="1">
      <alignment horizontal="center" vertical="center" wrapText="1"/>
      <protection locked="0"/>
    </xf>
    <xf numFmtId="0" fontId="6" fillId="0" borderId="0" xfId="1" applyFont="1" applyAlignment="1">
      <alignment horizontal="center" vertical="center"/>
    </xf>
    <xf numFmtId="0" fontId="6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1" fontId="5" fillId="0" borderId="21" xfId="1" applyNumberFormat="1" applyFont="1" applyBorder="1" applyAlignment="1" applyProtection="1">
      <alignment horizontal="center" vertical="center" wrapText="1"/>
      <protection locked="0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4" xfId="0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6" xfId="1" applyFont="1" applyBorder="1" applyAlignment="1" applyProtection="1">
      <alignment horizontal="left" vertical="top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68" fontId="5" fillId="0" borderId="17" xfId="1" applyNumberFormat="1" applyFont="1" applyBorder="1" applyAlignment="1" applyProtection="1">
      <alignment horizontal="center" vertical="center" wrapText="1"/>
      <protection locked="0"/>
    </xf>
    <xf numFmtId="168" fontId="5" fillId="0" borderId="24" xfId="1" applyNumberFormat="1" applyFont="1" applyBorder="1" applyAlignment="1" applyProtection="1">
      <alignment horizontal="center" vertical="center" wrapText="1"/>
      <protection locked="0"/>
    </xf>
    <xf numFmtId="168" fontId="5" fillId="0" borderId="18" xfId="1" applyNumberFormat="1" applyFont="1" applyBorder="1" applyAlignment="1" applyProtection="1">
      <alignment horizontal="center" vertical="center" wrapText="1"/>
      <protection locked="0"/>
    </xf>
    <xf numFmtId="168" fontId="5" fillId="0" borderId="25" xfId="1" applyNumberFormat="1" applyFont="1" applyBorder="1" applyAlignment="1" applyProtection="1">
      <alignment horizontal="center" vertical="center" wrapText="1"/>
      <protection locked="0"/>
    </xf>
    <xf numFmtId="168" fontId="5" fillId="0" borderId="26" xfId="1" applyNumberFormat="1" applyFont="1" applyBorder="1" applyAlignment="1" applyProtection="1">
      <alignment horizontal="center" vertical="center" wrapText="1"/>
      <protection locked="0"/>
    </xf>
    <xf numFmtId="168" fontId="5" fillId="0" borderId="19" xfId="1" applyNumberFormat="1" applyFont="1" applyBorder="1" applyAlignment="1" applyProtection="1">
      <alignment horizontal="center" vertical="center" wrapText="1"/>
      <protection locked="0"/>
    </xf>
    <xf numFmtId="168" fontId="5" fillId="0" borderId="2" xfId="1" applyNumberFormat="1" applyFont="1" applyBorder="1" applyAlignment="1" applyProtection="1">
      <alignment horizontal="center" vertical="center" wrapText="1"/>
      <protection locked="0"/>
    </xf>
    <xf numFmtId="168" fontId="5" fillId="0" borderId="20" xfId="1" applyNumberFormat="1" applyFont="1" applyBorder="1" applyAlignment="1" applyProtection="1">
      <alignment horizontal="center" vertical="center" wrapText="1"/>
      <protection locked="0"/>
    </xf>
    <xf numFmtId="1" fontId="7" fillId="0" borderId="0" xfId="1" applyNumberFormat="1" applyFont="1" applyAlignment="1" applyProtection="1">
      <alignment horizontal="center" vertical="center" wrapText="1"/>
      <protection locked="0"/>
    </xf>
    <xf numFmtId="1" fontId="12" fillId="0" borderId="8" xfId="1" applyNumberFormat="1" applyFont="1" applyBorder="1" applyAlignment="1" applyProtection="1">
      <alignment horizontal="center" vertical="center" wrapText="1"/>
      <protection locked="0"/>
    </xf>
    <xf numFmtId="1" fontId="12" fillId="0" borderId="21" xfId="1" applyNumberFormat="1" applyFont="1" applyBorder="1" applyAlignment="1" applyProtection="1">
      <alignment horizontal="center" vertical="center" wrapText="1"/>
      <protection locked="0"/>
    </xf>
    <xf numFmtId="1" fontId="12" fillId="0" borderId="9" xfId="1" applyNumberFormat="1" applyFont="1" applyBorder="1" applyAlignment="1" applyProtection="1">
      <alignment horizontal="center" vertical="center" wrapText="1"/>
      <protection locked="0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0" fontId="5" fillId="0" borderId="1" xfId="1" applyFont="1" applyBorder="1" applyAlignment="1" applyProtection="1">
      <alignment horizontal="left" vertical="top"/>
      <protection locked="0"/>
    </xf>
    <xf numFmtId="0" fontId="5" fillId="0" borderId="1" xfId="1" applyFont="1" applyBorder="1" applyAlignment="1" applyProtection="1">
      <alignment vertical="top"/>
      <protection locked="0"/>
    </xf>
    <xf numFmtId="1" fontId="12" fillId="0" borderId="8" xfId="0" applyNumberFormat="1" applyFont="1" applyBorder="1" applyAlignment="1" applyProtection="1">
      <alignment vertical="top" wrapText="1"/>
      <protection locked="0"/>
    </xf>
    <xf numFmtId="1" fontId="12" fillId="0" borderId="21" xfId="0" applyNumberFormat="1" applyFont="1" applyBorder="1" applyAlignment="1" applyProtection="1">
      <alignment vertical="top" wrapText="1"/>
      <protection locked="0"/>
    </xf>
    <xf numFmtId="1" fontId="12" fillId="0" borderId="9" xfId="0" applyNumberFormat="1" applyFont="1" applyBorder="1" applyAlignment="1" applyProtection="1">
      <alignment vertical="top" wrapText="1"/>
      <protection locked="0"/>
    </xf>
    <xf numFmtId="1" fontId="7" fillId="0" borderId="8" xfId="0" applyNumberFormat="1" applyFont="1" applyBorder="1" applyAlignment="1" applyProtection="1">
      <alignment vertical="top" wrapText="1"/>
      <protection locked="0"/>
    </xf>
    <xf numFmtId="1" fontId="7" fillId="0" borderId="21" xfId="0" applyNumberFormat="1" applyFont="1" applyBorder="1" applyAlignment="1" applyProtection="1">
      <alignment vertical="top" wrapText="1"/>
      <protection locked="0"/>
    </xf>
    <xf numFmtId="1" fontId="7" fillId="0" borderId="9" xfId="0" applyNumberFormat="1" applyFont="1" applyBorder="1" applyAlignment="1" applyProtection="1">
      <alignment vertical="top" wrapText="1"/>
      <protection locked="0"/>
    </xf>
    <xf numFmtId="167" fontId="11" fillId="0" borderId="1" xfId="9" applyNumberFormat="1" applyFont="1" applyFill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" fontId="9" fillId="0" borderId="33" xfId="0" applyNumberFormat="1" applyFont="1" applyBorder="1" applyAlignment="1" applyProtection="1">
      <alignment horizontal="center" vertical="center"/>
      <protection locked="0"/>
    </xf>
    <xf numFmtId="0" fontId="9" fillId="0" borderId="33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top" wrapText="1"/>
      <protection locked="0"/>
    </xf>
    <xf numFmtId="1" fontId="5" fillId="0" borderId="4" xfId="0" applyNumberFormat="1" applyFont="1" applyBorder="1" applyAlignment="1" applyProtection="1">
      <alignment horizontal="center" vertical="center" wrapText="1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11" fillId="0" borderId="8" xfId="1" applyFont="1" applyBorder="1" applyAlignment="1" applyProtection="1">
      <alignment horizontal="center" vertical="top"/>
      <protection locked="0"/>
    </xf>
    <xf numFmtId="0" fontId="11" fillId="0" borderId="21" xfId="1" applyFont="1" applyBorder="1" applyAlignment="1" applyProtection="1">
      <alignment horizontal="center" vertical="top"/>
      <protection locked="0"/>
    </xf>
    <xf numFmtId="0" fontId="11" fillId="0" borderId="9" xfId="1" applyFont="1" applyBorder="1" applyAlignment="1" applyProtection="1">
      <alignment horizontal="center" vertical="top"/>
      <protection locked="0"/>
    </xf>
    <xf numFmtId="1" fontId="7" fillId="0" borderId="35" xfId="0" applyNumberFormat="1" applyFont="1" applyBorder="1" applyAlignment="1" applyProtection="1">
      <alignment horizontal="center" vertical="center" wrapText="1"/>
      <protection locked="0"/>
    </xf>
    <xf numFmtId="1" fontId="7" fillId="0" borderId="36" xfId="0" applyNumberFormat="1" applyFont="1" applyBorder="1" applyAlignment="1" applyProtection="1">
      <alignment horizontal="center" vertical="center" wrapText="1"/>
      <protection locked="0"/>
    </xf>
    <xf numFmtId="1" fontId="7" fillId="0" borderId="36" xfId="0" applyNumberFormat="1" applyFont="1" applyBorder="1" applyAlignment="1" applyProtection="1">
      <alignment horizontal="center" vertical="top" wrapText="1"/>
      <protection locked="0"/>
    </xf>
    <xf numFmtId="1" fontId="7" fillId="0" borderId="37" xfId="0" applyNumberFormat="1" applyFont="1" applyBorder="1" applyAlignment="1" applyProtection="1">
      <alignment horizontal="center" vertical="top" wrapText="1"/>
      <protection locked="0"/>
    </xf>
    <xf numFmtId="164" fontId="5" fillId="0" borderId="1" xfId="1" applyNumberFormat="1" applyFont="1" applyBorder="1" applyAlignment="1" applyProtection="1">
      <alignment horizontal="left" vertical="top"/>
      <protection locked="0"/>
    </xf>
    <xf numFmtId="0" fontId="11" fillId="0" borderId="25" xfId="1" applyFont="1" applyBorder="1" applyAlignment="1" applyProtection="1">
      <alignment horizontal="left" vertical="top"/>
      <protection locked="0"/>
    </xf>
    <xf numFmtId="0" fontId="11" fillId="0" borderId="0" xfId="1" applyFont="1" applyAlignment="1" applyProtection="1">
      <alignment horizontal="left" vertical="top"/>
      <protection locked="0"/>
    </xf>
    <xf numFmtId="0" fontId="11" fillId="0" borderId="26" xfId="1" applyFont="1" applyBorder="1" applyAlignment="1" applyProtection="1">
      <alignment horizontal="left" vertical="top"/>
      <protection locked="0"/>
    </xf>
    <xf numFmtId="0" fontId="5" fillId="0" borderId="8" xfId="1" applyFont="1" applyBorder="1" applyAlignment="1" applyProtection="1">
      <alignment horizontal="left" vertical="top" wrapText="1"/>
      <protection locked="0"/>
    </xf>
    <xf numFmtId="0" fontId="5" fillId="0" borderId="21" xfId="1" applyFont="1" applyBorder="1" applyAlignment="1" applyProtection="1">
      <alignment horizontal="left" vertical="top" wrapText="1"/>
      <protection locked="0"/>
    </xf>
    <xf numFmtId="0" fontId="5" fillId="0" borderId="9" xfId="1" applyFont="1" applyBorder="1" applyAlignment="1" applyProtection="1">
      <alignment horizontal="left" vertical="top" wrapText="1"/>
      <protection locked="0"/>
    </xf>
    <xf numFmtId="14" fontId="5" fillId="0" borderId="8" xfId="1" applyNumberFormat="1" applyFont="1" applyBorder="1" applyAlignment="1" applyProtection="1">
      <alignment horizontal="left" vertical="top" wrapText="1"/>
      <protection locked="0"/>
    </xf>
    <xf numFmtId="14" fontId="5" fillId="0" borderId="9" xfId="1" applyNumberFormat="1" applyFont="1" applyBorder="1" applyAlignment="1" applyProtection="1">
      <alignment horizontal="left" vertical="top" wrapText="1"/>
      <protection locked="0"/>
    </xf>
    <xf numFmtId="0" fontId="11" fillId="0" borderId="17" xfId="1" applyFont="1" applyBorder="1" applyAlignment="1" applyProtection="1">
      <alignment horizontal="left" vertical="top"/>
      <protection locked="0"/>
    </xf>
    <xf numFmtId="0" fontId="11" fillId="0" borderId="24" xfId="1" applyFont="1" applyBorder="1" applyAlignment="1" applyProtection="1">
      <alignment horizontal="left" vertical="top"/>
      <protection locked="0"/>
    </xf>
    <xf numFmtId="0" fontId="11" fillId="0" borderId="18" xfId="1" applyFont="1" applyBorder="1" applyAlignment="1" applyProtection="1">
      <alignment horizontal="left" vertical="top"/>
      <protection locked="0"/>
    </xf>
    <xf numFmtId="0" fontId="7" fillId="0" borderId="8" xfId="1" applyFont="1" applyBorder="1" applyAlignment="1" applyProtection="1">
      <alignment horizontal="left" vertical="top" wrapText="1"/>
      <protection locked="0"/>
    </xf>
    <xf numFmtId="0" fontId="7" fillId="0" borderId="9" xfId="1" applyFont="1" applyBorder="1" applyAlignment="1" applyProtection="1">
      <alignment horizontal="left" vertical="top" wrapText="1"/>
      <protection locked="0"/>
    </xf>
    <xf numFmtId="0" fontId="7" fillId="0" borderId="2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7" fillId="0" borderId="8" xfId="1" applyFont="1" applyBorder="1" applyAlignment="1" applyProtection="1">
      <alignment horizontal="left" vertical="top"/>
      <protection locked="0"/>
    </xf>
    <xf numFmtId="0" fontId="7" fillId="0" borderId="9" xfId="1" applyFont="1" applyBorder="1" applyAlignment="1" applyProtection="1">
      <alignment horizontal="left" vertical="top"/>
      <protection locked="0"/>
    </xf>
    <xf numFmtId="168" fontId="5" fillId="0" borderId="8" xfId="1" applyNumberFormat="1" applyFont="1" applyBorder="1" applyAlignment="1" applyProtection="1">
      <alignment horizontal="center" vertical="center" wrapText="1"/>
      <protection locked="0"/>
    </xf>
    <xf numFmtId="168" fontId="5" fillId="0" borderId="21" xfId="1" applyNumberFormat="1" applyFont="1" applyBorder="1" applyAlignment="1" applyProtection="1">
      <alignment horizontal="center" vertical="center" wrapText="1"/>
      <protection locked="0"/>
    </xf>
    <xf numFmtId="168" fontId="5" fillId="0" borderId="9" xfId="1" applyNumberFormat="1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7" fillId="0" borderId="16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3" fillId="0" borderId="8" xfId="1" applyFont="1" applyBorder="1" applyAlignment="1" applyProtection="1">
      <alignment horizontal="center" vertical="top" wrapText="1"/>
      <protection locked="0"/>
    </xf>
    <xf numFmtId="0" fontId="13" fillId="0" borderId="9" xfId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1" fontId="7" fillId="0" borderId="38" xfId="0" applyNumberFormat="1" applyFont="1" applyBorder="1" applyAlignment="1" applyProtection="1">
      <alignment horizontal="center" vertical="center" wrapText="1"/>
      <protection locked="0"/>
    </xf>
    <xf numFmtId="1" fontId="7" fillId="0" borderId="30" xfId="0" applyNumberFormat="1" applyFont="1" applyBorder="1" applyAlignment="1" applyProtection="1">
      <alignment horizontal="center" vertical="center" wrapText="1"/>
      <protection locked="0"/>
    </xf>
    <xf numFmtId="1" fontId="7" fillId="0" borderId="31" xfId="0" applyNumberFormat="1" applyFont="1" applyBorder="1" applyAlignment="1" applyProtection="1">
      <alignment horizontal="center" vertical="center" wrapText="1"/>
      <protection locked="0"/>
    </xf>
    <xf numFmtId="0" fontId="10" fillId="0" borderId="1" xfId="1" applyFont="1" applyBorder="1" applyAlignment="1" applyProtection="1">
      <alignment horizontal="center" vertical="top" wrapText="1"/>
      <protection locked="0"/>
    </xf>
    <xf numFmtId="14" fontId="11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/>
      <protection locked="0"/>
    </xf>
    <xf numFmtId="0" fontId="12" fillId="0" borderId="8" xfId="1" applyFont="1" applyBorder="1" applyAlignment="1" applyProtection="1">
      <alignment horizontal="center" vertical="top"/>
      <protection locked="0"/>
    </xf>
    <xf numFmtId="0" fontId="12" fillId="0" borderId="21" xfId="1" applyFont="1" applyBorder="1" applyAlignment="1" applyProtection="1">
      <alignment horizontal="center" vertical="top"/>
      <protection locked="0"/>
    </xf>
    <xf numFmtId="0" fontId="12" fillId="0" borderId="9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2" fontId="5" fillId="0" borderId="1" xfId="1" applyNumberFormat="1" applyFont="1" applyBorder="1" applyAlignment="1" applyProtection="1">
      <alignment horizontal="left" vertical="top" wrapText="1"/>
      <protection locked="0"/>
    </xf>
    <xf numFmtId="0" fontId="5" fillId="0" borderId="16" xfId="1" applyFont="1" applyBorder="1" applyAlignment="1" applyProtection="1">
      <alignment horizontal="left" vertical="top" wrapText="1"/>
      <protection locked="0"/>
    </xf>
    <xf numFmtId="1" fontId="5" fillId="0" borderId="1" xfId="1" applyNumberFormat="1" applyFont="1" applyBorder="1" applyAlignment="1" applyProtection="1">
      <alignment horizontal="left" vertical="top" wrapText="1"/>
      <protection locked="0"/>
    </xf>
    <xf numFmtId="2" fontId="5" fillId="0" borderId="1" xfId="1" applyNumberFormat="1" applyFont="1" applyBorder="1" applyAlignment="1" applyProtection="1">
      <alignment horizontal="left" vertical="top"/>
      <protection locked="0"/>
    </xf>
    <xf numFmtId="1" fontId="7" fillId="0" borderId="33" xfId="0" applyNumberFormat="1" applyFont="1" applyBorder="1" applyAlignment="1" applyProtection="1">
      <alignment horizontal="center" vertical="top" wrapText="1"/>
      <protection locked="0"/>
    </xf>
    <xf numFmtId="1" fontId="7" fillId="0" borderId="34" xfId="0" applyNumberFormat="1" applyFont="1" applyBorder="1" applyAlignment="1" applyProtection="1">
      <alignment horizontal="center" vertical="top" wrapText="1"/>
      <protection locked="0"/>
    </xf>
    <xf numFmtId="1" fontId="7" fillId="0" borderId="3" xfId="0" applyNumberFormat="1" applyFont="1" applyBorder="1" applyAlignment="1" applyProtection="1">
      <alignment horizontal="center" vertical="center" wrapText="1"/>
      <protection locked="0"/>
    </xf>
    <xf numFmtId="0" fontId="9" fillId="0" borderId="3" xfId="0" applyFont="1" applyBorder="1" applyAlignment="1" applyProtection="1">
      <alignment horizontal="center" vertical="center"/>
      <protection locked="0"/>
    </xf>
    <xf numFmtId="1" fontId="7" fillId="0" borderId="5" xfId="0" applyNumberFormat="1" applyFont="1" applyBorder="1" applyAlignment="1" applyProtection="1">
      <alignment horizontal="center" vertical="top" wrapText="1"/>
      <protection locked="0"/>
    </xf>
    <xf numFmtId="0" fontId="24" fillId="0" borderId="1" xfId="10" applyFill="1" applyBorder="1" applyAlignment="1" applyProtection="1">
      <alignment horizontal="left" vertical="top" wrapText="1"/>
      <protection locked="0"/>
    </xf>
    <xf numFmtId="0" fontId="11" fillId="0" borderId="8" xfId="1" applyFont="1" applyBorder="1" applyAlignment="1" applyProtection="1">
      <alignment horizontal="left" vertical="top" wrapText="1"/>
      <protection locked="0"/>
    </xf>
    <xf numFmtId="0" fontId="11" fillId="0" borderId="9" xfId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/>
      <protection locked="0"/>
    </xf>
    <xf numFmtId="0" fontId="12" fillId="0" borderId="21" xfId="1" applyFont="1" applyBorder="1" applyAlignment="1" applyProtection="1">
      <alignment horizontal="left" vertical="top"/>
      <protection locked="0"/>
    </xf>
    <xf numFmtId="0" fontId="12" fillId="0" borderId="9" xfId="1" applyFont="1" applyBorder="1" applyAlignment="1" applyProtection="1">
      <alignment horizontal="left" vertical="top"/>
      <protection locked="0"/>
    </xf>
    <xf numFmtId="1" fontId="7" fillId="0" borderId="32" xfId="0" applyNumberFormat="1" applyFont="1" applyBorder="1" applyAlignment="1" applyProtection="1">
      <alignment horizontal="center" vertical="center" wrapText="1"/>
      <protection locked="0"/>
    </xf>
    <xf numFmtId="1" fontId="7" fillId="0" borderId="33" xfId="0" applyNumberFormat="1" applyFont="1" applyBorder="1" applyAlignment="1" applyProtection="1">
      <alignment horizontal="center" vertical="center" wrapText="1"/>
      <protection locked="0"/>
    </xf>
    <xf numFmtId="1" fontId="9" fillId="0" borderId="33" xfId="0" applyNumberFormat="1" applyFont="1" applyBorder="1" applyAlignment="1" applyProtection="1">
      <alignment horizontal="center" vertical="top" wrapText="1"/>
      <protection locked="0"/>
    </xf>
    <xf numFmtId="0" fontId="9" fillId="0" borderId="33" xfId="0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left" vertical="top" wrapText="1"/>
      <protection locked="0"/>
    </xf>
    <xf numFmtId="0" fontId="6" fillId="2" borderId="25" xfId="1" applyFont="1" applyFill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8" fillId="0" borderId="1" xfId="5" applyFont="1" applyBorder="1" applyAlignment="1">
      <alignment horizontal="left"/>
    </xf>
    <xf numFmtId="0" fontId="12" fillId="0" borderId="1" xfId="1" applyFont="1" applyBorder="1" applyAlignment="1" applyProtection="1">
      <alignment horizontal="center" vertical="top"/>
      <protection locked="0"/>
    </xf>
    <xf numFmtId="1" fontId="12" fillId="0" borderId="3" xfId="1" applyNumberFormat="1" applyFont="1" applyBorder="1" applyAlignment="1" applyProtection="1">
      <alignment horizontal="center" vertical="top" wrapText="1"/>
      <protection locked="0"/>
    </xf>
    <xf numFmtId="1" fontId="28" fillId="0" borderId="3" xfId="1" applyNumberFormat="1" applyFont="1" applyBorder="1" applyAlignment="1" applyProtection="1">
      <alignment horizontal="center" vertical="top" wrapText="1"/>
      <protection locked="0"/>
    </xf>
    <xf numFmtId="1" fontId="12" fillId="0" borderId="3" xfId="1" applyNumberFormat="1" applyFont="1" applyBorder="1" applyAlignment="1" applyProtection="1">
      <alignment horizontal="center" vertical="top" wrapText="1"/>
      <protection locked="0"/>
    </xf>
    <xf numFmtId="1" fontId="12" fillId="0" borderId="16" xfId="1" applyNumberFormat="1" applyFont="1" applyBorder="1" applyAlignment="1" applyProtection="1">
      <alignment horizontal="center" vertical="top" wrapText="1"/>
      <protection locked="0"/>
    </xf>
    <xf numFmtId="1" fontId="28" fillId="0" borderId="16" xfId="1" applyNumberFormat="1" applyFont="1" applyBorder="1" applyAlignment="1" applyProtection="1">
      <alignment horizontal="center" vertical="top" wrapText="1"/>
      <protection locked="0"/>
    </xf>
    <xf numFmtId="9" fontId="12" fillId="0" borderId="16" xfId="8" applyFont="1" applyFill="1" applyBorder="1" applyAlignment="1" applyProtection="1">
      <alignment horizontal="center" vertical="top" wrapText="1"/>
      <protection locked="0"/>
    </xf>
    <xf numFmtId="1" fontId="11" fillId="0" borderId="8" xfId="1" applyNumberFormat="1" applyFont="1" applyBorder="1" applyAlignment="1" applyProtection="1">
      <alignment horizontal="center" vertical="center" wrapText="1"/>
      <protection locked="0"/>
    </xf>
    <xf numFmtId="1" fontId="11" fillId="0" borderId="9" xfId="1" applyNumberFormat="1" applyFont="1" applyBorder="1" applyAlignment="1" applyProtection="1">
      <alignment horizontal="center" vertical="center" wrapText="1"/>
      <protection locked="0"/>
    </xf>
    <xf numFmtId="1" fontId="11" fillId="0" borderId="1" xfId="1" applyNumberFormat="1" applyFont="1" applyBorder="1" applyAlignment="1" applyProtection="1">
      <alignment horizontal="center" vertical="center" wrapText="1"/>
      <protection locked="0"/>
    </xf>
    <xf numFmtId="1" fontId="11" fillId="0" borderId="21" xfId="1" applyNumberFormat="1" applyFont="1" applyBorder="1" applyAlignment="1" applyProtection="1">
      <alignment horizontal="center" vertical="center" wrapText="1"/>
      <protection locked="0"/>
    </xf>
    <xf numFmtId="1" fontId="12" fillId="0" borderId="17" xfId="1" applyNumberFormat="1" applyFont="1" applyBorder="1" applyAlignment="1" applyProtection="1">
      <alignment horizontal="center" vertical="top" wrapText="1"/>
      <protection locked="0"/>
    </xf>
    <xf numFmtId="1" fontId="12" fillId="0" borderId="19" xfId="1" applyNumberFormat="1" applyFont="1" applyBorder="1" applyAlignment="1" applyProtection="1">
      <alignment horizontal="center" vertical="top" wrapText="1"/>
      <protection locked="0"/>
    </xf>
    <xf numFmtId="1" fontId="12" fillId="3" borderId="8" xfId="1" applyNumberFormat="1" applyFont="1" applyFill="1" applyBorder="1" applyAlignment="1" applyProtection="1">
      <alignment horizontal="center" vertical="center" wrapText="1"/>
      <protection locked="0"/>
    </xf>
    <xf numFmtId="1" fontId="12" fillId="3" borderId="21" xfId="1" applyNumberFormat="1" applyFont="1" applyFill="1" applyBorder="1" applyAlignment="1" applyProtection="1">
      <alignment horizontal="center" vertical="center" wrapText="1"/>
      <protection locked="0"/>
    </xf>
    <xf numFmtId="1" fontId="12" fillId="3" borderId="9" xfId="1" applyNumberFormat="1" applyFont="1" applyFill="1" applyBorder="1" applyAlignment="1" applyProtection="1">
      <alignment horizontal="center" vertical="center" wrapText="1"/>
      <protection locked="0"/>
    </xf>
    <xf numFmtId="0" fontId="6" fillId="4" borderId="0" xfId="1" applyFont="1" applyFill="1" applyAlignment="1">
      <alignment horizontal="center" vertical="center"/>
    </xf>
    <xf numFmtId="1" fontId="12" fillId="4" borderId="8" xfId="1" applyNumberFormat="1" applyFont="1" applyFill="1" applyBorder="1" applyAlignment="1" applyProtection="1">
      <alignment horizontal="center" vertical="center" wrapText="1"/>
      <protection locked="0"/>
    </xf>
    <xf numFmtId="1" fontId="12" fillId="4" borderId="21" xfId="1" applyNumberFormat="1" applyFont="1" applyFill="1" applyBorder="1" applyAlignment="1" applyProtection="1">
      <alignment horizontal="center" vertical="center" wrapText="1"/>
      <protection locked="0"/>
    </xf>
    <xf numFmtId="1" fontId="12" fillId="4" borderId="9" xfId="1" applyNumberFormat="1" applyFont="1" applyFill="1" applyBorder="1" applyAlignment="1" applyProtection="1">
      <alignment horizontal="center" vertical="center" wrapText="1"/>
      <protection locked="0"/>
    </xf>
    <xf numFmtId="168" fontId="5" fillId="0" borderId="0" xfId="1" applyNumberFormat="1" applyFont="1" applyBorder="1" applyAlignment="1" applyProtection="1">
      <alignment horizontal="center" vertical="center" wrapText="1"/>
      <protection locked="0"/>
    </xf>
    <xf numFmtId="1" fontId="7" fillId="3" borderId="8" xfId="1" applyNumberFormat="1" applyFont="1" applyFill="1" applyBorder="1" applyAlignment="1" applyProtection="1">
      <alignment horizontal="center" vertical="center" wrapText="1"/>
      <protection locked="0"/>
    </xf>
    <xf numFmtId="1" fontId="7" fillId="3" borderId="21" xfId="1" applyNumberFormat="1" applyFont="1" applyFill="1" applyBorder="1" applyAlignment="1" applyProtection="1">
      <alignment horizontal="center" vertical="center" wrapText="1"/>
      <protection locked="0"/>
    </xf>
    <xf numFmtId="1" fontId="7" fillId="3" borderId="9" xfId="1" applyNumberFormat="1" applyFont="1" applyFill="1" applyBorder="1" applyAlignment="1" applyProtection="1">
      <alignment horizontal="center" vertical="center" wrapText="1"/>
      <protection locked="0"/>
    </xf>
    <xf numFmtId="1" fontId="5" fillId="0" borderId="41" xfId="0" applyNumberFormat="1" applyFont="1" applyBorder="1" applyAlignment="1" applyProtection="1">
      <alignment horizontal="center" vertical="center" wrapText="1"/>
      <protection locked="0"/>
    </xf>
    <xf numFmtId="1" fontId="5" fillId="0" borderId="42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/>
      <protection locked="0"/>
    </xf>
    <xf numFmtId="1" fontId="12" fillId="5" borderId="8" xfId="1" applyNumberFormat="1" applyFont="1" applyFill="1" applyBorder="1" applyAlignment="1" applyProtection="1">
      <alignment horizontal="center" vertical="center" wrapText="1"/>
      <protection locked="0"/>
    </xf>
    <xf numFmtId="1" fontId="12" fillId="5" borderId="21" xfId="1" applyNumberFormat="1" applyFont="1" applyFill="1" applyBorder="1" applyAlignment="1" applyProtection="1">
      <alignment horizontal="center" vertical="center" wrapText="1"/>
      <protection locked="0"/>
    </xf>
    <xf numFmtId="1" fontId="12" fillId="5" borderId="9" xfId="1" applyNumberFormat="1" applyFont="1" applyFill="1" applyBorder="1" applyAlignment="1" applyProtection="1">
      <alignment horizontal="center" vertical="center" wrapText="1"/>
      <protection locked="0"/>
    </xf>
    <xf numFmtId="1" fontId="7" fillId="6" borderId="8" xfId="1" applyNumberFormat="1" applyFont="1" applyFill="1" applyBorder="1" applyAlignment="1" applyProtection="1">
      <alignment horizontal="center" vertical="center" wrapText="1"/>
      <protection locked="0"/>
    </xf>
    <xf numFmtId="1" fontId="7" fillId="6" borderId="21" xfId="1" applyNumberFormat="1" applyFont="1" applyFill="1" applyBorder="1" applyAlignment="1" applyProtection="1">
      <alignment horizontal="center" vertical="center" wrapText="1"/>
      <protection locked="0"/>
    </xf>
    <xf numFmtId="1" fontId="7" fillId="6" borderId="9" xfId="1" applyNumberFormat="1" applyFont="1" applyFill="1" applyBorder="1" applyAlignment="1" applyProtection="1">
      <alignment horizontal="center" vertical="center" wrapText="1"/>
      <protection locked="0"/>
    </xf>
    <xf numFmtId="1" fontId="12" fillId="7" borderId="8" xfId="1" applyNumberFormat="1" applyFont="1" applyFill="1" applyBorder="1" applyAlignment="1" applyProtection="1">
      <alignment horizontal="center" vertical="center" wrapText="1"/>
      <protection locked="0"/>
    </xf>
    <xf numFmtId="1" fontId="12" fillId="7" borderId="21" xfId="1" applyNumberFormat="1" applyFont="1" applyFill="1" applyBorder="1" applyAlignment="1" applyProtection="1">
      <alignment horizontal="center" vertical="center" wrapText="1"/>
      <protection locked="0"/>
    </xf>
    <xf numFmtId="1" fontId="12" fillId="7" borderId="9" xfId="1" applyNumberFormat="1" applyFont="1" applyFill="1" applyBorder="1" applyAlignment="1" applyProtection="1">
      <alignment horizontal="center" vertical="center" wrapText="1"/>
      <protection locked="0"/>
    </xf>
    <xf numFmtId="1" fontId="12" fillId="8" borderId="8" xfId="1" applyNumberFormat="1" applyFont="1" applyFill="1" applyBorder="1" applyAlignment="1" applyProtection="1">
      <alignment horizontal="center" vertical="center" wrapText="1"/>
      <protection locked="0"/>
    </xf>
    <xf numFmtId="1" fontId="12" fillId="8" borderId="21" xfId="1" applyNumberFormat="1" applyFont="1" applyFill="1" applyBorder="1" applyAlignment="1" applyProtection="1">
      <alignment horizontal="center" vertical="center" wrapText="1"/>
      <protection locked="0"/>
    </xf>
    <xf numFmtId="1" fontId="12" fillId="8" borderId="9" xfId="1" applyNumberFormat="1" applyFont="1" applyFill="1" applyBorder="1" applyAlignment="1" applyProtection="1">
      <alignment horizontal="center" vertical="center" wrapText="1"/>
      <protection locked="0"/>
    </xf>
    <xf numFmtId="1" fontId="7" fillId="7" borderId="8" xfId="1" applyNumberFormat="1" applyFont="1" applyFill="1" applyBorder="1" applyAlignment="1" applyProtection="1">
      <alignment horizontal="center" vertical="center" wrapText="1"/>
      <protection locked="0"/>
    </xf>
    <xf numFmtId="1" fontId="7" fillId="7" borderId="21" xfId="1" applyNumberFormat="1" applyFont="1" applyFill="1" applyBorder="1" applyAlignment="1" applyProtection="1">
      <alignment horizontal="center" vertical="center" wrapText="1"/>
      <protection locked="0"/>
    </xf>
    <xf numFmtId="1" fontId="7" fillId="7" borderId="9" xfId="1" applyNumberFormat="1" applyFont="1" applyFill="1" applyBorder="1" applyAlignment="1" applyProtection="1">
      <alignment horizontal="center" vertical="center" wrapText="1"/>
      <protection locked="0"/>
    </xf>
    <xf numFmtId="1" fontId="9" fillId="0" borderId="3" xfId="0" applyNumberFormat="1" applyFont="1" applyBorder="1" applyAlignment="1" applyProtection="1">
      <alignment horizontal="center" vertical="center"/>
      <protection locked="0"/>
    </xf>
    <xf numFmtId="1" fontId="9" fillId="0" borderId="36" xfId="0" applyNumberFormat="1" applyFont="1" applyBorder="1" applyAlignment="1" applyProtection="1">
      <alignment horizontal="center" vertical="center"/>
      <protection locked="0"/>
    </xf>
    <xf numFmtId="1" fontId="9" fillId="0" borderId="36" xfId="0" applyNumberFormat="1" applyFont="1" applyBorder="1" applyAlignment="1" applyProtection="1">
      <alignment horizontal="center" vertical="top" wrapText="1"/>
      <protection locked="0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284130</xdr:colOff>
      <xdr:row>566</xdr:row>
      <xdr:rowOff>133350</xdr:rowOff>
    </xdr:from>
    <xdr:to>
      <xdr:col>6</xdr:col>
      <xdr:colOff>394019</xdr:colOff>
      <xdr:row>584</xdr:row>
      <xdr:rowOff>132901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3280" y="62731650"/>
          <a:ext cx="4567589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414225</xdr:colOff>
      <xdr:row>552</xdr:row>
      <xdr:rowOff>28576</xdr:rowOff>
    </xdr:from>
    <xdr:to>
      <xdr:col>5</xdr:col>
      <xdr:colOff>531975</xdr:colOff>
      <xdr:row>564</xdr:row>
      <xdr:rowOff>152402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2217761" y="82451440"/>
          <a:ext cx="2486027" cy="28165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381000</xdr:colOff>
      <xdr:row>525</xdr:row>
      <xdr:rowOff>19050</xdr:rowOff>
    </xdr:from>
    <xdr:to>
      <xdr:col>6</xdr:col>
      <xdr:colOff>603300</xdr:colOff>
      <xdr:row>551</xdr:row>
      <xdr:rowOff>96380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901161" y="54315264"/>
          <a:ext cx="5277978" cy="46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3</xdr:col>
      <xdr:colOff>430695</xdr:colOff>
      <xdr:row>532</xdr:row>
      <xdr:rowOff>24848</xdr:rowOff>
    </xdr:from>
    <xdr:ext cx="308995" cy="34278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3023152" y="55145609"/>
          <a:ext cx="30899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>
              <a:solidFill>
                <a:srgbClr val="FFFF00"/>
              </a:solidFill>
            </a:rPr>
            <a:t>A</a:t>
          </a:r>
        </a:p>
      </xdr:txBody>
    </xdr:sp>
    <xdr:clientData/>
  </xdr:oneCellAnchor>
  <xdr:oneCellAnchor>
    <xdr:from>
      <xdr:col>4</xdr:col>
      <xdr:colOff>388454</xdr:colOff>
      <xdr:row>529</xdr:row>
      <xdr:rowOff>195884</xdr:rowOff>
    </xdr:from>
    <xdr:ext cx="308995" cy="34278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3991389" y="54720297"/>
          <a:ext cx="30899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>
              <a:solidFill>
                <a:srgbClr val="FFFF00"/>
              </a:solidFill>
            </a:rPr>
            <a:t>B</a:t>
          </a:r>
        </a:p>
      </xdr:txBody>
    </xdr:sp>
    <xdr:clientData/>
  </xdr:oneCellAnchor>
  <xdr:oneCellAnchor>
    <xdr:from>
      <xdr:col>5</xdr:col>
      <xdr:colOff>529259</xdr:colOff>
      <xdr:row>530</xdr:row>
      <xdr:rowOff>121340</xdr:rowOff>
    </xdr:from>
    <xdr:ext cx="293285" cy="34278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4968737" y="54844536"/>
          <a:ext cx="29328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>
              <a:solidFill>
                <a:srgbClr val="FFFF00"/>
              </a:solidFill>
            </a:rPr>
            <a:t>C</a:t>
          </a:r>
        </a:p>
      </xdr:txBody>
    </xdr:sp>
    <xdr:clientData/>
  </xdr:oneCellAnchor>
  <xdr:oneCellAnchor>
    <xdr:from>
      <xdr:col>5</xdr:col>
      <xdr:colOff>380172</xdr:colOff>
      <xdr:row>535</xdr:row>
      <xdr:rowOff>79927</xdr:rowOff>
    </xdr:from>
    <xdr:ext cx="313997" cy="34278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4819650" y="55797036"/>
          <a:ext cx="31399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>
              <a:solidFill>
                <a:srgbClr val="FFFF00"/>
              </a:solidFill>
            </a:rPr>
            <a:t>D</a:t>
          </a:r>
        </a:p>
      </xdr:txBody>
    </xdr:sp>
    <xdr:clientData/>
  </xdr:oneCellAnchor>
  <xdr:oneCellAnchor>
    <xdr:from>
      <xdr:col>4</xdr:col>
      <xdr:colOff>259245</xdr:colOff>
      <xdr:row>536</xdr:row>
      <xdr:rowOff>8697</xdr:rowOff>
    </xdr:from>
    <xdr:ext cx="284758" cy="34278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3862180" y="55924588"/>
          <a:ext cx="2847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>
              <a:solidFill>
                <a:srgbClr val="FFFF00"/>
              </a:solidFill>
            </a:rPr>
            <a:t>E</a:t>
          </a:r>
        </a:p>
      </xdr:txBody>
    </xdr:sp>
    <xdr:clientData/>
  </xdr:oneCellAnchor>
  <xdr:oneCellAnchor>
    <xdr:from>
      <xdr:col>3</xdr:col>
      <xdr:colOff>781050</xdr:colOff>
      <xdr:row>539</xdr:row>
      <xdr:rowOff>166066</xdr:rowOff>
    </xdr:from>
    <xdr:ext cx="278859" cy="34278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3373507" y="56678305"/>
          <a:ext cx="27885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>
              <a:solidFill>
                <a:srgbClr val="FFFF00"/>
              </a:solidFill>
            </a:rPr>
            <a:t>F</a:t>
          </a:r>
        </a:p>
      </xdr:txBody>
    </xdr:sp>
    <xdr:clientData/>
  </xdr:oneCellAnchor>
  <xdr:oneCellAnchor>
    <xdr:from>
      <xdr:col>3</xdr:col>
      <xdr:colOff>505385</xdr:colOff>
      <xdr:row>544</xdr:row>
      <xdr:rowOff>3922</xdr:rowOff>
    </xdr:from>
    <xdr:ext cx="871457" cy="34278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3105150" y="58196069"/>
          <a:ext cx="87145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600" b="1">
              <a:solidFill>
                <a:srgbClr val="FFFF00"/>
              </a:solidFill>
            </a:rPr>
            <a:t>MHADA</a:t>
          </a:r>
        </a:p>
      </xdr:txBody>
    </xdr:sp>
    <xdr:clientData/>
  </xdr:oneCellAnchor>
  <xdr:twoCellAnchor editAs="oneCell">
    <xdr:from>
      <xdr:col>11</xdr:col>
      <xdr:colOff>1499755</xdr:colOff>
      <xdr:row>305</xdr:row>
      <xdr:rowOff>106680</xdr:rowOff>
    </xdr:from>
    <xdr:to>
      <xdr:col>21</xdr:col>
      <xdr:colOff>295987</xdr:colOff>
      <xdr:row>326</xdr:row>
      <xdr:rowOff>46219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58055" y="63398400"/>
          <a:ext cx="7924992" cy="4298179"/>
        </a:xfrm>
        <a:prstGeom prst="rect">
          <a:avLst/>
        </a:prstGeom>
      </xdr:spPr>
    </xdr:pic>
    <xdr:clientData/>
  </xdr:twoCellAnchor>
  <xdr:twoCellAnchor>
    <xdr:from>
      <xdr:col>0</xdr:col>
      <xdr:colOff>600075</xdr:colOff>
      <xdr:row>585</xdr:row>
      <xdr:rowOff>66675</xdr:rowOff>
    </xdr:from>
    <xdr:to>
      <xdr:col>7</xdr:col>
      <xdr:colOff>18353</xdr:colOff>
      <xdr:row>606</xdr:row>
      <xdr:rowOff>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600075" y="117894735"/>
          <a:ext cx="5247578" cy="4093845"/>
          <a:chOff x="600075" y="89506425"/>
          <a:chExt cx="5095178" cy="4320000"/>
        </a:xfrm>
      </xdr:grpSpPr>
      <xdr:pic>
        <xdr:nvPicPr>
          <xdr:cNvPr id="64" name="Picture 6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600075" y="89506425"/>
            <a:ext cx="5095178" cy="43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Freeform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2133600" y="90211275"/>
            <a:ext cx="2238375" cy="2533650"/>
          </a:xfrm>
          <a:custGeom>
            <a:avLst/>
            <a:gdLst>
              <a:gd name="connsiteX0" fmla="*/ 0 w 2238375"/>
              <a:gd name="connsiteY0" fmla="*/ 628650 h 2533650"/>
              <a:gd name="connsiteX1" fmla="*/ 1171575 w 2238375"/>
              <a:gd name="connsiteY1" fmla="*/ 438150 h 2533650"/>
              <a:gd name="connsiteX2" fmla="*/ 1123950 w 2238375"/>
              <a:gd name="connsiteY2" fmla="*/ 304800 h 2533650"/>
              <a:gd name="connsiteX3" fmla="*/ 2171700 w 2238375"/>
              <a:gd name="connsiteY3" fmla="*/ 0 h 2533650"/>
              <a:gd name="connsiteX4" fmla="*/ 2238375 w 2238375"/>
              <a:gd name="connsiteY4" fmla="*/ 1524000 h 2533650"/>
              <a:gd name="connsiteX5" fmla="*/ 1419225 w 2238375"/>
              <a:gd name="connsiteY5" fmla="*/ 1628775 h 2533650"/>
              <a:gd name="connsiteX6" fmla="*/ 1647825 w 2238375"/>
              <a:gd name="connsiteY6" fmla="*/ 2362200 h 2533650"/>
              <a:gd name="connsiteX7" fmla="*/ 1095375 w 2238375"/>
              <a:gd name="connsiteY7" fmla="*/ 2533650 h 2533650"/>
              <a:gd name="connsiteX8" fmla="*/ 361950 w 2238375"/>
              <a:gd name="connsiteY8" fmla="*/ 1457325 h 2533650"/>
              <a:gd name="connsiteX9" fmla="*/ 0 w 2238375"/>
              <a:gd name="connsiteY9" fmla="*/ 628650 h 25336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238375" h="2533650">
                <a:moveTo>
                  <a:pt x="0" y="628650"/>
                </a:moveTo>
                <a:lnTo>
                  <a:pt x="1171575" y="438150"/>
                </a:lnTo>
                <a:lnTo>
                  <a:pt x="1123950" y="304800"/>
                </a:lnTo>
                <a:lnTo>
                  <a:pt x="2171700" y="0"/>
                </a:lnTo>
                <a:lnTo>
                  <a:pt x="2238375" y="1524000"/>
                </a:lnTo>
                <a:lnTo>
                  <a:pt x="1419225" y="1628775"/>
                </a:lnTo>
                <a:lnTo>
                  <a:pt x="1647825" y="2362200"/>
                </a:lnTo>
                <a:lnTo>
                  <a:pt x="1095375" y="2533650"/>
                </a:lnTo>
                <a:lnTo>
                  <a:pt x="361950" y="1457325"/>
                </a:lnTo>
                <a:lnTo>
                  <a:pt x="0" y="628650"/>
                </a:lnTo>
                <a:close/>
              </a:path>
            </a:pathLst>
          </a:custGeom>
          <a:noFill/>
          <a:ln w="28575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</xdr:grpSp>
    <xdr:clientData/>
  </xdr:twoCellAnchor>
  <xdr:twoCellAnchor>
    <xdr:from>
      <xdr:col>8</xdr:col>
      <xdr:colOff>256322</xdr:colOff>
      <xdr:row>492</xdr:row>
      <xdr:rowOff>112137</xdr:rowOff>
    </xdr:from>
    <xdr:to>
      <xdr:col>9</xdr:col>
      <xdr:colOff>97572</xdr:colOff>
      <xdr:row>494</xdr:row>
      <xdr:rowOff>90245</xdr:rowOff>
    </xdr:to>
    <xdr:sp macro="" textlink="">
      <xdr:nvSpPr>
        <xdr:cNvPr id="69" name="TextBox 16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6949222" y="70692387"/>
          <a:ext cx="1060450" cy="3718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/>
            <a:t>Tower E</a:t>
          </a:r>
          <a:endParaRPr lang="en-IN" b="1"/>
        </a:p>
      </xdr:txBody>
    </xdr:sp>
    <xdr:clientData/>
  </xdr:twoCellAnchor>
  <xdr:twoCellAnchor>
    <xdr:from>
      <xdr:col>11</xdr:col>
      <xdr:colOff>575329</xdr:colOff>
      <xdr:row>491</xdr:row>
      <xdr:rowOff>123083</xdr:rowOff>
    </xdr:from>
    <xdr:to>
      <xdr:col>11</xdr:col>
      <xdr:colOff>1632604</xdr:colOff>
      <xdr:row>493</xdr:row>
      <xdr:rowOff>101191</xdr:rowOff>
    </xdr:to>
    <xdr:sp macro="" textlink="">
      <xdr:nvSpPr>
        <xdr:cNvPr id="72" name="TextBox 16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10024129" y="70506483"/>
          <a:ext cx="1057275" cy="3718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/>
            <a:t>Tower F</a:t>
          </a:r>
          <a:endParaRPr lang="en-IN" b="1"/>
        </a:p>
      </xdr:txBody>
    </xdr:sp>
    <xdr:clientData/>
  </xdr:twoCellAnchor>
  <xdr:twoCellAnchor>
    <xdr:from>
      <xdr:col>8</xdr:col>
      <xdr:colOff>984250</xdr:colOff>
      <xdr:row>481</xdr:row>
      <xdr:rowOff>190500</xdr:rowOff>
    </xdr:from>
    <xdr:to>
      <xdr:col>14</xdr:col>
      <xdr:colOff>109371</xdr:colOff>
      <xdr:row>517</xdr:row>
      <xdr:rowOff>113706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7537450" y="97421700"/>
          <a:ext cx="6615581" cy="7047906"/>
          <a:chOff x="107950" y="68719700"/>
          <a:chExt cx="6433971" cy="7003456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26046" y="73923156"/>
            <a:ext cx="2397778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7950" y="687197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00004" y="687197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92058" y="687197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84771" y="71609428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63089" y="71609428"/>
            <a:ext cx="287733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157149</xdr:colOff>
      <xdr:row>482</xdr:row>
      <xdr:rowOff>152401</xdr:rowOff>
    </xdr:from>
    <xdr:to>
      <xdr:col>7</xdr:col>
      <xdr:colOff>393456</xdr:colOff>
      <xdr:row>518</xdr:row>
      <xdr:rowOff>43962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pSpPr/>
      </xdr:nvGrpSpPr>
      <xdr:grpSpPr>
        <a:xfrm>
          <a:off x="157149" y="97581721"/>
          <a:ext cx="6065607" cy="7016261"/>
          <a:chOff x="62523" y="1267360"/>
          <a:chExt cx="6676799" cy="7354101"/>
        </a:xfrm>
      </xdr:grpSpPr>
      <xdr:pic>
        <xdr:nvPicPr>
          <xdr:cNvPr id="32" name="Picture 31" descr="https://vsjcllp.vsjadon.com/upload/insp-245637-1525.jpg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6428"/>
          <a:stretch/>
        </xdr:blipFill>
        <xdr:spPr bwMode="auto">
          <a:xfrm>
            <a:off x="4100047" y="6654557"/>
            <a:ext cx="1467269" cy="196690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Picture 32" descr="https://vsjcllp.vsjadon.com/upload/insp-245637-843.jpg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432"/>
          <a:stretch/>
        </xdr:blipFill>
        <xdr:spPr bwMode="auto">
          <a:xfrm>
            <a:off x="62523" y="1273523"/>
            <a:ext cx="2128121" cy="288774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3" descr="https://vsjcllp.vsjadon.com/upload/insp-245637-845.jpg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09135" y="4267200"/>
            <a:ext cx="2930187" cy="219938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4" descr="https://vsjcllp.vsjadon.com/upload/insp-245637-844.jpg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47775" y="1273523"/>
            <a:ext cx="2144905" cy="286285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5" descr="https://vsjcllp.vsjadon.com/upload/insp-245637-847.jpg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86946" y="6654557"/>
            <a:ext cx="1473389" cy="195839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6" descr="https://vsjcllp.vsjadon.com/upload/insp-245637-849.jpg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22691" y="6654557"/>
            <a:ext cx="1467269" cy="195839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" name="Picture 37" descr="https://vsjcllp.vsjadon.com/upload/insp-245637-862.jpg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3926" y="4267200"/>
            <a:ext cx="1647822" cy="219938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Picture 38" descr="https://vsjcllp.vsjadon.com/upload/insp-245637-860.jpg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11201" y="1267360"/>
            <a:ext cx="2128121" cy="284045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7" name="Picture 46" descr="https://vsjcllp.vsjadon.com/upload/insp-245637-874.jpg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36871" y="4267200"/>
            <a:ext cx="1647822" cy="219938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e9rxCv5jgqVduTY5A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566"/>
  <sheetViews>
    <sheetView tabSelected="1" view="pageBreakPreview" topLeftCell="A329" zoomScaleNormal="100" zoomScaleSheetLayoutView="100" zoomScalePageLayoutView="85" workbookViewId="0">
      <selection activeCell="L338" sqref="L338"/>
    </sheetView>
  </sheetViews>
  <sheetFormatPr defaultColWidth="9.109375" defaultRowHeight="15.6" x14ac:dyDescent="0.3"/>
  <cols>
    <col min="1" max="1" width="11.44140625" style="39" customWidth="1"/>
    <col min="2" max="2" width="12" style="39" customWidth="1"/>
    <col min="3" max="3" width="12.6640625" style="39" customWidth="1"/>
    <col min="4" max="4" width="14.109375" style="39" customWidth="1"/>
    <col min="5" max="6" width="11.6640625" style="39" customWidth="1"/>
    <col min="7" max="7" width="11.44140625" style="39" customWidth="1"/>
    <col min="8" max="8" width="10.5546875" style="39" customWidth="1"/>
    <col min="9" max="9" width="17.44140625" style="20" customWidth="1"/>
    <col min="10" max="10" width="11.44140625" style="20" customWidth="1"/>
    <col min="11" max="11" width="14.33203125" style="20" customWidth="1"/>
    <col min="12" max="12" width="41.5546875" style="20" bestFit="1" customWidth="1"/>
    <col min="13" max="13" width="11.88671875" style="20" customWidth="1"/>
    <col min="14" max="14" width="12.5546875" style="20" customWidth="1"/>
    <col min="15" max="15" width="9.88671875" style="20" customWidth="1"/>
    <col min="16" max="16" width="11.6640625" style="20" customWidth="1"/>
    <col min="17" max="247" width="9.109375" style="20"/>
    <col min="248" max="248" width="8.6640625" style="20" customWidth="1"/>
    <col min="249" max="249" width="9.88671875" style="20" customWidth="1"/>
    <col min="250" max="250" width="14.44140625" style="20" customWidth="1"/>
    <col min="251" max="251" width="7.33203125" style="20" customWidth="1"/>
    <col min="252" max="252" width="5.5546875" style="20" customWidth="1"/>
    <col min="253" max="253" width="9" style="20" customWidth="1"/>
    <col min="254" max="255" width="9.88671875" style="20" customWidth="1"/>
    <col min="256" max="256" width="11.109375" style="20" customWidth="1"/>
    <col min="257" max="257" width="2.88671875" style="20" customWidth="1"/>
    <col min="258" max="258" width="3.5546875" style="20" customWidth="1"/>
    <col min="259" max="503" width="9.109375" style="20"/>
    <col min="504" max="504" width="8.6640625" style="20" customWidth="1"/>
    <col min="505" max="505" width="9.88671875" style="20" customWidth="1"/>
    <col min="506" max="506" width="14.44140625" style="20" customWidth="1"/>
    <col min="507" max="507" width="7.33203125" style="20" customWidth="1"/>
    <col min="508" max="508" width="5.5546875" style="20" customWidth="1"/>
    <col min="509" max="509" width="9" style="20" customWidth="1"/>
    <col min="510" max="511" width="9.88671875" style="20" customWidth="1"/>
    <col min="512" max="512" width="11.109375" style="20" customWidth="1"/>
    <col min="513" max="513" width="2.88671875" style="20" customWidth="1"/>
    <col min="514" max="514" width="3.5546875" style="20" customWidth="1"/>
    <col min="515" max="759" width="9.109375" style="20"/>
    <col min="760" max="760" width="8.6640625" style="20" customWidth="1"/>
    <col min="761" max="761" width="9.88671875" style="20" customWidth="1"/>
    <col min="762" max="762" width="14.44140625" style="20" customWidth="1"/>
    <col min="763" max="763" width="7.33203125" style="20" customWidth="1"/>
    <col min="764" max="764" width="5.5546875" style="20" customWidth="1"/>
    <col min="765" max="765" width="9" style="20" customWidth="1"/>
    <col min="766" max="767" width="9.88671875" style="20" customWidth="1"/>
    <col min="768" max="768" width="11.109375" style="20" customWidth="1"/>
    <col min="769" max="769" width="2.88671875" style="20" customWidth="1"/>
    <col min="770" max="770" width="3.5546875" style="20" customWidth="1"/>
    <col min="771" max="1015" width="9.109375" style="20"/>
    <col min="1016" max="1016" width="8.6640625" style="20" customWidth="1"/>
    <col min="1017" max="1017" width="9.88671875" style="20" customWidth="1"/>
    <col min="1018" max="1018" width="14.44140625" style="20" customWidth="1"/>
    <col min="1019" max="1019" width="7.33203125" style="20" customWidth="1"/>
    <col min="1020" max="1020" width="5.5546875" style="20" customWidth="1"/>
    <col min="1021" max="1021" width="9" style="20" customWidth="1"/>
    <col min="1022" max="1023" width="9.88671875" style="20" customWidth="1"/>
    <col min="1024" max="1024" width="11.109375" style="20" customWidth="1"/>
    <col min="1025" max="1025" width="2.88671875" style="20" customWidth="1"/>
    <col min="1026" max="1026" width="3.5546875" style="20" customWidth="1"/>
    <col min="1027" max="1271" width="9.109375" style="20"/>
    <col min="1272" max="1272" width="8.6640625" style="20" customWidth="1"/>
    <col min="1273" max="1273" width="9.88671875" style="20" customWidth="1"/>
    <col min="1274" max="1274" width="14.44140625" style="20" customWidth="1"/>
    <col min="1275" max="1275" width="7.33203125" style="20" customWidth="1"/>
    <col min="1276" max="1276" width="5.5546875" style="20" customWidth="1"/>
    <col min="1277" max="1277" width="9" style="20" customWidth="1"/>
    <col min="1278" max="1279" width="9.88671875" style="20" customWidth="1"/>
    <col min="1280" max="1280" width="11.109375" style="20" customWidth="1"/>
    <col min="1281" max="1281" width="2.88671875" style="20" customWidth="1"/>
    <col min="1282" max="1282" width="3.5546875" style="20" customWidth="1"/>
    <col min="1283" max="1527" width="9.109375" style="20"/>
    <col min="1528" max="1528" width="8.6640625" style="20" customWidth="1"/>
    <col min="1529" max="1529" width="9.88671875" style="20" customWidth="1"/>
    <col min="1530" max="1530" width="14.44140625" style="20" customWidth="1"/>
    <col min="1531" max="1531" width="7.33203125" style="20" customWidth="1"/>
    <col min="1532" max="1532" width="5.5546875" style="20" customWidth="1"/>
    <col min="1533" max="1533" width="9" style="20" customWidth="1"/>
    <col min="1534" max="1535" width="9.88671875" style="20" customWidth="1"/>
    <col min="1536" max="1536" width="11.109375" style="20" customWidth="1"/>
    <col min="1537" max="1537" width="2.88671875" style="20" customWidth="1"/>
    <col min="1538" max="1538" width="3.5546875" style="20" customWidth="1"/>
    <col min="1539" max="1783" width="9.109375" style="20"/>
    <col min="1784" max="1784" width="8.6640625" style="20" customWidth="1"/>
    <col min="1785" max="1785" width="9.88671875" style="20" customWidth="1"/>
    <col min="1786" max="1786" width="14.44140625" style="20" customWidth="1"/>
    <col min="1787" max="1787" width="7.33203125" style="20" customWidth="1"/>
    <col min="1788" max="1788" width="5.5546875" style="20" customWidth="1"/>
    <col min="1789" max="1789" width="9" style="20" customWidth="1"/>
    <col min="1790" max="1791" width="9.88671875" style="20" customWidth="1"/>
    <col min="1792" max="1792" width="11.109375" style="20" customWidth="1"/>
    <col min="1793" max="1793" width="2.88671875" style="20" customWidth="1"/>
    <col min="1794" max="1794" width="3.5546875" style="20" customWidth="1"/>
    <col min="1795" max="2039" width="9.109375" style="20"/>
    <col min="2040" max="2040" width="8.6640625" style="20" customWidth="1"/>
    <col min="2041" max="2041" width="9.88671875" style="20" customWidth="1"/>
    <col min="2042" max="2042" width="14.44140625" style="20" customWidth="1"/>
    <col min="2043" max="2043" width="7.33203125" style="20" customWidth="1"/>
    <col min="2044" max="2044" width="5.5546875" style="20" customWidth="1"/>
    <col min="2045" max="2045" width="9" style="20" customWidth="1"/>
    <col min="2046" max="2047" width="9.88671875" style="20" customWidth="1"/>
    <col min="2048" max="2048" width="11.109375" style="20" customWidth="1"/>
    <col min="2049" max="2049" width="2.88671875" style="20" customWidth="1"/>
    <col min="2050" max="2050" width="3.5546875" style="20" customWidth="1"/>
    <col min="2051" max="2295" width="9.109375" style="20"/>
    <col min="2296" max="2296" width="8.6640625" style="20" customWidth="1"/>
    <col min="2297" max="2297" width="9.88671875" style="20" customWidth="1"/>
    <col min="2298" max="2298" width="14.44140625" style="20" customWidth="1"/>
    <col min="2299" max="2299" width="7.33203125" style="20" customWidth="1"/>
    <col min="2300" max="2300" width="5.5546875" style="20" customWidth="1"/>
    <col min="2301" max="2301" width="9" style="20" customWidth="1"/>
    <col min="2302" max="2303" width="9.88671875" style="20" customWidth="1"/>
    <col min="2304" max="2304" width="11.109375" style="20" customWidth="1"/>
    <col min="2305" max="2305" width="2.88671875" style="20" customWidth="1"/>
    <col min="2306" max="2306" width="3.5546875" style="20" customWidth="1"/>
    <col min="2307" max="2551" width="9.109375" style="20"/>
    <col min="2552" max="2552" width="8.6640625" style="20" customWidth="1"/>
    <col min="2553" max="2553" width="9.88671875" style="20" customWidth="1"/>
    <col min="2554" max="2554" width="14.44140625" style="20" customWidth="1"/>
    <col min="2555" max="2555" width="7.33203125" style="20" customWidth="1"/>
    <col min="2556" max="2556" width="5.5546875" style="20" customWidth="1"/>
    <col min="2557" max="2557" width="9" style="20" customWidth="1"/>
    <col min="2558" max="2559" width="9.88671875" style="20" customWidth="1"/>
    <col min="2560" max="2560" width="11.109375" style="20" customWidth="1"/>
    <col min="2561" max="2561" width="2.88671875" style="20" customWidth="1"/>
    <col min="2562" max="2562" width="3.5546875" style="20" customWidth="1"/>
    <col min="2563" max="2807" width="9.109375" style="20"/>
    <col min="2808" max="2808" width="8.6640625" style="20" customWidth="1"/>
    <col min="2809" max="2809" width="9.88671875" style="20" customWidth="1"/>
    <col min="2810" max="2810" width="14.44140625" style="20" customWidth="1"/>
    <col min="2811" max="2811" width="7.33203125" style="20" customWidth="1"/>
    <col min="2812" max="2812" width="5.5546875" style="20" customWidth="1"/>
    <col min="2813" max="2813" width="9" style="20" customWidth="1"/>
    <col min="2814" max="2815" width="9.88671875" style="20" customWidth="1"/>
    <col min="2816" max="2816" width="11.109375" style="20" customWidth="1"/>
    <col min="2817" max="2817" width="2.88671875" style="20" customWidth="1"/>
    <col min="2818" max="2818" width="3.5546875" style="20" customWidth="1"/>
    <col min="2819" max="3063" width="9.109375" style="20"/>
    <col min="3064" max="3064" width="8.6640625" style="20" customWidth="1"/>
    <col min="3065" max="3065" width="9.88671875" style="20" customWidth="1"/>
    <col min="3066" max="3066" width="14.44140625" style="20" customWidth="1"/>
    <col min="3067" max="3067" width="7.33203125" style="20" customWidth="1"/>
    <col min="3068" max="3068" width="5.5546875" style="20" customWidth="1"/>
    <col min="3069" max="3069" width="9" style="20" customWidth="1"/>
    <col min="3070" max="3071" width="9.88671875" style="20" customWidth="1"/>
    <col min="3072" max="3072" width="11.109375" style="20" customWidth="1"/>
    <col min="3073" max="3073" width="2.88671875" style="20" customWidth="1"/>
    <col min="3074" max="3074" width="3.5546875" style="20" customWidth="1"/>
    <col min="3075" max="3319" width="9.109375" style="20"/>
    <col min="3320" max="3320" width="8.6640625" style="20" customWidth="1"/>
    <col min="3321" max="3321" width="9.88671875" style="20" customWidth="1"/>
    <col min="3322" max="3322" width="14.44140625" style="20" customWidth="1"/>
    <col min="3323" max="3323" width="7.33203125" style="20" customWidth="1"/>
    <col min="3324" max="3324" width="5.5546875" style="20" customWidth="1"/>
    <col min="3325" max="3325" width="9" style="20" customWidth="1"/>
    <col min="3326" max="3327" width="9.88671875" style="20" customWidth="1"/>
    <col min="3328" max="3328" width="11.109375" style="20" customWidth="1"/>
    <col min="3329" max="3329" width="2.88671875" style="20" customWidth="1"/>
    <col min="3330" max="3330" width="3.5546875" style="20" customWidth="1"/>
    <col min="3331" max="3575" width="9.109375" style="20"/>
    <col min="3576" max="3576" width="8.6640625" style="20" customWidth="1"/>
    <col min="3577" max="3577" width="9.88671875" style="20" customWidth="1"/>
    <col min="3578" max="3578" width="14.44140625" style="20" customWidth="1"/>
    <col min="3579" max="3579" width="7.33203125" style="20" customWidth="1"/>
    <col min="3580" max="3580" width="5.5546875" style="20" customWidth="1"/>
    <col min="3581" max="3581" width="9" style="20" customWidth="1"/>
    <col min="3582" max="3583" width="9.88671875" style="20" customWidth="1"/>
    <col min="3584" max="3584" width="11.109375" style="20" customWidth="1"/>
    <col min="3585" max="3585" width="2.88671875" style="20" customWidth="1"/>
    <col min="3586" max="3586" width="3.5546875" style="20" customWidth="1"/>
    <col min="3587" max="3831" width="9.109375" style="20"/>
    <col min="3832" max="3832" width="8.6640625" style="20" customWidth="1"/>
    <col min="3833" max="3833" width="9.88671875" style="20" customWidth="1"/>
    <col min="3834" max="3834" width="14.44140625" style="20" customWidth="1"/>
    <col min="3835" max="3835" width="7.33203125" style="20" customWidth="1"/>
    <col min="3836" max="3836" width="5.5546875" style="20" customWidth="1"/>
    <col min="3837" max="3837" width="9" style="20" customWidth="1"/>
    <col min="3838" max="3839" width="9.88671875" style="20" customWidth="1"/>
    <col min="3840" max="3840" width="11.109375" style="20" customWidth="1"/>
    <col min="3841" max="3841" width="2.88671875" style="20" customWidth="1"/>
    <col min="3842" max="3842" width="3.5546875" style="20" customWidth="1"/>
    <col min="3843" max="4087" width="9.109375" style="20"/>
    <col min="4088" max="4088" width="8.6640625" style="20" customWidth="1"/>
    <col min="4089" max="4089" width="9.88671875" style="20" customWidth="1"/>
    <col min="4090" max="4090" width="14.44140625" style="20" customWidth="1"/>
    <col min="4091" max="4091" width="7.33203125" style="20" customWidth="1"/>
    <col min="4092" max="4092" width="5.5546875" style="20" customWidth="1"/>
    <col min="4093" max="4093" width="9" style="20" customWidth="1"/>
    <col min="4094" max="4095" width="9.88671875" style="20" customWidth="1"/>
    <col min="4096" max="4096" width="11.109375" style="20" customWidth="1"/>
    <col min="4097" max="4097" width="2.88671875" style="20" customWidth="1"/>
    <col min="4098" max="4098" width="3.5546875" style="20" customWidth="1"/>
    <col min="4099" max="4343" width="9.109375" style="20"/>
    <col min="4344" max="4344" width="8.6640625" style="20" customWidth="1"/>
    <col min="4345" max="4345" width="9.88671875" style="20" customWidth="1"/>
    <col min="4346" max="4346" width="14.44140625" style="20" customWidth="1"/>
    <col min="4347" max="4347" width="7.33203125" style="20" customWidth="1"/>
    <col min="4348" max="4348" width="5.5546875" style="20" customWidth="1"/>
    <col min="4349" max="4349" width="9" style="20" customWidth="1"/>
    <col min="4350" max="4351" width="9.88671875" style="20" customWidth="1"/>
    <col min="4352" max="4352" width="11.109375" style="20" customWidth="1"/>
    <col min="4353" max="4353" width="2.88671875" style="20" customWidth="1"/>
    <col min="4354" max="4354" width="3.5546875" style="20" customWidth="1"/>
    <col min="4355" max="4599" width="9.109375" style="20"/>
    <col min="4600" max="4600" width="8.6640625" style="20" customWidth="1"/>
    <col min="4601" max="4601" width="9.88671875" style="20" customWidth="1"/>
    <col min="4602" max="4602" width="14.44140625" style="20" customWidth="1"/>
    <col min="4603" max="4603" width="7.33203125" style="20" customWidth="1"/>
    <col min="4604" max="4604" width="5.5546875" style="20" customWidth="1"/>
    <col min="4605" max="4605" width="9" style="20" customWidth="1"/>
    <col min="4606" max="4607" width="9.88671875" style="20" customWidth="1"/>
    <col min="4608" max="4608" width="11.109375" style="20" customWidth="1"/>
    <col min="4609" max="4609" width="2.88671875" style="20" customWidth="1"/>
    <col min="4610" max="4610" width="3.5546875" style="20" customWidth="1"/>
    <col min="4611" max="4855" width="9.109375" style="20"/>
    <col min="4856" max="4856" width="8.6640625" style="20" customWidth="1"/>
    <col min="4857" max="4857" width="9.88671875" style="20" customWidth="1"/>
    <col min="4858" max="4858" width="14.44140625" style="20" customWidth="1"/>
    <col min="4859" max="4859" width="7.33203125" style="20" customWidth="1"/>
    <col min="4860" max="4860" width="5.5546875" style="20" customWidth="1"/>
    <col min="4861" max="4861" width="9" style="20" customWidth="1"/>
    <col min="4862" max="4863" width="9.88671875" style="20" customWidth="1"/>
    <col min="4864" max="4864" width="11.109375" style="20" customWidth="1"/>
    <col min="4865" max="4865" width="2.88671875" style="20" customWidth="1"/>
    <col min="4866" max="4866" width="3.5546875" style="20" customWidth="1"/>
    <col min="4867" max="5111" width="9.109375" style="20"/>
    <col min="5112" max="5112" width="8.6640625" style="20" customWidth="1"/>
    <col min="5113" max="5113" width="9.88671875" style="20" customWidth="1"/>
    <col min="5114" max="5114" width="14.44140625" style="20" customWidth="1"/>
    <col min="5115" max="5115" width="7.33203125" style="20" customWidth="1"/>
    <col min="5116" max="5116" width="5.5546875" style="20" customWidth="1"/>
    <col min="5117" max="5117" width="9" style="20" customWidth="1"/>
    <col min="5118" max="5119" width="9.88671875" style="20" customWidth="1"/>
    <col min="5120" max="5120" width="11.109375" style="20" customWidth="1"/>
    <col min="5121" max="5121" width="2.88671875" style="20" customWidth="1"/>
    <col min="5122" max="5122" width="3.5546875" style="20" customWidth="1"/>
    <col min="5123" max="5367" width="9.109375" style="20"/>
    <col min="5368" max="5368" width="8.6640625" style="20" customWidth="1"/>
    <col min="5369" max="5369" width="9.88671875" style="20" customWidth="1"/>
    <col min="5370" max="5370" width="14.44140625" style="20" customWidth="1"/>
    <col min="5371" max="5371" width="7.33203125" style="20" customWidth="1"/>
    <col min="5372" max="5372" width="5.5546875" style="20" customWidth="1"/>
    <col min="5373" max="5373" width="9" style="20" customWidth="1"/>
    <col min="5374" max="5375" width="9.88671875" style="20" customWidth="1"/>
    <col min="5376" max="5376" width="11.109375" style="20" customWidth="1"/>
    <col min="5377" max="5377" width="2.88671875" style="20" customWidth="1"/>
    <col min="5378" max="5378" width="3.5546875" style="20" customWidth="1"/>
    <col min="5379" max="5623" width="9.109375" style="20"/>
    <col min="5624" max="5624" width="8.6640625" style="20" customWidth="1"/>
    <col min="5625" max="5625" width="9.88671875" style="20" customWidth="1"/>
    <col min="5626" max="5626" width="14.44140625" style="20" customWidth="1"/>
    <col min="5627" max="5627" width="7.33203125" style="20" customWidth="1"/>
    <col min="5628" max="5628" width="5.5546875" style="20" customWidth="1"/>
    <col min="5629" max="5629" width="9" style="20" customWidth="1"/>
    <col min="5630" max="5631" width="9.88671875" style="20" customWidth="1"/>
    <col min="5632" max="5632" width="11.109375" style="20" customWidth="1"/>
    <col min="5633" max="5633" width="2.88671875" style="20" customWidth="1"/>
    <col min="5634" max="5634" width="3.5546875" style="20" customWidth="1"/>
    <col min="5635" max="5879" width="9.109375" style="20"/>
    <col min="5880" max="5880" width="8.6640625" style="20" customWidth="1"/>
    <col min="5881" max="5881" width="9.88671875" style="20" customWidth="1"/>
    <col min="5882" max="5882" width="14.44140625" style="20" customWidth="1"/>
    <col min="5883" max="5883" width="7.33203125" style="20" customWidth="1"/>
    <col min="5884" max="5884" width="5.5546875" style="20" customWidth="1"/>
    <col min="5885" max="5885" width="9" style="20" customWidth="1"/>
    <col min="5886" max="5887" width="9.88671875" style="20" customWidth="1"/>
    <col min="5888" max="5888" width="11.109375" style="20" customWidth="1"/>
    <col min="5889" max="5889" width="2.88671875" style="20" customWidth="1"/>
    <col min="5890" max="5890" width="3.5546875" style="20" customWidth="1"/>
    <col min="5891" max="6135" width="9.109375" style="20"/>
    <col min="6136" max="6136" width="8.6640625" style="20" customWidth="1"/>
    <col min="6137" max="6137" width="9.88671875" style="20" customWidth="1"/>
    <col min="6138" max="6138" width="14.44140625" style="20" customWidth="1"/>
    <col min="6139" max="6139" width="7.33203125" style="20" customWidth="1"/>
    <col min="6140" max="6140" width="5.5546875" style="20" customWidth="1"/>
    <col min="6141" max="6141" width="9" style="20" customWidth="1"/>
    <col min="6142" max="6143" width="9.88671875" style="20" customWidth="1"/>
    <col min="6144" max="6144" width="11.109375" style="20" customWidth="1"/>
    <col min="6145" max="6145" width="2.88671875" style="20" customWidth="1"/>
    <col min="6146" max="6146" width="3.5546875" style="20" customWidth="1"/>
    <col min="6147" max="6391" width="9.109375" style="20"/>
    <col min="6392" max="6392" width="8.6640625" style="20" customWidth="1"/>
    <col min="6393" max="6393" width="9.88671875" style="20" customWidth="1"/>
    <col min="6394" max="6394" width="14.44140625" style="20" customWidth="1"/>
    <col min="6395" max="6395" width="7.33203125" style="20" customWidth="1"/>
    <col min="6396" max="6396" width="5.5546875" style="20" customWidth="1"/>
    <col min="6397" max="6397" width="9" style="20" customWidth="1"/>
    <col min="6398" max="6399" width="9.88671875" style="20" customWidth="1"/>
    <col min="6400" max="6400" width="11.109375" style="20" customWidth="1"/>
    <col min="6401" max="6401" width="2.88671875" style="20" customWidth="1"/>
    <col min="6402" max="6402" width="3.5546875" style="20" customWidth="1"/>
    <col min="6403" max="6647" width="9.109375" style="20"/>
    <col min="6648" max="6648" width="8.6640625" style="20" customWidth="1"/>
    <col min="6649" max="6649" width="9.88671875" style="20" customWidth="1"/>
    <col min="6650" max="6650" width="14.44140625" style="20" customWidth="1"/>
    <col min="6651" max="6651" width="7.33203125" style="20" customWidth="1"/>
    <col min="6652" max="6652" width="5.5546875" style="20" customWidth="1"/>
    <col min="6653" max="6653" width="9" style="20" customWidth="1"/>
    <col min="6654" max="6655" width="9.88671875" style="20" customWidth="1"/>
    <col min="6656" max="6656" width="11.109375" style="20" customWidth="1"/>
    <col min="6657" max="6657" width="2.88671875" style="20" customWidth="1"/>
    <col min="6658" max="6658" width="3.5546875" style="20" customWidth="1"/>
    <col min="6659" max="6903" width="9.109375" style="20"/>
    <col min="6904" max="6904" width="8.6640625" style="20" customWidth="1"/>
    <col min="6905" max="6905" width="9.88671875" style="20" customWidth="1"/>
    <col min="6906" max="6906" width="14.44140625" style="20" customWidth="1"/>
    <col min="6907" max="6907" width="7.33203125" style="20" customWidth="1"/>
    <col min="6908" max="6908" width="5.5546875" style="20" customWidth="1"/>
    <col min="6909" max="6909" width="9" style="20" customWidth="1"/>
    <col min="6910" max="6911" width="9.88671875" style="20" customWidth="1"/>
    <col min="6912" max="6912" width="11.109375" style="20" customWidth="1"/>
    <col min="6913" max="6913" width="2.88671875" style="20" customWidth="1"/>
    <col min="6914" max="6914" width="3.5546875" style="20" customWidth="1"/>
    <col min="6915" max="7159" width="9.109375" style="20"/>
    <col min="7160" max="7160" width="8.6640625" style="20" customWidth="1"/>
    <col min="7161" max="7161" width="9.88671875" style="20" customWidth="1"/>
    <col min="7162" max="7162" width="14.44140625" style="20" customWidth="1"/>
    <col min="7163" max="7163" width="7.33203125" style="20" customWidth="1"/>
    <col min="7164" max="7164" width="5.5546875" style="20" customWidth="1"/>
    <col min="7165" max="7165" width="9" style="20" customWidth="1"/>
    <col min="7166" max="7167" width="9.88671875" style="20" customWidth="1"/>
    <col min="7168" max="7168" width="11.109375" style="20" customWidth="1"/>
    <col min="7169" max="7169" width="2.88671875" style="20" customWidth="1"/>
    <col min="7170" max="7170" width="3.5546875" style="20" customWidth="1"/>
    <col min="7171" max="7415" width="9.109375" style="20"/>
    <col min="7416" max="7416" width="8.6640625" style="20" customWidth="1"/>
    <col min="7417" max="7417" width="9.88671875" style="20" customWidth="1"/>
    <col min="7418" max="7418" width="14.44140625" style="20" customWidth="1"/>
    <col min="7419" max="7419" width="7.33203125" style="20" customWidth="1"/>
    <col min="7420" max="7420" width="5.5546875" style="20" customWidth="1"/>
    <col min="7421" max="7421" width="9" style="20" customWidth="1"/>
    <col min="7422" max="7423" width="9.88671875" style="20" customWidth="1"/>
    <col min="7424" max="7424" width="11.109375" style="20" customWidth="1"/>
    <col min="7425" max="7425" width="2.88671875" style="20" customWidth="1"/>
    <col min="7426" max="7426" width="3.5546875" style="20" customWidth="1"/>
    <col min="7427" max="7671" width="9.109375" style="20"/>
    <col min="7672" max="7672" width="8.6640625" style="20" customWidth="1"/>
    <col min="7673" max="7673" width="9.88671875" style="20" customWidth="1"/>
    <col min="7674" max="7674" width="14.44140625" style="20" customWidth="1"/>
    <col min="7675" max="7675" width="7.33203125" style="20" customWidth="1"/>
    <col min="7676" max="7676" width="5.5546875" style="20" customWidth="1"/>
    <col min="7677" max="7677" width="9" style="20" customWidth="1"/>
    <col min="7678" max="7679" width="9.88671875" style="20" customWidth="1"/>
    <col min="7680" max="7680" width="11.109375" style="20" customWidth="1"/>
    <col min="7681" max="7681" width="2.88671875" style="20" customWidth="1"/>
    <col min="7682" max="7682" width="3.5546875" style="20" customWidth="1"/>
    <col min="7683" max="7927" width="9.109375" style="20"/>
    <col min="7928" max="7928" width="8.6640625" style="20" customWidth="1"/>
    <col min="7929" max="7929" width="9.88671875" style="20" customWidth="1"/>
    <col min="7930" max="7930" width="14.44140625" style="20" customWidth="1"/>
    <col min="7931" max="7931" width="7.33203125" style="20" customWidth="1"/>
    <col min="7932" max="7932" width="5.5546875" style="20" customWidth="1"/>
    <col min="7933" max="7933" width="9" style="20" customWidth="1"/>
    <col min="7934" max="7935" width="9.88671875" style="20" customWidth="1"/>
    <col min="7936" max="7936" width="11.109375" style="20" customWidth="1"/>
    <col min="7937" max="7937" width="2.88671875" style="20" customWidth="1"/>
    <col min="7938" max="7938" width="3.5546875" style="20" customWidth="1"/>
    <col min="7939" max="8183" width="9.109375" style="20"/>
    <col min="8184" max="8184" width="8.6640625" style="20" customWidth="1"/>
    <col min="8185" max="8185" width="9.88671875" style="20" customWidth="1"/>
    <col min="8186" max="8186" width="14.44140625" style="20" customWidth="1"/>
    <col min="8187" max="8187" width="7.33203125" style="20" customWidth="1"/>
    <col min="8188" max="8188" width="5.5546875" style="20" customWidth="1"/>
    <col min="8189" max="8189" width="9" style="20" customWidth="1"/>
    <col min="8190" max="8191" width="9.88671875" style="20" customWidth="1"/>
    <col min="8192" max="8192" width="11.109375" style="20" customWidth="1"/>
    <col min="8193" max="8193" width="2.88671875" style="20" customWidth="1"/>
    <col min="8194" max="8194" width="3.5546875" style="20" customWidth="1"/>
    <col min="8195" max="8439" width="9.109375" style="20"/>
    <col min="8440" max="8440" width="8.6640625" style="20" customWidth="1"/>
    <col min="8441" max="8441" width="9.88671875" style="20" customWidth="1"/>
    <col min="8442" max="8442" width="14.44140625" style="20" customWidth="1"/>
    <col min="8443" max="8443" width="7.33203125" style="20" customWidth="1"/>
    <col min="8444" max="8444" width="5.5546875" style="20" customWidth="1"/>
    <col min="8445" max="8445" width="9" style="20" customWidth="1"/>
    <col min="8446" max="8447" width="9.88671875" style="20" customWidth="1"/>
    <col min="8448" max="8448" width="11.109375" style="20" customWidth="1"/>
    <col min="8449" max="8449" width="2.88671875" style="20" customWidth="1"/>
    <col min="8450" max="8450" width="3.5546875" style="20" customWidth="1"/>
    <col min="8451" max="8695" width="9.109375" style="20"/>
    <col min="8696" max="8696" width="8.6640625" style="20" customWidth="1"/>
    <col min="8697" max="8697" width="9.88671875" style="20" customWidth="1"/>
    <col min="8698" max="8698" width="14.44140625" style="20" customWidth="1"/>
    <col min="8699" max="8699" width="7.33203125" style="20" customWidth="1"/>
    <col min="8700" max="8700" width="5.5546875" style="20" customWidth="1"/>
    <col min="8701" max="8701" width="9" style="20" customWidth="1"/>
    <col min="8702" max="8703" width="9.88671875" style="20" customWidth="1"/>
    <col min="8704" max="8704" width="11.109375" style="20" customWidth="1"/>
    <col min="8705" max="8705" width="2.88671875" style="20" customWidth="1"/>
    <col min="8706" max="8706" width="3.5546875" style="20" customWidth="1"/>
    <col min="8707" max="8951" width="9.109375" style="20"/>
    <col min="8952" max="8952" width="8.6640625" style="20" customWidth="1"/>
    <col min="8953" max="8953" width="9.88671875" style="20" customWidth="1"/>
    <col min="8954" max="8954" width="14.44140625" style="20" customWidth="1"/>
    <col min="8955" max="8955" width="7.33203125" style="20" customWidth="1"/>
    <col min="8956" max="8956" width="5.5546875" style="20" customWidth="1"/>
    <col min="8957" max="8957" width="9" style="20" customWidth="1"/>
    <col min="8958" max="8959" width="9.88671875" style="20" customWidth="1"/>
    <col min="8960" max="8960" width="11.109375" style="20" customWidth="1"/>
    <col min="8961" max="8961" width="2.88671875" style="20" customWidth="1"/>
    <col min="8962" max="8962" width="3.5546875" style="20" customWidth="1"/>
    <col min="8963" max="9207" width="9.109375" style="20"/>
    <col min="9208" max="9208" width="8.6640625" style="20" customWidth="1"/>
    <col min="9209" max="9209" width="9.88671875" style="20" customWidth="1"/>
    <col min="9210" max="9210" width="14.44140625" style="20" customWidth="1"/>
    <col min="9211" max="9211" width="7.33203125" style="20" customWidth="1"/>
    <col min="9212" max="9212" width="5.5546875" style="20" customWidth="1"/>
    <col min="9213" max="9213" width="9" style="20" customWidth="1"/>
    <col min="9214" max="9215" width="9.88671875" style="20" customWidth="1"/>
    <col min="9216" max="9216" width="11.109375" style="20" customWidth="1"/>
    <col min="9217" max="9217" width="2.88671875" style="20" customWidth="1"/>
    <col min="9218" max="9218" width="3.5546875" style="20" customWidth="1"/>
    <col min="9219" max="9463" width="9.109375" style="20"/>
    <col min="9464" max="9464" width="8.6640625" style="20" customWidth="1"/>
    <col min="9465" max="9465" width="9.88671875" style="20" customWidth="1"/>
    <col min="9466" max="9466" width="14.44140625" style="20" customWidth="1"/>
    <col min="9467" max="9467" width="7.33203125" style="20" customWidth="1"/>
    <col min="9468" max="9468" width="5.5546875" style="20" customWidth="1"/>
    <col min="9469" max="9469" width="9" style="20" customWidth="1"/>
    <col min="9470" max="9471" width="9.88671875" style="20" customWidth="1"/>
    <col min="9472" max="9472" width="11.109375" style="20" customWidth="1"/>
    <col min="9473" max="9473" width="2.88671875" style="20" customWidth="1"/>
    <col min="9474" max="9474" width="3.5546875" style="20" customWidth="1"/>
    <col min="9475" max="9719" width="9.109375" style="20"/>
    <col min="9720" max="9720" width="8.6640625" style="20" customWidth="1"/>
    <col min="9721" max="9721" width="9.88671875" style="20" customWidth="1"/>
    <col min="9722" max="9722" width="14.44140625" style="20" customWidth="1"/>
    <col min="9723" max="9723" width="7.33203125" style="20" customWidth="1"/>
    <col min="9724" max="9724" width="5.5546875" style="20" customWidth="1"/>
    <col min="9725" max="9725" width="9" style="20" customWidth="1"/>
    <col min="9726" max="9727" width="9.88671875" style="20" customWidth="1"/>
    <col min="9728" max="9728" width="11.109375" style="20" customWidth="1"/>
    <col min="9729" max="9729" width="2.88671875" style="20" customWidth="1"/>
    <col min="9730" max="9730" width="3.5546875" style="20" customWidth="1"/>
    <col min="9731" max="9975" width="9.109375" style="20"/>
    <col min="9976" max="9976" width="8.6640625" style="20" customWidth="1"/>
    <col min="9977" max="9977" width="9.88671875" style="20" customWidth="1"/>
    <col min="9978" max="9978" width="14.44140625" style="20" customWidth="1"/>
    <col min="9979" max="9979" width="7.33203125" style="20" customWidth="1"/>
    <col min="9980" max="9980" width="5.5546875" style="20" customWidth="1"/>
    <col min="9981" max="9981" width="9" style="20" customWidth="1"/>
    <col min="9982" max="9983" width="9.88671875" style="20" customWidth="1"/>
    <col min="9984" max="9984" width="11.109375" style="20" customWidth="1"/>
    <col min="9985" max="9985" width="2.88671875" style="20" customWidth="1"/>
    <col min="9986" max="9986" width="3.5546875" style="20" customWidth="1"/>
    <col min="9987" max="10231" width="9.109375" style="20"/>
    <col min="10232" max="10232" width="8.6640625" style="20" customWidth="1"/>
    <col min="10233" max="10233" width="9.88671875" style="20" customWidth="1"/>
    <col min="10234" max="10234" width="14.44140625" style="20" customWidth="1"/>
    <col min="10235" max="10235" width="7.33203125" style="20" customWidth="1"/>
    <col min="10236" max="10236" width="5.5546875" style="20" customWidth="1"/>
    <col min="10237" max="10237" width="9" style="20" customWidth="1"/>
    <col min="10238" max="10239" width="9.88671875" style="20" customWidth="1"/>
    <col min="10240" max="10240" width="11.109375" style="20" customWidth="1"/>
    <col min="10241" max="10241" width="2.88671875" style="20" customWidth="1"/>
    <col min="10242" max="10242" width="3.5546875" style="20" customWidth="1"/>
    <col min="10243" max="10487" width="9.109375" style="20"/>
    <col min="10488" max="10488" width="8.6640625" style="20" customWidth="1"/>
    <col min="10489" max="10489" width="9.88671875" style="20" customWidth="1"/>
    <col min="10490" max="10490" width="14.44140625" style="20" customWidth="1"/>
    <col min="10491" max="10491" width="7.33203125" style="20" customWidth="1"/>
    <col min="10492" max="10492" width="5.5546875" style="20" customWidth="1"/>
    <col min="10493" max="10493" width="9" style="20" customWidth="1"/>
    <col min="10494" max="10495" width="9.88671875" style="20" customWidth="1"/>
    <col min="10496" max="10496" width="11.109375" style="20" customWidth="1"/>
    <col min="10497" max="10497" width="2.88671875" style="20" customWidth="1"/>
    <col min="10498" max="10498" width="3.5546875" style="20" customWidth="1"/>
    <col min="10499" max="10743" width="9.109375" style="20"/>
    <col min="10744" max="10744" width="8.6640625" style="20" customWidth="1"/>
    <col min="10745" max="10745" width="9.88671875" style="20" customWidth="1"/>
    <col min="10746" max="10746" width="14.44140625" style="20" customWidth="1"/>
    <col min="10747" max="10747" width="7.33203125" style="20" customWidth="1"/>
    <col min="10748" max="10748" width="5.5546875" style="20" customWidth="1"/>
    <col min="10749" max="10749" width="9" style="20" customWidth="1"/>
    <col min="10750" max="10751" width="9.88671875" style="20" customWidth="1"/>
    <col min="10752" max="10752" width="11.109375" style="20" customWidth="1"/>
    <col min="10753" max="10753" width="2.88671875" style="20" customWidth="1"/>
    <col min="10754" max="10754" width="3.5546875" style="20" customWidth="1"/>
    <col min="10755" max="10999" width="9.109375" style="20"/>
    <col min="11000" max="11000" width="8.6640625" style="20" customWidth="1"/>
    <col min="11001" max="11001" width="9.88671875" style="20" customWidth="1"/>
    <col min="11002" max="11002" width="14.44140625" style="20" customWidth="1"/>
    <col min="11003" max="11003" width="7.33203125" style="20" customWidth="1"/>
    <col min="11004" max="11004" width="5.5546875" style="20" customWidth="1"/>
    <col min="11005" max="11005" width="9" style="20" customWidth="1"/>
    <col min="11006" max="11007" width="9.88671875" style="20" customWidth="1"/>
    <col min="11008" max="11008" width="11.109375" style="20" customWidth="1"/>
    <col min="11009" max="11009" width="2.88671875" style="20" customWidth="1"/>
    <col min="11010" max="11010" width="3.5546875" style="20" customWidth="1"/>
    <col min="11011" max="11255" width="9.109375" style="20"/>
    <col min="11256" max="11256" width="8.6640625" style="20" customWidth="1"/>
    <col min="11257" max="11257" width="9.88671875" style="20" customWidth="1"/>
    <col min="11258" max="11258" width="14.44140625" style="20" customWidth="1"/>
    <col min="11259" max="11259" width="7.33203125" style="20" customWidth="1"/>
    <col min="11260" max="11260" width="5.5546875" style="20" customWidth="1"/>
    <col min="11261" max="11261" width="9" style="20" customWidth="1"/>
    <col min="11262" max="11263" width="9.88671875" style="20" customWidth="1"/>
    <col min="11264" max="11264" width="11.109375" style="20" customWidth="1"/>
    <col min="11265" max="11265" width="2.88671875" style="20" customWidth="1"/>
    <col min="11266" max="11266" width="3.5546875" style="20" customWidth="1"/>
    <col min="11267" max="11511" width="9.109375" style="20"/>
    <col min="11512" max="11512" width="8.6640625" style="20" customWidth="1"/>
    <col min="11513" max="11513" width="9.88671875" style="20" customWidth="1"/>
    <col min="11514" max="11514" width="14.44140625" style="20" customWidth="1"/>
    <col min="11515" max="11515" width="7.33203125" style="20" customWidth="1"/>
    <col min="11516" max="11516" width="5.5546875" style="20" customWidth="1"/>
    <col min="11517" max="11517" width="9" style="20" customWidth="1"/>
    <col min="11518" max="11519" width="9.88671875" style="20" customWidth="1"/>
    <col min="11520" max="11520" width="11.109375" style="20" customWidth="1"/>
    <col min="11521" max="11521" width="2.88671875" style="20" customWidth="1"/>
    <col min="11522" max="11522" width="3.5546875" style="20" customWidth="1"/>
    <col min="11523" max="11767" width="9.109375" style="20"/>
    <col min="11768" max="11768" width="8.6640625" style="20" customWidth="1"/>
    <col min="11769" max="11769" width="9.88671875" style="20" customWidth="1"/>
    <col min="11770" max="11770" width="14.44140625" style="20" customWidth="1"/>
    <col min="11771" max="11771" width="7.33203125" style="20" customWidth="1"/>
    <col min="11772" max="11772" width="5.5546875" style="20" customWidth="1"/>
    <col min="11773" max="11773" width="9" style="20" customWidth="1"/>
    <col min="11774" max="11775" width="9.88671875" style="20" customWidth="1"/>
    <col min="11776" max="11776" width="11.109375" style="20" customWidth="1"/>
    <col min="11777" max="11777" width="2.88671875" style="20" customWidth="1"/>
    <col min="11778" max="11778" width="3.5546875" style="20" customWidth="1"/>
    <col min="11779" max="12023" width="9.109375" style="20"/>
    <col min="12024" max="12024" width="8.6640625" style="20" customWidth="1"/>
    <col min="12025" max="12025" width="9.88671875" style="20" customWidth="1"/>
    <col min="12026" max="12026" width="14.44140625" style="20" customWidth="1"/>
    <col min="12027" max="12027" width="7.33203125" style="20" customWidth="1"/>
    <col min="12028" max="12028" width="5.5546875" style="20" customWidth="1"/>
    <col min="12029" max="12029" width="9" style="20" customWidth="1"/>
    <col min="12030" max="12031" width="9.88671875" style="20" customWidth="1"/>
    <col min="12032" max="12032" width="11.109375" style="20" customWidth="1"/>
    <col min="12033" max="12033" width="2.88671875" style="20" customWidth="1"/>
    <col min="12034" max="12034" width="3.5546875" style="20" customWidth="1"/>
    <col min="12035" max="12279" width="9.109375" style="20"/>
    <col min="12280" max="12280" width="8.6640625" style="20" customWidth="1"/>
    <col min="12281" max="12281" width="9.88671875" style="20" customWidth="1"/>
    <col min="12282" max="12282" width="14.44140625" style="20" customWidth="1"/>
    <col min="12283" max="12283" width="7.33203125" style="20" customWidth="1"/>
    <col min="12284" max="12284" width="5.5546875" style="20" customWidth="1"/>
    <col min="12285" max="12285" width="9" style="20" customWidth="1"/>
    <col min="12286" max="12287" width="9.88671875" style="20" customWidth="1"/>
    <col min="12288" max="12288" width="11.109375" style="20" customWidth="1"/>
    <col min="12289" max="12289" width="2.88671875" style="20" customWidth="1"/>
    <col min="12290" max="12290" width="3.5546875" style="20" customWidth="1"/>
    <col min="12291" max="12535" width="9.109375" style="20"/>
    <col min="12536" max="12536" width="8.6640625" style="20" customWidth="1"/>
    <col min="12537" max="12537" width="9.88671875" style="20" customWidth="1"/>
    <col min="12538" max="12538" width="14.44140625" style="20" customWidth="1"/>
    <col min="12539" max="12539" width="7.33203125" style="20" customWidth="1"/>
    <col min="12540" max="12540" width="5.5546875" style="20" customWidth="1"/>
    <col min="12541" max="12541" width="9" style="20" customWidth="1"/>
    <col min="12542" max="12543" width="9.88671875" style="20" customWidth="1"/>
    <col min="12544" max="12544" width="11.109375" style="20" customWidth="1"/>
    <col min="12545" max="12545" width="2.88671875" style="20" customWidth="1"/>
    <col min="12546" max="12546" width="3.5546875" style="20" customWidth="1"/>
    <col min="12547" max="12791" width="9.109375" style="20"/>
    <col min="12792" max="12792" width="8.6640625" style="20" customWidth="1"/>
    <col min="12793" max="12793" width="9.88671875" style="20" customWidth="1"/>
    <col min="12794" max="12794" width="14.44140625" style="20" customWidth="1"/>
    <col min="12795" max="12795" width="7.33203125" style="20" customWidth="1"/>
    <col min="12796" max="12796" width="5.5546875" style="20" customWidth="1"/>
    <col min="12797" max="12797" width="9" style="20" customWidth="1"/>
    <col min="12798" max="12799" width="9.88671875" style="20" customWidth="1"/>
    <col min="12800" max="12800" width="11.109375" style="20" customWidth="1"/>
    <col min="12801" max="12801" width="2.88671875" style="20" customWidth="1"/>
    <col min="12802" max="12802" width="3.5546875" style="20" customWidth="1"/>
    <col min="12803" max="13047" width="9.109375" style="20"/>
    <col min="13048" max="13048" width="8.6640625" style="20" customWidth="1"/>
    <col min="13049" max="13049" width="9.88671875" style="20" customWidth="1"/>
    <col min="13050" max="13050" width="14.44140625" style="20" customWidth="1"/>
    <col min="13051" max="13051" width="7.33203125" style="20" customWidth="1"/>
    <col min="13052" max="13052" width="5.5546875" style="20" customWidth="1"/>
    <col min="13053" max="13053" width="9" style="20" customWidth="1"/>
    <col min="13054" max="13055" width="9.88671875" style="20" customWidth="1"/>
    <col min="13056" max="13056" width="11.109375" style="20" customWidth="1"/>
    <col min="13057" max="13057" width="2.88671875" style="20" customWidth="1"/>
    <col min="13058" max="13058" width="3.5546875" style="20" customWidth="1"/>
    <col min="13059" max="13303" width="9.109375" style="20"/>
    <col min="13304" max="13304" width="8.6640625" style="20" customWidth="1"/>
    <col min="13305" max="13305" width="9.88671875" style="20" customWidth="1"/>
    <col min="13306" max="13306" width="14.44140625" style="20" customWidth="1"/>
    <col min="13307" max="13307" width="7.33203125" style="20" customWidth="1"/>
    <col min="13308" max="13308" width="5.5546875" style="20" customWidth="1"/>
    <col min="13309" max="13309" width="9" style="20" customWidth="1"/>
    <col min="13310" max="13311" width="9.88671875" style="20" customWidth="1"/>
    <col min="13312" max="13312" width="11.109375" style="20" customWidth="1"/>
    <col min="13313" max="13313" width="2.88671875" style="20" customWidth="1"/>
    <col min="13314" max="13314" width="3.5546875" style="20" customWidth="1"/>
    <col min="13315" max="13559" width="9.109375" style="20"/>
    <col min="13560" max="13560" width="8.6640625" style="20" customWidth="1"/>
    <col min="13561" max="13561" width="9.88671875" style="20" customWidth="1"/>
    <col min="13562" max="13562" width="14.44140625" style="20" customWidth="1"/>
    <col min="13563" max="13563" width="7.33203125" style="20" customWidth="1"/>
    <col min="13564" max="13564" width="5.5546875" style="20" customWidth="1"/>
    <col min="13565" max="13565" width="9" style="20" customWidth="1"/>
    <col min="13566" max="13567" width="9.88671875" style="20" customWidth="1"/>
    <col min="13568" max="13568" width="11.109375" style="20" customWidth="1"/>
    <col min="13569" max="13569" width="2.88671875" style="20" customWidth="1"/>
    <col min="13570" max="13570" width="3.5546875" style="20" customWidth="1"/>
    <col min="13571" max="13815" width="9.109375" style="20"/>
    <col min="13816" max="13816" width="8.6640625" style="20" customWidth="1"/>
    <col min="13817" max="13817" width="9.88671875" style="20" customWidth="1"/>
    <col min="13818" max="13818" width="14.44140625" style="20" customWidth="1"/>
    <col min="13819" max="13819" width="7.33203125" style="20" customWidth="1"/>
    <col min="13820" max="13820" width="5.5546875" style="20" customWidth="1"/>
    <col min="13821" max="13821" width="9" style="20" customWidth="1"/>
    <col min="13822" max="13823" width="9.88671875" style="20" customWidth="1"/>
    <col min="13824" max="13824" width="11.109375" style="20" customWidth="1"/>
    <col min="13825" max="13825" width="2.88671875" style="20" customWidth="1"/>
    <col min="13826" max="13826" width="3.5546875" style="20" customWidth="1"/>
    <col min="13827" max="14071" width="9.109375" style="20"/>
    <col min="14072" max="14072" width="8.6640625" style="20" customWidth="1"/>
    <col min="14073" max="14073" width="9.88671875" style="20" customWidth="1"/>
    <col min="14074" max="14074" width="14.44140625" style="20" customWidth="1"/>
    <col min="14075" max="14075" width="7.33203125" style="20" customWidth="1"/>
    <col min="14076" max="14076" width="5.5546875" style="20" customWidth="1"/>
    <col min="14077" max="14077" width="9" style="20" customWidth="1"/>
    <col min="14078" max="14079" width="9.88671875" style="20" customWidth="1"/>
    <col min="14080" max="14080" width="11.109375" style="20" customWidth="1"/>
    <col min="14081" max="14081" width="2.88671875" style="20" customWidth="1"/>
    <col min="14082" max="14082" width="3.5546875" style="20" customWidth="1"/>
    <col min="14083" max="14327" width="9.109375" style="20"/>
    <col min="14328" max="14328" width="8.6640625" style="20" customWidth="1"/>
    <col min="14329" max="14329" width="9.88671875" style="20" customWidth="1"/>
    <col min="14330" max="14330" width="14.44140625" style="20" customWidth="1"/>
    <col min="14331" max="14331" width="7.33203125" style="20" customWidth="1"/>
    <col min="14332" max="14332" width="5.5546875" style="20" customWidth="1"/>
    <col min="14333" max="14333" width="9" style="20" customWidth="1"/>
    <col min="14334" max="14335" width="9.88671875" style="20" customWidth="1"/>
    <col min="14336" max="14336" width="11.109375" style="20" customWidth="1"/>
    <col min="14337" max="14337" width="2.88671875" style="20" customWidth="1"/>
    <col min="14338" max="14338" width="3.5546875" style="20" customWidth="1"/>
    <col min="14339" max="14583" width="9.109375" style="20"/>
    <col min="14584" max="14584" width="8.6640625" style="20" customWidth="1"/>
    <col min="14585" max="14585" width="9.88671875" style="20" customWidth="1"/>
    <col min="14586" max="14586" width="14.44140625" style="20" customWidth="1"/>
    <col min="14587" max="14587" width="7.33203125" style="20" customWidth="1"/>
    <col min="14588" max="14588" width="5.5546875" style="20" customWidth="1"/>
    <col min="14589" max="14589" width="9" style="20" customWidth="1"/>
    <col min="14590" max="14591" width="9.88671875" style="20" customWidth="1"/>
    <col min="14592" max="14592" width="11.109375" style="20" customWidth="1"/>
    <col min="14593" max="14593" width="2.88671875" style="20" customWidth="1"/>
    <col min="14594" max="14594" width="3.5546875" style="20" customWidth="1"/>
    <col min="14595" max="14839" width="9.109375" style="20"/>
    <col min="14840" max="14840" width="8.6640625" style="20" customWidth="1"/>
    <col min="14841" max="14841" width="9.88671875" style="20" customWidth="1"/>
    <col min="14842" max="14842" width="14.44140625" style="20" customWidth="1"/>
    <col min="14843" max="14843" width="7.33203125" style="20" customWidth="1"/>
    <col min="14844" max="14844" width="5.5546875" style="20" customWidth="1"/>
    <col min="14845" max="14845" width="9" style="20" customWidth="1"/>
    <col min="14846" max="14847" width="9.88671875" style="20" customWidth="1"/>
    <col min="14848" max="14848" width="11.109375" style="20" customWidth="1"/>
    <col min="14849" max="14849" width="2.88671875" style="20" customWidth="1"/>
    <col min="14850" max="14850" width="3.5546875" style="20" customWidth="1"/>
    <col min="14851" max="15095" width="9.109375" style="20"/>
    <col min="15096" max="15096" width="8.6640625" style="20" customWidth="1"/>
    <col min="15097" max="15097" width="9.88671875" style="20" customWidth="1"/>
    <col min="15098" max="15098" width="14.44140625" style="20" customWidth="1"/>
    <col min="15099" max="15099" width="7.33203125" style="20" customWidth="1"/>
    <col min="15100" max="15100" width="5.5546875" style="20" customWidth="1"/>
    <col min="15101" max="15101" width="9" style="20" customWidth="1"/>
    <col min="15102" max="15103" width="9.88671875" style="20" customWidth="1"/>
    <col min="15104" max="15104" width="11.109375" style="20" customWidth="1"/>
    <col min="15105" max="15105" width="2.88671875" style="20" customWidth="1"/>
    <col min="15106" max="15106" width="3.5546875" style="20" customWidth="1"/>
    <col min="15107" max="15351" width="9.109375" style="20"/>
    <col min="15352" max="15352" width="8.6640625" style="20" customWidth="1"/>
    <col min="15353" max="15353" width="9.88671875" style="20" customWidth="1"/>
    <col min="15354" max="15354" width="14.44140625" style="20" customWidth="1"/>
    <col min="15355" max="15355" width="7.33203125" style="20" customWidth="1"/>
    <col min="15356" max="15356" width="5.5546875" style="20" customWidth="1"/>
    <col min="15357" max="15357" width="9" style="20" customWidth="1"/>
    <col min="15358" max="15359" width="9.88671875" style="20" customWidth="1"/>
    <col min="15360" max="15360" width="11.109375" style="20" customWidth="1"/>
    <col min="15361" max="15361" width="2.88671875" style="20" customWidth="1"/>
    <col min="15362" max="15362" width="3.5546875" style="20" customWidth="1"/>
    <col min="15363" max="15607" width="9.109375" style="20"/>
    <col min="15608" max="15608" width="8.6640625" style="20" customWidth="1"/>
    <col min="15609" max="15609" width="9.88671875" style="20" customWidth="1"/>
    <col min="15610" max="15610" width="14.44140625" style="20" customWidth="1"/>
    <col min="15611" max="15611" width="7.33203125" style="20" customWidth="1"/>
    <col min="15612" max="15612" width="5.5546875" style="20" customWidth="1"/>
    <col min="15613" max="15613" width="9" style="20" customWidth="1"/>
    <col min="15614" max="15615" width="9.88671875" style="20" customWidth="1"/>
    <col min="15616" max="15616" width="11.109375" style="20" customWidth="1"/>
    <col min="15617" max="15617" width="2.88671875" style="20" customWidth="1"/>
    <col min="15618" max="15618" width="3.5546875" style="20" customWidth="1"/>
    <col min="15619" max="15863" width="9.109375" style="20"/>
    <col min="15864" max="15864" width="8.6640625" style="20" customWidth="1"/>
    <col min="15865" max="15865" width="9.88671875" style="20" customWidth="1"/>
    <col min="15866" max="15866" width="14.44140625" style="20" customWidth="1"/>
    <col min="15867" max="15867" width="7.33203125" style="20" customWidth="1"/>
    <col min="15868" max="15868" width="5.5546875" style="20" customWidth="1"/>
    <col min="15869" max="15869" width="9" style="20" customWidth="1"/>
    <col min="15870" max="15871" width="9.88671875" style="20" customWidth="1"/>
    <col min="15872" max="15872" width="11.109375" style="20" customWidth="1"/>
    <col min="15873" max="15873" width="2.88671875" style="20" customWidth="1"/>
    <col min="15874" max="15874" width="3.5546875" style="20" customWidth="1"/>
    <col min="15875" max="16119" width="9.109375" style="20"/>
    <col min="16120" max="16120" width="8.6640625" style="20" customWidth="1"/>
    <col min="16121" max="16121" width="9.88671875" style="20" customWidth="1"/>
    <col min="16122" max="16122" width="14.44140625" style="20" customWidth="1"/>
    <col min="16123" max="16123" width="7.33203125" style="20" customWidth="1"/>
    <col min="16124" max="16124" width="5.5546875" style="20" customWidth="1"/>
    <col min="16125" max="16125" width="9" style="20" customWidth="1"/>
    <col min="16126" max="16127" width="9.88671875" style="20" customWidth="1"/>
    <col min="16128" max="16128" width="11.109375" style="20" customWidth="1"/>
    <col min="16129" max="16129" width="2.88671875" style="20" customWidth="1"/>
    <col min="16130" max="16130" width="3.5546875" style="20" customWidth="1"/>
    <col min="16131" max="16384" width="9.109375" style="20"/>
  </cols>
  <sheetData>
    <row r="1" spans="1:11" ht="46.5" customHeight="1" x14ac:dyDescent="0.3">
      <c r="A1" s="187" t="s">
        <v>226</v>
      </c>
      <c r="B1" s="187"/>
      <c r="C1" s="187"/>
      <c r="D1" s="187"/>
      <c r="E1" s="187"/>
      <c r="F1" s="187"/>
      <c r="G1" s="187"/>
      <c r="H1" s="187"/>
    </row>
    <row r="2" spans="1:11" ht="16.5" customHeight="1" x14ac:dyDescent="0.3">
      <c r="A2" s="137" t="s">
        <v>0</v>
      </c>
      <c r="B2" s="137"/>
      <c r="C2" s="137"/>
      <c r="D2" s="137"/>
      <c r="E2" s="137"/>
      <c r="F2" s="137"/>
      <c r="G2" s="137"/>
      <c r="H2" s="137"/>
    </row>
    <row r="3" spans="1:11" x14ac:dyDescent="0.3">
      <c r="A3" s="170" t="s">
        <v>1</v>
      </c>
      <c r="B3" s="170"/>
      <c r="C3" s="170"/>
      <c r="D3" s="170"/>
      <c r="E3" s="170" t="str">
        <f ca="1">TEXT(TODAY(),"DD/MM/YYYY")</f>
        <v>23/09/2025</v>
      </c>
      <c r="F3" s="170"/>
      <c r="G3" s="170"/>
      <c r="H3" s="170"/>
    </row>
    <row r="4" spans="1:11" ht="15" customHeight="1" x14ac:dyDescent="0.3">
      <c r="A4" s="170" t="s">
        <v>2</v>
      </c>
      <c r="B4" s="170"/>
      <c r="C4" s="170"/>
      <c r="D4" s="170"/>
      <c r="E4" s="170" t="s">
        <v>173</v>
      </c>
      <c r="F4" s="170"/>
      <c r="G4" s="170"/>
      <c r="H4" s="170"/>
    </row>
    <row r="5" spans="1:11" x14ac:dyDescent="0.3">
      <c r="A5" s="170" t="s">
        <v>3</v>
      </c>
      <c r="B5" s="170"/>
      <c r="C5" s="170"/>
      <c r="D5" s="170"/>
      <c r="E5" s="188">
        <v>45908</v>
      </c>
      <c r="F5" s="170"/>
      <c r="G5" s="170"/>
      <c r="H5" s="170"/>
    </row>
    <row r="6" spans="1:11" ht="16.5" customHeight="1" x14ac:dyDescent="0.3">
      <c r="A6" s="170" t="s">
        <v>4</v>
      </c>
      <c r="B6" s="170"/>
      <c r="C6" s="170"/>
      <c r="D6" s="170"/>
      <c r="E6" s="170" t="s">
        <v>178</v>
      </c>
      <c r="F6" s="170"/>
      <c r="G6" s="170"/>
      <c r="H6" s="170"/>
    </row>
    <row r="7" spans="1:11" ht="15" customHeight="1" x14ac:dyDescent="0.3">
      <c r="A7" s="170" t="s">
        <v>5</v>
      </c>
      <c r="B7" s="170"/>
      <c r="C7" s="170"/>
      <c r="D7" s="170"/>
      <c r="E7" s="170" t="str">
        <f>E6</f>
        <v>BKS Galaxy Realtors LLP</v>
      </c>
      <c r="F7" s="170"/>
      <c r="G7" s="170"/>
      <c r="H7" s="170"/>
    </row>
    <row r="8" spans="1:11" x14ac:dyDescent="0.3">
      <c r="A8" s="170" t="s">
        <v>6</v>
      </c>
      <c r="B8" s="170"/>
      <c r="C8" s="170"/>
      <c r="D8" s="170"/>
      <c r="E8" s="101" t="s">
        <v>238</v>
      </c>
      <c r="F8" s="100"/>
      <c r="G8" s="100"/>
      <c r="H8" s="100"/>
    </row>
    <row r="9" spans="1:11" x14ac:dyDescent="0.3">
      <c r="A9" s="170" t="s">
        <v>171</v>
      </c>
      <c r="B9" s="170"/>
      <c r="C9" s="170"/>
      <c r="D9" s="170"/>
      <c r="E9" s="169" t="s">
        <v>179</v>
      </c>
      <c r="F9" s="169"/>
      <c r="G9" s="169"/>
      <c r="H9" s="169"/>
    </row>
    <row r="10" spans="1:11" hidden="1" x14ac:dyDescent="0.3">
      <c r="A10" s="170" t="s">
        <v>172</v>
      </c>
      <c r="B10" s="170"/>
      <c r="C10" s="170"/>
      <c r="D10" s="170"/>
      <c r="E10" s="169" t="s">
        <v>236</v>
      </c>
      <c r="F10" s="170"/>
      <c r="G10" s="170"/>
      <c r="H10" s="170"/>
    </row>
    <row r="11" spans="1:11" ht="48" customHeight="1" x14ac:dyDescent="0.3">
      <c r="A11" s="170" t="s">
        <v>7</v>
      </c>
      <c r="B11" s="170"/>
      <c r="C11" s="170"/>
      <c r="D11" s="170"/>
      <c r="E11" s="169" t="s">
        <v>297</v>
      </c>
      <c r="F11" s="170"/>
      <c r="G11" s="170"/>
      <c r="H11" s="170"/>
    </row>
    <row r="12" spans="1:11" x14ac:dyDescent="0.3">
      <c r="A12" s="170" t="s">
        <v>174</v>
      </c>
      <c r="B12" s="170"/>
      <c r="C12" s="170"/>
      <c r="D12" s="170"/>
      <c r="E12" s="170" t="s">
        <v>29</v>
      </c>
      <c r="F12" s="170"/>
      <c r="G12" s="170"/>
      <c r="H12" s="170"/>
    </row>
    <row r="13" spans="1:11" x14ac:dyDescent="0.3">
      <c r="A13" s="128" t="s">
        <v>8</v>
      </c>
      <c r="B13" s="128"/>
      <c r="C13" s="128"/>
      <c r="D13" s="128"/>
      <c r="E13" s="169" t="s">
        <v>180</v>
      </c>
      <c r="F13" s="169"/>
      <c r="G13" s="169"/>
      <c r="H13" s="169"/>
    </row>
    <row r="14" spans="1:11" ht="54" customHeight="1" x14ac:dyDescent="0.3">
      <c r="A14" s="128" t="s">
        <v>9</v>
      </c>
      <c r="B14" s="128"/>
      <c r="C14" s="128"/>
      <c r="D14" s="128"/>
      <c r="E14" s="169" t="s">
        <v>239</v>
      </c>
      <c r="F14" s="170"/>
      <c r="G14" s="170"/>
      <c r="H14" s="170"/>
    </row>
    <row r="15" spans="1:11" ht="33.6" customHeight="1" x14ac:dyDescent="0.3">
      <c r="A15" s="169" t="s">
        <v>10</v>
      </c>
      <c r="B15" s="169"/>
      <c r="C15" s="169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Maplewoods Phase I, II &amp; III, Gut No..51(2) 56 and 57(2), near Krishna Business Park Airoli, Thane Belapur Road, , Digha, Digha, Thane, Thane - 400708.</v>
      </c>
      <c r="D15" s="169"/>
      <c r="E15" s="169"/>
      <c r="F15" s="169"/>
      <c r="G15" s="169"/>
      <c r="H15" s="169"/>
      <c r="K15" s="20" t="s">
        <v>291</v>
      </c>
    </row>
    <row r="16" spans="1:11" x14ac:dyDescent="0.3">
      <c r="A16" s="169" t="s">
        <v>181</v>
      </c>
      <c r="B16" s="169"/>
      <c r="C16" s="169" t="s">
        <v>182</v>
      </c>
      <c r="D16" s="169"/>
      <c r="E16" s="169"/>
      <c r="F16" s="169"/>
      <c r="G16" s="169"/>
      <c r="H16" s="169"/>
    </row>
    <row r="17" spans="1:8" ht="15.75" customHeight="1" x14ac:dyDescent="0.3">
      <c r="A17" s="169" t="s">
        <v>167</v>
      </c>
      <c r="B17" s="169"/>
      <c r="C17" s="169" t="s">
        <v>29</v>
      </c>
      <c r="D17" s="169"/>
      <c r="E17" s="169"/>
      <c r="F17" s="169"/>
      <c r="G17" s="169"/>
      <c r="H17" s="169"/>
    </row>
    <row r="18" spans="1:8" ht="15.75" customHeight="1" x14ac:dyDescent="0.3">
      <c r="A18" s="169" t="s">
        <v>11</v>
      </c>
      <c r="B18" s="169"/>
      <c r="C18" s="170" t="s">
        <v>185</v>
      </c>
      <c r="D18" s="170"/>
      <c r="E18" s="169" t="s">
        <v>72</v>
      </c>
      <c r="F18" s="169"/>
      <c r="G18" s="169" t="s">
        <v>184</v>
      </c>
      <c r="H18" s="169"/>
    </row>
    <row r="19" spans="1:8" x14ac:dyDescent="0.3">
      <c r="A19" s="170" t="s">
        <v>13</v>
      </c>
      <c r="B19" s="170"/>
      <c r="C19" s="169" t="s">
        <v>184</v>
      </c>
      <c r="D19" s="169"/>
      <c r="E19" s="169" t="s">
        <v>12</v>
      </c>
      <c r="F19" s="169"/>
      <c r="G19" s="189" t="s">
        <v>183</v>
      </c>
      <c r="H19" s="189"/>
    </row>
    <row r="20" spans="1:8" x14ac:dyDescent="0.3">
      <c r="A20" s="170" t="s">
        <v>73</v>
      </c>
      <c r="B20" s="170"/>
      <c r="C20" s="169" t="s">
        <v>183</v>
      </c>
      <c r="D20" s="169"/>
      <c r="E20" s="169" t="s">
        <v>14</v>
      </c>
      <c r="F20" s="169"/>
      <c r="G20" s="169">
        <v>400708</v>
      </c>
      <c r="H20" s="169"/>
    </row>
    <row r="21" spans="1:8" ht="32.25" customHeight="1" x14ac:dyDescent="0.3">
      <c r="A21" s="128" t="s">
        <v>122</v>
      </c>
      <c r="B21" s="128"/>
      <c r="C21" s="169" t="s">
        <v>186</v>
      </c>
      <c r="D21" s="169"/>
      <c r="E21" s="168" t="s">
        <v>15</v>
      </c>
      <c r="F21" s="168"/>
      <c r="G21" s="169" t="s">
        <v>190</v>
      </c>
      <c r="H21" s="169"/>
    </row>
    <row r="22" spans="1:8" ht="15" customHeight="1" x14ac:dyDescent="0.3">
      <c r="A22" s="168" t="s">
        <v>76</v>
      </c>
      <c r="B22" s="168"/>
      <c r="C22" s="168"/>
      <c r="D22" s="168"/>
      <c r="E22" s="170" t="s">
        <v>16</v>
      </c>
      <c r="F22" s="170"/>
      <c r="G22" s="170"/>
      <c r="H22" s="170"/>
    </row>
    <row r="23" spans="1:8" ht="18.75" customHeight="1" x14ac:dyDescent="0.3">
      <c r="A23" s="168"/>
      <c r="B23" s="168"/>
      <c r="C23" s="168"/>
      <c r="D23" s="168"/>
      <c r="E23" s="170"/>
      <c r="F23" s="170"/>
      <c r="G23" s="170"/>
      <c r="H23" s="170"/>
    </row>
    <row r="24" spans="1:8" ht="15" customHeight="1" x14ac:dyDescent="0.3">
      <c r="A24" s="168" t="s">
        <v>17</v>
      </c>
      <c r="B24" s="168"/>
      <c r="C24" s="168"/>
      <c r="D24" s="168"/>
      <c r="E24" s="169" t="s">
        <v>18</v>
      </c>
      <c r="F24" s="169"/>
      <c r="G24" s="169"/>
      <c r="H24" s="169"/>
    </row>
    <row r="25" spans="1:8" ht="15" customHeight="1" x14ac:dyDescent="0.3">
      <c r="A25" s="128" t="s">
        <v>19</v>
      </c>
      <c r="B25" s="128"/>
      <c r="C25" s="128"/>
      <c r="D25" s="128"/>
      <c r="E25" s="169" t="str">
        <f>IF(AND(G19="Mumbai"),"Upper Class","Middle Class")</f>
        <v>Middle Class</v>
      </c>
      <c r="F25" s="169"/>
      <c r="G25" s="169"/>
      <c r="H25" s="169"/>
    </row>
    <row r="26" spans="1:8" x14ac:dyDescent="0.3">
      <c r="A26" s="128" t="s">
        <v>20</v>
      </c>
      <c r="B26" s="128"/>
      <c r="C26" s="128"/>
      <c r="D26" s="128"/>
      <c r="E26" s="169" t="s">
        <v>21</v>
      </c>
      <c r="F26" s="169"/>
      <c r="G26" s="169"/>
      <c r="H26" s="169"/>
    </row>
    <row r="27" spans="1:8" ht="15.75" customHeight="1" x14ac:dyDescent="0.3">
      <c r="A27" s="128" t="s">
        <v>22</v>
      </c>
      <c r="B27" s="128"/>
      <c r="C27" s="128"/>
      <c r="D27" s="128"/>
      <c r="E27" s="169" t="str">
        <f>IF(AND(G19="Mumbai"),"Developed","Developing")</f>
        <v>Developing</v>
      </c>
      <c r="F27" s="169"/>
      <c r="G27" s="169"/>
      <c r="H27" s="169"/>
    </row>
    <row r="28" spans="1:8" x14ac:dyDescent="0.3">
      <c r="A28" s="128" t="s">
        <v>23</v>
      </c>
      <c r="B28" s="128"/>
      <c r="C28" s="128"/>
      <c r="D28" s="128"/>
      <c r="E28" s="169" t="s">
        <v>24</v>
      </c>
      <c r="F28" s="169"/>
      <c r="G28" s="169"/>
      <c r="H28" s="169"/>
    </row>
    <row r="29" spans="1:8" ht="15.75" customHeight="1" x14ac:dyDescent="0.3">
      <c r="A29" s="128" t="s">
        <v>81</v>
      </c>
      <c r="B29" s="128"/>
      <c r="C29" s="128"/>
      <c r="D29" s="128"/>
      <c r="E29" s="169" t="s">
        <v>82</v>
      </c>
      <c r="F29" s="169"/>
      <c r="G29" s="169"/>
      <c r="H29" s="169"/>
    </row>
    <row r="30" spans="1:8" ht="15" customHeight="1" x14ac:dyDescent="0.3">
      <c r="A30" s="128" t="s">
        <v>32</v>
      </c>
      <c r="B30" s="128"/>
      <c r="C30" s="128"/>
      <c r="D30" s="128"/>
      <c r="E30" s="169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 + Commercial</v>
      </c>
      <c r="F30" s="169"/>
      <c r="G30" s="169"/>
      <c r="H30" s="169"/>
    </row>
    <row r="31" spans="1:8" ht="15.75" customHeight="1" x14ac:dyDescent="0.3">
      <c r="A31" s="128" t="s">
        <v>93</v>
      </c>
      <c r="B31" s="128"/>
      <c r="C31" s="128"/>
      <c r="D31" s="128"/>
      <c r="E31" s="169" t="s">
        <v>33</v>
      </c>
      <c r="F31" s="169"/>
      <c r="G31" s="169"/>
      <c r="H31" s="169"/>
    </row>
    <row r="32" spans="1:8" s="21" customFormat="1" x14ac:dyDescent="0.3">
      <c r="A32" s="194" t="s">
        <v>94</v>
      </c>
      <c r="B32" s="194"/>
      <c r="C32" s="191" t="s">
        <v>175</v>
      </c>
      <c r="D32" s="192"/>
      <c r="E32" s="193"/>
      <c r="F32" s="191" t="s">
        <v>30</v>
      </c>
      <c r="G32" s="192"/>
      <c r="H32" s="193"/>
    </row>
    <row r="33" spans="1:8" s="21" customFormat="1" x14ac:dyDescent="0.3">
      <c r="A33" s="190" t="s">
        <v>25</v>
      </c>
      <c r="B33" s="190" t="s">
        <v>29</v>
      </c>
      <c r="C33" s="145" t="s">
        <v>191</v>
      </c>
      <c r="D33" s="146"/>
      <c r="E33" s="147"/>
      <c r="F33" s="145" t="s">
        <v>187</v>
      </c>
      <c r="G33" s="146"/>
      <c r="H33" s="147"/>
    </row>
    <row r="34" spans="1:8" x14ac:dyDescent="0.3">
      <c r="A34" s="190" t="s">
        <v>26</v>
      </c>
      <c r="B34" s="190" t="s">
        <v>29</v>
      </c>
      <c r="C34" s="145" t="s">
        <v>11</v>
      </c>
      <c r="D34" s="146"/>
      <c r="E34" s="147"/>
      <c r="F34" s="145" t="s">
        <v>186</v>
      </c>
      <c r="G34" s="146"/>
      <c r="H34" s="147"/>
    </row>
    <row r="35" spans="1:8" s="21" customFormat="1" x14ac:dyDescent="0.3">
      <c r="A35" s="190" t="s">
        <v>28</v>
      </c>
      <c r="B35" s="190" t="s">
        <v>29</v>
      </c>
      <c r="C35" s="145" t="s">
        <v>191</v>
      </c>
      <c r="D35" s="146"/>
      <c r="E35" s="147"/>
      <c r="F35" s="145" t="s">
        <v>189</v>
      </c>
      <c r="G35" s="146"/>
      <c r="H35" s="147"/>
    </row>
    <row r="36" spans="1:8" x14ac:dyDescent="0.3">
      <c r="A36" s="190" t="s">
        <v>27</v>
      </c>
      <c r="B36" s="190" t="s">
        <v>29</v>
      </c>
      <c r="C36" s="145" t="s">
        <v>11</v>
      </c>
      <c r="D36" s="146"/>
      <c r="E36" s="147"/>
      <c r="F36" s="145" t="s">
        <v>188</v>
      </c>
      <c r="G36" s="146"/>
      <c r="H36" s="147"/>
    </row>
    <row r="37" spans="1:8" x14ac:dyDescent="0.3">
      <c r="A37" s="128" t="s">
        <v>31</v>
      </c>
      <c r="B37" s="128"/>
      <c r="C37" s="128"/>
      <c r="D37" s="128"/>
      <c r="E37" s="128"/>
      <c r="F37" s="128"/>
      <c r="G37" s="128"/>
      <c r="H37" s="128"/>
    </row>
    <row r="38" spans="1:8" ht="15.75" customHeight="1" x14ac:dyDescent="0.3">
      <c r="A38" s="128" t="s">
        <v>169</v>
      </c>
      <c r="B38" s="128"/>
      <c r="C38" s="183" t="s">
        <v>292</v>
      </c>
      <c r="D38" s="183"/>
      <c r="E38" s="183"/>
      <c r="F38" s="183"/>
      <c r="G38" s="183"/>
      <c r="H38" s="183"/>
    </row>
    <row r="39" spans="1:8" x14ac:dyDescent="0.3">
      <c r="A39" s="128" t="s">
        <v>166</v>
      </c>
      <c r="B39" s="128"/>
      <c r="C39" s="204" t="s">
        <v>293</v>
      </c>
      <c r="D39" s="169"/>
      <c r="E39" s="169"/>
      <c r="F39" s="169"/>
      <c r="G39" s="169"/>
      <c r="H39" s="169"/>
    </row>
    <row r="40" spans="1:8" x14ac:dyDescent="0.3">
      <c r="A40" s="183" t="s">
        <v>34</v>
      </c>
      <c r="B40" s="183"/>
      <c r="C40" s="183"/>
      <c r="D40" s="183"/>
      <c r="E40" s="183"/>
      <c r="F40" s="183"/>
      <c r="G40" s="183"/>
      <c r="H40" s="183"/>
    </row>
    <row r="41" spans="1:8" x14ac:dyDescent="0.3">
      <c r="A41" s="128" t="s">
        <v>35</v>
      </c>
      <c r="B41" s="128"/>
      <c r="C41" s="128"/>
      <c r="D41" s="128"/>
      <c r="E41" s="195">
        <v>19000</v>
      </c>
      <c r="F41" s="195"/>
      <c r="G41" s="195"/>
      <c r="H41" s="195"/>
    </row>
    <row r="42" spans="1:8" x14ac:dyDescent="0.3">
      <c r="A42" s="128" t="s">
        <v>36</v>
      </c>
      <c r="B42" s="128"/>
      <c r="C42" s="128"/>
      <c r="D42" s="128"/>
      <c r="E42" s="152">
        <v>1.5</v>
      </c>
      <c r="F42" s="152"/>
      <c r="G42" s="152"/>
      <c r="H42" s="152"/>
    </row>
    <row r="43" spans="1:8" x14ac:dyDescent="0.3">
      <c r="A43" s="128" t="s">
        <v>37</v>
      </c>
      <c r="B43" s="128"/>
      <c r="C43" s="128"/>
      <c r="D43" s="128"/>
      <c r="E43" s="152">
        <f>E45/E41-E42</f>
        <v>4.2235884210526313</v>
      </c>
      <c r="F43" s="152"/>
      <c r="G43" s="152"/>
      <c r="H43" s="152"/>
    </row>
    <row r="44" spans="1:8" x14ac:dyDescent="0.3">
      <c r="A44" s="128" t="s">
        <v>38</v>
      </c>
      <c r="B44" s="128"/>
      <c r="C44" s="128"/>
      <c r="D44" s="128"/>
      <c r="E44" s="152">
        <f>E42+E43</f>
        <v>5.7235884210526313</v>
      </c>
      <c r="F44" s="152"/>
      <c r="G44" s="152"/>
      <c r="H44" s="152"/>
    </row>
    <row r="45" spans="1:8" x14ac:dyDescent="0.3">
      <c r="A45" s="128" t="s">
        <v>92</v>
      </c>
      <c r="B45" s="128"/>
      <c r="C45" s="128"/>
      <c r="D45" s="128"/>
      <c r="E45" s="198">
        <v>108748.18</v>
      </c>
      <c r="F45" s="198"/>
      <c r="G45" s="198"/>
      <c r="H45" s="198"/>
    </row>
    <row r="46" spans="1:8" x14ac:dyDescent="0.3">
      <c r="A46" s="170" t="s">
        <v>39</v>
      </c>
      <c r="B46" s="170"/>
      <c r="C46" s="170"/>
      <c r="D46" s="170"/>
      <c r="E46" s="170" t="s">
        <v>240</v>
      </c>
      <c r="F46" s="170"/>
      <c r="G46" s="170"/>
      <c r="H46" s="170"/>
    </row>
    <row r="47" spans="1:8" x14ac:dyDescent="0.3">
      <c r="A47" s="100" t="s">
        <v>40</v>
      </c>
      <c r="B47" s="100"/>
      <c r="C47" s="100"/>
      <c r="D47" s="100"/>
      <c r="E47" s="100"/>
      <c r="F47" s="100"/>
      <c r="G47" s="100"/>
      <c r="H47" s="100"/>
    </row>
    <row r="48" spans="1:8" ht="33.75" customHeight="1" x14ac:dyDescent="0.3">
      <c r="A48" s="205" t="s">
        <v>154</v>
      </c>
      <c r="B48" s="206"/>
      <c r="C48" s="207" t="s">
        <v>192</v>
      </c>
      <c r="D48" s="208"/>
      <c r="E48" s="208"/>
      <c r="F48" s="208"/>
      <c r="G48" s="208"/>
      <c r="H48" s="209"/>
    </row>
    <row r="49" spans="1:14" ht="15.75" customHeight="1" x14ac:dyDescent="0.3">
      <c r="A49" s="156" t="s">
        <v>41</v>
      </c>
      <c r="B49" s="158"/>
      <c r="C49" s="156" t="s">
        <v>193</v>
      </c>
      <c r="D49" s="157"/>
      <c r="E49" s="158"/>
      <c r="F49" s="17" t="s">
        <v>42</v>
      </c>
      <c r="G49" s="159">
        <v>45027</v>
      </c>
      <c r="H49" s="158"/>
    </row>
    <row r="50" spans="1:14" x14ac:dyDescent="0.3">
      <c r="A50" s="156" t="s">
        <v>43</v>
      </c>
      <c r="B50" s="158"/>
      <c r="C50" s="156" t="str">
        <f>C49</f>
        <v>NRV/A-17163</v>
      </c>
      <c r="D50" s="157"/>
      <c r="E50" s="158"/>
      <c r="F50" s="17" t="s">
        <v>42</v>
      </c>
      <c r="G50" s="159">
        <f>G49</f>
        <v>45027</v>
      </c>
      <c r="H50" s="160"/>
    </row>
    <row r="51" spans="1:14" s="22" customFormat="1" x14ac:dyDescent="0.3">
      <c r="A51" s="67" t="s">
        <v>158</v>
      </c>
      <c r="B51" s="69"/>
      <c r="C51" s="156" t="s">
        <v>194</v>
      </c>
      <c r="D51" s="157"/>
      <c r="E51" s="158"/>
      <c r="F51" s="17" t="s">
        <v>42</v>
      </c>
      <c r="G51" s="159">
        <f>G50</f>
        <v>45027</v>
      </c>
      <c r="H51" s="160"/>
    </row>
    <row r="52" spans="1:14" s="22" customFormat="1" ht="112.2" customHeight="1" x14ac:dyDescent="0.3">
      <c r="A52" s="73"/>
      <c r="B52" s="75"/>
      <c r="C52" s="156" t="s">
        <v>250</v>
      </c>
      <c r="D52" s="157"/>
      <c r="E52" s="157"/>
      <c r="F52" s="157"/>
      <c r="G52" s="157"/>
      <c r="H52" s="158"/>
    </row>
    <row r="53" spans="1:14" x14ac:dyDescent="0.3">
      <c r="A53" s="164" t="s">
        <v>44</v>
      </c>
      <c r="B53" s="165"/>
      <c r="C53" s="164" t="s">
        <v>106</v>
      </c>
      <c r="D53" s="166"/>
      <c r="E53" s="165"/>
      <c r="F53" s="44" t="s">
        <v>42</v>
      </c>
      <c r="G53" s="171" t="s">
        <v>29</v>
      </c>
      <c r="H53" s="172"/>
    </row>
    <row r="54" spans="1:14" x14ac:dyDescent="0.3">
      <c r="A54" s="167" t="s">
        <v>46</v>
      </c>
      <c r="B54" s="167"/>
      <c r="C54" s="167"/>
      <c r="D54" s="167"/>
      <c r="E54" s="167"/>
      <c r="F54" s="167"/>
      <c r="G54" s="167"/>
      <c r="H54" s="167"/>
    </row>
    <row r="55" spans="1:14" x14ac:dyDescent="0.3">
      <c r="A55" s="168" t="s">
        <v>91</v>
      </c>
      <c r="B55" s="168"/>
      <c r="C55" s="168"/>
      <c r="D55" s="128">
        <f>E45</f>
        <v>108748.18</v>
      </c>
      <c r="E55" s="128"/>
      <c r="F55" s="128"/>
      <c r="G55" s="128"/>
      <c r="H55" s="128"/>
    </row>
    <row r="56" spans="1:14" x14ac:dyDescent="0.3">
      <c r="A56" s="169" t="s">
        <v>47</v>
      </c>
      <c r="B56" s="170"/>
      <c r="C56" s="170"/>
      <c r="D56" s="170" t="s">
        <v>289</v>
      </c>
      <c r="E56" s="170"/>
      <c r="F56" s="170"/>
      <c r="G56" s="170"/>
      <c r="H56" s="170"/>
      <c r="I56" s="23"/>
    </row>
    <row r="57" spans="1:14" ht="48" customHeight="1" x14ac:dyDescent="0.3">
      <c r="A57" s="67" t="s">
        <v>48</v>
      </c>
      <c r="B57" s="68"/>
      <c r="C57" s="69"/>
      <c r="D57" s="65" t="s">
        <v>245</v>
      </c>
      <c r="E57" s="66"/>
      <c r="F57" s="66"/>
      <c r="G57" s="66"/>
      <c r="H57" s="66"/>
    </row>
    <row r="58" spans="1:14" ht="48.6" customHeight="1" x14ac:dyDescent="0.3">
      <c r="A58" s="70"/>
      <c r="B58" s="71"/>
      <c r="C58" s="72"/>
      <c r="D58" s="65" t="s">
        <v>246</v>
      </c>
      <c r="E58" s="66"/>
      <c r="F58" s="66"/>
      <c r="G58" s="66"/>
      <c r="H58" s="66"/>
    </row>
    <row r="59" spans="1:14" ht="37.799999999999997" customHeight="1" x14ac:dyDescent="0.3">
      <c r="A59" s="73"/>
      <c r="B59" s="74"/>
      <c r="C59" s="75"/>
      <c r="D59" s="65" t="s">
        <v>243</v>
      </c>
      <c r="E59" s="66"/>
      <c r="F59" s="66"/>
      <c r="G59" s="66"/>
      <c r="H59" s="66"/>
    </row>
    <row r="60" spans="1:14" ht="15.75" customHeight="1" x14ac:dyDescent="0.3">
      <c r="A60" s="67" t="s">
        <v>89</v>
      </c>
      <c r="B60" s="68"/>
      <c r="C60" s="68"/>
      <c r="D60" s="161" t="s">
        <v>247</v>
      </c>
      <c r="E60" s="162"/>
      <c r="F60" s="162"/>
      <c r="G60" s="162"/>
      <c r="H60" s="163"/>
    </row>
    <row r="61" spans="1:14" ht="15.75" customHeight="1" x14ac:dyDescent="0.3">
      <c r="A61" s="70"/>
      <c r="B61" s="71"/>
      <c r="C61" s="71"/>
      <c r="D61" s="153" t="s">
        <v>248</v>
      </c>
      <c r="E61" s="154"/>
      <c r="F61" s="154"/>
      <c r="G61" s="154"/>
      <c r="H61" s="155"/>
    </row>
    <row r="62" spans="1:14" ht="15.75" customHeight="1" x14ac:dyDescent="0.3">
      <c r="A62" s="70"/>
      <c r="B62" s="71"/>
      <c r="C62" s="71"/>
      <c r="D62" s="153" t="s">
        <v>249</v>
      </c>
      <c r="E62" s="154"/>
      <c r="F62" s="154"/>
      <c r="G62" s="154"/>
      <c r="H62" s="155"/>
    </row>
    <row r="63" spans="1:14" ht="15.75" customHeight="1" x14ac:dyDescent="0.3">
      <c r="A63" s="73"/>
      <c r="B63" s="74"/>
      <c r="C63" s="74"/>
      <c r="D63" s="91" t="s">
        <v>241</v>
      </c>
      <c r="E63" s="92"/>
      <c r="F63" s="92"/>
      <c r="G63" s="92"/>
      <c r="H63" s="93"/>
    </row>
    <row r="64" spans="1:14" ht="49.8" customHeight="1" x14ac:dyDescent="0.3">
      <c r="A64" s="128" t="s">
        <v>45</v>
      </c>
      <c r="B64" s="128"/>
      <c r="C64" s="128"/>
      <c r="D64" s="196" t="s">
        <v>244</v>
      </c>
      <c r="E64" s="196"/>
      <c r="F64" s="196"/>
      <c r="G64" s="196"/>
      <c r="H64" s="196"/>
      <c r="J64" s="24"/>
      <c r="K64" s="23"/>
      <c r="N64" s="23"/>
    </row>
    <row r="65" spans="1:14" ht="15.75" customHeight="1" x14ac:dyDescent="0.3">
      <c r="A65" s="128" t="s">
        <v>87</v>
      </c>
      <c r="B65" s="128"/>
      <c r="C65" s="128"/>
      <c r="D65" s="197" t="str">
        <f>(IF(G53="NA","60 Years After Completion",IF(G53&lt;&gt;"NA",""&amp;60-ROUNDDOWN((E3-G53)/360,0)&amp;" Years"," ")))</f>
        <v>60 Years After Completion</v>
      </c>
      <c r="E65" s="197"/>
      <c r="F65" s="197"/>
      <c r="G65" s="197"/>
      <c r="H65" s="197"/>
      <c r="N65" s="23"/>
    </row>
    <row r="66" spans="1:14" ht="15.75" customHeight="1" x14ac:dyDescent="0.3">
      <c r="A66" s="128" t="s">
        <v>88</v>
      </c>
      <c r="B66" s="128"/>
      <c r="C66" s="128"/>
      <c r="D66" s="168" t="s">
        <v>24</v>
      </c>
      <c r="E66" s="168"/>
      <c r="F66" s="168"/>
      <c r="G66" s="168"/>
      <c r="H66" s="168"/>
      <c r="J66" s="25"/>
      <c r="K66" s="25"/>
    </row>
    <row r="67" spans="1:14" ht="38.4" customHeight="1" x14ac:dyDescent="0.3">
      <c r="A67" s="128" t="s">
        <v>74</v>
      </c>
      <c r="B67" s="128"/>
      <c r="C67" s="128"/>
      <c r="D67" s="169" t="s">
        <v>195</v>
      </c>
      <c r="E67" s="168"/>
      <c r="F67" s="168"/>
      <c r="G67" s="168"/>
      <c r="H67" s="168"/>
    </row>
    <row r="68" spans="1:14" x14ac:dyDescent="0.3">
      <c r="A68" s="168" t="s">
        <v>150</v>
      </c>
      <c r="B68" s="168"/>
      <c r="C68" s="168"/>
      <c r="D68" s="168" t="s">
        <v>29</v>
      </c>
      <c r="E68" s="168"/>
      <c r="F68" s="168"/>
      <c r="G68" s="168"/>
      <c r="H68" s="168"/>
      <c r="I68" s="26"/>
      <c r="J68" s="26"/>
      <c r="K68" s="26"/>
      <c r="L68" s="26"/>
      <c r="M68" s="26"/>
      <c r="N68" s="26"/>
    </row>
    <row r="69" spans="1:14" ht="15.75" customHeight="1" x14ac:dyDescent="0.3">
      <c r="A69" s="128" t="s">
        <v>86</v>
      </c>
      <c r="B69" s="128"/>
      <c r="C69" s="128"/>
      <c r="D69" s="169" t="str">
        <f ca="1">(IF(G89&gt;95%,"Nothing",IF(G89&gt;0%,"Cement, Aggregate, Steel, etc",IF(G89=0%,"Work not yet Started"))))</f>
        <v>Cement, Aggregate, Steel, etc</v>
      </c>
      <c r="E69" s="169"/>
      <c r="F69" s="169"/>
      <c r="G69" s="169"/>
      <c r="H69" s="169"/>
      <c r="J69" s="25"/>
    </row>
    <row r="70" spans="1:14" ht="33.75" customHeight="1" thickBot="1" x14ac:dyDescent="0.35">
      <c r="A70" s="168" t="s">
        <v>119</v>
      </c>
      <c r="B70" s="168"/>
      <c r="C70" s="168"/>
      <c r="D70" s="169" t="str">
        <f ca="1">(IF(D69="Nothing","Yes",IF(D69="Cement, Aggregate, Steel, etc","Under Construction",IF(D69="Work not yet Started","Work not yet Started"))))</f>
        <v>Under Construction</v>
      </c>
      <c r="E70" s="169"/>
      <c r="F70" s="169" t="str">
        <f ca="1">(IF(D69="Nothing","Yes",IF(D69="Cement, Aggregate, Steel, etc","Under Construction",IF(D69="Work not yet Started","Work not yet Started"))))</f>
        <v>Under Construction</v>
      </c>
      <c r="G70" s="169"/>
      <c r="H70" s="169"/>
    </row>
    <row r="71" spans="1:14" ht="15.75" customHeight="1" x14ac:dyDescent="0.3">
      <c r="A71" s="101" t="s">
        <v>140</v>
      </c>
      <c r="B71" s="101"/>
      <c r="C71" s="101" t="s">
        <v>251</v>
      </c>
      <c r="D71" s="101"/>
      <c r="E71" s="101"/>
      <c r="F71" s="101"/>
      <c r="G71" s="101"/>
      <c r="H71" s="101"/>
      <c r="I71" s="59" t="str">
        <f ca="1">IF(D84=100%,"All work Completed. Possession granted to the Building.",IF(D83=100%,"All work Completed, Waiting for OC",I72&amp;""&amp;I73&amp;""&amp;J72&amp;""&amp;J71&amp;" "&amp;J73))</f>
        <v>Excavation, Plinth Completed, RCC upto 8 Slab, Brickwork upto 2 Floor, Internal Plaster upto 1.3 Floor, External Plaster upto 0.9 Floor Completed</v>
      </c>
      <c r="J71" s="47" t="str">
        <f ca="1">(IF(C77=(D72+F72+H72),"",IF(C77&gt;0,", RCC upto "&amp;C77&amp;" Slab","")))&amp;(IF(C78=H72,"",IF(C78&gt;0,", Brickwork upto "&amp;C78&amp;" Floor","")))&amp;(IF(C79=H72,"",IF(C79&gt;0,", Internal Plaster upto "&amp;C79&amp;" Floor","")))&amp;(IF(C80=H72,"",IF(C80&gt;0,", External Plaster upto "&amp;C80&amp;" Floor","")))&amp;(IF(C81=H72,"",IF(C81&gt;0,", Flooring upto "&amp;C81&amp;" Floor","")))&amp;(IF(C82=H72,"",IF(C82&gt;0,", Painting upto "&amp;C82&amp;" Floor","")))&amp;(IF(C83=H72,"",IF(C83&gt;0,", Finishing upto "&amp;C83&amp;" Floor","")))&amp;(IF(C84=H72,"",IF(C84&gt;0,", Possession upto "&amp;C84&amp;" Floor","")))</f>
        <v>, RCC upto 8 Slab, Brickwork upto 2 Floor, Internal Plaster upto 1.3 Floor, External Plaster upto 0.9 Floor</v>
      </c>
    </row>
    <row r="72" spans="1:14" x14ac:dyDescent="0.3">
      <c r="A72" s="50" t="s">
        <v>142</v>
      </c>
      <c r="B72" s="50">
        <v>0</v>
      </c>
      <c r="C72" s="50" t="s">
        <v>71</v>
      </c>
      <c r="D72" s="50">
        <v>1</v>
      </c>
      <c r="E72" s="50" t="s">
        <v>70</v>
      </c>
      <c r="F72" s="50">
        <v>0</v>
      </c>
      <c r="G72" s="50" t="s">
        <v>80</v>
      </c>
      <c r="H72" s="50">
        <f ca="1">--TRIM(RIGHT(SUBSTITUTE(LEFT(C71,_xlfn.AGGREGATE(16,6,FIND({0,1,2,3,4,5,6,7,8,9},C71,ROW(INDIRECT("1:"&amp;LEN(C71)))),1))," ",REPT(" ",LEN(C71))),LEN(C71)))</f>
        <v>38</v>
      </c>
      <c r="I72" s="60" t="str">
        <f ca="1">IF(D75=100%,"Excavation","")&amp;IF(D76=100%,", Plinth","")&amp;IF(D77=100%,", RCC Slab","")&amp;IF(D78=100%,", Brickwork","")&amp;IF(D79=100%,", Internal Plaster","")&amp;IF(D80=100%,", External Plaster","")&amp;IF(D81=100%,", Flooring","")&amp;IF(D82=100%,", Painting","")&amp;IF(D83=100%,", Building common Amenities","")</f>
        <v>Excavation, Plinth</v>
      </c>
      <c r="J72" s="49" t="str">
        <f ca="1">(IF(C75=0,"Work not yet Started.",IF(D75=25%,"Piling work in process",IF(D75=50%,"Excavation work in process",IF(D75=100%,"","0")))))&amp;(IF(C76=0%,"",IF(C76=J77,", Footing work is process",IF(C76=J78,", Footing work Completed",IF(C76=J79,", 1st Basement Completed",IF(C76=J80,", 1st &amp; 2nd Basement Completed",IF(C76=J81,", 1st to 3rd Basement Completed",IF(C76=J82,", 1st to 4th Basement Completed",IF(C76=J83,", Plinth work is process",IF(C76=J84,"","0"))))))))))</f>
        <v/>
      </c>
    </row>
    <row r="73" spans="1:14" ht="31.5" customHeight="1" x14ac:dyDescent="0.3">
      <c r="A73" s="99" t="s">
        <v>90</v>
      </c>
      <c r="B73" s="100"/>
      <c r="C73" s="101" t="str">
        <f ca="1">I71</f>
        <v>Excavation, Plinth Completed, RCC upto 8 Slab, Brickwork upto 2 Floor, Internal Plaster upto 1.3 Floor, External Plaster upto 0.9 Floor Completed</v>
      </c>
      <c r="D73" s="101"/>
      <c r="E73" s="101"/>
      <c r="F73" s="101"/>
      <c r="G73" s="101"/>
      <c r="H73" s="102"/>
      <c r="I73" s="48" t="str">
        <f ca="1">IF(I72&lt;&gt;""," Completed","")</f>
        <v xml:space="preserve"> Completed</v>
      </c>
      <c r="J73" s="49" t="str">
        <f ca="1">IF(J71&lt;&gt;"","Completed","")</f>
        <v>Completed</v>
      </c>
    </row>
    <row r="74" spans="1:14" ht="15.75" customHeight="1" x14ac:dyDescent="0.3">
      <c r="A74" s="78" t="s">
        <v>49</v>
      </c>
      <c r="B74" s="79"/>
      <c r="C74" s="42" t="s">
        <v>139</v>
      </c>
      <c r="D74" s="42" t="s">
        <v>83</v>
      </c>
      <c r="E74" s="79" t="s">
        <v>85</v>
      </c>
      <c r="F74" s="79"/>
      <c r="G74" s="79" t="s">
        <v>84</v>
      </c>
      <c r="H74" s="103"/>
      <c r="I74" s="13" t="s">
        <v>141</v>
      </c>
      <c r="J74" s="27">
        <f ca="1">H72*25%</f>
        <v>9.5</v>
      </c>
    </row>
    <row r="75" spans="1:14" x14ac:dyDescent="0.3">
      <c r="A75" s="78" t="s">
        <v>128</v>
      </c>
      <c r="B75" s="79"/>
      <c r="C75" s="42">
        <f ca="1">J76</f>
        <v>38</v>
      </c>
      <c r="D75" s="18">
        <f ca="1">((100/H72)*C75)/100</f>
        <v>1</v>
      </c>
      <c r="E75" s="80">
        <f ca="1">(((C76/H72*10)+(40/(D72+F72+H72)*C77)+(7.5/(H72)*C78)+(7.5/(H72)*C79)+(10/H72*C80)+(10/H72*C81)+(5/H72*C82)+(5/H72*C83)+(5/H72*C84))/100)</f>
        <v>0.19093286099865048</v>
      </c>
      <c r="F75" s="81"/>
      <c r="G75" s="80">
        <f ca="1">((((C75/H72)*20)+((C76/H72)*25)+(30/(H72+F72+D72)*C77)+(5/H72*C78)+(5/H72*C79)+(5/H72*C80)+(5/H72*C81)+(0/H72*C82)+(0/H72*C83)+(5/H72*C84))/100)</f>
        <v>0.51706477732793521</v>
      </c>
      <c r="H75" s="86"/>
      <c r="I75" s="13" t="s">
        <v>101</v>
      </c>
      <c r="J75" s="28">
        <f ca="1">H72*50%</f>
        <v>19</v>
      </c>
    </row>
    <row r="76" spans="1:14" x14ac:dyDescent="0.3">
      <c r="A76" s="78" t="s">
        <v>50</v>
      </c>
      <c r="B76" s="79"/>
      <c r="C76" s="51">
        <v>38</v>
      </c>
      <c r="D76" s="18">
        <f ca="1">((100/H72)*C76)/100</f>
        <v>1</v>
      </c>
      <c r="E76" s="82"/>
      <c r="F76" s="83"/>
      <c r="G76" s="82"/>
      <c r="H76" s="87"/>
      <c r="I76" s="13" t="s">
        <v>102</v>
      </c>
      <c r="J76" s="28">
        <f ca="1">H72</f>
        <v>38</v>
      </c>
    </row>
    <row r="77" spans="1:14" ht="15.75" customHeight="1" x14ac:dyDescent="0.3">
      <c r="A77" s="78" t="s">
        <v>129</v>
      </c>
      <c r="B77" s="79"/>
      <c r="C77" s="42">
        <v>8</v>
      </c>
      <c r="D77" s="18">
        <f ca="1">((100/(D72+F72+H72))*C77)/100</f>
        <v>0.20512820512820515</v>
      </c>
      <c r="E77" s="82"/>
      <c r="F77" s="83"/>
      <c r="G77" s="82"/>
      <c r="H77" s="87"/>
      <c r="I77" s="13" t="s">
        <v>103</v>
      </c>
      <c r="J77" s="29">
        <f ca="1">(IF(B72&gt;1,(H72/(B72+2)),H72/4))</f>
        <v>9.5</v>
      </c>
    </row>
    <row r="78" spans="1:14" ht="15.75" customHeight="1" x14ac:dyDescent="0.3">
      <c r="A78" s="78" t="s">
        <v>136</v>
      </c>
      <c r="B78" s="79" t="s">
        <v>130</v>
      </c>
      <c r="C78" s="42">
        <v>2</v>
      </c>
      <c r="D78" s="18">
        <f ca="1">((100/H72)*C78)/100</f>
        <v>5.2631578947368425E-2</v>
      </c>
      <c r="E78" s="82"/>
      <c r="F78" s="83"/>
      <c r="G78" s="82"/>
      <c r="H78" s="87"/>
      <c r="I78" s="13" t="s">
        <v>104</v>
      </c>
      <c r="J78" s="29">
        <f ca="1">(IF(B72&gt;1,(H72/(B72+2)+J77),H72/4+J77))</f>
        <v>19</v>
      </c>
    </row>
    <row r="79" spans="1:14" ht="15.75" customHeight="1" x14ac:dyDescent="0.3">
      <c r="A79" s="78" t="s">
        <v>137</v>
      </c>
      <c r="B79" s="79" t="s">
        <v>130</v>
      </c>
      <c r="C79" s="51">
        <f>C78*0.65</f>
        <v>1.3</v>
      </c>
      <c r="D79" s="18">
        <f ca="1">((100/H72)*C79)/100</f>
        <v>3.4210526315789476E-2</v>
      </c>
      <c r="E79" s="82"/>
      <c r="F79" s="83"/>
      <c r="G79" s="82"/>
      <c r="H79" s="87"/>
      <c r="I79" s="13" t="s">
        <v>148</v>
      </c>
      <c r="J79" s="29">
        <f>(IF(B72&gt;1,(H72/(B72+2)+J78),0))</f>
        <v>0</v>
      </c>
    </row>
    <row r="80" spans="1:14" ht="15" customHeight="1" x14ac:dyDescent="0.3">
      <c r="A80" s="78" t="s">
        <v>135</v>
      </c>
      <c r="B80" s="79" t="s">
        <v>132</v>
      </c>
      <c r="C80" s="51">
        <f>C78*0.45</f>
        <v>0.9</v>
      </c>
      <c r="D80" s="18">
        <f ca="1">((100/(H72))*C80)/100</f>
        <v>2.3684210526315794E-2</v>
      </c>
      <c r="E80" s="82"/>
      <c r="F80" s="83"/>
      <c r="G80" s="82"/>
      <c r="H80" s="87"/>
      <c r="I80" s="13" t="s">
        <v>143</v>
      </c>
      <c r="J80" s="29">
        <f>(IF(B72&gt;2,(H72/(B72+2)+J79),0))</f>
        <v>0</v>
      </c>
    </row>
    <row r="81" spans="1:10" ht="15.75" customHeight="1" x14ac:dyDescent="0.3">
      <c r="A81" s="78" t="s">
        <v>131</v>
      </c>
      <c r="B81" s="79" t="s">
        <v>131</v>
      </c>
      <c r="C81" s="42">
        <v>0</v>
      </c>
      <c r="D81" s="18">
        <f ca="1">((100/H72)*C81)/100</f>
        <v>0</v>
      </c>
      <c r="E81" s="82"/>
      <c r="F81" s="83"/>
      <c r="G81" s="82"/>
      <c r="H81" s="87"/>
      <c r="I81" s="13" t="s">
        <v>144</v>
      </c>
      <c r="J81" s="30">
        <f>(IF(B72&gt;3,(H72/(B72+2)+J80),0))</f>
        <v>0</v>
      </c>
    </row>
    <row r="82" spans="1:10" ht="15.75" customHeight="1" x14ac:dyDescent="0.3">
      <c r="A82" s="78" t="s">
        <v>138</v>
      </c>
      <c r="B82" s="79"/>
      <c r="C82" s="42">
        <v>0</v>
      </c>
      <c r="D82" s="18">
        <f ca="1">((100/H72)*C82)/100</f>
        <v>0</v>
      </c>
      <c r="E82" s="82"/>
      <c r="F82" s="83"/>
      <c r="G82" s="82"/>
      <c r="H82" s="87"/>
      <c r="I82" s="13" t="s">
        <v>145</v>
      </c>
      <c r="J82" s="29">
        <f>(IF(B72&gt;4,(H72/(B72+2)+J81),0))</f>
        <v>0</v>
      </c>
    </row>
    <row r="83" spans="1:10" ht="15.75" customHeight="1" x14ac:dyDescent="0.3">
      <c r="A83" s="78" t="s">
        <v>133</v>
      </c>
      <c r="B83" s="79" t="s">
        <v>133</v>
      </c>
      <c r="C83" s="42">
        <v>0</v>
      </c>
      <c r="D83" s="18">
        <f ca="1">((100/(H72))*C83)/100</f>
        <v>0</v>
      </c>
      <c r="E83" s="82"/>
      <c r="F83" s="83"/>
      <c r="G83" s="82"/>
      <c r="H83" s="87"/>
      <c r="I83" s="13" t="s">
        <v>149</v>
      </c>
      <c r="J83" s="29">
        <f ca="1">(IF(B72=1,(H72/(B72+3)+J78),IF(B72=0,(H72/4+J78),IF(B72&gt;1,0))))</f>
        <v>28.5</v>
      </c>
    </row>
    <row r="84" spans="1:10" ht="16.2" thickBot="1" x14ac:dyDescent="0.35">
      <c r="A84" s="89" t="s">
        <v>134</v>
      </c>
      <c r="B84" s="90"/>
      <c r="C84" s="43">
        <v>0</v>
      </c>
      <c r="D84" s="19">
        <f ca="1">((100/(H72))*C84)/100</f>
        <v>0</v>
      </c>
      <c r="E84" s="84"/>
      <c r="F84" s="85"/>
      <c r="G84" s="84"/>
      <c r="H84" s="88"/>
      <c r="I84" s="14" t="s">
        <v>105</v>
      </c>
      <c r="J84" s="31">
        <f ca="1">(IF(B72&gt;1.5,(H72/(B72+2)+J78+MAX(0,J79-J78)+MAX(0,J80-J79)+MAX(0,J81-J80)+MAX(0,J82-J81)+MAX(0,J83-J82)),IF(B72=1,(H72/(B72+3)+J83),IF(B72=0,H72/4+J83))))</f>
        <v>38</v>
      </c>
    </row>
    <row r="85" spans="1:10" ht="15.75" customHeight="1" x14ac:dyDescent="0.3">
      <c r="A85" s="94" t="s">
        <v>140</v>
      </c>
      <c r="B85" s="95"/>
      <c r="C85" s="96" t="s">
        <v>252</v>
      </c>
      <c r="D85" s="97"/>
      <c r="E85" s="97"/>
      <c r="F85" s="97"/>
      <c r="G85" s="97"/>
      <c r="H85" s="98"/>
      <c r="I85" s="46" t="str">
        <f ca="1">IF(D98=100%,"All work Completed. Possession granted to the Building.",IF(D97=100%,"All work Completed, Waiting for OC",I86&amp;""&amp;I87&amp;""&amp;J86&amp;""&amp;J85&amp;" "&amp;J87))</f>
        <v>Excavation, Plinth Completed, RCC upto 17 Slab, Brickwork upto 12 Floor, Internal Plaster upto 7.8 Floor, External Plaster upto 5.4 Floor Completed</v>
      </c>
      <c r="J85" s="47" t="str">
        <f ca="1">(IF(C91=(D86+F86+H86),"",IF(C91&gt;0,", RCC upto "&amp;C91&amp;" Slab","")))&amp;(IF(C92=H86,"",IF(C92&gt;0,", Brickwork upto "&amp;C92&amp;" Floor","")))&amp;(IF(C93=H86,"",IF(C93&gt;0,", Internal Plaster upto "&amp;C93&amp;" Floor","")))&amp;(IF(C94=H86,"",IF(C94&gt;0,", External Plaster upto "&amp;C94&amp;" Floor","")))&amp;(IF(C95=H86,"",IF(C95&gt;0,", Flooring upto "&amp;C95&amp;" Floor","")))&amp;(IF(C96=H86,"",IF(C96&gt;0,", Painting upto "&amp;C96&amp;" Floor","")))&amp;(IF(C97=H86,"",IF(C97&gt;0,", Finishing upto "&amp;C97&amp;" Floor","")))&amp;(IF(C98=H86,"",IF(C98&gt;0,", Possession upto "&amp;C98&amp;" Floor","")))</f>
        <v>, RCC upto 17 Slab, Brickwork upto 12 Floor, Internal Plaster upto 7.8 Floor, External Plaster upto 5.4 Floor</v>
      </c>
    </row>
    <row r="86" spans="1:10" x14ac:dyDescent="0.3">
      <c r="A86" s="15" t="s">
        <v>142</v>
      </c>
      <c r="B86" s="50">
        <v>0</v>
      </c>
      <c r="C86" s="50" t="s">
        <v>71</v>
      </c>
      <c r="D86" s="50">
        <v>1</v>
      </c>
      <c r="E86" s="50" t="s">
        <v>70</v>
      </c>
      <c r="F86" s="50">
        <v>0</v>
      </c>
      <c r="G86" s="50" t="s">
        <v>80</v>
      </c>
      <c r="H86" s="16">
        <f ca="1">--TRIM(RIGHT(SUBSTITUTE(LEFT(C85,_xlfn.AGGREGATE(16,6,FIND({0,1,2,3,4,5,6,7,8,9},C85,ROW(INDIRECT("1:"&amp;LEN(C85)))),1))," ",REPT(" ",LEN(C85))),LEN(C85)))</f>
        <v>38</v>
      </c>
      <c r="I86" s="48" t="str">
        <f ca="1">IF(D89=100%,"Excavation","")&amp;IF(D90=100%,", Plinth","")&amp;IF(D91=100%,", RCC Slab","")&amp;IF(D92=100%,", Brickwork","")&amp;IF(D93=100%,", Internal Plaster","")&amp;IF(D94=100%,", External Plaster","")&amp;IF(D95=100%,", Flooring","")&amp;IF(D96=100%,", Painting","")&amp;IF(D97=100%,", Building common Amenities","")</f>
        <v>Excavation, Plinth</v>
      </c>
      <c r="J86" s="49" t="str">
        <f ca="1">(IF(C89=0,"Work not yet Started.",IF(D89=25%,"Piling work in process",IF(D89=50%,"Excavation work in process",IF(D89=100%,"","0")))))&amp;(IF(C90=0%,"",IF(C90=J91,", Footing work is process",IF(C90=J92,", Footing work Completed",IF(C90=J93,", 1st Basement Completed",IF(C90=J94,", 1st &amp; 2nd Basement Completed",IF(C90=J95,", 1st to 3rd Basement Completed",IF(C90=J96,", 1st to 4th Basement Completed",IF(C90=J97,", Plinth work is process",IF(C90=J98,"","0"))))))))))</f>
        <v/>
      </c>
    </row>
    <row r="87" spans="1:10" ht="31.5" customHeight="1" x14ac:dyDescent="0.3">
      <c r="A87" s="99" t="s">
        <v>90</v>
      </c>
      <c r="B87" s="100"/>
      <c r="C87" s="101" t="str">
        <f ca="1">I85</f>
        <v>Excavation, Plinth Completed, RCC upto 17 Slab, Brickwork upto 12 Floor, Internal Plaster upto 7.8 Floor, External Plaster upto 5.4 Floor Completed</v>
      </c>
      <c r="D87" s="101"/>
      <c r="E87" s="101"/>
      <c r="F87" s="101"/>
      <c r="G87" s="101"/>
      <c r="H87" s="102"/>
      <c r="I87" s="48" t="str">
        <f ca="1">IF(I86&lt;&gt;""," Completed","")</f>
        <v xml:space="preserve"> Completed</v>
      </c>
      <c r="J87" s="49" t="str">
        <f ca="1">IF(J85&lt;&gt;"","Completed","")</f>
        <v>Completed</v>
      </c>
    </row>
    <row r="88" spans="1:10" ht="15.75" customHeight="1" x14ac:dyDescent="0.3">
      <c r="A88" s="78" t="s">
        <v>49</v>
      </c>
      <c r="B88" s="79"/>
      <c r="C88" s="42" t="s">
        <v>139</v>
      </c>
      <c r="D88" s="42" t="s">
        <v>83</v>
      </c>
      <c r="E88" s="79" t="s">
        <v>85</v>
      </c>
      <c r="F88" s="79"/>
      <c r="G88" s="79" t="s">
        <v>84</v>
      </c>
      <c r="H88" s="103"/>
      <c r="I88" s="13" t="s">
        <v>141</v>
      </c>
      <c r="J88" s="27">
        <f ca="1">H86*25%</f>
        <v>9.5</v>
      </c>
    </row>
    <row r="89" spans="1:10" x14ac:dyDescent="0.3">
      <c r="A89" s="78" t="s">
        <v>128</v>
      </c>
      <c r="B89" s="79"/>
      <c r="C89" s="42">
        <f ca="1">J90</f>
        <v>38</v>
      </c>
      <c r="D89" s="18">
        <f ca="1">((100/H86)*C89)/100</f>
        <v>1</v>
      </c>
      <c r="E89" s="80">
        <f ca="1">(((C90/H86*10)+(40/(D86+F86+H86)*C91)+(7.5/(H86)*C92)+(7.5/(H86)*C93)+(10/H86*C94)+(10/H86*C95)+(5/H86*C96)+(5/H86*C97)+(5/H86*C98))/100)</f>
        <v>0.32764844804318488</v>
      </c>
      <c r="F89" s="81"/>
      <c r="G89" s="80">
        <f ca="1">((((C89/H86)*20)+((C90/H86)*25)+(30/(H86+F86+D86)*C91)+(5/H86*C92)+(5/H86*C93)+(5/H86*C94)+(5/H86*C95)+(0/H86*C96)+(0/H86*C97)+(5/H86*C98))/100)</f>
        <v>0.61392712550607298</v>
      </c>
      <c r="H89" s="86"/>
      <c r="I89" s="13" t="s">
        <v>101</v>
      </c>
      <c r="J89" s="28">
        <f ca="1">H86*50%</f>
        <v>19</v>
      </c>
    </row>
    <row r="90" spans="1:10" x14ac:dyDescent="0.3">
      <c r="A90" s="78" t="s">
        <v>50</v>
      </c>
      <c r="B90" s="79"/>
      <c r="C90" s="51">
        <f ca="1">J98</f>
        <v>38</v>
      </c>
      <c r="D90" s="18">
        <f ca="1">((100/H86)*C90)/100</f>
        <v>1</v>
      </c>
      <c r="E90" s="82"/>
      <c r="F90" s="83"/>
      <c r="G90" s="82"/>
      <c r="H90" s="87"/>
      <c r="I90" s="13" t="s">
        <v>102</v>
      </c>
      <c r="J90" s="28">
        <f ca="1">H86</f>
        <v>38</v>
      </c>
    </row>
    <row r="91" spans="1:10" ht="15.75" customHeight="1" x14ac:dyDescent="0.3">
      <c r="A91" s="107" t="s">
        <v>129</v>
      </c>
      <c r="B91" s="108"/>
      <c r="C91" s="42">
        <f>D86+16</f>
        <v>17</v>
      </c>
      <c r="D91" s="18">
        <f ca="1">((100/(D86+F86+H86))*C91)/100</f>
        <v>0.4358974358974359</v>
      </c>
      <c r="E91" s="82"/>
      <c r="F91" s="83"/>
      <c r="G91" s="82"/>
      <c r="H91" s="87"/>
      <c r="I91" s="13" t="s">
        <v>103</v>
      </c>
      <c r="J91" s="29">
        <f ca="1">(IF(B86&gt;1,(H86/(B86+2)),H86/4))</f>
        <v>9.5</v>
      </c>
    </row>
    <row r="92" spans="1:10" ht="15.75" customHeight="1" x14ac:dyDescent="0.3">
      <c r="A92" s="107" t="s">
        <v>136</v>
      </c>
      <c r="B92" s="108" t="s">
        <v>130</v>
      </c>
      <c r="C92" s="42">
        <v>12</v>
      </c>
      <c r="D92" s="18">
        <f ca="1">((100/H86)*C92)/100</f>
        <v>0.31578947368421056</v>
      </c>
      <c r="E92" s="82"/>
      <c r="F92" s="83"/>
      <c r="G92" s="82"/>
      <c r="H92" s="87"/>
      <c r="I92" s="13" t="s">
        <v>104</v>
      </c>
      <c r="J92" s="29">
        <f ca="1">(IF(B86&gt;1,(H86/(B86+2)+J91),H86/4+J91))</f>
        <v>19</v>
      </c>
    </row>
    <row r="93" spans="1:10" ht="15.75" customHeight="1" x14ac:dyDescent="0.3">
      <c r="A93" s="107" t="s">
        <v>137</v>
      </c>
      <c r="B93" s="108" t="s">
        <v>130</v>
      </c>
      <c r="C93" s="51">
        <f>C92*0.65</f>
        <v>7.8000000000000007</v>
      </c>
      <c r="D93" s="18">
        <f ca="1">((100/H86)*C93)/100</f>
        <v>0.2052631578947369</v>
      </c>
      <c r="E93" s="82"/>
      <c r="F93" s="83"/>
      <c r="G93" s="82"/>
      <c r="H93" s="87"/>
      <c r="I93" s="13" t="s">
        <v>148</v>
      </c>
      <c r="J93" s="29">
        <f>(IF(B86&gt;1,(H86/(B86+2)+J92),0))</f>
        <v>0</v>
      </c>
    </row>
    <row r="94" spans="1:10" ht="15" customHeight="1" x14ac:dyDescent="0.3">
      <c r="A94" s="107" t="s">
        <v>135</v>
      </c>
      <c r="B94" s="108" t="s">
        <v>132</v>
      </c>
      <c r="C94" s="51">
        <f>C92*0.45</f>
        <v>5.4</v>
      </c>
      <c r="D94" s="18">
        <f ca="1">((100/(H86))*C94)/100</f>
        <v>0.14210526315789476</v>
      </c>
      <c r="E94" s="82"/>
      <c r="F94" s="83"/>
      <c r="G94" s="82"/>
      <c r="H94" s="87"/>
      <c r="I94" s="13" t="s">
        <v>143</v>
      </c>
      <c r="J94" s="29">
        <f>(IF(B86&gt;2,(H86/(B86+2)+J93),0))</f>
        <v>0</v>
      </c>
    </row>
    <row r="95" spans="1:10" ht="15.75" customHeight="1" x14ac:dyDescent="0.3">
      <c r="A95" s="107" t="s">
        <v>131</v>
      </c>
      <c r="B95" s="108" t="s">
        <v>131</v>
      </c>
      <c r="C95" s="42">
        <v>0</v>
      </c>
      <c r="D95" s="18">
        <f ca="1">((100/H86)*C95)/100</f>
        <v>0</v>
      </c>
      <c r="E95" s="82"/>
      <c r="F95" s="83"/>
      <c r="G95" s="82"/>
      <c r="H95" s="87"/>
      <c r="I95" s="13" t="s">
        <v>144</v>
      </c>
      <c r="J95" s="30">
        <f>(IF(B86&gt;3,(H86/(B86+2)+J94),0))</f>
        <v>0</v>
      </c>
    </row>
    <row r="96" spans="1:10" ht="15.75" customHeight="1" x14ac:dyDescent="0.3">
      <c r="A96" s="107" t="s">
        <v>138</v>
      </c>
      <c r="B96" s="108"/>
      <c r="C96" s="42">
        <v>0</v>
      </c>
      <c r="D96" s="18">
        <f ca="1">((100/H86)*C96)/100</f>
        <v>0</v>
      </c>
      <c r="E96" s="82"/>
      <c r="F96" s="83"/>
      <c r="G96" s="82"/>
      <c r="H96" s="87"/>
      <c r="I96" s="13" t="s">
        <v>145</v>
      </c>
      <c r="J96" s="29">
        <f>(IF(B86&gt;4,(H86/(B86+2)+J95),0))</f>
        <v>0</v>
      </c>
    </row>
    <row r="97" spans="1:10" ht="15.75" customHeight="1" x14ac:dyDescent="0.3">
      <c r="A97" s="107" t="s">
        <v>133</v>
      </c>
      <c r="B97" s="108" t="s">
        <v>133</v>
      </c>
      <c r="C97" s="42">
        <v>0</v>
      </c>
      <c r="D97" s="18">
        <f ca="1">((100/(H86))*C97)/100</f>
        <v>0</v>
      </c>
      <c r="E97" s="82"/>
      <c r="F97" s="83"/>
      <c r="G97" s="82"/>
      <c r="H97" s="87"/>
      <c r="I97" s="13" t="s">
        <v>149</v>
      </c>
      <c r="J97" s="29">
        <f ca="1">(IF(B86=1,(H86/(B86+3)+J92),IF(B86=0,(H86/4+J92),IF(B86&gt;1,0))))</f>
        <v>28.5</v>
      </c>
    </row>
    <row r="98" spans="1:10" ht="16.2" thickBot="1" x14ac:dyDescent="0.35">
      <c r="A98" s="89" t="s">
        <v>134</v>
      </c>
      <c r="B98" s="90"/>
      <c r="C98" s="43">
        <v>0</v>
      </c>
      <c r="D98" s="19">
        <f ca="1">((100/(H86))*C98)/100</f>
        <v>0</v>
      </c>
      <c r="E98" s="84"/>
      <c r="F98" s="85"/>
      <c r="G98" s="84"/>
      <c r="H98" s="88"/>
      <c r="I98" s="14" t="s">
        <v>105</v>
      </c>
      <c r="J98" s="31">
        <f ca="1">(IF(B86&gt;1.5,(H86/(B86+2)+J92+MAX(0,J93-J92)+MAX(0,J94-J93)+MAX(0,J95-J94)+MAX(0,J96-J95)+MAX(0,J97-J96)),IF(B86=1,(H86/(B86+3)+J97),IF(B86=0,H86/4+J97))))</f>
        <v>38</v>
      </c>
    </row>
    <row r="99" spans="1:10" ht="15.75" customHeight="1" x14ac:dyDescent="0.3">
      <c r="A99" s="94" t="s">
        <v>140</v>
      </c>
      <c r="B99" s="95"/>
      <c r="C99" s="96" t="str">
        <f>D61</f>
        <v>Building E = Lower Stilt + Upper Stilt + 1st to 38th Floor</v>
      </c>
      <c r="D99" s="97"/>
      <c r="E99" s="97"/>
      <c r="F99" s="97"/>
      <c r="G99" s="97"/>
      <c r="H99" s="98"/>
      <c r="I99" s="46" t="str">
        <f ca="1">IF(D112=100%,"All work Completed Possession granted to the Building.",IF(D111=100%,"All work Completed, Waiting for OC",I100&amp;""&amp;I101&amp;""&amp;J100&amp;""&amp;J99&amp;" "&amp;J101))</f>
        <v>Excavation, Plinth Completed, RCC upto 9 Slab, Brickwork upto 2 Floor, Internal Plaster upto 1.3 Floor, External Plaster upto 0.9 Floor Completed</v>
      </c>
      <c r="J99" s="47" t="str">
        <f ca="1">(IF(C105=(D100+F100+H100),"",IF(C105&gt;0,", RCC upto "&amp;C105&amp;" Slab","")))&amp;(IF(C106=H100,"",IF(C106&gt;0,", Brickwork upto "&amp;C106&amp;" Floor","")))&amp;(IF(C107=H100,"",IF(C107&gt;0,", Internal Plaster upto "&amp;C107&amp;" Floor","")))&amp;(IF(C108=H100,"",IF(C108&gt;0,", External Plaster upto "&amp;C108&amp;" Floor","")))&amp;(IF(C109=H100,"",IF(C109&gt;0,", Flooring upto "&amp;C109&amp;" Floor","")))&amp;(IF(C110=H100,"",IF(C110&gt;0,", Painting upto "&amp;C110&amp;" Floor","")))&amp;(IF(C111=H100,"",IF(C111&gt;0,", Finishing upto "&amp;C111&amp;" Floor","")))&amp;(IF(C112=H100,"",IF(C112&gt;0,", Possession upto "&amp;C112&amp;" Floor","")))</f>
        <v>, RCC upto 9 Slab, Brickwork upto 2 Floor, Internal Plaster upto 1.3 Floor, External Plaster upto 0.9 Floor</v>
      </c>
    </row>
    <row r="100" spans="1:10" x14ac:dyDescent="0.3">
      <c r="A100" s="15" t="s">
        <v>142</v>
      </c>
      <c r="B100" s="50">
        <v>0</v>
      </c>
      <c r="C100" s="50" t="s">
        <v>71</v>
      </c>
      <c r="D100" s="50">
        <v>2</v>
      </c>
      <c r="E100" s="50" t="s">
        <v>70</v>
      </c>
      <c r="F100" s="50">
        <v>0</v>
      </c>
      <c r="G100" s="50" t="s">
        <v>80</v>
      </c>
      <c r="H100" s="16">
        <f ca="1">--TRIM(RIGHT(SUBSTITUTE(LEFT(C99,_xlfn.AGGREGATE(16,6,FIND({0,1,2,3,4,5,6,7,8,9},C99,ROW(INDIRECT("1:"&amp;LEN(C99)))),1))," ",REPT(" ",LEN(C99))),LEN(C99)))</f>
        <v>38</v>
      </c>
      <c r="I100" s="48" t="str">
        <f ca="1">IF(D103=100%,"Excavation","")&amp;IF(D104=100%,", Plinth","")&amp;IF(D105=100%,", RCC Slab","")&amp;IF(D106=100%,", Brickwork","")&amp;IF(D107=100%,", Internal Plaster","")&amp;IF(D108=100%,", External Plaster","")&amp;IF(D109=100%,", Flooring","")&amp;IF(D110=100%,", Painting","")&amp;IF(D111=100%,", Building common Amenities","")</f>
        <v>Excavation, Plinth</v>
      </c>
      <c r="J100" s="49" t="str">
        <f ca="1">(IF(C103=0,"Work not yet Started.",IF(D103=25%,"Piling work in process",IF(D103=50%,"Excavation work in process",IF(D103=100%,"","0")))))&amp;(IF(C104=0%,"",IF(C104=J105,", Footing work is process",IF(C104=J106,", Footing work Completed",IF(C104=J107,", 1st Basement Completed",IF(C104=J108,", 1st &amp; 2nd Basement Completed",IF(C104=J109,", 1st to 3rd Basement Completed",IF(C104=J110,", 1st to 4th Basement Completed",IF(C104=J111,", Plinth work is process",IF(C104=J112,"","0"))))))))))</f>
        <v/>
      </c>
    </row>
    <row r="101" spans="1:10" ht="32.25" customHeight="1" x14ac:dyDescent="0.3">
      <c r="A101" s="99" t="s">
        <v>90</v>
      </c>
      <c r="B101" s="100"/>
      <c r="C101" s="101" t="str">
        <f ca="1">(IF($G$53="NA",I99,"All work Completed. OC Received."))</f>
        <v>Excavation, Plinth Completed, RCC upto 9 Slab, Brickwork upto 2 Floor, Internal Plaster upto 1.3 Floor, External Plaster upto 0.9 Floor Completed</v>
      </c>
      <c r="D101" s="101"/>
      <c r="E101" s="101"/>
      <c r="F101" s="101"/>
      <c r="G101" s="101"/>
      <c r="H101" s="102"/>
      <c r="I101" s="48" t="str">
        <f ca="1">IF(I100&lt;&gt;""," Completed","")</f>
        <v xml:space="preserve"> Completed</v>
      </c>
      <c r="J101" s="49" t="str">
        <f ca="1">IF(J99&lt;&gt;"","Completed","")</f>
        <v>Completed</v>
      </c>
    </row>
    <row r="102" spans="1:10" ht="15.75" customHeight="1" x14ac:dyDescent="0.3">
      <c r="A102" s="78" t="s">
        <v>49</v>
      </c>
      <c r="B102" s="79"/>
      <c r="C102" s="42" t="s">
        <v>139</v>
      </c>
      <c r="D102" s="42" t="s">
        <v>83</v>
      </c>
      <c r="E102" s="79" t="s">
        <v>85</v>
      </c>
      <c r="F102" s="79"/>
      <c r="G102" s="79" t="s">
        <v>84</v>
      </c>
      <c r="H102" s="103"/>
      <c r="I102" s="13" t="s">
        <v>141</v>
      </c>
      <c r="J102" s="27">
        <f ca="1">H100*25%</f>
        <v>9.5</v>
      </c>
    </row>
    <row r="103" spans="1:10" x14ac:dyDescent="0.3">
      <c r="A103" s="78" t="s">
        <v>128</v>
      </c>
      <c r="B103" s="79"/>
      <c r="C103" s="42">
        <f ca="1">J104</f>
        <v>38</v>
      </c>
      <c r="D103" s="18">
        <f ca="1">((100/H100)*C103)/100</f>
        <v>1</v>
      </c>
      <c r="E103" s="80">
        <f ca="1">(((C104/H100*10)+(40/(D100+F100+H100)*C105)+(7.5/(H100)*C106)+(7.5/(H100)*C107)+(10/H100*C108)+(10/H100*C109)+(5/H100*C110)+(5/H100*C111)+(5/H100*C112))/100)</f>
        <v>0.19888157894736844</v>
      </c>
      <c r="F103" s="81"/>
      <c r="G103" s="80">
        <f ca="1">((((C103/H100)*20)+((C104/H100)*25)+(30/(H100+F100+D100)*C105)+(5/H100*C106)+(5/H100*C107)+(5/H100*C108)+(5/H100*C109)+(0/H100*C110)+(0/H100*C111)+(5/H100*C112))/100)</f>
        <v>0.52302631578947367</v>
      </c>
      <c r="H103" s="86"/>
      <c r="I103" s="13" t="s">
        <v>101</v>
      </c>
      <c r="J103" s="28">
        <f ca="1">H100*50%</f>
        <v>19</v>
      </c>
    </row>
    <row r="104" spans="1:10" x14ac:dyDescent="0.3">
      <c r="A104" s="78" t="s">
        <v>50</v>
      </c>
      <c r="B104" s="79"/>
      <c r="C104" s="51">
        <v>38</v>
      </c>
      <c r="D104" s="18">
        <f ca="1">((100/H100)*C104)/100</f>
        <v>1</v>
      </c>
      <c r="E104" s="82"/>
      <c r="F104" s="83"/>
      <c r="G104" s="82"/>
      <c r="H104" s="87"/>
      <c r="I104" s="13" t="s">
        <v>102</v>
      </c>
      <c r="J104" s="28">
        <f ca="1">H100</f>
        <v>38</v>
      </c>
    </row>
    <row r="105" spans="1:10" ht="15.75" customHeight="1" x14ac:dyDescent="0.3">
      <c r="A105" s="78" t="s">
        <v>129</v>
      </c>
      <c r="B105" s="79"/>
      <c r="C105" s="42">
        <v>9</v>
      </c>
      <c r="D105" s="18">
        <f ca="1">((100/(D100+F100+H100))*C105)/100</f>
        <v>0.22500000000000001</v>
      </c>
      <c r="E105" s="82"/>
      <c r="F105" s="83"/>
      <c r="G105" s="82"/>
      <c r="H105" s="87"/>
      <c r="I105" s="13" t="s">
        <v>103</v>
      </c>
      <c r="J105" s="29">
        <f ca="1">(IF(B100&gt;1,(H100/(B100+2)),H100/4))</f>
        <v>9.5</v>
      </c>
    </row>
    <row r="106" spans="1:10" ht="15.75" customHeight="1" x14ac:dyDescent="0.3">
      <c r="A106" s="78" t="s">
        <v>136</v>
      </c>
      <c r="B106" s="79" t="s">
        <v>130</v>
      </c>
      <c r="C106" s="42">
        <v>2</v>
      </c>
      <c r="D106" s="18">
        <f ca="1">((100/H100)*C106)/100</f>
        <v>5.2631578947368425E-2</v>
      </c>
      <c r="E106" s="82"/>
      <c r="F106" s="83"/>
      <c r="G106" s="82"/>
      <c r="H106" s="87"/>
      <c r="I106" s="13" t="s">
        <v>104</v>
      </c>
      <c r="J106" s="29">
        <f ca="1">(IF(B100&gt;1,(H100/(B100+2)+J105),H100/4+J105))</f>
        <v>19</v>
      </c>
    </row>
    <row r="107" spans="1:10" ht="15.75" customHeight="1" x14ac:dyDescent="0.3">
      <c r="A107" s="78" t="s">
        <v>137</v>
      </c>
      <c r="B107" s="79" t="s">
        <v>130</v>
      </c>
      <c r="C107" s="51">
        <f>C106*0.65</f>
        <v>1.3</v>
      </c>
      <c r="D107" s="18">
        <f ca="1">((100/H100)*C107)/100</f>
        <v>3.4210526315789476E-2</v>
      </c>
      <c r="E107" s="82"/>
      <c r="F107" s="83"/>
      <c r="G107" s="82"/>
      <c r="H107" s="87"/>
      <c r="I107" s="13" t="s">
        <v>148</v>
      </c>
      <c r="J107" s="29">
        <f>(IF(B100&gt;1,(H100/(B100+2)+J106),0))</f>
        <v>0</v>
      </c>
    </row>
    <row r="108" spans="1:10" ht="15" customHeight="1" x14ac:dyDescent="0.3">
      <c r="A108" s="78" t="s">
        <v>135</v>
      </c>
      <c r="B108" s="79" t="s">
        <v>132</v>
      </c>
      <c r="C108" s="51">
        <f>C106*0.45</f>
        <v>0.9</v>
      </c>
      <c r="D108" s="18">
        <f ca="1">((100/(H100))*C108)/100</f>
        <v>2.3684210526315794E-2</v>
      </c>
      <c r="E108" s="82"/>
      <c r="F108" s="83"/>
      <c r="G108" s="82"/>
      <c r="H108" s="87"/>
      <c r="I108" s="13" t="s">
        <v>143</v>
      </c>
      <c r="J108" s="29">
        <f>(IF(B100&gt;2,(H100/(B100+2)+J107),0))</f>
        <v>0</v>
      </c>
    </row>
    <row r="109" spans="1:10" ht="15.75" customHeight="1" x14ac:dyDescent="0.3">
      <c r="A109" s="78" t="s">
        <v>131</v>
      </c>
      <c r="B109" s="79" t="s">
        <v>131</v>
      </c>
      <c r="C109" s="42">
        <v>0</v>
      </c>
      <c r="D109" s="18">
        <f ca="1">((100/H100)*C109)/100</f>
        <v>0</v>
      </c>
      <c r="E109" s="82"/>
      <c r="F109" s="83"/>
      <c r="G109" s="82"/>
      <c r="H109" s="87"/>
      <c r="I109" s="13" t="s">
        <v>144</v>
      </c>
      <c r="J109" s="30">
        <f>(IF(B100&gt;3,(H100/(B100+2)+J108),0))</f>
        <v>0</v>
      </c>
    </row>
    <row r="110" spans="1:10" ht="15.75" customHeight="1" x14ac:dyDescent="0.3">
      <c r="A110" s="78" t="s">
        <v>138</v>
      </c>
      <c r="B110" s="79"/>
      <c r="C110" s="42">
        <v>0</v>
      </c>
      <c r="D110" s="18">
        <f ca="1">((100/H100)*C110)/100</f>
        <v>0</v>
      </c>
      <c r="E110" s="82"/>
      <c r="F110" s="83"/>
      <c r="G110" s="82"/>
      <c r="H110" s="87"/>
      <c r="I110" s="13" t="s">
        <v>145</v>
      </c>
      <c r="J110" s="29">
        <f>(IF(B100&gt;4,(H100/(B100+2)+J109),0))</f>
        <v>0</v>
      </c>
    </row>
    <row r="111" spans="1:10" ht="15.75" customHeight="1" x14ac:dyDescent="0.3">
      <c r="A111" s="78" t="s">
        <v>133</v>
      </c>
      <c r="B111" s="79" t="s">
        <v>133</v>
      </c>
      <c r="C111" s="42">
        <v>0</v>
      </c>
      <c r="D111" s="18">
        <f ca="1">((100/(H100))*C111)/100</f>
        <v>0</v>
      </c>
      <c r="E111" s="82"/>
      <c r="F111" s="83"/>
      <c r="G111" s="82"/>
      <c r="H111" s="87"/>
      <c r="I111" s="13" t="s">
        <v>149</v>
      </c>
      <c r="J111" s="29">
        <f ca="1">(IF(B100=1,(H100/(B100+3)+J106),IF(B100=0,(H100/4+J106),IF(B100&gt;1,0))))</f>
        <v>28.5</v>
      </c>
    </row>
    <row r="112" spans="1:10" ht="16.2" thickBot="1" x14ac:dyDescent="0.35">
      <c r="A112" s="89" t="s">
        <v>134</v>
      </c>
      <c r="B112" s="90"/>
      <c r="C112" s="43">
        <v>0</v>
      </c>
      <c r="D112" s="19">
        <f ca="1">((100/(H100))*C112)/100</f>
        <v>0</v>
      </c>
      <c r="E112" s="84"/>
      <c r="F112" s="85"/>
      <c r="G112" s="84"/>
      <c r="H112" s="88"/>
      <c r="I112" s="14" t="s">
        <v>105</v>
      </c>
      <c r="J112" s="31">
        <f ca="1">(IF(B100&gt;1.5,(H100/(B100+2)+J106+MAX(0,J107-J106)+MAX(0,J108-J107)+MAX(0,J109-J108)+MAX(0,J110-J109)+MAX(0,J111-J110)),IF(B100=1,(H100/(B100+3)+J111),IF(B100=0,H100/4+J111))))</f>
        <v>38</v>
      </c>
    </row>
    <row r="113" spans="1:10" ht="15.75" customHeight="1" x14ac:dyDescent="0.3">
      <c r="A113" s="94" t="s">
        <v>140</v>
      </c>
      <c r="B113" s="95"/>
      <c r="C113" s="96" t="str">
        <f>D62</f>
        <v>Building F = Lower Stilt + Upper Stilt + 1st to 38th Floor</v>
      </c>
      <c r="D113" s="97"/>
      <c r="E113" s="97"/>
      <c r="F113" s="97"/>
      <c r="G113" s="97"/>
      <c r="H113" s="98"/>
      <c r="I113" s="46" t="str">
        <f ca="1">IF(D126=100%,"All work Completed Possession granted to the Building.",IF(D125=100%,"All work Completed, Waiting for OC",I114&amp;""&amp;I115&amp;""&amp;J114&amp;""&amp;J113&amp;" "&amp;J115))</f>
        <v>Excavation, Plinth Completed, RCC upto 26 Slab, Brickwork upto 25 Floor, Internal Plaster upto 18.75 Floor, External Plaster upto 17.5 Floor Completed</v>
      </c>
      <c r="J113" s="47" t="str">
        <f ca="1">(IF(C119=(D114+F114+H114),"",IF(C119&gt;0,", RCC upto "&amp;C119&amp;" Slab","")))&amp;(IF(C120=H114,"",IF(C120&gt;0,", Brickwork upto "&amp;C120&amp;" Floor","")))&amp;(IF(C121=H114,"",IF(C121&gt;0,", Internal Plaster upto "&amp;C121&amp;" Floor","")))&amp;(IF(C122=H114,"",IF(C122&gt;0,", External Plaster upto "&amp;C122&amp;" Floor","")))&amp;(IF(C123=H114,"",IF(C123&gt;0,", Flooring upto "&amp;C123&amp;" Floor","")))&amp;(IF(C124=H114,"",IF(C124&gt;0,", Painting upto "&amp;C124&amp;" Floor","")))&amp;(IF(C125=H114,"",IF(C125&gt;0,", Finishing upto "&amp;C125&amp;" Floor","")))&amp;(IF(C126=H114,"",IF(C126&gt;0,", Possession upto "&amp;C126&amp;" Floor","")))</f>
        <v>, RCC upto 26 Slab, Brickwork upto 25 Floor, Internal Plaster upto 18.75 Floor, External Plaster upto 17.5 Floor</v>
      </c>
    </row>
    <row r="114" spans="1:10" x14ac:dyDescent="0.3">
      <c r="A114" s="15" t="s">
        <v>142</v>
      </c>
      <c r="B114" s="50">
        <v>0</v>
      </c>
      <c r="C114" s="50" t="s">
        <v>71</v>
      </c>
      <c r="D114" s="50">
        <v>2</v>
      </c>
      <c r="E114" s="50" t="s">
        <v>70</v>
      </c>
      <c r="F114" s="50">
        <v>0</v>
      </c>
      <c r="G114" s="50" t="s">
        <v>80</v>
      </c>
      <c r="H114" s="16">
        <f ca="1">--TRIM(RIGHT(SUBSTITUTE(LEFT(C113,_xlfn.AGGREGATE(16,6,FIND({0,1,2,3,4,5,6,7,8,9},C113,ROW(INDIRECT("1:"&amp;LEN(C113)))),1))," ",REPT(" ",LEN(C113))),LEN(C113)))</f>
        <v>38</v>
      </c>
      <c r="I114" s="48" t="str">
        <f ca="1">IF(D117=100%,"Excavation","")&amp;IF(D118=100%,", Plinth","")&amp;IF(D119=100%,", RCC Slab","")&amp;IF(D120=100%,", Brickwork","")&amp;IF(D121=100%,", Internal Plaster","")&amp;IF(D122=100%,", External Plaster","")&amp;IF(D123=100%,", Flooring","")&amp;IF(D124=100%,", Painting","")&amp;IF(D125=100%,", Building common Amenities","")</f>
        <v>Excavation, Plinth</v>
      </c>
      <c r="J114" s="49" t="str">
        <f ca="1">(IF(C117=0,"Work not yet Started.",IF(D117=25%,"Piling work in process",IF(D117=50%,"Excavation work in process",IF(D117=100%,"","0")))))&amp;(IF(C118=0%,"",IF(C118=J119,", Footing work is process",IF(C118=J120,", Footing work Completed",IF(C118=J121,", 1st Basement Completed",IF(C118=J122,", 1st &amp; 2nd Basement Completed",IF(C118=J123,", 1st to 3rd Basement Completed",IF(C118=J124,", 1st to 4th Basement Completed",IF(C118=J125,", Plinth work is process",IF(C118=J126,"","0"))))))))))</f>
        <v/>
      </c>
    </row>
    <row r="115" spans="1:10" ht="34.200000000000003" customHeight="1" x14ac:dyDescent="0.3">
      <c r="A115" s="99" t="s">
        <v>90</v>
      </c>
      <c r="B115" s="100"/>
      <c r="C115" s="101" t="str">
        <f ca="1">(IF($G$53="NA",I113,"All work Completed. OC Received."))</f>
        <v>Excavation, Plinth Completed, RCC upto 26 Slab, Brickwork upto 25 Floor, Internal Plaster upto 18.75 Floor, External Plaster upto 17.5 Floor Completed</v>
      </c>
      <c r="D115" s="101"/>
      <c r="E115" s="101"/>
      <c r="F115" s="101"/>
      <c r="G115" s="101"/>
      <c r="H115" s="102"/>
      <c r="I115" s="48" t="str">
        <f ca="1">IF(I114&lt;&gt;""," Completed","")</f>
        <v xml:space="preserve"> Completed</v>
      </c>
      <c r="J115" s="49" t="str">
        <f ca="1">IF(J113&lt;&gt;"","Completed","")</f>
        <v>Completed</v>
      </c>
    </row>
    <row r="116" spans="1:10" ht="15.75" customHeight="1" x14ac:dyDescent="0.3">
      <c r="A116" s="78" t="s">
        <v>49</v>
      </c>
      <c r="B116" s="79"/>
      <c r="C116" s="42" t="s">
        <v>139</v>
      </c>
      <c r="D116" s="42" t="s">
        <v>83</v>
      </c>
      <c r="E116" s="79" t="s">
        <v>85</v>
      </c>
      <c r="F116" s="79"/>
      <c r="G116" s="79" t="s">
        <v>84</v>
      </c>
      <c r="H116" s="103"/>
      <c r="I116" s="13" t="s">
        <v>141</v>
      </c>
      <c r="J116" s="27">
        <f ca="1">H114*25%</f>
        <v>9.5</v>
      </c>
    </row>
    <row r="117" spans="1:10" x14ac:dyDescent="0.3">
      <c r="A117" s="78" t="s">
        <v>128</v>
      </c>
      <c r="B117" s="79"/>
      <c r="C117" s="42">
        <v>38</v>
      </c>
      <c r="D117" s="18">
        <f ca="1">((100/H114)*C117)/100</f>
        <v>1</v>
      </c>
      <c r="E117" s="80">
        <f ca="1">(((C118/H114*10)+(40/(D114+F114+H114)*C119)+(7.5/(H114)*C120)+(7.5/(H114)*C121)+(10/H114*C122)+(10/H114*C123)+(5/H114*C124)+(5/H114*C125)+(5/H114*C126))/100)</f>
        <v>0.49240131578947371</v>
      </c>
      <c r="F117" s="81"/>
      <c r="G117" s="80">
        <f ca="1">((((C117/H114)*20)+((C118/H114)*25)+(30/(H114+F114+D114)*C119)+(5/H114*C120)+(5/H114*C121)+(5/H114*C122)+(5/H114*C123)+(0/H114*C124)+(0/H114*C125)+(5/H114*C126))/100)</f>
        <v>0.72559210526315776</v>
      </c>
      <c r="H117" s="86"/>
      <c r="I117" s="13" t="s">
        <v>101</v>
      </c>
      <c r="J117" s="28">
        <f ca="1">H114*50%</f>
        <v>19</v>
      </c>
    </row>
    <row r="118" spans="1:10" x14ac:dyDescent="0.3">
      <c r="A118" s="78" t="s">
        <v>50</v>
      </c>
      <c r="B118" s="79"/>
      <c r="C118" s="51">
        <f ca="1">J126</f>
        <v>38</v>
      </c>
      <c r="D118" s="18">
        <f ca="1">((100/H114)*C118)/100</f>
        <v>1</v>
      </c>
      <c r="E118" s="82"/>
      <c r="F118" s="83"/>
      <c r="G118" s="82"/>
      <c r="H118" s="87"/>
      <c r="I118" s="13" t="s">
        <v>102</v>
      </c>
      <c r="J118" s="28">
        <f ca="1">H114</f>
        <v>38</v>
      </c>
    </row>
    <row r="119" spans="1:10" ht="15.75" customHeight="1" x14ac:dyDescent="0.3">
      <c r="A119" s="78" t="s">
        <v>129</v>
      </c>
      <c r="B119" s="79"/>
      <c r="C119" s="42">
        <v>26</v>
      </c>
      <c r="D119" s="18">
        <f ca="1">((100/(D114+F114+H114))*C119)/100</f>
        <v>0.65</v>
      </c>
      <c r="E119" s="82"/>
      <c r="F119" s="83"/>
      <c r="G119" s="82"/>
      <c r="H119" s="87"/>
      <c r="I119" s="13" t="s">
        <v>103</v>
      </c>
      <c r="J119" s="29">
        <f ca="1">(IF(B114&gt;1,(H114/(B114+2)),H114/4))</f>
        <v>9.5</v>
      </c>
    </row>
    <row r="120" spans="1:10" ht="15.75" customHeight="1" x14ac:dyDescent="0.3">
      <c r="A120" s="78" t="s">
        <v>136</v>
      </c>
      <c r="B120" s="79" t="s">
        <v>130</v>
      </c>
      <c r="C120" s="42">
        <f>C119-1</f>
        <v>25</v>
      </c>
      <c r="D120" s="18">
        <f ca="1">((100/H114)*C120)/100</f>
        <v>0.65789473684210531</v>
      </c>
      <c r="E120" s="82"/>
      <c r="F120" s="83"/>
      <c r="G120" s="82"/>
      <c r="H120" s="87"/>
      <c r="I120" s="13" t="s">
        <v>104</v>
      </c>
      <c r="J120" s="29">
        <f ca="1">(IF(B114&gt;1,(H114/(B114+2)+J119),H114/4+J119))</f>
        <v>19</v>
      </c>
    </row>
    <row r="121" spans="1:10" ht="15.75" customHeight="1" x14ac:dyDescent="0.3">
      <c r="A121" s="78" t="s">
        <v>137</v>
      </c>
      <c r="B121" s="79" t="s">
        <v>130</v>
      </c>
      <c r="C121" s="51">
        <f>C120*0.75</f>
        <v>18.75</v>
      </c>
      <c r="D121" s="18">
        <f ca="1">((100/H114)*C121)/100</f>
        <v>0.49342105263157898</v>
      </c>
      <c r="E121" s="82"/>
      <c r="F121" s="83"/>
      <c r="G121" s="82"/>
      <c r="H121" s="87"/>
      <c r="I121" s="13" t="s">
        <v>148</v>
      </c>
      <c r="J121" s="29">
        <f>(IF(B114&gt;1,(H114/(B114+2)+J120),0))</f>
        <v>0</v>
      </c>
    </row>
    <row r="122" spans="1:10" ht="15" customHeight="1" x14ac:dyDescent="0.3">
      <c r="A122" s="78" t="s">
        <v>135</v>
      </c>
      <c r="B122" s="79" t="s">
        <v>132</v>
      </c>
      <c r="C122" s="51">
        <f>C120*0.7</f>
        <v>17.5</v>
      </c>
      <c r="D122" s="18">
        <f ca="1">((100/(H114))*C122)/100</f>
        <v>0.46052631578947367</v>
      </c>
      <c r="E122" s="82"/>
      <c r="F122" s="83"/>
      <c r="G122" s="82"/>
      <c r="H122" s="87"/>
      <c r="I122" s="13" t="s">
        <v>143</v>
      </c>
      <c r="J122" s="29">
        <f>(IF(B114&gt;2,(H114/(B114+2)+J121),0))</f>
        <v>0</v>
      </c>
    </row>
    <row r="123" spans="1:10" ht="15.75" customHeight="1" x14ac:dyDescent="0.3">
      <c r="A123" s="78" t="s">
        <v>131</v>
      </c>
      <c r="B123" s="79" t="s">
        <v>131</v>
      </c>
      <c r="C123" s="42">
        <v>0</v>
      </c>
      <c r="D123" s="18">
        <f ca="1">((100/H114)*C123)/100</f>
        <v>0</v>
      </c>
      <c r="E123" s="82"/>
      <c r="F123" s="83"/>
      <c r="G123" s="82"/>
      <c r="H123" s="87"/>
      <c r="I123" s="13" t="s">
        <v>144</v>
      </c>
      <c r="J123" s="30">
        <f>(IF(B114&gt;3,(H114/(B114+2)+J122),0))</f>
        <v>0</v>
      </c>
    </row>
    <row r="124" spans="1:10" ht="15.75" customHeight="1" x14ac:dyDescent="0.3">
      <c r="A124" s="78" t="s">
        <v>138</v>
      </c>
      <c r="B124" s="79"/>
      <c r="C124" s="42">
        <v>0</v>
      </c>
      <c r="D124" s="18">
        <f ca="1">((100/H114)*C124)/100</f>
        <v>0</v>
      </c>
      <c r="E124" s="82"/>
      <c r="F124" s="83"/>
      <c r="G124" s="82"/>
      <c r="H124" s="87"/>
      <c r="I124" s="13" t="s">
        <v>145</v>
      </c>
      <c r="J124" s="29">
        <f>(IF(B114&gt;4,(H114/(B114+2)+J123),0))</f>
        <v>0</v>
      </c>
    </row>
    <row r="125" spans="1:10" ht="15.75" customHeight="1" x14ac:dyDescent="0.3">
      <c r="A125" s="78" t="s">
        <v>133</v>
      </c>
      <c r="B125" s="79" t="s">
        <v>133</v>
      </c>
      <c r="C125" s="42">
        <v>0</v>
      </c>
      <c r="D125" s="18">
        <f ca="1">((100/(H114))*C125)/100</f>
        <v>0</v>
      </c>
      <c r="E125" s="82"/>
      <c r="F125" s="83"/>
      <c r="G125" s="82"/>
      <c r="H125" s="87"/>
      <c r="I125" s="13" t="s">
        <v>149</v>
      </c>
      <c r="J125" s="29">
        <f ca="1">(IF(B114=1,(H114/(B114+3)+J120),IF(B114=0,(H114/4+J120),IF(B114&gt;1,0))))</f>
        <v>28.5</v>
      </c>
    </row>
    <row r="126" spans="1:10" ht="16.2" thickBot="1" x14ac:dyDescent="0.35">
      <c r="A126" s="89" t="s">
        <v>134</v>
      </c>
      <c r="B126" s="90"/>
      <c r="C126" s="43">
        <v>0</v>
      </c>
      <c r="D126" s="19">
        <f ca="1">((100/(H114))*C126)/100</f>
        <v>0</v>
      </c>
      <c r="E126" s="84"/>
      <c r="F126" s="85"/>
      <c r="G126" s="84"/>
      <c r="H126" s="88"/>
      <c r="I126" s="14" t="s">
        <v>105</v>
      </c>
      <c r="J126" s="31">
        <f ca="1">(IF(B114&gt;1.5,(H114/(B114+2)+J120+MAX(0,J121-J120)+MAX(0,J122-J121)+MAX(0,J123-J122)+MAX(0,J124-J123)+MAX(0,J125-J124)),IF(B114=1,(H114/(B114+3)+J125),IF(B114=0,H114/4+J125))))</f>
        <v>38</v>
      </c>
    </row>
    <row r="127" spans="1:10" ht="15.75" customHeight="1" x14ac:dyDescent="0.3">
      <c r="A127" s="94" t="s">
        <v>140</v>
      </c>
      <c r="B127" s="95"/>
      <c r="C127" s="96" t="str">
        <f>D63</f>
        <v>Building A &amp; B = LG +UG + 1st to 38th Floor.</v>
      </c>
      <c r="D127" s="97"/>
      <c r="E127" s="97"/>
      <c r="F127" s="97"/>
      <c r="G127" s="97"/>
      <c r="H127" s="98"/>
      <c r="I127" s="46" t="str">
        <f ca="1">IF(D140=100%,"All work Completed Possession granted to the Building.",IF(D139=100%,"All work Completed, Waiting for OC",I128&amp;""&amp;I129&amp;""&amp;J128&amp;""&amp;J127&amp;" "&amp;J129))</f>
        <v xml:space="preserve">Work not yet Started. </v>
      </c>
      <c r="J127" s="47" t="str">
        <f ca="1">(IF(C133=(D128+F128+H128),"",IF(C133&gt;0,", RCC upto "&amp;C133&amp;" Slab","")))&amp;(IF(C134=H128,"",IF(C134&gt;0,", Brickwork upto "&amp;C134&amp;" Floor","")))&amp;(IF(C135=H128,"",IF(C135&gt;0,", Internal Plaster upto "&amp;C135&amp;" Floor","")))&amp;(IF(C136=H128,"",IF(C136&gt;0,", External Plaster upto "&amp;C136&amp;" Floor","")))&amp;(IF(C137=H128,"",IF(C137&gt;0,", Flooring upto "&amp;C137&amp;" Floor","")))&amp;(IF(C138=H128,"",IF(C138&gt;0,", Painting upto "&amp;C138&amp;" Floor","")))&amp;(IF(C139=H128,"",IF(C139&gt;0,", Finishing upto "&amp;C139&amp;" Floor","")))&amp;(IF(C140=H128,"",IF(C140&gt;0,", Possession upto "&amp;C140&amp;" Floor","")))</f>
        <v/>
      </c>
    </row>
    <row r="128" spans="1:10" x14ac:dyDescent="0.3">
      <c r="A128" s="15" t="s">
        <v>142</v>
      </c>
      <c r="B128" s="50">
        <v>0</v>
      </c>
      <c r="C128" s="50" t="s">
        <v>71</v>
      </c>
      <c r="D128" s="50">
        <v>2</v>
      </c>
      <c r="E128" s="50" t="s">
        <v>70</v>
      </c>
      <c r="F128" s="50">
        <v>0</v>
      </c>
      <c r="G128" s="50" t="s">
        <v>80</v>
      </c>
      <c r="H128" s="16">
        <f ca="1">--TRIM(RIGHT(SUBSTITUTE(LEFT(C127,_xlfn.AGGREGATE(16,6,FIND({0,1,2,3,4,5,6,7,8,9},C127,ROW(INDIRECT("1:"&amp;LEN(C127)))),1))," ",REPT(" ",LEN(C127))),LEN(C127)))</f>
        <v>38</v>
      </c>
      <c r="I128" s="48" t="str">
        <f ca="1">IF(D131=100%,"Excavation","")&amp;IF(D132=100%,", Plinth","")&amp;IF(D133=100%,", RCC Slab","")&amp;IF(D134=100%,", Brickwork","")&amp;IF(D135=100%,", Internal Plaster","")&amp;IF(D136=100%,", External Plaster","")&amp;IF(D137=100%,", Flooring","")&amp;IF(D138=100%,", Painting","")&amp;IF(D139=100%,", Building common Amenities","")</f>
        <v/>
      </c>
      <c r="J128" s="49" t="str">
        <f>(IF(C131=0,"Work not yet Started.",IF(D131=25%,"Piling work in process",IF(D131=50%,"Excavation work in process",IF(D131=100%,"","0")))))&amp;(IF(C132=0%,"",IF(C132=J133,", Footing work is process",IF(C132=J134,", Footing work Completed",IF(C132=J135,", 1st Basement Completed",IF(C132=J136,", 1st &amp; 2nd Basement Completed",IF(C132=J137,", 1st to 3rd Basement Completed",IF(C132=J138,", 1st to 4th Basement Completed",IF(C132=J139,", Plinth work is process",IF(C132=J140,"","0"))))))))))</f>
        <v>Work not yet Started.</v>
      </c>
    </row>
    <row r="129" spans="1:15" x14ac:dyDescent="0.3">
      <c r="A129" s="99" t="s">
        <v>90</v>
      </c>
      <c r="B129" s="100"/>
      <c r="C129" s="101" t="str">
        <f ca="1">(IF($G$53="NA",I127,"All work Completed. OC Received."))</f>
        <v xml:space="preserve">Work not yet Started. </v>
      </c>
      <c r="D129" s="101"/>
      <c r="E129" s="101"/>
      <c r="F129" s="101"/>
      <c r="G129" s="101"/>
      <c r="H129" s="102"/>
      <c r="I129" s="48" t="str">
        <f ca="1">IF(I128&lt;&gt;""," Completed","")</f>
        <v/>
      </c>
      <c r="J129" s="49" t="str">
        <f ca="1">IF(J127&lt;&gt;"","Completed","")</f>
        <v/>
      </c>
    </row>
    <row r="130" spans="1:15" ht="15.75" customHeight="1" x14ac:dyDescent="0.3">
      <c r="A130" s="78" t="s">
        <v>49</v>
      </c>
      <c r="B130" s="79"/>
      <c r="C130" s="42" t="s">
        <v>139</v>
      </c>
      <c r="D130" s="42" t="s">
        <v>83</v>
      </c>
      <c r="E130" s="79" t="s">
        <v>85</v>
      </c>
      <c r="F130" s="79"/>
      <c r="G130" s="79" t="s">
        <v>84</v>
      </c>
      <c r="H130" s="103"/>
      <c r="I130" s="13" t="s">
        <v>141</v>
      </c>
      <c r="J130" s="27">
        <f ca="1">H128*25%</f>
        <v>9.5</v>
      </c>
    </row>
    <row r="131" spans="1:15" x14ac:dyDescent="0.3">
      <c r="A131" s="78" t="s">
        <v>128</v>
      </c>
      <c r="B131" s="79"/>
      <c r="C131" s="42">
        <v>0</v>
      </c>
      <c r="D131" s="18">
        <f ca="1">((100/H128)*C131)/100</f>
        <v>0</v>
      </c>
      <c r="E131" s="80">
        <f ca="1">(((C132/H128*10)+(40/(D128+F128+H128)*C133)+(7.5/(H128)*C134)+(7.5/(H128)*C135)+(10/H128*C136)+(10/H128*C137)+(5/H128*C138)+(5/H128*C139)+(5/H128*C140))/100)</f>
        <v>0</v>
      </c>
      <c r="F131" s="81"/>
      <c r="G131" s="80">
        <f ca="1">((((C131/H128)*20)+((C132/H128)*25)+(30/(H128+F128+D128)*C133)+(5/H128*C134)+(5/H128*C135)+(5/H128*C136)+(5/H128*C137)+(0/H128*C138)+(0/H128*C139)+(5/H128*C140))/100)</f>
        <v>0</v>
      </c>
      <c r="H131" s="86"/>
      <c r="I131" s="13" t="s">
        <v>101</v>
      </c>
      <c r="J131" s="28">
        <f ca="1">H128*50%</f>
        <v>19</v>
      </c>
    </row>
    <row r="132" spans="1:15" x14ac:dyDescent="0.3">
      <c r="A132" s="78" t="s">
        <v>50</v>
      </c>
      <c r="B132" s="79"/>
      <c r="C132" s="51">
        <v>0</v>
      </c>
      <c r="D132" s="18">
        <f ca="1">((100/H128)*C132)/100</f>
        <v>0</v>
      </c>
      <c r="E132" s="82"/>
      <c r="F132" s="83"/>
      <c r="G132" s="82"/>
      <c r="H132" s="87"/>
      <c r="I132" s="13" t="s">
        <v>102</v>
      </c>
      <c r="J132" s="28">
        <f ca="1">H128</f>
        <v>38</v>
      </c>
    </row>
    <row r="133" spans="1:15" ht="15.75" customHeight="1" x14ac:dyDescent="0.3">
      <c r="A133" s="78" t="s">
        <v>129</v>
      </c>
      <c r="B133" s="79"/>
      <c r="C133" s="42">
        <v>0</v>
      </c>
      <c r="D133" s="18">
        <f ca="1">((100/(D128+F128+H128))*C133)/100</f>
        <v>0</v>
      </c>
      <c r="E133" s="82"/>
      <c r="F133" s="83"/>
      <c r="G133" s="82"/>
      <c r="H133" s="87"/>
      <c r="I133" s="13" t="s">
        <v>103</v>
      </c>
      <c r="J133" s="29">
        <f ca="1">(IF(B128&gt;1,(H128/(B128+2)),H128/4))</f>
        <v>9.5</v>
      </c>
    </row>
    <row r="134" spans="1:15" ht="15.75" customHeight="1" x14ac:dyDescent="0.3">
      <c r="A134" s="78" t="s">
        <v>136</v>
      </c>
      <c r="B134" s="79" t="s">
        <v>130</v>
      </c>
      <c r="C134" s="42">
        <v>0</v>
      </c>
      <c r="D134" s="18">
        <f ca="1">((100/H128)*C134)/100</f>
        <v>0</v>
      </c>
      <c r="E134" s="82"/>
      <c r="F134" s="83"/>
      <c r="G134" s="82"/>
      <c r="H134" s="87"/>
      <c r="I134" s="13" t="s">
        <v>104</v>
      </c>
      <c r="J134" s="29">
        <f ca="1">(IF(B128&gt;1,(H128/(B128+2)+J133),H128/4+J133))</f>
        <v>19</v>
      </c>
    </row>
    <row r="135" spans="1:15" ht="15.75" customHeight="1" x14ac:dyDescent="0.3">
      <c r="A135" s="78" t="s">
        <v>137</v>
      </c>
      <c r="B135" s="79" t="s">
        <v>130</v>
      </c>
      <c r="C135" s="51">
        <v>0</v>
      </c>
      <c r="D135" s="18">
        <f ca="1">((100/H128)*C135)/100</f>
        <v>0</v>
      </c>
      <c r="E135" s="82"/>
      <c r="F135" s="83"/>
      <c r="G135" s="82"/>
      <c r="H135" s="87"/>
      <c r="I135" s="13" t="s">
        <v>148</v>
      </c>
      <c r="J135" s="29">
        <f>(IF(B128&gt;1,(H128/(B128+2)+J134),0))</f>
        <v>0</v>
      </c>
    </row>
    <row r="136" spans="1:15" ht="15" customHeight="1" x14ac:dyDescent="0.3">
      <c r="A136" s="78" t="s">
        <v>135</v>
      </c>
      <c r="B136" s="79" t="s">
        <v>132</v>
      </c>
      <c r="C136" s="51">
        <f>C134*0.7</f>
        <v>0</v>
      </c>
      <c r="D136" s="18">
        <f ca="1">((100/(H128))*C136)/100</f>
        <v>0</v>
      </c>
      <c r="E136" s="82"/>
      <c r="F136" s="83"/>
      <c r="G136" s="82"/>
      <c r="H136" s="87"/>
      <c r="I136" s="13" t="s">
        <v>143</v>
      </c>
      <c r="J136" s="29">
        <f>(IF(B128&gt;2,(H128/(B128+2)+J135),0))</f>
        <v>0</v>
      </c>
    </row>
    <row r="137" spans="1:15" ht="15.75" customHeight="1" x14ac:dyDescent="0.3">
      <c r="A137" s="78" t="s">
        <v>131</v>
      </c>
      <c r="B137" s="79" t="s">
        <v>131</v>
      </c>
      <c r="C137" s="42">
        <v>0</v>
      </c>
      <c r="D137" s="18">
        <f ca="1">((100/H128)*C137)/100</f>
        <v>0</v>
      </c>
      <c r="E137" s="82"/>
      <c r="F137" s="83"/>
      <c r="G137" s="82"/>
      <c r="H137" s="87"/>
      <c r="I137" s="13" t="s">
        <v>144</v>
      </c>
      <c r="J137" s="30">
        <f>(IF(B128&gt;3,(H128/(B128+2)+J136),0))</f>
        <v>0</v>
      </c>
    </row>
    <row r="138" spans="1:15" ht="15.75" customHeight="1" x14ac:dyDescent="0.3">
      <c r="A138" s="78" t="s">
        <v>138</v>
      </c>
      <c r="B138" s="79"/>
      <c r="C138" s="42">
        <v>0</v>
      </c>
      <c r="D138" s="18">
        <f ca="1">((100/H128)*C138)/100</f>
        <v>0</v>
      </c>
      <c r="E138" s="82"/>
      <c r="F138" s="83"/>
      <c r="G138" s="82"/>
      <c r="H138" s="87"/>
      <c r="I138" s="13" t="s">
        <v>145</v>
      </c>
      <c r="J138" s="29">
        <f>(IF(B128&gt;4,(H128/(B128+2)+J137),0))</f>
        <v>0</v>
      </c>
    </row>
    <row r="139" spans="1:15" ht="15.75" customHeight="1" x14ac:dyDescent="0.3">
      <c r="A139" s="78" t="s">
        <v>133</v>
      </c>
      <c r="B139" s="79" t="s">
        <v>133</v>
      </c>
      <c r="C139" s="42">
        <v>0</v>
      </c>
      <c r="D139" s="18">
        <f ca="1">((100/(H128))*C139)/100</f>
        <v>0</v>
      </c>
      <c r="E139" s="82"/>
      <c r="F139" s="83"/>
      <c r="G139" s="82"/>
      <c r="H139" s="87"/>
      <c r="I139" s="13" t="s">
        <v>149</v>
      </c>
      <c r="J139" s="29">
        <f ca="1">(IF(B128=1,(H128/(B128+3)+J134),IF(B128=0,(H128/4+J134),IF(B128&gt;1,0))))</f>
        <v>28.5</v>
      </c>
    </row>
    <row r="140" spans="1:15" ht="16.2" thickBot="1" x14ac:dyDescent="0.35">
      <c r="A140" s="89" t="s">
        <v>134</v>
      </c>
      <c r="B140" s="90"/>
      <c r="C140" s="43">
        <v>0</v>
      </c>
      <c r="D140" s="19">
        <f ca="1">((100/(H128))*C140)/100</f>
        <v>0</v>
      </c>
      <c r="E140" s="84"/>
      <c r="F140" s="85"/>
      <c r="G140" s="84"/>
      <c r="H140" s="88"/>
      <c r="I140" s="14" t="s">
        <v>105</v>
      </c>
      <c r="J140" s="31">
        <f ca="1">(IF(B128&gt;1.5,(H128/(B128+2)+J134+MAX(0,J135-J134)+MAX(0,J136-J135)+MAX(0,J137-J136)+MAX(0,J138-J137)+MAX(0,J139-J138)),IF(B128=1,(H128/(B128+3)+J139),IF(B128=0,H128/4+J139))))</f>
        <v>38</v>
      </c>
    </row>
    <row r="141" spans="1:15" ht="15" customHeight="1" x14ac:dyDescent="0.3">
      <c r="A141" s="113" t="s">
        <v>160</v>
      </c>
      <c r="B141" s="113"/>
      <c r="C141" s="113"/>
      <c r="D141" s="113"/>
      <c r="E141" s="113"/>
      <c r="F141" s="177" t="s">
        <v>164</v>
      </c>
      <c r="G141" s="177"/>
      <c r="H141" s="177"/>
      <c r="I141" s="56" t="s">
        <v>227</v>
      </c>
      <c r="J141" s="57">
        <v>45343</v>
      </c>
      <c r="K141" s="56" t="s">
        <v>228</v>
      </c>
      <c r="L141" s="56" t="s">
        <v>229</v>
      </c>
      <c r="M141" s="56"/>
      <c r="N141" s="56"/>
      <c r="O141" s="56"/>
    </row>
    <row r="142" spans="1:15" x14ac:dyDescent="0.3">
      <c r="A142" s="128" t="s">
        <v>162</v>
      </c>
      <c r="B142" s="128"/>
      <c r="C142" s="128"/>
      <c r="D142" s="128"/>
      <c r="E142" s="128"/>
      <c r="F142" s="136">
        <v>12700</v>
      </c>
      <c r="G142" s="136"/>
      <c r="H142" s="136"/>
      <c r="I142" s="20" t="s">
        <v>230</v>
      </c>
      <c r="J142" s="24">
        <v>45532</v>
      </c>
      <c r="K142" s="20" t="s">
        <v>231</v>
      </c>
      <c r="L142" s="58" t="s">
        <v>235</v>
      </c>
    </row>
    <row r="143" spans="1:15" x14ac:dyDescent="0.3">
      <c r="A143" s="128" t="s">
        <v>161</v>
      </c>
      <c r="B143" s="128"/>
      <c r="C143" s="128"/>
      <c r="D143" s="128"/>
      <c r="E143" s="128"/>
      <c r="F143" s="136">
        <v>20000</v>
      </c>
      <c r="G143" s="136"/>
      <c r="H143" s="136"/>
    </row>
    <row r="144" spans="1:15" hidden="1" x14ac:dyDescent="0.3">
      <c r="A144" s="128" t="s">
        <v>163</v>
      </c>
      <c r="B144" s="128"/>
      <c r="C144" s="128"/>
      <c r="D144" s="128"/>
      <c r="E144" s="128"/>
      <c r="F144" s="136"/>
      <c r="G144" s="136"/>
      <c r="H144" s="136"/>
      <c r="I144" s="32"/>
      <c r="J144" s="32"/>
      <c r="K144" s="32"/>
      <c r="L144" s="32"/>
      <c r="M144" s="32"/>
      <c r="N144" s="32"/>
      <c r="O144" s="32"/>
    </row>
    <row r="145" spans="1:15" s="32" customFormat="1" hidden="1" x14ac:dyDescent="0.25">
      <c r="A145" s="128" t="s">
        <v>177</v>
      </c>
      <c r="B145" s="128"/>
      <c r="C145" s="128"/>
      <c r="D145" s="128"/>
      <c r="E145" s="128"/>
      <c r="F145" s="136"/>
      <c r="G145" s="136"/>
      <c r="H145" s="136"/>
    </row>
    <row r="146" spans="1:15" s="32" customFormat="1" hidden="1" x14ac:dyDescent="0.25">
      <c r="A146" s="128" t="s">
        <v>95</v>
      </c>
      <c r="B146" s="128"/>
      <c r="C146" s="128"/>
      <c r="D146" s="128"/>
      <c r="E146" s="128"/>
      <c r="F146" s="136"/>
      <c r="G146" s="136"/>
      <c r="H146" s="136"/>
    </row>
    <row r="147" spans="1:15" s="32" customFormat="1" hidden="1" x14ac:dyDescent="0.25">
      <c r="A147" s="128" t="s">
        <v>96</v>
      </c>
      <c r="B147" s="128"/>
      <c r="C147" s="128"/>
      <c r="D147" s="128"/>
      <c r="E147" s="128"/>
      <c r="F147" s="136"/>
      <c r="G147" s="136"/>
      <c r="H147" s="136"/>
    </row>
    <row r="148" spans="1:15" s="32" customFormat="1" hidden="1" x14ac:dyDescent="0.25">
      <c r="A148" s="128" t="s">
        <v>165</v>
      </c>
      <c r="B148" s="128"/>
      <c r="C148" s="128"/>
      <c r="D148" s="128"/>
      <c r="E148" s="128"/>
      <c r="F148" s="136"/>
      <c r="G148" s="136"/>
      <c r="H148" s="136"/>
    </row>
    <row r="149" spans="1:15" s="32" customFormat="1" hidden="1" x14ac:dyDescent="0.25">
      <c r="A149" s="128" t="s">
        <v>97</v>
      </c>
      <c r="B149" s="128"/>
      <c r="C149" s="128"/>
      <c r="D149" s="128"/>
      <c r="E149" s="128"/>
      <c r="F149" s="136"/>
      <c r="G149" s="136"/>
      <c r="H149" s="136"/>
    </row>
    <row r="150" spans="1:15" s="32" customFormat="1" hidden="1" x14ac:dyDescent="0.25">
      <c r="A150" s="128" t="s">
        <v>98</v>
      </c>
      <c r="B150" s="128"/>
      <c r="C150" s="128"/>
      <c r="D150" s="128"/>
      <c r="E150" s="128"/>
      <c r="F150" s="136"/>
      <c r="G150" s="136"/>
      <c r="H150" s="136"/>
    </row>
    <row r="151" spans="1:15" s="32" customFormat="1" hidden="1" x14ac:dyDescent="0.25">
      <c r="A151" s="128" t="s">
        <v>99</v>
      </c>
      <c r="B151" s="128"/>
      <c r="C151" s="128"/>
      <c r="D151" s="128"/>
      <c r="E151" s="128"/>
      <c r="F151" s="136"/>
      <c r="G151" s="136"/>
      <c r="H151" s="136"/>
    </row>
    <row r="152" spans="1:15" s="32" customFormat="1" hidden="1" x14ac:dyDescent="0.3">
      <c r="A152" s="128" t="s">
        <v>100</v>
      </c>
      <c r="B152" s="128"/>
      <c r="C152" s="128"/>
      <c r="D152" s="128"/>
      <c r="E152" s="128"/>
      <c r="F152" s="136"/>
      <c r="G152" s="136"/>
      <c r="H152" s="136"/>
      <c r="I152" s="20"/>
      <c r="J152" s="20"/>
      <c r="K152" s="20"/>
      <c r="L152" s="20"/>
      <c r="M152" s="20"/>
      <c r="N152" s="20"/>
      <c r="O152" s="20"/>
    </row>
    <row r="153" spans="1:15" x14ac:dyDescent="0.3">
      <c r="A153" s="128" t="s">
        <v>51</v>
      </c>
      <c r="B153" s="128"/>
      <c r="C153" s="128"/>
      <c r="D153" s="128"/>
      <c r="E153" s="128"/>
      <c r="F153" s="136">
        <v>600000</v>
      </c>
      <c r="G153" s="136"/>
      <c r="H153" s="136"/>
    </row>
    <row r="154" spans="1:15" s="33" customFormat="1" x14ac:dyDescent="0.3">
      <c r="A154" s="183" t="s">
        <v>52</v>
      </c>
      <c r="B154" s="183"/>
      <c r="C154" s="183"/>
      <c r="D154" s="183"/>
      <c r="E154" s="183"/>
      <c r="F154" s="136">
        <f>F142*0.8</f>
        <v>10160</v>
      </c>
      <c r="G154" s="136"/>
      <c r="H154" s="136"/>
    </row>
    <row r="155" spans="1:15" s="34" customFormat="1" ht="15.75" customHeight="1" x14ac:dyDescent="0.3">
      <c r="A155" s="182" t="s">
        <v>75</v>
      </c>
      <c r="B155" s="182"/>
      <c r="C155" s="182"/>
      <c r="D155" s="182"/>
      <c r="E155" s="182"/>
      <c r="F155" s="182"/>
      <c r="G155" s="182"/>
      <c r="H155" s="182"/>
    </row>
    <row r="156" spans="1:15" s="34" customFormat="1" ht="15.75" customHeight="1" x14ac:dyDescent="0.3">
      <c r="A156" s="112" t="s">
        <v>53</v>
      </c>
      <c r="B156" s="112"/>
      <c r="C156" s="176" t="s">
        <v>78</v>
      </c>
      <c r="D156" s="176"/>
      <c r="E156" s="141" t="s">
        <v>54</v>
      </c>
      <c r="F156" s="141"/>
      <c r="G156" s="112" t="s">
        <v>55</v>
      </c>
      <c r="H156" s="112"/>
    </row>
    <row r="157" spans="1:15" s="34" customFormat="1" ht="37.200000000000003" customHeight="1" x14ac:dyDescent="0.3">
      <c r="A157" s="143" t="s">
        <v>242</v>
      </c>
      <c r="B157" s="143"/>
      <c r="C157" s="244">
        <f>COUNT(D177:D193)</f>
        <v>17</v>
      </c>
      <c r="D157" s="138"/>
      <c r="E157" s="244">
        <f t="shared" ref="E157:H157" si="0">SUM(F177:F193)</f>
        <v>9030.5654400000003</v>
      </c>
      <c r="F157" s="138"/>
      <c r="G157" s="244">
        <f t="shared" ref="G157:H157" si="1">SUM(H177:H193)</f>
        <v>13997.376431999999</v>
      </c>
      <c r="H157" s="138"/>
    </row>
    <row r="158" spans="1:15" s="34" customFormat="1" ht="16.2" thickBot="1" x14ac:dyDescent="0.35">
      <c r="A158" s="201" t="s">
        <v>153</v>
      </c>
      <c r="B158" s="201"/>
      <c r="C158" s="260">
        <f>SUM(C157)</f>
        <v>17</v>
      </c>
      <c r="D158" s="202"/>
      <c r="E158" s="260">
        <f t="shared" ref="E158" si="2">SUM(E157)</f>
        <v>9030.5654400000003</v>
      </c>
      <c r="F158" s="202"/>
      <c r="G158" s="260">
        <f t="shared" ref="G158" si="3">SUM(G157)</f>
        <v>13997.376431999999</v>
      </c>
      <c r="H158" s="202"/>
    </row>
    <row r="159" spans="1:15" s="34" customFormat="1" x14ac:dyDescent="0.3">
      <c r="A159" s="184" t="s">
        <v>69</v>
      </c>
      <c r="B159" s="185"/>
      <c r="C159" s="185"/>
      <c r="D159" s="185"/>
      <c r="E159" s="185"/>
      <c r="F159" s="185"/>
      <c r="G159" s="185"/>
      <c r="H159" s="186"/>
    </row>
    <row r="160" spans="1:15" s="34" customFormat="1" ht="15.75" customHeight="1" x14ac:dyDescent="0.3">
      <c r="A160" s="111" t="s">
        <v>53</v>
      </c>
      <c r="B160" s="112"/>
      <c r="C160" s="176" t="s">
        <v>78</v>
      </c>
      <c r="D160" s="176"/>
      <c r="E160" s="141" t="s">
        <v>54</v>
      </c>
      <c r="F160" s="141"/>
      <c r="G160" s="112" t="s">
        <v>55</v>
      </c>
      <c r="H160" s="203"/>
    </row>
    <row r="161" spans="1:20" s="34" customFormat="1" x14ac:dyDescent="0.3">
      <c r="A161" s="142" t="s">
        <v>253</v>
      </c>
      <c r="B161" s="143"/>
      <c r="C161" s="144">
        <f>COUNT(D305:D307,D309:D310)+COUNT(D312:D317)*25+COUNT(D319:D324)+COUNT(D326:D328,D330:D331)*6</f>
        <v>191</v>
      </c>
      <c r="D161" s="144"/>
      <c r="E161" s="144">
        <f t="shared" ref="E161:H161" si="4">SUM(F305:F307,F309:F310)+SUM(F312:F317)*25+SUM(F319:F324)+SUM(F326:F328,F330:F331)*6</f>
        <v>137157.68664</v>
      </c>
      <c r="F161" s="144"/>
      <c r="G161" s="144">
        <f t="shared" ref="G161:H161" si="5">SUM(H305:H307,H309:H310)+SUM(H312:H317)*25+SUM(H319:H324)+SUM(H326:H328,H330:H331)*6</f>
        <v>212744.92192200001</v>
      </c>
      <c r="H161" s="144"/>
      <c r="L161" s="34">
        <v>300</v>
      </c>
    </row>
    <row r="162" spans="1:20" s="34" customFormat="1" x14ac:dyDescent="0.3">
      <c r="A162" s="142" t="s">
        <v>254</v>
      </c>
      <c r="B162" s="143"/>
      <c r="C162" s="144">
        <f>COUNT(D204:D206,D208:D209)+COUNT(D211:D216)*26+COUNT(D218:D220,D222:D223)*6</f>
        <v>191</v>
      </c>
      <c r="D162" s="144"/>
      <c r="E162" s="144">
        <f t="shared" ref="E162:H162" si="6">SUM(F204:F206,F208:F209)+SUM(F211:F216)*26+SUM(F218:F220,F222:F223)*6</f>
        <v>137157.68664</v>
      </c>
      <c r="F162" s="144"/>
      <c r="G162" s="144">
        <f t="shared" ref="G162:H162" si="7">SUM(H204:H206,H208:H209)+SUM(H211:H216)*26+SUM(H218:H220,H222:H223)*6</f>
        <v>212744.92192200001</v>
      </c>
      <c r="H162" s="144"/>
      <c r="L162" s="34">
        <f>L161/1.5</f>
        <v>200</v>
      </c>
      <c r="M162" s="34">
        <v>2500000</v>
      </c>
    </row>
    <row r="163" spans="1:20" s="34" customFormat="1" x14ac:dyDescent="0.3">
      <c r="A163" s="142" t="s">
        <v>255</v>
      </c>
      <c r="B163" s="143"/>
      <c r="C163" s="144">
        <f>COUNT(D339:D341,D343:D344)+COUNT(D346:D351)*26+COUNT(D353:D355,D357:D358)*6</f>
        <v>191</v>
      </c>
      <c r="D163" s="144"/>
      <c r="E163" s="144">
        <f t="shared" ref="E163:H163" si="8">SUM(F339:F341,F343:F344)+SUM(F346:F351)*26+SUM(F353:F355,F357:F358)*6</f>
        <v>122814.22607999999</v>
      </c>
      <c r="F163" s="144"/>
      <c r="G163" s="144">
        <f t="shared" ref="G163:H163" si="9">SUM(H339:H341,H343:H344)+SUM(H346:H351)*26+SUM(H353:H355,H357:H358)*6</f>
        <v>190472.752782</v>
      </c>
      <c r="H163" s="144"/>
      <c r="M163" s="34">
        <f>M162/L162</f>
        <v>12500</v>
      </c>
    </row>
    <row r="164" spans="1:20" s="34" customFormat="1" x14ac:dyDescent="0.3">
      <c r="A164" s="142" t="s">
        <v>256</v>
      </c>
      <c r="B164" s="143"/>
      <c r="C164" s="64">
        <f>COUNT(D227:D228,D231:D234)+COUNT(D236:D237,D240:D243)*3+COUNT(D245:D246,D249:D252)+COUNT(D254:D255,D258:D261)+COUNT(D263,D265:D270)+COUNT(D272:D279)*16+COUNT(D281,D283:D288)*4+COUNT(D290:D293,D297)</f>
        <v>204</v>
      </c>
      <c r="D164" s="64"/>
      <c r="E164" s="64">
        <f t="shared" ref="E164:H164" si="10">SUM(F227:F228,F231:F234)+SUM(F236:F237,F240:F243)*3+SUM(F245:F246,F249:F252)+SUM(F254:F255,F258:F261)+SUM(F263,F265:F270)+SUM(F272:F279)*16+SUM(F281,F283:F288)*4+SUM(F290:F293,F297)</f>
        <v>85857.969600000011</v>
      </c>
      <c r="F164" s="64"/>
      <c r="G164" s="64">
        <f t="shared" ref="G164:H164" si="11">SUM(H227:H228,H231:H234)+SUM(H236:H237,H240:H243)*3+SUM(H245:H246,H249:H252)+SUM(H254:H255,H258:H261)+SUM(H263,H265:H270)+SUM(H272:H279)*16+SUM(H281,H283:H288)*4+SUM(H290:H293,H297)</f>
        <v>133206.76043999998</v>
      </c>
      <c r="H164" s="64"/>
    </row>
    <row r="165" spans="1:20" s="34" customFormat="1" x14ac:dyDescent="0.3">
      <c r="A165" s="76" t="s">
        <v>257</v>
      </c>
      <c r="B165" s="45" t="s">
        <v>258</v>
      </c>
      <c r="C165" s="64">
        <f>COUNT(D366:D368,D370)+COUNT(D372:D376)*26+COUNT(D378:D380,D382)*6</f>
        <v>158</v>
      </c>
      <c r="D165" s="64"/>
      <c r="E165" s="64">
        <f t="shared" ref="E165:H165" si="12">SUM(F366:F368,F370)+SUM(F372:F376)*26+SUM(F378:F380,F382)*6</f>
        <v>122832.09432</v>
      </c>
      <c r="F165" s="64"/>
      <c r="G165" s="64">
        <f t="shared" ref="G165:H165" si="13">SUM(H366:H368,H370)+SUM(H372:H376)*26+SUM(H378:H380,H382)*6</f>
        <v>190460.83703399997</v>
      </c>
      <c r="H165" s="64"/>
      <c r="L165" s="34">
        <f>200*1.55</f>
        <v>310</v>
      </c>
    </row>
    <row r="166" spans="1:20" s="34" customFormat="1" x14ac:dyDescent="0.3">
      <c r="A166" s="77"/>
      <c r="B166" s="45" t="s">
        <v>259</v>
      </c>
      <c r="C166" s="64">
        <f>COUNT(D385:D387,D389)+COUNT(D391:D395)*26+COUNT(D397:D399,D401)*6</f>
        <v>158</v>
      </c>
      <c r="D166" s="64"/>
      <c r="E166" s="64">
        <f t="shared" ref="E166:H166" si="14">SUM(F385:F387,F389)+SUM(F391:F395)*26+SUM(F397:F399,F401)*6</f>
        <v>122832.09432</v>
      </c>
      <c r="F166" s="64"/>
      <c r="G166" s="64">
        <f t="shared" ref="G166:H166" si="15">SUM(H385:H387,H389)+SUM(H391:H395)*26+SUM(H397:H399,H401)*6</f>
        <v>190460.83703399997</v>
      </c>
      <c r="H166" s="64"/>
    </row>
    <row r="167" spans="1:20" s="34" customFormat="1" ht="16.2" thickBot="1" x14ac:dyDescent="0.35">
      <c r="A167" s="242" t="s">
        <v>260</v>
      </c>
      <c r="B167" s="243"/>
      <c r="C167" s="64">
        <f>COUNT(D408:D410,D412:D413)+COUNT(D415:D420)*26+COUNT(D422:D424,D426:D427)*6</f>
        <v>191</v>
      </c>
      <c r="D167" s="64"/>
      <c r="E167" s="64">
        <f t="shared" ref="E167:H167" si="16">SUM(F408:F410,F412:F413)+SUM(F415:F420)*26+SUM(F422:F424,F426:F427)*6</f>
        <v>122808.95172</v>
      </c>
      <c r="F167" s="64"/>
      <c r="G167" s="64">
        <f t="shared" ref="G167:H167" si="17">SUM(H408:H410,H412:H413)+SUM(H415:H420)*26+SUM(H422:H424,H426:H427)*6</f>
        <v>190464.57752400002</v>
      </c>
      <c r="H167" s="64"/>
    </row>
    <row r="168" spans="1:20" s="34" customFormat="1" ht="16.2" thickBot="1" x14ac:dyDescent="0.35">
      <c r="A168" s="210" t="s">
        <v>153</v>
      </c>
      <c r="B168" s="211"/>
      <c r="C168" s="139">
        <f>SUM(C161:C167)</f>
        <v>1284</v>
      </c>
      <c r="D168" s="140"/>
      <c r="E168" s="212">
        <f>SUM(E161:E164)</f>
        <v>482987.56896</v>
      </c>
      <c r="F168" s="213"/>
      <c r="G168" s="199">
        <f>SUM(G161:G164)</f>
        <v>749169.357066</v>
      </c>
      <c r="H168" s="200"/>
      <c r="L168" s="34">
        <f>4500000/1300</f>
        <v>3461.5384615384614</v>
      </c>
    </row>
    <row r="169" spans="1:20" s="34" customFormat="1" ht="16.2" thickBot="1" x14ac:dyDescent="0.35">
      <c r="A169" s="148" t="s">
        <v>170</v>
      </c>
      <c r="B169" s="149"/>
      <c r="C169" s="261">
        <f>C158+C168</f>
        <v>1301</v>
      </c>
      <c r="D169" s="261"/>
      <c r="E169" s="262">
        <f>E158+E168</f>
        <v>492018.13439999998</v>
      </c>
      <c r="F169" s="262"/>
      <c r="G169" s="150">
        <f>G158+G168</f>
        <v>763166.73349799996</v>
      </c>
      <c r="H169" s="151"/>
    </row>
    <row r="170" spans="1:20" s="33" customFormat="1" x14ac:dyDescent="0.3">
      <c r="A170" s="177" t="s">
        <v>56</v>
      </c>
      <c r="B170" s="177"/>
      <c r="C170" s="177"/>
      <c r="D170" s="177"/>
      <c r="E170" s="177"/>
      <c r="F170" s="177"/>
      <c r="G170" s="177"/>
      <c r="H170" s="177"/>
    </row>
    <row r="171" spans="1:20" x14ac:dyDescent="0.3">
      <c r="A171" s="218" t="s">
        <v>176</v>
      </c>
      <c r="B171" s="218"/>
      <c r="C171" s="218"/>
      <c r="D171" s="218"/>
      <c r="E171" s="218"/>
      <c r="F171" s="218"/>
      <c r="G171" s="218"/>
      <c r="H171" s="218"/>
      <c r="T171" s="34"/>
    </row>
    <row r="172" spans="1:20" ht="47.25" customHeight="1" x14ac:dyDescent="0.3">
      <c r="A172" s="219" t="s">
        <v>266</v>
      </c>
      <c r="B172" s="219" t="s">
        <v>261</v>
      </c>
      <c r="C172" s="219" t="s">
        <v>57</v>
      </c>
      <c r="D172" s="219" t="s">
        <v>262</v>
      </c>
      <c r="E172" s="220" t="s">
        <v>159</v>
      </c>
      <c r="F172" s="219" t="s">
        <v>58</v>
      </c>
      <c r="G172" s="220" t="s">
        <v>59</v>
      </c>
      <c r="H172" s="221" t="s">
        <v>151</v>
      </c>
      <c r="T172" s="34"/>
    </row>
    <row r="173" spans="1:20" s="36" customFormat="1" x14ac:dyDescent="0.3">
      <c r="A173" s="222"/>
      <c r="B173" s="222"/>
      <c r="C173" s="222"/>
      <c r="D173" s="222"/>
      <c r="E173" s="223"/>
      <c r="F173" s="222"/>
      <c r="G173" s="223"/>
      <c r="H173" s="224">
        <v>0.55000000000000004</v>
      </c>
      <c r="T173" s="34"/>
    </row>
    <row r="174" spans="1:20" s="36" customFormat="1" x14ac:dyDescent="0.3">
      <c r="A174" s="251" t="s">
        <v>270</v>
      </c>
      <c r="B174" s="252"/>
      <c r="C174" s="252"/>
      <c r="D174" s="252"/>
      <c r="E174" s="252"/>
      <c r="F174" s="252"/>
      <c r="G174" s="252"/>
      <c r="H174" s="253"/>
      <c r="J174" s="35"/>
    </row>
    <row r="175" spans="1:20" s="36" customFormat="1" x14ac:dyDescent="0.3">
      <c r="A175" s="124" t="s">
        <v>271</v>
      </c>
      <c r="B175" s="125"/>
      <c r="C175" s="125"/>
      <c r="D175" s="125"/>
      <c r="E175" s="125"/>
      <c r="F175" s="125"/>
      <c r="G175" s="125"/>
      <c r="H175" s="126"/>
      <c r="J175" s="35"/>
      <c r="T175" s="34"/>
    </row>
    <row r="176" spans="1:20" s="36" customFormat="1" x14ac:dyDescent="0.3">
      <c r="A176" s="124" t="s">
        <v>272</v>
      </c>
      <c r="B176" s="125"/>
      <c r="C176" s="125"/>
      <c r="D176" s="125"/>
      <c r="E176" s="125"/>
      <c r="F176" s="125"/>
      <c r="G176" s="125"/>
      <c r="H176" s="126"/>
      <c r="J176" s="35"/>
      <c r="T176" s="34"/>
    </row>
    <row r="177" spans="1:20" s="36" customFormat="1" ht="15.75" customHeight="1" x14ac:dyDescent="0.3">
      <c r="A177" s="225">
        <v>1</v>
      </c>
      <c r="B177" s="226"/>
      <c r="C177" s="227" t="s">
        <v>273</v>
      </c>
      <c r="D177" s="227">
        <f>(69.57)*(10.764)</f>
        <v>748.85147999999992</v>
      </c>
      <c r="E177" s="227">
        <v>0</v>
      </c>
      <c r="F177" s="227">
        <f>D177+(IF(E177&lt;201,E177,IF(E177&lt;301,E177/2,E177/3)))</f>
        <v>748.85147999999992</v>
      </c>
      <c r="G177" s="227">
        <v>0</v>
      </c>
      <c r="H177" s="227">
        <f>(F177+(IF(G177&lt;101,G177,IF(G177&lt;201,G177/2,IF(G177&lt;=301,G177/3,G177/4)))))*(($H$173)+1)</f>
        <v>1160.7197939999999</v>
      </c>
      <c r="I177" s="35"/>
      <c r="L177" s="106"/>
      <c r="M177" s="106"/>
      <c r="N177" s="35"/>
      <c r="T177" s="34"/>
    </row>
    <row r="178" spans="1:20" s="36" customFormat="1" ht="15.75" customHeight="1" x14ac:dyDescent="0.3">
      <c r="A178" s="225">
        <f>A177+1</f>
        <v>2</v>
      </c>
      <c r="B178" s="226"/>
      <c r="C178" s="227" t="s">
        <v>273</v>
      </c>
      <c r="D178" s="227">
        <f>(41.99)*(10.764)</f>
        <v>451.98036000000002</v>
      </c>
      <c r="E178" s="227">
        <v>0</v>
      </c>
      <c r="F178" s="227">
        <f>D178+(IF(E178&lt;201,E178,IF(E178&lt;301,E178/2,E178/3)))</f>
        <v>451.98036000000002</v>
      </c>
      <c r="G178" s="227">
        <v>0</v>
      </c>
      <c r="H178" s="227">
        <f>(F178+(IF(G178&lt;101,G178,IF(G178&lt;201,G178/2,IF(G178&lt;=301,G178/3,G178/4)))))*(($H$173)+1)</f>
        <v>700.56955800000003</v>
      </c>
      <c r="I178" s="35"/>
      <c r="L178" s="106"/>
      <c r="M178" s="106"/>
      <c r="N178" s="35"/>
      <c r="T178" s="33"/>
    </row>
    <row r="179" spans="1:20" s="36" customFormat="1" ht="15.75" customHeight="1" x14ac:dyDescent="0.3">
      <c r="A179" s="225">
        <f>A178+1</f>
        <v>3</v>
      </c>
      <c r="B179" s="226"/>
      <c r="C179" s="227" t="s">
        <v>273</v>
      </c>
      <c r="D179" s="227">
        <f>(51.93)*(10.764)</f>
        <v>558.97451999999998</v>
      </c>
      <c r="E179" s="227">
        <v>0</v>
      </c>
      <c r="F179" s="227">
        <f>D179+(IF(E179&lt;201,E179,IF(E179&lt;301,E179/2,E179/3)))</f>
        <v>558.97451999999998</v>
      </c>
      <c r="G179" s="227">
        <v>0</v>
      </c>
      <c r="H179" s="227">
        <f>(F179+(IF(G179&lt;101,G179,IF(G179&lt;201,G179/2,IF(G179&lt;=301,G179/3,G179/4)))))*(($H$173)+1)</f>
        <v>866.41050600000005</v>
      </c>
      <c r="I179" s="35"/>
      <c r="L179" s="106"/>
      <c r="M179" s="106"/>
      <c r="N179" s="35"/>
      <c r="T179" s="20"/>
    </row>
    <row r="180" spans="1:20" s="36" customFormat="1" ht="15.75" customHeight="1" x14ac:dyDescent="0.3">
      <c r="A180" s="225">
        <f>A179+1</f>
        <v>4</v>
      </c>
      <c r="B180" s="226"/>
      <c r="C180" s="227" t="s">
        <v>273</v>
      </c>
      <c r="D180" s="227">
        <f>(50.92)*(10.764)</f>
        <v>548.10288000000003</v>
      </c>
      <c r="E180" s="227">
        <v>0</v>
      </c>
      <c r="F180" s="227">
        <f>D180+(IF(E180&lt;201,E180,IF(E180&lt;301,E180/2,E180/3)))</f>
        <v>548.10288000000003</v>
      </c>
      <c r="G180" s="227">
        <v>0</v>
      </c>
      <c r="H180" s="227">
        <f>(F180+(IF(G180&lt;101,G180,IF(G180&lt;201,G180/2,IF(G180&lt;=301,G180/3,G180/4)))))*(($H$173)+1)</f>
        <v>849.55946400000005</v>
      </c>
      <c r="I180" s="35"/>
      <c r="L180" s="106"/>
      <c r="M180" s="106"/>
      <c r="N180" s="35"/>
      <c r="T180" s="20"/>
    </row>
    <row r="181" spans="1:20" s="36" customFormat="1" ht="15.75" customHeight="1" x14ac:dyDescent="0.3">
      <c r="A181" s="225">
        <f t="shared" ref="A181:A193" si="18">A180+1</f>
        <v>5</v>
      </c>
      <c r="B181" s="226"/>
      <c r="C181" s="227" t="s">
        <v>273</v>
      </c>
      <c r="D181" s="227">
        <f>(50.93)*(10.764)</f>
        <v>548.21051999999997</v>
      </c>
      <c r="E181" s="227">
        <v>0</v>
      </c>
      <c r="F181" s="227">
        <f t="shared" ref="F181:F193" si="19">D181+(IF(E181&lt;201,E181,IF(E181&lt;301,E181/2,E181/3)))</f>
        <v>548.21051999999997</v>
      </c>
      <c r="G181" s="227">
        <v>0</v>
      </c>
      <c r="H181" s="227">
        <f t="shared" ref="H181:H193" si="20">(F181+(IF(G181&lt;101,G181,IF(G181&lt;201,G181/2,IF(G181&lt;=301,G181/3,G181/4)))))*(($H$173)+1)</f>
        <v>849.72630600000002</v>
      </c>
      <c r="I181" s="35"/>
      <c r="L181" s="106"/>
      <c r="M181" s="106"/>
      <c r="N181" s="35"/>
      <c r="T181" s="20"/>
    </row>
    <row r="182" spans="1:20" s="36" customFormat="1" ht="15.75" customHeight="1" x14ac:dyDescent="0.3">
      <c r="A182" s="225">
        <f t="shared" si="18"/>
        <v>6</v>
      </c>
      <c r="B182" s="226"/>
      <c r="C182" s="227" t="s">
        <v>273</v>
      </c>
      <c r="D182" s="227">
        <f>(51.91)*(10.764)</f>
        <v>558.75923999999998</v>
      </c>
      <c r="E182" s="227">
        <v>0</v>
      </c>
      <c r="F182" s="227">
        <f t="shared" si="19"/>
        <v>558.75923999999998</v>
      </c>
      <c r="G182" s="227">
        <v>0</v>
      </c>
      <c r="H182" s="227">
        <f t="shared" si="20"/>
        <v>866.07682199999999</v>
      </c>
      <c r="I182" s="35"/>
      <c r="L182" s="106"/>
      <c r="M182" s="106"/>
      <c r="N182" s="35"/>
      <c r="T182" s="20"/>
    </row>
    <row r="183" spans="1:20" s="36" customFormat="1" ht="15.75" customHeight="1" x14ac:dyDescent="0.3">
      <c r="A183" s="225">
        <f t="shared" si="18"/>
        <v>7</v>
      </c>
      <c r="B183" s="226"/>
      <c r="C183" s="227" t="s">
        <v>273</v>
      </c>
      <c r="D183" s="227">
        <f>(35.92)*(10.764)</f>
        <v>386.64287999999999</v>
      </c>
      <c r="E183" s="227">
        <v>0</v>
      </c>
      <c r="F183" s="227">
        <f t="shared" si="19"/>
        <v>386.64287999999999</v>
      </c>
      <c r="G183" s="227">
        <v>0</v>
      </c>
      <c r="H183" s="227">
        <f t="shared" si="20"/>
        <v>599.29646400000001</v>
      </c>
      <c r="I183" s="35"/>
      <c r="L183" s="106"/>
      <c r="M183" s="106"/>
      <c r="N183" s="35"/>
      <c r="T183" s="20"/>
    </row>
    <row r="184" spans="1:20" s="36" customFormat="1" ht="15.75" customHeight="1" x14ac:dyDescent="0.3">
      <c r="A184" s="225">
        <f t="shared" si="18"/>
        <v>8</v>
      </c>
      <c r="B184" s="226"/>
      <c r="C184" s="227" t="s">
        <v>273</v>
      </c>
      <c r="D184" s="227">
        <f>(35.92)*(10.764)</f>
        <v>386.64287999999999</v>
      </c>
      <c r="E184" s="227">
        <v>0</v>
      </c>
      <c r="F184" s="227">
        <f t="shared" si="19"/>
        <v>386.64287999999999</v>
      </c>
      <c r="G184" s="227">
        <v>0</v>
      </c>
      <c r="H184" s="227">
        <f t="shared" si="20"/>
        <v>599.29646400000001</v>
      </c>
      <c r="I184" s="35"/>
      <c r="L184" s="106"/>
      <c r="M184" s="106"/>
      <c r="N184" s="35"/>
      <c r="T184" s="20"/>
    </row>
    <row r="185" spans="1:20" s="36" customFormat="1" ht="15.75" customHeight="1" x14ac:dyDescent="0.3">
      <c r="A185" s="225">
        <f t="shared" si="18"/>
        <v>9</v>
      </c>
      <c r="B185" s="226"/>
      <c r="C185" s="227" t="s">
        <v>273</v>
      </c>
      <c r="D185" s="227">
        <f>(50.92)*(10.764)</f>
        <v>548.10288000000003</v>
      </c>
      <c r="E185" s="227">
        <v>0</v>
      </c>
      <c r="F185" s="227">
        <f t="shared" si="19"/>
        <v>548.10288000000003</v>
      </c>
      <c r="G185" s="227">
        <v>0</v>
      </c>
      <c r="H185" s="227">
        <f t="shared" si="20"/>
        <v>849.55946400000005</v>
      </c>
      <c r="I185" s="35"/>
      <c r="L185" s="106"/>
      <c r="M185" s="106"/>
      <c r="N185" s="35"/>
      <c r="T185" s="20"/>
    </row>
    <row r="186" spans="1:20" s="36" customFormat="1" ht="15.75" customHeight="1" x14ac:dyDescent="0.3">
      <c r="A186" s="225">
        <f t="shared" si="18"/>
        <v>10</v>
      </c>
      <c r="B186" s="226"/>
      <c r="C186" s="227" t="s">
        <v>273</v>
      </c>
      <c r="D186" s="227">
        <f>(35.92)*(10.764)</f>
        <v>386.64287999999999</v>
      </c>
      <c r="E186" s="227">
        <v>0</v>
      </c>
      <c r="F186" s="227">
        <f t="shared" si="19"/>
        <v>386.64287999999999</v>
      </c>
      <c r="G186" s="227">
        <v>0</v>
      </c>
      <c r="H186" s="227">
        <f t="shared" si="20"/>
        <v>599.29646400000001</v>
      </c>
      <c r="I186" s="35"/>
      <c r="L186" s="106"/>
      <c r="M186" s="106"/>
      <c r="N186" s="35"/>
      <c r="T186" s="20"/>
    </row>
    <row r="187" spans="1:20" s="36" customFormat="1" ht="15.75" customHeight="1" x14ac:dyDescent="0.3">
      <c r="A187" s="225">
        <f t="shared" si="18"/>
        <v>11</v>
      </c>
      <c r="B187" s="226"/>
      <c r="C187" s="227" t="s">
        <v>273</v>
      </c>
      <c r="D187" s="227">
        <f>(35.92)*(10.764)</f>
        <v>386.64287999999999</v>
      </c>
      <c r="E187" s="227">
        <v>0</v>
      </c>
      <c r="F187" s="227">
        <f t="shared" si="19"/>
        <v>386.64287999999999</v>
      </c>
      <c r="G187" s="227">
        <v>0</v>
      </c>
      <c r="H187" s="227">
        <f t="shared" si="20"/>
        <v>599.29646400000001</v>
      </c>
      <c r="I187" s="35"/>
      <c r="L187" s="106"/>
      <c r="M187" s="106"/>
      <c r="N187" s="35"/>
      <c r="T187" s="20"/>
    </row>
    <row r="188" spans="1:20" s="36" customFormat="1" ht="15.75" customHeight="1" x14ac:dyDescent="0.3">
      <c r="A188" s="225">
        <f t="shared" si="18"/>
        <v>12</v>
      </c>
      <c r="B188" s="226"/>
      <c r="C188" s="227" t="s">
        <v>273</v>
      </c>
      <c r="D188" s="227">
        <f>(51.91)*(10.764)</f>
        <v>558.75923999999998</v>
      </c>
      <c r="E188" s="227">
        <v>0</v>
      </c>
      <c r="F188" s="227">
        <f t="shared" si="19"/>
        <v>558.75923999999998</v>
      </c>
      <c r="G188" s="227">
        <v>0</v>
      </c>
      <c r="H188" s="227">
        <f t="shared" si="20"/>
        <v>866.07682199999999</v>
      </c>
      <c r="I188" s="35"/>
      <c r="L188" s="106"/>
      <c r="M188" s="106"/>
      <c r="N188" s="35"/>
      <c r="T188" s="20"/>
    </row>
    <row r="189" spans="1:20" s="36" customFormat="1" ht="15.75" customHeight="1" x14ac:dyDescent="0.3">
      <c r="A189" s="225">
        <f t="shared" si="18"/>
        <v>13</v>
      </c>
      <c r="B189" s="226"/>
      <c r="C189" s="227" t="s">
        <v>273</v>
      </c>
      <c r="D189" s="227">
        <f>(50.93)*(10.764)</f>
        <v>548.21051999999997</v>
      </c>
      <c r="E189" s="227">
        <v>0</v>
      </c>
      <c r="F189" s="227">
        <f t="shared" si="19"/>
        <v>548.21051999999997</v>
      </c>
      <c r="G189" s="227">
        <v>0</v>
      </c>
      <c r="H189" s="227">
        <f t="shared" si="20"/>
        <v>849.72630600000002</v>
      </c>
      <c r="I189" s="35"/>
      <c r="L189" s="106"/>
      <c r="M189" s="106"/>
      <c r="N189" s="35"/>
      <c r="T189" s="20"/>
    </row>
    <row r="190" spans="1:20" s="36" customFormat="1" ht="15.75" customHeight="1" x14ac:dyDescent="0.3">
      <c r="A190" s="225">
        <f t="shared" si="18"/>
        <v>14</v>
      </c>
      <c r="B190" s="226"/>
      <c r="C190" s="227" t="s">
        <v>273</v>
      </c>
      <c r="D190" s="227">
        <f>(50.93)*(10.764)</f>
        <v>548.21051999999997</v>
      </c>
      <c r="E190" s="227">
        <v>0</v>
      </c>
      <c r="F190" s="227">
        <f t="shared" si="19"/>
        <v>548.21051999999997</v>
      </c>
      <c r="G190" s="227">
        <v>0</v>
      </c>
      <c r="H190" s="227">
        <f t="shared" si="20"/>
        <v>849.72630600000002</v>
      </c>
      <c r="I190" s="35"/>
      <c r="L190" s="106"/>
      <c r="M190" s="106"/>
      <c r="N190" s="35"/>
      <c r="T190" s="20"/>
    </row>
    <row r="191" spans="1:20" s="36" customFormat="1" ht="15.75" customHeight="1" x14ac:dyDescent="0.3">
      <c r="A191" s="225">
        <f t="shared" si="18"/>
        <v>15</v>
      </c>
      <c r="B191" s="226"/>
      <c r="C191" s="227" t="s">
        <v>273</v>
      </c>
      <c r="D191" s="227">
        <f>(51.91)*(10.764)</f>
        <v>558.75923999999998</v>
      </c>
      <c r="E191" s="227">
        <v>0</v>
      </c>
      <c r="F191" s="227">
        <f t="shared" si="19"/>
        <v>558.75923999999998</v>
      </c>
      <c r="G191" s="227">
        <v>0</v>
      </c>
      <c r="H191" s="227">
        <f t="shared" si="20"/>
        <v>866.07682199999999</v>
      </c>
      <c r="I191" s="35"/>
      <c r="L191" s="106"/>
      <c r="M191" s="106"/>
      <c r="N191" s="35"/>
      <c r="T191" s="20"/>
    </row>
    <row r="192" spans="1:20" s="36" customFormat="1" ht="15.75" customHeight="1" x14ac:dyDescent="0.3">
      <c r="A192" s="225">
        <f t="shared" si="18"/>
        <v>16</v>
      </c>
      <c r="B192" s="226"/>
      <c r="C192" s="227" t="s">
        <v>273</v>
      </c>
      <c r="D192" s="227">
        <f>(51.89)*(10.764)</f>
        <v>558.54395999999997</v>
      </c>
      <c r="E192" s="227">
        <v>0</v>
      </c>
      <c r="F192" s="227">
        <f t="shared" si="19"/>
        <v>558.54395999999997</v>
      </c>
      <c r="G192" s="227">
        <v>0</v>
      </c>
      <c r="H192" s="227">
        <f t="shared" si="20"/>
        <v>865.74313799999993</v>
      </c>
      <c r="I192" s="35"/>
      <c r="L192" s="106"/>
      <c r="M192" s="106"/>
      <c r="N192" s="35"/>
      <c r="T192" s="20"/>
    </row>
    <row r="193" spans="1:20" s="36" customFormat="1" ht="15.75" customHeight="1" x14ac:dyDescent="0.3">
      <c r="A193" s="225">
        <f t="shared" si="18"/>
        <v>17</v>
      </c>
      <c r="B193" s="226"/>
      <c r="C193" s="227" t="s">
        <v>273</v>
      </c>
      <c r="D193" s="227">
        <f>(69.54)*(10.764)</f>
        <v>748.52855999999997</v>
      </c>
      <c r="E193" s="227">
        <v>0</v>
      </c>
      <c r="F193" s="227">
        <f t="shared" si="19"/>
        <v>748.52855999999997</v>
      </c>
      <c r="G193" s="227">
        <v>0</v>
      </c>
      <c r="H193" s="227">
        <f t="shared" si="20"/>
        <v>1160.2192680000001</v>
      </c>
      <c r="I193" s="35"/>
      <c r="L193" s="106"/>
      <c r="M193" s="106"/>
      <c r="N193" s="35"/>
      <c r="T193" s="20"/>
    </row>
    <row r="194" spans="1:20" s="36" customFormat="1" x14ac:dyDescent="0.3">
      <c r="A194" s="225"/>
      <c r="B194" s="228"/>
      <c r="C194" s="228"/>
      <c r="D194" s="228"/>
      <c r="E194" s="228"/>
      <c r="F194" s="228"/>
      <c r="G194" s="228"/>
      <c r="H194" s="226"/>
      <c r="I194" s="35"/>
      <c r="N194" s="35"/>
    </row>
    <row r="195" spans="1:20" ht="47.25" customHeight="1" x14ac:dyDescent="0.3">
      <c r="A195" s="229" t="s">
        <v>267</v>
      </c>
      <c r="B195" s="219" t="s">
        <v>263</v>
      </c>
      <c r="C195" s="219" t="s">
        <v>57</v>
      </c>
      <c r="D195" s="219" t="s">
        <v>264</v>
      </c>
      <c r="E195" s="219" t="s">
        <v>265</v>
      </c>
      <c r="F195" s="219" t="s">
        <v>58</v>
      </c>
      <c r="G195" s="220" t="s">
        <v>59</v>
      </c>
      <c r="H195" s="221" t="s">
        <v>151</v>
      </c>
      <c r="I195" s="35"/>
      <c r="T195" s="36"/>
    </row>
    <row r="196" spans="1:20" s="36" customFormat="1" x14ac:dyDescent="0.3">
      <c r="A196" s="230"/>
      <c r="B196" s="222"/>
      <c r="C196" s="222"/>
      <c r="D196" s="222"/>
      <c r="E196" s="222"/>
      <c r="F196" s="222"/>
      <c r="G196" s="223"/>
      <c r="H196" s="224">
        <v>0.55000000000000004</v>
      </c>
      <c r="I196" s="35"/>
    </row>
    <row r="197" spans="1:20" s="36" customFormat="1" x14ac:dyDescent="0.3">
      <c r="A197" s="235" t="s">
        <v>268</v>
      </c>
      <c r="B197" s="236"/>
      <c r="C197" s="236"/>
      <c r="D197" s="236"/>
      <c r="E197" s="236"/>
      <c r="F197" s="236"/>
      <c r="G197" s="236"/>
      <c r="H197" s="237"/>
      <c r="J197" s="35"/>
    </row>
    <row r="198" spans="1:20" s="36" customFormat="1" x14ac:dyDescent="0.3">
      <c r="A198" s="231" t="s">
        <v>223</v>
      </c>
      <c r="B198" s="232"/>
      <c r="C198" s="232"/>
      <c r="D198" s="232"/>
      <c r="E198" s="232"/>
      <c r="F198" s="232"/>
      <c r="G198" s="232"/>
      <c r="H198" s="233"/>
      <c r="J198" s="35"/>
    </row>
    <row r="199" spans="1:20" s="36" customFormat="1" x14ac:dyDescent="0.3">
      <c r="A199" s="124" t="s">
        <v>197</v>
      </c>
      <c r="B199" s="125"/>
      <c r="C199" s="125"/>
      <c r="D199" s="125"/>
      <c r="E199" s="125"/>
      <c r="F199" s="125"/>
      <c r="G199" s="125"/>
      <c r="H199" s="126"/>
      <c r="J199" s="35"/>
    </row>
    <row r="200" spans="1:20" s="36" customFormat="1" x14ac:dyDescent="0.3">
      <c r="A200" s="61" t="s">
        <v>198</v>
      </c>
      <c r="B200" s="62"/>
      <c r="C200" s="62"/>
      <c r="D200" s="62"/>
      <c r="E200" s="62"/>
      <c r="F200" s="62"/>
      <c r="G200" s="62"/>
      <c r="H200" s="63"/>
      <c r="I200" s="36">
        <v>1</v>
      </c>
      <c r="J200" s="35"/>
    </row>
    <row r="201" spans="1:20" s="36" customFormat="1" x14ac:dyDescent="0.3">
      <c r="A201" s="61" t="s">
        <v>199</v>
      </c>
      <c r="B201" s="62"/>
      <c r="C201" s="62"/>
      <c r="D201" s="62"/>
      <c r="E201" s="62"/>
      <c r="F201" s="62"/>
      <c r="G201" s="62"/>
      <c r="H201" s="63"/>
      <c r="I201" s="36">
        <v>3</v>
      </c>
      <c r="J201" s="35"/>
    </row>
    <row r="202" spans="1:20" s="36" customFormat="1" x14ac:dyDescent="0.3">
      <c r="A202" s="61" t="s">
        <v>200</v>
      </c>
      <c r="B202" s="62"/>
      <c r="C202" s="62"/>
      <c r="D202" s="62"/>
      <c r="E202" s="62"/>
      <c r="F202" s="62"/>
      <c r="G202" s="62"/>
      <c r="H202" s="63"/>
      <c r="I202" s="36">
        <v>1</v>
      </c>
      <c r="J202" s="35"/>
    </row>
    <row r="203" spans="1:20" s="36" customFormat="1" ht="15.6" customHeight="1" x14ac:dyDescent="0.3">
      <c r="A203" s="61" t="s">
        <v>201</v>
      </c>
      <c r="B203" s="62"/>
      <c r="C203" s="62"/>
      <c r="D203" s="62"/>
      <c r="E203" s="62"/>
      <c r="F203" s="62"/>
      <c r="G203" s="62"/>
      <c r="H203" s="63"/>
      <c r="I203" s="36">
        <v>1</v>
      </c>
      <c r="J203" s="35"/>
    </row>
    <row r="204" spans="1:20" s="36" customFormat="1" ht="15.75" customHeight="1" x14ac:dyDescent="0.3">
      <c r="A204" s="104">
        <v>1</v>
      </c>
      <c r="B204" s="105"/>
      <c r="C204" s="54">
        <v>3</v>
      </c>
      <c r="D204" s="55">
        <f>(77.49)*(10.764)</f>
        <v>834.10235999999986</v>
      </c>
      <c r="E204" s="41">
        <v>0</v>
      </c>
      <c r="F204" s="41">
        <f>D204+E204</f>
        <v>834.10235999999986</v>
      </c>
      <c r="G204" s="55">
        <f>(7.99*3.5)*(10.764)</f>
        <v>301.01525999999996</v>
      </c>
      <c r="H204" s="41">
        <f>F204*(($H$196)+1)+(IF(G204&lt;101,G204,IF(G204&lt;201,G204/2,IF(G204&lt;=301,G204/3,G204/4))))</f>
        <v>1368.1124729999999</v>
      </c>
      <c r="I204" s="35"/>
      <c r="L204" s="234"/>
      <c r="M204" s="234"/>
      <c r="N204" s="35"/>
    </row>
    <row r="205" spans="1:20" s="36" customFormat="1" ht="15.75" customHeight="1" x14ac:dyDescent="0.3">
      <c r="A205" s="104">
        <f>A204+1</f>
        <v>2</v>
      </c>
      <c r="B205" s="105"/>
      <c r="C205" s="54">
        <v>2</v>
      </c>
      <c r="D205" s="55">
        <f>(59.74)*(10.764)</f>
        <v>643.04135999999994</v>
      </c>
      <c r="E205" s="41">
        <v>0</v>
      </c>
      <c r="F205" s="41">
        <f>D205+E205</f>
        <v>643.04135999999994</v>
      </c>
      <c r="G205" s="41">
        <v>0</v>
      </c>
      <c r="H205" s="41">
        <f>F205*(($H$196)+1)+(IF(G205&lt;101,G205,IF(G205&lt;201,G205/2,IF(G205&lt;=301,G205/3,G205/4))))</f>
        <v>996.7141079999999</v>
      </c>
      <c r="I205" s="35"/>
      <c r="L205" s="106"/>
      <c r="M205" s="106"/>
      <c r="N205" s="35"/>
    </row>
    <row r="206" spans="1:20" s="36" customFormat="1" ht="15.75" customHeight="1" x14ac:dyDescent="0.3">
      <c r="A206" s="104">
        <f>A205+1</f>
        <v>3</v>
      </c>
      <c r="B206" s="105"/>
      <c r="C206" s="54">
        <v>2</v>
      </c>
      <c r="D206" s="55">
        <f>(59.74)*(10.764)</f>
        <v>643.04135999999994</v>
      </c>
      <c r="E206" s="41">
        <v>0</v>
      </c>
      <c r="F206" s="41">
        <f>D206+E206</f>
        <v>643.04135999999994</v>
      </c>
      <c r="G206" s="41">
        <v>0</v>
      </c>
      <c r="H206" s="41">
        <f>F206*(($H$196)+1)+(IF(G206&lt;101,G206,IF(G206&lt;201,G206/2,IF(G206&lt;=301,G206/3,G206/4))))</f>
        <v>996.7141079999999</v>
      </c>
      <c r="I206" s="35"/>
      <c r="L206" s="106"/>
      <c r="M206" s="106"/>
      <c r="N206" s="35"/>
    </row>
    <row r="207" spans="1:20" s="36" customFormat="1" ht="15.75" customHeight="1" x14ac:dyDescent="0.3">
      <c r="A207" s="104">
        <f>A206+1</f>
        <v>4</v>
      </c>
      <c r="B207" s="105"/>
      <c r="C207" s="104" t="s">
        <v>203</v>
      </c>
      <c r="D207" s="109"/>
      <c r="E207" s="109"/>
      <c r="F207" s="109"/>
      <c r="G207" s="109"/>
      <c r="H207" s="105"/>
      <c r="I207" s="35"/>
      <c r="L207" s="106"/>
      <c r="M207" s="106"/>
      <c r="N207" s="35"/>
      <c r="T207" s="20"/>
    </row>
    <row r="208" spans="1:20" s="36" customFormat="1" ht="15.75" customHeight="1" x14ac:dyDescent="0.3">
      <c r="A208" s="104" t="s">
        <v>202</v>
      </c>
      <c r="B208" s="105"/>
      <c r="C208" s="54" t="s">
        <v>204</v>
      </c>
      <c r="D208" s="55">
        <f>(91.72)*(10.764)</f>
        <v>987.27407999999991</v>
      </c>
      <c r="E208" s="41">
        <v>0</v>
      </c>
      <c r="F208" s="41">
        <f t="shared" ref="F208:F209" si="21">D208+E208</f>
        <v>987.27407999999991</v>
      </c>
      <c r="G208" s="41">
        <v>0</v>
      </c>
      <c r="H208" s="41">
        <f t="shared" ref="H208:H209" si="22">F208*(($H$196)+1)+(IF(G208&lt;101,G208,IF(G208&lt;201,G208/2,IF(G208&lt;=301,G208/3,G208/4))))</f>
        <v>1530.2748239999999</v>
      </c>
      <c r="I208" s="35"/>
      <c r="L208" s="106"/>
      <c r="M208" s="106"/>
      <c r="N208" s="35"/>
      <c r="T208" s="20"/>
    </row>
    <row r="209" spans="1:20" s="36" customFormat="1" x14ac:dyDescent="0.3">
      <c r="A209" s="104">
        <v>6</v>
      </c>
      <c r="B209" s="105"/>
      <c r="C209" s="54">
        <v>3</v>
      </c>
      <c r="D209" s="55">
        <f>(77.49)*(10.764)</f>
        <v>834.10235999999986</v>
      </c>
      <c r="E209" s="41">
        <v>0</v>
      </c>
      <c r="F209" s="41">
        <f t="shared" si="21"/>
        <v>834.10235999999986</v>
      </c>
      <c r="G209" s="55">
        <f>(7.99*3.5)*(10.764)</f>
        <v>301.01525999999996</v>
      </c>
      <c r="H209" s="41">
        <f t="shared" si="22"/>
        <v>1368.1124729999999</v>
      </c>
      <c r="I209" s="35"/>
      <c r="L209" s="106"/>
      <c r="M209" s="106"/>
      <c r="N209" s="35"/>
      <c r="T209" s="20"/>
    </row>
    <row r="210" spans="1:20" s="36" customFormat="1" ht="37.200000000000003" customHeight="1" x14ac:dyDescent="0.3">
      <c r="A210" s="114" t="s">
        <v>218</v>
      </c>
      <c r="B210" s="114"/>
      <c r="C210" s="114"/>
      <c r="D210" s="114"/>
      <c r="E210" s="114"/>
      <c r="F210" s="114"/>
      <c r="G210" s="114"/>
      <c r="H210" s="114"/>
      <c r="I210" s="35">
        <f>3+4+4+4+4+4+3</f>
        <v>26</v>
      </c>
      <c r="L210" s="106"/>
      <c r="M210" s="106"/>
    </row>
    <row r="211" spans="1:20" s="36" customFormat="1" x14ac:dyDescent="0.3">
      <c r="A211" s="110">
        <v>1</v>
      </c>
      <c r="B211" s="110"/>
      <c r="C211" s="54">
        <v>3</v>
      </c>
      <c r="D211" s="55">
        <f>(77.49)*(10.764)</f>
        <v>834.10235999999986</v>
      </c>
      <c r="E211" s="41">
        <v>0</v>
      </c>
      <c r="F211" s="41">
        <f>D211+E211</f>
        <v>834.10235999999986</v>
      </c>
      <c r="G211" s="41">
        <v>0</v>
      </c>
      <c r="H211" s="41">
        <f>F211*(($H$196)+1)+(IF(G211&lt;101,G211,IF(G211&lt;201,G211/2,IF(G211&lt;=301,G211/3,G211/4))))</f>
        <v>1292.8586579999999</v>
      </c>
      <c r="I211" s="35"/>
      <c r="N211" s="35"/>
    </row>
    <row r="212" spans="1:20" s="36" customFormat="1" x14ac:dyDescent="0.3">
      <c r="A212" s="110">
        <f>A211+1</f>
        <v>2</v>
      </c>
      <c r="B212" s="110"/>
      <c r="C212" s="54">
        <v>2</v>
      </c>
      <c r="D212" s="55">
        <f>(59.74)*(10.764)</f>
        <v>643.04135999999994</v>
      </c>
      <c r="E212" s="41">
        <v>0</v>
      </c>
      <c r="F212" s="41">
        <f>D212+E212</f>
        <v>643.04135999999994</v>
      </c>
      <c r="G212" s="41">
        <v>0</v>
      </c>
      <c r="H212" s="41">
        <f>F212*(($H$196)+1)+(IF(G212&lt;101,G212,IF(G212&lt;201,G212/2,IF(G212&lt;=301,G212/3,G212/4))))</f>
        <v>996.7141079999999</v>
      </c>
      <c r="I212" s="35"/>
      <c r="N212" s="35"/>
    </row>
    <row r="213" spans="1:20" s="36" customFormat="1" x14ac:dyDescent="0.3">
      <c r="A213" s="110">
        <f>A212+1</f>
        <v>3</v>
      </c>
      <c r="B213" s="110"/>
      <c r="C213" s="54">
        <v>2</v>
      </c>
      <c r="D213" s="55">
        <f>(59.74)*(10.764)</f>
        <v>643.04135999999994</v>
      </c>
      <c r="E213" s="41">
        <v>0</v>
      </c>
      <c r="F213" s="41">
        <f>D213+E213</f>
        <v>643.04135999999994</v>
      </c>
      <c r="G213" s="41">
        <v>0</v>
      </c>
      <c r="H213" s="41">
        <f>F213*(($H$196)+1)+(IF(G213&lt;101,G213,IF(G213&lt;201,G213/2,IF(G213&lt;=301,G213/3,G213/4))))</f>
        <v>996.7141079999999</v>
      </c>
      <c r="I213" s="35"/>
      <c r="N213" s="35"/>
    </row>
    <row r="214" spans="1:20" s="36" customFormat="1" x14ac:dyDescent="0.3">
      <c r="A214" s="110">
        <f>A213+1</f>
        <v>4</v>
      </c>
      <c r="B214" s="110"/>
      <c r="C214" s="54">
        <v>2</v>
      </c>
      <c r="D214" s="55">
        <f>(58.52)*(10.764)</f>
        <v>629.90927999999997</v>
      </c>
      <c r="E214" s="41">
        <v>0</v>
      </c>
      <c r="F214" s="41">
        <f>D214+E214</f>
        <v>629.90927999999997</v>
      </c>
      <c r="G214" s="41">
        <v>0</v>
      </c>
      <c r="H214" s="41">
        <f t="shared" ref="H214:H215" si="23">F214*(($H$196)+1)+(IF(G214&lt;101,G214,IF(G214&lt;201,G214/2,IF(G214&lt;=301,G214/3,G214/4))))</f>
        <v>976.35938399999998</v>
      </c>
      <c r="I214" s="35"/>
      <c r="N214" s="35"/>
    </row>
    <row r="215" spans="1:20" s="36" customFormat="1" x14ac:dyDescent="0.3">
      <c r="A215" s="110">
        <f>A214+1</f>
        <v>5</v>
      </c>
      <c r="B215" s="110"/>
      <c r="C215" s="54">
        <v>2</v>
      </c>
      <c r="D215" s="55">
        <f>(58.52)*(10.764)</f>
        <v>629.90927999999997</v>
      </c>
      <c r="E215" s="41">
        <v>0</v>
      </c>
      <c r="F215" s="41">
        <f>D215+E215</f>
        <v>629.90927999999997</v>
      </c>
      <c r="G215" s="41">
        <v>0</v>
      </c>
      <c r="H215" s="41">
        <f t="shared" si="23"/>
        <v>976.35938399999998</v>
      </c>
      <c r="I215" s="35"/>
      <c r="N215" s="35"/>
    </row>
    <row r="216" spans="1:20" s="36" customFormat="1" x14ac:dyDescent="0.3">
      <c r="A216" s="110">
        <f>A215+1</f>
        <v>6</v>
      </c>
      <c r="B216" s="110"/>
      <c r="C216" s="54">
        <v>3</v>
      </c>
      <c r="D216" s="55">
        <f>(77.49)*(10.764)</f>
        <v>834.10235999999986</v>
      </c>
      <c r="E216" s="41">
        <v>0</v>
      </c>
      <c r="F216" s="41">
        <f>D216+E216</f>
        <v>834.10235999999986</v>
      </c>
      <c r="G216" s="41">
        <v>0</v>
      </c>
      <c r="H216" s="41">
        <f t="shared" ref="H216" si="24">F216*(($H$196)+1)+(IF(G216&lt;101,G216,IF(G216&lt;201,G216/2,IF(G216&lt;=301,G216/3,G216/4))))</f>
        <v>1292.8586579999999</v>
      </c>
      <c r="I216" s="35"/>
      <c r="N216" s="35"/>
    </row>
    <row r="217" spans="1:20" s="36" customFormat="1" x14ac:dyDescent="0.3">
      <c r="A217" s="114" t="s">
        <v>205</v>
      </c>
      <c r="B217" s="114"/>
      <c r="C217" s="114"/>
      <c r="D217" s="114"/>
      <c r="E217" s="114"/>
      <c r="F217" s="114"/>
      <c r="G217" s="114"/>
      <c r="H217" s="114"/>
      <c r="I217" s="35">
        <v>6</v>
      </c>
      <c r="L217" s="106"/>
      <c r="M217" s="106"/>
    </row>
    <row r="218" spans="1:20" s="36" customFormat="1" x14ac:dyDescent="0.3">
      <c r="A218" s="110">
        <v>1</v>
      </c>
      <c r="B218" s="110"/>
      <c r="C218" s="54">
        <v>3</v>
      </c>
      <c r="D218" s="55">
        <f>(77.49)*(10.764)</f>
        <v>834.10235999999986</v>
      </c>
      <c r="E218" s="41">
        <v>0</v>
      </c>
      <c r="F218" s="41">
        <f>D218+E218</f>
        <v>834.10235999999986</v>
      </c>
      <c r="G218" s="55">
        <v>0</v>
      </c>
      <c r="H218" s="41">
        <f>F218*(($H$196)+1)+(IF(G218&lt;101,G218,IF(G218&lt;201,G218/2,IF(G218&lt;=301,G218/3,G218/4))))</f>
        <v>1292.8586579999999</v>
      </c>
      <c r="I218" s="35"/>
      <c r="N218" s="35"/>
    </row>
    <row r="219" spans="1:20" s="36" customFormat="1" x14ac:dyDescent="0.3">
      <c r="A219" s="110">
        <f>A218+1</f>
        <v>2</v>
      </c>
      <c r="B219" s="110"/>
      <c r="C219" s="54">
        <v>2</v>
      </c>
      <c r="D219" s="55">
        <f>(59.74)*(10.764)</f>
        <v>643.04135999999994</v>
      </c>
      <c r="E219" s="41">
        <v>0</v>
      </c>
      <c r="F219" s="41">
        <f>D219+E219</f>
        <v>643.04135999999994</v>
      </c>
      <c r="G219" s="41">
        <v>0</v>
      </c>
      <c r="H219" s="41">
        <f>F219*(($H$196)+1)+(IF(G219&lt;101,G219,IF(G219&lt;201,G219/2,IF(G219&lt;=301,G219/3,G219/4))))</f>
        <v>996.7141079999999</v>
      </c>
      <c r="I219" s="35"/>
      <c r="N219" s="35"/>
    </row>
    <row r="220" spans="1:20" s="36" customFormat="1" x14ac:dyDescent="0.3">
      <c r="A220" s="110">
        <f>A219+1</f>
        <v>3</v>
      </c>
      <c r="B220" s="110"/>
      <c r="C220" s="54">
        <v>2</v>
      </c>
      <c r="D220" s="55">
        <f>(59.74)*(10.764)</f>
        <v>643.04135999999994</v>
      </c>
      <c r="E220" s="41">
        <v>0</v>
      </c>
      <c r="F220" s="41">
        <f>D220+E220</f>
        <v>643.04135999999994</v>
      </c>
      <c r="G220" s="41">
        <v>0</v>
      </c>
      <c r="H220" s="41">
        <f>F220*(($H$196)+1)+(IF(G220&lt;101,G220,IF(G220&lt;201,G220/2,IF(G220&lt;=301,G220/3,G220/4))))</f>
        <v>996.7141079999999</v>
      </c>
      <c r="I220" s="35"/>
      <c r="N220" s="35"/>
    </row>
    <row r="221" spans="1:20" s="36" customFormat="1" x14ac:dyDescent="0.3">
      <c r="A221" s="110">
        <f>A220+1</f>
        <v>4</v>
      </c>
      <c r="B221" s="110"/>
      <c r="C221" s="104" t="s">
        <v>203</v>
      </c>
      <c r="D221" s="109"/>
      <c r="E221" s="109"/>
      <c r="F221" s="109"/>
      <c r="G221" s="109"/>
      <c r="H221" s="105"/>
      <c r="I221" s="35"/>
      <c r="N221" s="35"/>
    </row>
    <row r="222" spans="1:20" s="36" customFormat="1" x14ac:dyDescent="0.3">
      <c r="A222" s="110">
        <f>A221+1</f>
        <v>5</v>
      </c>
      <c r="B222" s="110"/>
      <c r="C222" s="54" t="s">
        <v>204</v>
      </c>
      <c r="D222" s="55">
        <f>(91.72)*(10.764)</f>
        <v>987.27407999999991</v>
      </c>
      <c r="E222" s="41">
        <v>0</v>
      </c>
      <c r="F222" s="41">
        <f t="shared" ref="F222:F223" si="25">D222+E222</f>
        <v>987.27407999999991</v>
      </c>
      <c r="G222" s="41">
        <v>0</v>
      </c>
      <c r="H222" s="41">
        <f t="shared" ref="H222:H223" si="26">F222*(($H$196)+1)+(IF(G222&lt;101,G222,IF(G222&lt;201,G222/2,IF(G222&lt;=301,G222/3,G222/4))))</f>
        <v>1530.2748239999999</v>
      </c>
      <c r="I222" s="35"/>
      <c r="N222" s="35"/>
    </row>
    <row r="223" spans="1:20" s="36" customFormat="1" x14ac:dyDescent="0.3">
      <c r="A223" s="110">
        <f>A222+1</f>
        <v>6</v>
      </c>
      <c r="B223" s="110"/>
      <c r="C223" s="54">
        <v>3</v>
      </c>
      <c r="D223" s="55">
        <f>(77.49)*(10.764)</f>
        <v>834.10235999999986</v>
      </c>
      <c r="E223" s="41">
        <v>0</v>
      </c>
      <c r="F223" s="41">
        <f t="shared" si="25"/>
        <v>834.10235999999986</v>
      </c>
      <c r="G223" s="55">
        <v>0</v>
      </c>
      <c r="H223" s="41">
        <f t="shared" si="26"/>
        <v>1292.8586579999999</v>
      </c>
      <c r="I223" s="35"/>
      <c r="N223" s="35"/>
    </row>
    <row r="224" spans="1:20" s="36" customFormat="1" x14ac:dyDescent="0.3">
      <c r="A224" s="239" t="s">
        <v>211</v>
      </c>
      <c r="B224" s="240"/>
      <c r="C224" s="240"/>
      <c r="D224" s="240"/>
      <c r="E224" s="240"/>
      <c r="F224" s="240"/>
      <c r="G224" s="240"/>
      <c r="H224" s="241"/>
      <c r="J224" s="35"/>
    </row>
    <row r="225" spans="1:14" s="36" customFormat="1" x14ac:dyDescent="0.3">
      <c r="A225" s="127" t="s">
        <v>207</v>
      </c>
      <c r="B225" s="127"/>
      <c r="C225" s="127"/>
      <c r="D225" s="127"/>
      <c r="E225" s="127"/>
      <c r="F225" s="127"/>
      <c r="G225" s="127"/>
      <c r="H225" s="127"/>
      <c r="J225" s="35"/>
    </row>
    <row r="226" spans="1:14" s="36" customFormat="1" ht="15.75" customHeight="1" x14ac:dyDescent="0.3">
      <c r="A226" s="127" t="s">
        <v>213</v>
      </c>
      <c r="B226" s="127"/>
      <c r="C226" s="127"/>
      <c r="D226" s="127"/>
      <c r="E226" s="127"/>
      <c r="F226" s="127"/>
      <c r="G226" s="127"/>
      <c r="H226" s="127"/>
      <c r="J226" s="35"/>
    </row>
    <row r="227" spans="1:14" s="36" customFormat="1" ht="15.75" customHeight="1" x14ac:dyDescent="0.3">
      <c r="A227" s="110">
        <v>1</v>
      </c>
      <c r="B227" s="110"/>
      <c r="C227" s="54">
        <v>1</v>
      </c>
      <c r="D227" s="55">
        <f t="shared" ref="D227:D228" si="27">(39.1)*(10.764)</f>
        <v>420.87239999999997</v>
      </c>
      <c r="E227" s="41">
        <v>0</v>
      </c>
      <c r="F227" s="41">
        <f t="shared" ref="F227:F228" si="28">D227+E227</f>
        <v>420.87239999999997</v>
      </c>
      <c r="G227" s="55">
        <v>0</v>
      </c>
      <c r="H227" s="41">
        <f t="shared" ref="H227:H228" si="29">F227*(($H$196)+1)+(IF(G227&lt;101,G227,IF(G227&lt;201,G227/2,IF(G227&lt;=301,G227/3,G227/4))))</f>
        <v>652.35221999999999</v>
      </c>
      <c r="I227" s="35"/>
      <c r="J227" s="36">
        <f>2.74*4.57+2.13*2.74+2.74*3.79+1.22*2.13+1.22*2.74+2.5*0.9</f>
        <v>36.934000000000005</v>
      </c>
      <c r="L227" s="106"/>
      <c r="M227" s="106"/>
      <c r="N227" s="35"/>
    </row>
    <row r="228" spans="1:14" s="36" customFormat="1" ht="15.75" customHeight="1" x14ac:dyDescent="0.3">
      <c r="A228" s="110">
        <f t="shared" ref="A228:A234" si="30">A227+1</f>
        <v>2</v>
      </c>
      <c r="B228" s="110"/>
      <c r="C228" s="54">
        <v>1</v>
      </c>
      <c r="D228" s="55">
        <f t="shared" si="27"/>
        <v>420.87239999999997</v>
      </c>
      <c r="E228" s="41">
        <v>0</v>
      </c>
      <c r="F228" s="41">
        <f t="shared" si="28"/>
        <v>420.87239999999997</v>
      </c>
      <c r="G228" s="55">
        <v>0</v>
      </c>
      <c r="H228" s="41">
        <f t="shared" si="29"/>
        <v>652.35221999999999</v>
      </c>
      <c r="I228" s="35"/>
      <c r="L228" s="106"/>
      <c r="M228" s="106"/>
      <c r="N228" s="35"/>
    </row>
    <row r="229" spans="1:14" s="36" customFormat="1" ht="15.75" customHeight="1" x14ac:dyDescent="0.3">
      <c r="A229" s="110">
        <f t="shared" si="30"/>
        <v>3</v>
      </c>
      <c r="B229" s="110"/>
      <c r="C229" s="115" t="s">
        <v>212</v>
      </c>
      <c r="D229" s="116"/>
      <c r="E229" s="116"/>
      <c r="F229" s="116"/>
      <c r="G229" s="116"/>
      <c r="H229" s="117"/>
      <c r="I229" s="35"/>
      <c r="L229" s="106"/>
      <c r="M229" s="106"/>
      <c r="N229" s="35"/>
    </row>
    <row r="230" spans="1:14" s="36" customFormat="1" ht="15.75" customHeight="1" x14ac:dyDescent="0.3">
      <c r="A230" s="110">
        <f t="shared" si="30"/>
        <v>4</v>
      </c>
      <c r="B230" s="110"/>
      <c r="C230" s="120"/>
      <c r="D230" s="121"/>
      <c r="E230" s="121"/>
      <c r="F230" s="121"/>
      <c r="G230" s="121"/>
      <c r="H230" s="122"/>
      <c r="I230" s="35"/>
      <c r="L230" s="106"/>
      <c r="M230" s="106"/>
      <c r="N230" s="35"/>
    </row>
    <row r="231" spans="1:14" s="36" customFormat="1" ht="15.75" customHeight="1" x14ac:dyDescent="0.3">
      <c r="A231" s="110">
        <f t="shared" si="30"/>
        <v>5</v>
      </c>
      <c r="B231" s="110"/>
      <c r="C231" s="54">
        <v>1</v>
      </c>
      <c r="D231" s="55">
        <f t="shared" ref="D231:D234" si="31">(39.1)*(10.764)</f>
        <v>420.87239999999997</v>
      </c>
      <c r="E231" s="41">
        <v>0</v>
      </c>
      <c r="F231" s="41">
        <f t="shared" ref="F231:F234" si="32">D231+E231</f>
        <v>420.87239999999997</v>
      </c>
      <c r="G231" s="55">
        <v>0</v>
      </c>
      <c r="H231" s="41">
        <f t="shared" ref="H231:H234" si="33">F231*(($H$196)+1)+(IF(G231&lt;101,G231,IF(G231&lt;201,G231/2,IF(G231&lt;=301,G231/3,G231/4))))</f>
        <v>652.35221999999999</v>
      </c>
      <c r="I231" s="35"/>
      <c r="L231" s="106"/>
      <c r="M231" s="106"/>
      <c r="N231" s="35"/>
    </row>
    <row r="232" spans="1:14" s="36" customFormat="1" ht="15.75" customHeight="1" x14ac:dyDescent="0.3">
      <c r="A232" s="110">
        <f t="shared" si="30"/>
        <v>6</v>
      </c>
      <c r="B232" s="110"/>
      <c r="C232" s="54">
        <v>1</v>
      </c>
      <c r="D232" s="55">
        <f t="shared" si="31"/>
        <v>420.87239999999997</v>
      </c>
      <c r="E232" s="41">
        <v>0</v>
      </c>
      <c r="F232" s="41">
        <f t="shared" si="32"/>
        <v>420.87239999999997</v>
      </c>
      <c r="G232" s="55">
        <v>0</v>
      </c>
      <c r="H232" s="41">
        <f t="shared" si="33"/>
        <v>652.35221999999999</v>
      </c>
      <c r="I232" s="35"/>
      <c r="L232" s="106"/>
      <c r="M232" s="106"/>
      <c r="N232" s="35"/>
    </row>
    <row r="233" spans="1:14" s="36" customFormat="1" ht="15.75" customHeight="1" x14ac:dyDescent="0.3">
      <c r="A233" s="110">
        <f t="shared" si="30"/>
        <v>7</v>
      </c>
      <c r="B233" s="110"/>
      <c r="C233" s="54">
        <v>1</v>
      </c>
      <c r="D233" s="55">
        <f t="shared" si="31"/>
        <v>420.87239999999997</v>
      </c>
      <c r="E233" s="41">
        <v>0</v>
      </c>
      <c r="F233" s="41">
        <f t="shared" si="32"/>
        <v>420.87239999999997</v>
      </c>
      <c r="G233" s="55">
        <v>0</v>
      </c>
      <c r="H233" s="41">
        <f t="shared" si="33"/>
        <v>652.35221999999999</v>
      </c>
      <c r="I233" s="35"/>
      <c r="L233" s="106"/>
      <c r="M233" s="106"/>
      <c r="N233" s="35"/>
    </row>
    <row r="234" spans="1:14" s="36" customFormat="1" ht="15.75" customHeight="1" x14ac:dyDescent="0.3">
      <c r="A234" s="110">
        <f t="shared" si="30"/>
        <v>8</v>
      </c>
      <c r="B234" s="110"/>
      <c r="C234" s="54">
        <v>1</v>
      </c>
      <c r="D234" s="55">
        <f t="shared" si="31"/>
        <v>420.87239999999997</v>
      </c>
      <c r="E234" s="41">
        <v>0</v>
      </c>
      <c r="F234" s="41">
        <f t="shared" si="32"/>
        <v>420.87239999999997</v>
      </c>
      <c r="G234" s="55">
        <v>0</v>
      </c>
      <c r="H234" s="41">
        <f t="shared" si="33"/>
        <v>652.35221999999999</v>
      </c>
      <c r="I234" s="35"/>
      <c r="L234" s="106"/>
      <c r="M234" s="106"/>
      <c r="N234" s="35"/>
    </row>
    <row r="235" spans="1:14" s="36" customFormat="1" ht="15.75" customHeight="1" x14ac:dyDescent="0.3">
      <c r="A235" s="124" t="s">
        <v>214</v>
      </c>
      <c r="B235" s="125"/>
      <c r="C235" s="125"/>
      <c r="D235" s="125"/>
      <c r="E235" s="125"/>
      <c r="F235" s="125"/>
      <c r="G235" s="125"/>
      <c r="H235" s="126"/>
      <c r="I235" s="36">
        <v>3</v>
      </c>
      <c r="J235" s="35"/>
    </row>
    <row r="236" spans="1:14" s="36" customFormat="1" ht="15.75" customHeight="1" x14ac:dyDescent="0.3">
      <c r="A236" s="104">
        <v>1</v>
      </c>
      <c r="B236" s="105"/>
      <c r="C236" s="54">
        <v>1</v>
      </c>
      <c r="D236" s="55">
        <f t="shared" ref="D236:D237" si="34">(39.1)*(10.764)</f>
        <v>420.87239999999997</v>
      </c>
      <c r="E236" s="41">
        <v>0</v>
      </c>
      <c r="F236" s="41">
        <f t="shared" ref="F236:F237" si="35">D236+E236</f>
        <v>420.87239999999997</v>
      </c>
      <c r="G236" s="55">
        <v>0</v>
      </c>
      <c r="H236" s="41">
        <f t="shared" ref="H236:H237" si="36">F236*(($H$196)+1)+(IF(G236&lt;101,G236,IF(G236&lt;201,G236/2,IF(G236&lt;=301,G236/3,G236/4))))</f>
        <v>652.35221999999999</v>
      </c>
      <c r="I236" s="35"/>
      <c r="L236" s="106"/>
      <c r="M236" s="106"/>
      <c r="N236" s="35"/>
    </row>
    <row r="237" spans="1:14" s="36" customFormat="1" ht="15.75" customHeight="1" x14ac:dyDescent="0.3">
      <c r="A237" s="104">
        <f t="shared" ref="A237:A243" si="37">A236+1</f>
        <v>2</v>
      </c>
      <c r="B237" s="105"/>
      <c r="C237" s="54">
        <v>1</v>
      </c>
      <c r="D237" s="55">
        <f t="shared" si="34"/>
        <v>420.87239999999997</v>
      </c>
      <c r="E237" s="41">
        <v>0</v>
      </c>
      <c r="F237" s="41">
        <f t="shared" si="35"/>
        <v>420.87239999999997</v>
      </c>
      <c r="G237" s="55">
        <v>0</v>
      </c>
      <c r="H237" s="41">
        <f t="shared" si="36"/>
        <v>652.35221999999999</v>
      </c>
      <c r="I237" s="35"/>
      <c r="L237" s="106"/>
      <c r="M237" s="106"/>
      <c r="N237" s="35"/>
    </row>
    <row r="238" spans="1:14" s="36" customFormat="1" ht="15.75" customHeight="1" x14ac:dyDescent="0.3">
      <c r="A238" s="104">
        <f t="shared" si="37"/>
        <v>3</v>
      </c>
      <c r="B238" s="105"/>
      <c r="C238" s="115" t="s">
        <v>70</v>
      </c>
      <c r="D238" s="116"/>
      <c r="E238" s="116"/>
      <c r="F238" s="116"/>
      <c r="G238" s="116"/>
      <c r="H238" s="117"/>
      <c r="I238" s="35"/>
      <c r="L238" s="106"/>
      <c r="M238" s="106"/>
      <c r="N238" s="35"/>
    </row>
    <row r="239" spans="1:14" s="36" customFormat="1" ht="15.75" customHeight="1" x14ac:dyDescent="0.3">
      <c r="A239" s="104">
        <f t="shared" si="37"/>
        <v>4</v>
      </c>
      <c r="B239" s="105"/>
      <c r="C239" s="120"/>
      <c r="D239" s="121"/>
      <c r="E239" s="121"/>
      <c r="F239" s="121"/>
      <c r="G239" s="121"/>
      <c r="H239" s="122"/>
      <c r="I239" s="35"/>
      <c r="L239" s="106"/>
      <c r="M239" s="106"/>
      <c r="N239" s="35"/>
    </row>
    <row r="240" spans="1:14" s="36" customFormat="1" ht="15.75" customHeight="1" x14ac:dyDescent="0.3">
      <c r="A240" s="104">
        <f t="shared" si="37"/>
        <v>5</v>
      </c>
      <c r="B240" s="105"/>
      <c r="C240" s="54">
        <v>1</v>
      </c>
      <c r="D240" s="55">
        <f t="shared" ref="D240:D243" si="38">(39.1)*(10.764)</f>
        <v>420.87239999999997</v>
      </c>
      <c r="E240" s="41">
        <v>0</v>
      </c>
      <c r="F240" s="41">
        <f t="shared" ref="F240:F243" si="39">D240+E240</f>
        <v>420.87239999999997</v>
      </c>
      <c r="G240" s="55">
        <v>0</v>
      </c>
      <c r="H240" s="41">
        <f t="shared" ref="H240:H243" si="40">F240*(($H$196)+1)+(IF(G240&lt;101,G240,IF(G240&lt;201,G240/2,IF(G240&lt;=301,G240/3,G240/4))))</f>
        <v>652.35221999999999</v>
      </c>
      <c r="I240" s="35"/>
      <c r="L240" s="106"/>
      <c r="M240" s="106"/>
      <c r="N240" s="35"/>
    </row>
    <row r="241" spans="1:17" s="36" customFormat="1" ht="15.75" customHeight="1" x14ac:dyDescent="0.3">
      <c r="A241" s="104">
        <f t="shared" si="37"/>
        <v>6</v>
      </c>
      <c r="B241" s="105"/>
      <c r="C241" s="54">
        <v>1</v>
      </c>
      <c r="D241" s="55">
        <f t="shared" si="38"/>
        <v>420.87239999999997</v>
      </c>
      <c r="E241" s="41">
        <v>0</v>
      </c>
      <c r="F241" s="41">
        <f t="shared" si="39"/>
        <v>420.87239999999997</v>
      </c>
      <c r="G241" s="55">
        <v>0</v>
      </c>
      <c r="H241" s="41">
        <f t="shared" si="40"/>
        <v>652.35221999999999</v>
      </c>
      <c r="I241" s="35"/>
      <c r="L241" s="106"/>
      <c r="M241" s="106"/>
      <c r="N241" s="35"/>
    </row>
    <row r="242" spans="1:17" s="36" customFormat="1" ht="15.75" customHeight="1" x14ac:dyDescent="0.3">
      <c r="A242" s="104">
        <f t="shared" si="37"/>
        <v>7</v>
      </c>
      <c r="B242" s="105"/>
      <c r="C242" s="54">
        <v>1</v>
      </c>
      <c r="D242" s="55">
        <f t="shared" si="38"/>
        <v>420.87239999999997</v>
      </c>
      <c r="E242" s="41">
        <v>0</v>
      </c>
      <c r="F242" s="41">
        <f t="shared" si="39"/>
        <v>420.87239999999997</v>
      </c>
      <c r="G242" s="55">
        <v>0</v>
      </c>
      <c r="H242" s="41">
        <f t="shared" si="40"/>
        <v>652.35221999999999</v>
      </c>
      <c r="I242" s="35"/>
      <c r="L242" s="106"/>
      <c r="M242" s="106"/>
      <c r="N242" s="35"/>
    </row>
    <row r="243" spans="1:17" s="36" customFormat="1" ht="15.75" customHeight="1" x14ac:dyDescent="0.3">
      <c r="A243" s="104">
        <f t="shared" si="37"/>
        <v>8</v>
      </c>
      <c r="B243" s="105"/>
      <c r="C243" s="54">
        <v>1</v>
      </c>
      <c r="D243" s="55">
        <f t="shared" si="38"/>
        <v>420.87239999999997</v>
      </c>
      <c r="E243" s="41">
        <v>0</v>
      </c>
      <c r="F243" s="41">
        <f t="shared" si="39"/>
        <v>420.87239999999997</v>
      </c>
      <c r="G243" s="55">
        <v>0</v>
      </c>
      <c r="H243" s="41">
        <f t="shared" si="40"/>
        <v>652.35221999999999</v>
      </c>
      <c r="I243" s="35"/>
      <c r="L243" s="106"/>
      <c r="M243" s="106"/>
      <c r="N243" s="35"/>
    </row>
    <row r="244" spans="1:17" s="36" customFormat="1" ht="15.75" customHeight="1" x14ac:dyDescent="0.3">
      <c r="A244" s="124" t="s">
        <v>215</v>
      </c>
      <c r="B244" s="125"/>
      <c r="C244" s="125"/>
      <c r="D244" s="125"/>
      <c r="E244" s="125"/>
      <c r="F244" s="125"/>
      <c r="G244" s="125"/>
      <c r="H244" s="126"/>
      <c r="I244" s="36">
        <v>1</v>
      </c>
      <c r="J244" s="35"/>
    </row>
    <row r="245" spans="1:17" s="36" customFormat="1" ht="15.75" customHeight="1" x14ac:dyDescent="0.3">
      <c r="A245" s="104">
        <v>1</v>
      </c>
      <c r="B245" s="105"/>
      <c r="C245" s="54">
        <v>1</v>
      </c>
      <c r="D245" s="55">
        <f t="shared" ref="D245:D246" si="41">(39.1)*(10.764)</f>
        <v>420.87239999999997</v>
      </c>
      <c r="E245" s="41">
        <v>0</v>
      </c>
      <c r="F245" s="41">
        <f t="shared" ref="F245:F246" si="42">D245+E245</f>
        <v>420.87239999999997</v>
      </c>
      <c r="G245" s="55">
        <v>0</v>
      </c>
      <c r="H245" s="41">
        <f t="shared" ref="H245:H246" si="43">F245*(($H$196)+1)+(IF(G245&lt;101,G245,IF(G245&lt;201,G245/2,IF(G245&lt;=301,G245/3,G245/4))))</f>
        <v>652.35221999999999</v>
      </c>
      <c r="I245" s="35"/>
      <c r="L245" s="106"/>
      <c r="M245" s="106"/>
      <c r="N245" s="35"/>
    </row>
    <row r="246" spans="1:17" s="36" customFormat="1" ht="15.75" customHeight="1" x14ac:dyDescent="0.3">
      <c r="A246" s="104">
        <f t="shared" ref="A246:A252" si="44">A245+1</f>
        <v>2</v>
      </c>
      <c r="B246" s="105"/>
      <c r="C246" s="54">
        <v>1</v>
      </c>
      <c r="D246" s="55">
        <f t="shared" si="41"/>
        <v>420.87239999999997</v>
      </c>
      <c r="E246" s="41">
        <v>0</v>
      </c>
      <c r="F246" s="41">
        <f t="shared" si="42"/>
        <v>420.87239999999997</v>
      </c>
      <c r="G246" s="55">
        <v>0</v>
      </c>
      <c r="H246" s="41">
        <f t="shared" si="43"/>
        <v>652.35221999999999</v>
      </c>
      <c r="I246" s="35"/>
      <c r="L246" s="106"/>
      <c r="M246" s="106"/>
      <c r="N246" s="35"/>
    </row>
    <row r="247" spans="1:17" s="36" customFormat="1" ht="15.75" customHeight="1" x14ac:dyDescent="0.3">
      <c r="A247" s="104">
        <f t="shared" si="44"/>
        <v>3</v>
      </c>
      <c r="B247" s="105"/>
      <c r="C247" s="115" t="s">
        <v>70</v>
      </c>
      <c r="D247" s="116"/>
      <c r="E247" s="116"/>
      <c r="F247" s="116"/>
      <c r="G247" s="116"/>
      <c r="H247" s="117"/>
      <c r="I247" s="35"/>
      <c r="L247" s="106"/>
      <c r="M247" s="106"/>
      <c r="N247" s="35"/>
    </row>
    <row r="248" spans="1:17" s="36" customFormat="1" ht="15.75" customHeight="1" x14ac:dyDescent="0.3">
      <c r="A248" s="104">
        <f t="shared" si="44"/>
        <v>4</v>
      </c>
      <c r="B248" s="105"/>
      <c r="C248" s="120"/>
      <c r="D248" s="121"/>
      <c r="E248" s="121"/>
      <c r="F248" s="121"/>
      <c r="G248" s="121"/>
      <c r="H248" s="122"/>
      <c r="I248" s="35"/>
      <c r="L248" s="106"/>
      <c r="M248" s="106"/>
      <c r="N248" s="35"/>
    </row>
    <row r="249" spans="1:17" s="36" customFormat="1" ht="15.75" customHeight="1" x14ac:dyDescent="0.3">
      <c r="A249" s="104">
        <f t="shared" si="44"/>
        <v>5</v>
      </c>
      <c r="B249" s="105"/>
      <c r="C249" s="54">
        <v>1</v>
      </c>
      <c r="D249" s="55">
        <f t="shared" ref="D249:D252" si="45">(39.1)*(10.764)</f>
        <v>420.87239999999997</v>
      </c>
      <c r="E249" s="41">
        <v>0</v>
      </c>
      <c r="F249" s="41">
        <f t="shared" ref="F249:F252" si="46">D249+E249</f>
        <v>420.87239999999997</v>
      </c>
      <c r="G249" s="55">
        <v>0</v>
      </c>
      <c r="H249" s="41">
        <f t="shared" ref="H249:H252" si="47">F249*(($H$196)+1)+(IF(G249&lt;101,G249,IF(G249&lt;201,G249/2,IF(G249&lt;=301,G249/3,G249/4))))</f>
        <v>652.35221999999999</v>
      </c>
      <c r="I249" s="35"/>
      <c r="L249" s="106"/>
      <c r="M249" s="106"/>
      <c r="N249" s="35"/>
    </row>
    <row r="250" spans="1:17" s="36" customFormat="1" ht="15.75" customHeight="1" x14ac:dyDescent="0.3">
      <c r="A250" s="104">
        <f t="shared" si="44"/>
        <v>6</v>
      </c>
      <c r="B250" s="105"/>
      <c r="C250" s="54">
        <v>1</v>
      </c>
      <c r="D250" s="55">
        <f t="shared" si="45"/>
        <v>420.87239999999997</v>
      </c>
      <c r="E250" s="41">
        <v>0</v>
      </c>
      <c r="F250" s="41">
        <f t="shared" si="46"/>
        <v>420.87239999999997</v>
      </c>
      <c r="G250" s="55">
        <v>0</v>
      </c>
      <c r="H250" s="41">
        <f t="shared" si="47"/>
        <v>652.35221999999999</v>
      </c>
      <c r="I250" s="35"/>
      <c r="L250" s="106"/>
      <c r="M250" s="106"/>
      <c r="N250" s="35"/>
    </row>
    <row r="251" spans="1:17" s="36" customFormat="1" ht="15.75" customHeight="1" x14ac:dyDescent="0.3">
      <c r="A251" s="104">
        <f t="shared" si="44"/>
        <v>7</v>
      </c>
      <c r="B251" s="105"/>
      <c r="C251" s="54">
        <v>1</v>
      </c>
      <c r="D251" s="55">
        <f t="shared" si="45"/>
        <v>420.87239999999997</v>
      </c>
      <c r="E251" s="41">
        <v>0</v>
      </c>
      <c r="F251" s="41">
        <f t="shared" si="46"/>
        <v>420.87239999999997</v>
      </c>
      <c r="G251" s="55">
        <v>0</v>
      </c>
      <c r="H251" s="41">
        <f t="shared" si="47"/>
        <v>652.35221999999999</v>
      </c>
      <c r="I251" s="35"/>
      <c r="L251" s="106"/>
      <c r="M251" s="106"/>
      <c r="N251" s="35"/>
    </row>
    <row r="252" spans="1:17" s="36" customFormat="1" ht="15.75" customHeight="1" x14ac:dyDescent="0.3">
      <c r="A252" s="104">
        <f t="shared" si="44"/>
        <v>8</v>
      </c>
      <c r="B252" s="105"/>
      <c r="C252" s="54">
        <v>1</v>
      </c>
      <c r="D252" s="55">
        <f t="shared" si="45"/>
        <v>420.87239999999997</v>
      </c>
      <c r="E252" s="41">
        <v>0</v>
      </c>
      <c r="F252" s="41">
        <f t="shared" si="46"/>
        <v>420.87239999999997</v>
      </c>
      <c r="G252" s="55">
        <v>0</v>
      </c>
      <c r="H252" s="41">
        <f t="shared" si="47"/>
        <v>652.35221999999999</v>
      </c>
      <c r="I252" s="35"/>
      <c r="L252" s="106"/>
      <c r="M252" s="106"/>
      <c r="N252" s="35"/>
    </row>
    <row r="253" spans="1:17" s="36" customFormat="1" ht="15.75" customHeight="1" x14ac:dyDescent="0.3">
      <c r="A253" s="124" t="s">
        <v>217</v>
      </c>
      <c r="B253" s="125"/>
      <c r="C253" s="125"/>
      <c r="D253" s="125"/>
      <c r="E253" s="125"/>
      <c r="F253" s="125"/>
      <c r="G253" s="125"/>
      <c r="H253" s="125"/>
      <c r="I253" s="36">
        <v>1</v>
      </c>
      <c r="J253" s="123"/>
      <c r="K253" s="123"/>
      <c r="L253" s="123"/>
      <c r="M253" s="123"/>
      <c r="N253" s="123"/>
      <c r="O253" s="123"/>
      <c r="P253" s="123"/>
      <c r="Q253" s="123"/>
    </row>
    <row r="254" spans="1:17" s="36" customFormat="1" ht="15.75" customHeight="1" x14ac:dyDescent="0.3">
      <c r="A254" s="104">
        <v>1</v>
      </c>
      <c r="B254" s="105"/>
      <c r="C254" s="54">
        <v>1</v>
      </c>
      <c r="D254" s="55">
        <f t="shared" ref="D254:D255" si="48">(39.1)*(10.764)</f>
        <v>420.87239999999997</v>
      </c>
      <c r="E254" s="41">
        <v>0</v>
      </c>
      <c r="F254" s="41">
        <f t="shared" ref="F254:F255" si="49">D254+E254</f>
        <v>420.87239999999997</v>
      </c>
      <c r="G254" s="55">
        <v>0</v>
      </c>
      <c r="H254" s="41">
        <f t="shared" ref="H254:H255" si="50">F254*(($H$196)+1)+(IF(G254&lt;101,G254,IF(G254&lt;201,G254/2,IF(G254&lt;=301,G254/3,G254/4))))</f>
        <v>652.35221999999999</v>
      </c>
      <c r="I254" s="35"/>
      <c r="L254" s="106"/>
      <c r="M254" s="106"/>
      <c r="N254" s="35"/>
    </row>
    <row r="255" spans="1:17" s="36" customFormat="1" ht="15.75" customHeight="1" x14ac:dyDescent="0.3">
      <c r="A255" s="104">
        <f t="shared" ref="A255:A261" si="51">A254+1</f>
        <v>2</v>
      </c>
      <c r="B255" s="105"/>
      <c r="C255" s="54">
        <v>1</v>
      </c>
      <c r="D255" s="55">
        <f t="shared" si="48"/>
        <v>420.87239999999997</v>
      </c>
      <c r="E255" s="41">
        <v>0</v>
      </c>
      <c r="F255" s="41">
        <f t="shared" si="49"/>
        <v>420.87239999999997</v>
      </c>
      <c r="G255" s="55">
        <v>0</v>
      </c>
      <c r="H255" s="41">
        <f t="shared" si="50"/>
        <v>652.35221999999999</v>
      </c>
      <c r="I255" s="35"/>
      <c r="L255" s="106"/>
      <c r="M255" s="106"/>
      <c r="N255" s="35"/>
    </row>
    <row r="256" spans="1:17" s="36" customFormat="1" ht="15.75" customHeight="1" x14ac:dyDescent="0.3">
      <c r="A256" s="104">
        <f t="shared" si="51"/>
        <v>3</v>
      </c>
      <c r="B256" s="105"/>
      <c r="C256" s="115" t="s">
        <v>216</v>
      </c>
      <c r="D256" s="116"/>
      <c r="E256" s="116"/>
      <c r="F256" s="116"/>
      <c r="G256" s="116"/>
      <c r="H256" s="117"/>
      <c r="I256" s="35"/>
      <c r="L256" s="106"/>
      <c r="M256" s="106"/>
      <c r="N256" s="35"/>
    </row>
    <row r="257" spans="1:17" s="36" customFormat="1" ht="15.75" customHeight="1" x14ac:dyDescent="0.3">
      <c r="A257" s="104">
        <f t="shared" si="51"/>
        <v>4</v>
      </c>
      <c r="B257" s="105"/>
      <c r="C257" s="120"/>
      <c r="D257" s="121"/>
      <c r="E257" s="121"/>
      <c r="F257" s="121"/>
      <c r="G257" s="121"/>
      <c r="H257" s="122"/>
      <c r="I257" s="35"/>
      <c r="L257" s="106"/>
      <c r="M257" s="106"/>
      <c r="N257" s="35"/>
    </row>
    <row r="258" spans="1:17" s="36" customFormat="1" ht="15.75" customHeight="1" x14ac:dyDescent="0.3">
      <c r="A258" s="104">
        <f t="shared" si="51"/>
        <v>5</v>
      </c>
      <c r="B258" s="105"/>
      <c r="C258" s="54">
        <v>1</v>
      </c>
      <c r="D258" s="55">
        <f t="shared" ref="D258:D261" si="52">(39.1)*(10.764)</f>
        <v>420.87239999999997</v>
      </c>
      <c r="E258" s="41">
        <v>0</v>
      </c>
      <c r="F258" s="41">
        <f t="shared" ref="F258:F261" si="53">D258+E258</f>
        <v>420.87239999999997</v>
      </c>
      <c r="G258" s="55">
        <v>0</v>
      </c>
      <c r="H258" s="41">
        <f t="shared" ref="H258:H261" si="54">F258*(($H$196)+1)+(IF(G258&lt;101,G258,IF(G258&lt;201,G258/2,IF(G258&lt;=301,G258/3,G258/4))))</f>
        <v>652.35221999999999</v>
      </c>
      <c r="I258" s="35"/>
      <c r="L258" s="106"/>
      <c r="M258" s="106"/>
      <c r="N258" s="35"/>
    </row>
    <row r="259" spans="1:17" s="36" customFormat="1" ht="15.75" customHeight="1" x14ac:dyDescent="0.3">
      <c r="A259" s="104">
        <f t="shared" si="51"/>
        <v>6</v>
      </c>
      <c r="B259" s="105"/>
      <c r="C259" s="54">
        <v>1</v>
      </c>
      <c r="D259" s="55">
        <f t="shared" si="52"/>
        <v>420.87239999999997</v>
      </c>
      <c r="E259" s="41">
        <v>0</v>
      </c>
      <c r="F259" s="41">
        <f t="shared" si="53"/>
        <v>420.87239999999997</v>
      </c>
      <c r="G259" s="55">
        <v>0</v>
      </c>
      <c r="H259" s="41">
        <f t="shared" si="54"/>
        <v>652.35221999999999</v>
      </c>
      <c r="I259" s="35"/>
      <c r="L259" s="106"/>
      <c r="M259" s="106"/>
      <c r="N259" s="35"/>
    </row>
    <row r="260" spans="1:17" s="36" customFormat="1" ht="15.75" customHeight="1" x14ac:dyDescent="0.3">
      <c r="A260" s="104">
        <f t="shared" si="51"/>
        <v>7</v>
      </c>
      <c r="B260" s="105"/>
      <c r="C260" s="54">
        <v>1</v>
      </c>
      <c r="D260" s="55">
        <f t="shared" si="52"/>
        <v>420.87239999999997</v>
      </c>
      <c r="E260" s="41">
        <v>0</v>
      </c>
      <c r="F260" s="41">
        <f t="shared" si="53"/>
        <v>420.87239999999997</v>
      </c>
      <c r="G260" s="55">
        <v>0</v>
      </c>
      <c r="H260" s="41">
        <f t="shared" si="54"/>
        <v>652.35221999999999</v>
      </c>
      <c r="I260" s="35"/>
      <c r="L260" s="106"/>
      <c r="M260" s="106"/>
      <c r="N260" s="35"/>
    </row>
    <row r="261" spans="1:17" s="36" customFormat="1" ht="15.75" customHeight="1" x14ac:dyDescent="0.3">
      <c r="A261" s="104">
        <f t="shared" si="51"/>
        <v>8</v>
      </c>
      <c r="B261" s="105"/>
      <c r="C261" s="54">
        <v>1</v>
      </c>
      <c r="D261" s="55">
        <f t="shared" si="52"/>
        <v>420.87239999999997</v>
      </c>
      <c r="E261" s="41">
        <v>0</v>
      </c>
      <c r="F261" s="41">
        <f t="shared" si="53"/>
        <v>420.87239999999997</v>
      </c>
      <c r="G261" s="55">
        <v>0</v>
      </c>
      <c r="H261" s="41">
        <f t="shared" si="54"/>
        <v>652.35221999999999</v>
      </c>
      <c r="I261" s="35"/>
      <c r="L261" s="106"/>
      <c r="M261" s="106"/>
      <c r="N261" s="35"/>
    </row>
    <row r="262" spans="1:17" s="36" customFormat="1" ht="15.75" customHeight="1" x14ac:dyDescent="0.3">
      <c r="A262" s="124" t="s">
        <v>201</v>
      </c>
      <c r="B262" s="125"/>
      <c r="C262" s="125"/>
      <c r="D262" s="125"/>
      <c r="E262" s="125"/>
      <c r="F262" s="125"/>
      <c r="G262" s="125"/>
      <c r="H262" s="125"/>
      <c r="I262" s="36">
        <v>1</v>
      </c>
      <c r="J262" s="123"/>
      <c r="K262" s="123"/>
      <c r="L262" s="123"/>
      <c r="M262" s="123"/>
      <c r="N262" s="123"/>
      <c r="O262" s="123"/>
      <c r="P262" s="123"/>
      <c r="Q262" s="123"/>
    </row>
    <row r="263" spans="1:17" s="36" customFormat="1" ht="15.75" customHeight="1" x14ac:dyDescent="0.3">
      <c r="A263" s="104">
        <v>1</v>
      </c>
      <c r="B263" s="105"/>
      <c r="C263" s="54">
        <v>1</v>
      </c>
      <c r="D263" s="55">
        <f>(39.1)*(10.764)</f>
        <v>420.87239999999997</v>
      </c>
      <c r="E263" s="41">
        <v>0</v>
      </c>
      <c r="F263" s="41">
        <f t="shared" ref="F263" si="55">D263+E263</f>
        <v>420.87239999999997</v>
      </c>
      <c r="G263" s="55">
        <v>0</v>
      </c>
      <c r="H263" s="41">
        <f t="shared" ref="H263" si="56">F263*(($H$196)+1)+(IF(G263&lt;101,G263,IF(G263&lt;201,G263/2,IF(G263&lt;=301,G263/3,G263/4))))</f>
        <v>652.35221999999999</v>
      </c>
      <c r="I263" s="35"/>
      <c r="L263" s="106"/>
      <c r="M263" s="106"/>
      <c r="N263" s="35"/>
    </row>
    <row r="264" spans="1:17" s="36" customFormat="1" ht="15.75" customHeight="1" x14ac:dyDescent="0.3">
      <c r="A264" s="104">
        <f t="shared" ref="A264:A270" si="57">A263+1</f>
        <v>2</v>
      </c>
      <c r="B264" s="105"/>
      <c r="C264" s="173" t="s">
        <v>203</v>
      </c>
      <c r="D264" s="174"/>
      <c r="E264" s="174"/>
      <c r="F264" s="174"/>
      <c r="G264" s="174"/>
      <c r="H264" s="175"/>
      <c r="I264" s="35"/>
      <c r="L264" s="106"/>
      <c r="M264" s="106"/>
      <c r="N264" s="35"/>
    </row>
    <row r="265" spans="1:17" s="36" customFormat="1" ht="15.75" customHeight="1" x14ac:dyDescent="0.3">
      <c r="A265" s="104">
        <f t="shared" si="57"/>
        <v>3</v>
      </c>
      <c r="B265" s="105"/>
      <c r="C265" s="54">
        <v>1</v>
      </c>
      <c r="D265" s="55">
        <f>(39.1)*(10.764)</f>
        <v>420.87239999999997</v>
      </c>
      <c r="E265" s="41">
        <v>0</v>
      </c>
      <c r="F265" s="41">
        <f t="shared" ref="F265:F270" si="58">D265+E265</f>
        <v>420.87239999999997</v>
      </c>
      <c r="G265" s="41">
        <f>(2.65*3+5.43*1)*(10.764)</f>
        <v>144.02231999999998</v>
      </c>
      <c r="H265" s="41">
        <f t="shared" ref="H265:H270" si="59">F265*(($H$196)+1)+(IF(G265&lt;101,G265,IF(G265&lt;201,G265/2,IF(G265&lt;=301,G265/3,G265/4))))</f>
        <v>724.36338000000001</v>
      </c>
      <c r="I265" s="35"/>
      <c r="L265" s="106"/>
      <c r="M265" s="106"/>
      <c r="N265" s="35"/>
    </row>
    <row r="266" spans="1:17" s="36" customFormat="1" ht="15.75" customHeight="1" x14ac:dyDescent="0.3">
      <c r="A266" s="104">
        <f t="shared" si="57"/>
        <v>4</v>
      </c>
      <c r="B266" s="105"/>
      <c r="C266" s="54">
        <v>1</v>
      </c>
      <c r="D266" s="55">
        <f t="shared" ref="D266:D270" si="60">(39.1)*(10.764)</f>
        <v>420.87239999999997</v>
      </c>
      <c r="E266" s="41">
        <v>0</v>
      </c>
      <c r="F266" s="41">
        <f t="shared" si="58"/>
        <v>420.87239999999997</v>
      </c>
      <c r="G266" s="41">
        <f>(2.55*2)*(10.764)</f>
        <v>54.896399999999993</v>
      </c>
      <c r="H266" s="41">
        <f t="shared" si="59"/>
        <v>707.24861999999996</v>
      </c>
      <c r="I266" s="35"/>
      <c r="L266" s="106"/>
      <c r="M266" s="106"/>
      <c r="N266" s="35"/>
    </row>
    <row r="267" spans="1:17" s="36" customFormat="1" ht="15.75" customHeight="1" x14ac:dyDescent="0.3">
      <c r="A267" s="104">
        <f t="shared" si="57"/>
        <v>5</v>
      </c>
      <c r="B267" s="105"/>
      <c r="C267" s="54">
        <v>1</v>
      </c>
      <c r="D267" s="55">
        <f t="shared" si="60"/>
        <v>420.87239999999997</v>
      </c>
      <c r="E267" s="41">
        <v>0</v>
      </c>
      <c r="F267" s="41">
        <f t="shared" si="58"/>
        <v>420.87239999999997</v>
      </c>
      <c r="G267" s="55">
        <v>0</v>
      </c>
      <c r="H267" s="41">
        <f t="shared" si="59"/>
        <v>652.35221999999999</v>
      </c>
      <c r="I267" s="35"/>
      <c r="L267" s="106"/>
      <c r="M267" s="106"/>
      <c r="N267" s="35"/>
    </row>
    <row r="268" spans="1:17" s="36" customFormat="1" ht="15.75" customHeight="1" x14ac:dyDescent="0.3">
      <c r="A268" s="104">
        <f t="shared" si="57"/>
        <v>6</v>
      </c>
      <c r="B268" s="105"/>
      <c r="C268" s="54">
        <v>1</v>
      </c>
      <c r="D268" s="55">
        <f t="shared" si="60"/>
        <v>420.87239999999997</v>
      </c>
      <c r="E268" s="41">
        <v>0</v>
      </c>
      <c r="F268" s="41">
        <f t="shared" si="58"/>
        <v>420.87239999999997</v>
      </c>
      <c r="G268" s="55">
        <v>0</v>
      </c>
      <c r="H268" s="41">
        <f t="shared" si="59"/>
        <v>652.35221999999999</v>
      </c>
      <c r="I268" s="35"/>
      <c r="L268" s="106"/>
      <c r="M268" s="106"/>
      <c r="N268" s="35"/>
    </row>
    <row r="269" spans="1:17" s="36" customFormat="1" ht="15.75" customHeight="1" x14ac:dyDescent="0.3">
      <c r="A269" s="104">
        <f t="shared" si="57"/>
        <v>7</v>
      </c>
      <c r="B269" s="105"/>
      <c r="C269" s="54">
        <v>1</v>
      </c>
      <c r="D269" s="55">
        <f t="shared" si="60"/>
        <v>420.87239999999997</v>
      </c>
      <c r="E269" s="41">
        <v>0</v>
      </c>
      <c r="F269" s="41">
        <f t="shared" si="58"/>
        <v>420.87239999999997</v>
      </c>
      <c r="G269" s="55">
        <v>0</v>
      </c>
      <c r="H269" s="41">
        <f t="shared" si="59"/>
        <v>652.35221999999999</v>
      </c>
      <c r="I269" s="35"/>
      <c r="L269" s="106"/>
      <c r="M269" s="106"/>
      <c r="N269" s="35"/>
    </row>
    <row r="270" spans="1:17" s="36" customFormat="1" ht="15.75" customHeight="1" x14ac:dyDescent="0.3">
      <c r="A270" s="104">
        <f t="shared" si="57"/>
        <v>8</v>
      </c>
      <c r="B270" s="105"/>
      <c r="C270" s="54">
        <v>1</v>
      </c>
      <c r="D270" s="55">
        <f t="shared" si="60"/>
        <v>420.87239999999997</v>
      </c>
      <c r="E270" s="41">
        <v>0</v>
      </c>
      <c r="F270" s="41">
        <f t="shared" si="58"/>
        <v>420.87239999999997</v>
      </c>
      <c r="G270" s="55">
        <v>0</v>
      </c>
      <c r="H270" s="41">
        <f t="shared" si="59"/>
        <v>652.35221999999999</v>
      </c>
      <c r="I270" s="35"/>
      <c r="L270" s="106"/>
      <c r="M270" s="106"/>
      <c r="N270" s="35"/>
    </row>
    <row r="271" spans="1:17" s="36" customFormat="1" x14ac:dyDescent="0.3">
      <c r="A271" s="114" t="s">
        <v>219</v>
      </c>
      <c r="B271" s="114"/>
      <c r="C271" s="114"/>
      <c r="D271" s="114"/>
      <c r="E271" s="114"/>
      <c r="F271" s="114"/>
      <c r="G271" s="114"/>
      <c r="H271" s="114"/>
      <c r="I271" s="36">
        <f>3+4+4+4+1</f>
        <v>16</v>
      </c>
      <c r="J271" s="35"/>
    </row>
    <row r="272" spans="1:17" s="36" customFormat="1" ht="15.75" customHeight="1" x14ac:dyDescent="0.3">
      <c r="A272" s="110">
        <v>1</v>
      </c>
      <c r="B272" s="110"/>
      <c r="C272" s="54">
        <v>1</v>
      </c>
      <c r="D272" s="55">
        <f t="shared" ref="D272:D279" si="61">(39.1)*(10.764)</f>
        <v>420.87239999999997</v>
      </c>
      <c r="E272" s="41">
        <v>0</v>
      </c>
      <c r="F272" s="41">
        <f t="shared" ref="F272:F279" si="62">D272+E272</f>
        <v>420.87239999999997</v>
      </c>
      <c r="G272" s="55">
        <v>0</v>
      </c>
      <c r="H272" s="41">
        <f t="shared" ref="H272:H279" si="63">F272*(($H$196)+1)+(IF(G272&lt;101,G272,IF(G272&lt;201,G272/2,IF(G272&lt;=301,G272/3,G272/4))))</f>
        <v>652.35221999999999</v>
      </c>
      <c r="I272" s="35"/>
      <c r="L272" s="106"/>
      <c r="M272" s="106"/>
      <c r="N272" s="35"/>
    </row>
    <row r="273" spans="1:14" s="36" customFormat="1" ht="15.75" customHeight="1" x14ac:dyDescent="0.3">
      <c r="A273" s="110">
        <f t="shared" ref="A273:A279" si="64">A272+1</f>
        <v>2</v>
      </c>
      <c r="B273" s="110"/>
      <c r="C273" s="54">
        <v>1</v>
      </c>
      <c r="D273" s="55">
        <f t="shared" si="61"/>
        <v>420.87239999999997</v>
      </c>
      <c r="E273" s="41">
        <v>0</v>
      </c>
      <c r="F273" s="41">
        <f t="shared" si="62"/>
        <v>420.87239999999997</v>
      </c>
      <c r="G273" s="55">
        <v>0</v>
      </c>
      <c r="H273" s="41">
        <f t="shared" si="63"/>
        <v>652.35221999999999</v>
      </c>
      <c r="I273" s="35"/>
      <c r="L273" s="106"/>
      <c r="M273" s="106"/>
      <c r="N273" s="35"/>
    </row>
    <row r="274" spans="1:14" s="36" customFormat="1" ht="15.75" customHeight="1" x14ac:dyDescent="0.3">
      <c r="A274" s="110">
        <f t="shared" si="64"/>
        <v>3</v>
      </c>
      <c r="B274" s="110"/>
      <c r="C274" s="54">
        <v>1</v>
      </c>
      <c r="D274" s="55">
        <f t="shared" si="61"/>
        <v>420.87239999999997</v>
      </c>
      <c r="E274" s="41">
        <v>0</v>
      </c>
      <c r="F274" s="41">
        <f t="shared" si="62"/>
        <v>420.87239999999997</v>
      </c>
      <c r="G274" s="55">
        <v>0</v>
      </c>
      <c r="H274" s="41">
        <f t="shared" si="63"/>
        <v>652.35221999999999</v>
      </c>
      <c r="I274" s="35"/>
      <c r="L274" s="106"/>
      <c r="M274" s="106"/>
      <c r="N274" s="35"/>
    </row>
    <row r="275" spans="1:14" s="36" customFormat="1" ht="15.75" customHeight="1" x14ac:dyDescent="0.3">
      <c r="A275" s="110">
        <f t="shared" si="64"/>
        <v>4</v>
      </c>
      <c r="B275" s="110"/>
      <c r="C275" s="54">
        <v>1</v>
      </c>
      <c r="D275" s="55">
        <f t="shared" si="61"/>
        <v>420.87239999999997</v>
      </c>
      <c r="E275" s="41">
        <v>0</v>
      </c>
      <c r="F275" s="41">
        <f t="shared" si="62"/>
        <v>420.87239999999997</v>
      </c>
      <c r="G275" s="55">
        <v>0</v>
      </c>
      <c r="H275" s="41">
        <f t="shared" si="63"/>
        <v>652.35221999999999</v>
      </c>
      <c r="I275" s="35"/>
      <c r="L275" s="106"/>
      <c r="M275" s="106"/>
      <c r="N275" s="35"/>
    </row>
    <row r="276" spans="1:14" s="36" customFormat="1" ht="15.75" customHeight="1" x14ac:dyDescent="0.3">
      <c r="A276" s="110">
        <f t="shared" si="64"/>
        <v>5</v>
      </c>
      <c r="B276" s="110"/>
      <c r="C276" s="54">
        <v>1</v>
      </c>
      <c r="D276" s="55">
        <f t="shared" si="61"/>
        <v>420.87239999999997</v>
      </c>
      <c r="E276" s="41">
        <v>0</v>
      </c>
      <c r="F276" s="41">
        <f t="shared" si="62"/>
        <v>420.87239999999997</v>
      </c>
      <c r="G276" s="55">
        <v>0</v>
      </c>
      <c r="H276" s="41">
        <f t="shared" si="63"/>
        <v>652.35221999999999</v>
      </c>
      <c r="I276" s="35"/>
      <c r="L276" s="106"/>
      <c r="M276" s="106"/>
      <c r="N276" s="35"/>
    </row>
    <row r="277" spans="1:14" s="36" customFormat="1" ht="15.75" customHeight="1" x14ac:dyDescent="0.3">
      <c r="A277" s="110">
        <f t="shared" si="64"/>
        <v>6</v>
      </c>
      <c r="B277" s="110"/>
      <c r="C277" s="54">
        <v>1</v>
      </c>
      <c r="D277" s="55">
        <f t="shared" si="61"/>
        <v>420.87239999999997</v>
      </c>
      <c r="E277" s="41">
        <v>0</v>
      </c>
      <c r="F277" s="41">
        <f t="shared" si="62"/>
        <v>420.87239999999997</v>
      </c>
      <c r="G277" s="55">
        <v>0</v>
      </c>
      <c r="H277" s="41">
        <f t="shared" si="63"/>
        <v>652.35221999999999</v>
      </c>
      <c r="I277" s="35"/>
      <c r="L277" s="106"/>
      <c r="M277" s="106"/>
      <c r="N277" s="35"/>
    </row>
    <row r="278" spans="1:14" s="36" customFormat="1" ht="15.75" customHeight="1" x14ac:dyDescent="0.3">
      <c r="A278" s="110">
        <f t="shared" si="64"/>
        <v>7</v>
      </c>
      <c r="B278" s="110"/>
      <c r="C278" s="54">
        <v>1</v>
      </c>
      <c r="D278" s="55">
        <f t="shared" si="61"/>
        <v>420.87239999999997</v>
      </c>
      <c r="E278" s="41">
        <v>0</v>
      </c>
      <c r="F278" s="41">
        <f t="shared" si="62"/>
        <v>420.87239999999997</v>
      </c>
      <c r="G278" s="55">
        <v>0</v>
      </c>
      <c r="H278" s="41">
        <f t="shared" si="63"/>
        <v>652.35221999999999</v>
      </c>
      <c r="I278" s="35"/>
      <c r="L278" s="106"/>
      <c r="M278" s="106"/>
      <c r="N278" s="35"/>
    </row>
    <row r="279" spans="1:14" s="36" customFormat="1" ht="15.75" customHeight="1" x14ac:dyDescent="0.3">
      <c r="A279" s="110">
        <f t="shared" si="64"/>
        <v>8</v>
      </c>
      <c r="B279" s="110"/>
      <c r="C279" s="54">
        <v>1</v>
      </c>
      <c r="D279" s="55">
        <f t="shared" si="61"/>
        <v>420.87239999999997</v>
      </c>
      <c r="E279" s="41">
        <v>0</v>
      </c>
      <c r="F279" s="41">
        <f t="shared" si="62"/>
        <v>420.87239999999997</v>
      </c>
      <c r="G279" s="55">
        <v>0</v>
      </c>
      <c r="H279" s="41">
        <f t="shared" si="63"/>
        <v>652.35221999999999</v>
      </c>
      <c r="I279" s="35"/>
      <c r="L279" s="106"/>
      <c r="M279" s="106"/>
      <c r="N279" s="35"/>
    </row>
    <row r="280" spans="1:14" s="36" customFormat="1" ht="15.75" customHeight="1" x14ac:dyDescent="0.3">
      <c r="A280" s="61" t="s">
        <v>220</v>
      </c>
      <c r="B280" s="62"/>
      <c r="C280" s="62"/>
      <c r="D280" s="62"/>
      <c r="E280" s="62"/>
      <c r="F280" s="62"/>
      <c r="G280" s="62"/>
      <c r="H280" s="63"/>
      <c r="I280" s="36">
        <v>4</v>
      </c>
      <c r="J280" s="35"/>
    </row>
    <row r="281" spans="1:14" s="36" customFormat="1" ht="15.75" customHeight="1" x14ac:dyDescent="0.3">
      <c r="A281" s="104">
        <v>1</v>
      </c>
      <c r="B281" s="105"/>
      <c r="C281" s="54">
        <v>1</v>
      </c>
      <c r="D281" s="55">
        <f>(39.1)*(10.764)</f>
        <v>420.87239999999997</v>
      </c>
      <c r="E281" s="41">
        <v>0</v>
      </c>
      <c r="F281" s="41">
        <f t="shared" ref="F281" si="65">D281+E281</f>
        <v>420.87239999999997</v>
      </c>
      <c r="G281" s="55">
        <v>0</v>
      </c>
      <c r="H281" s="41">
        <f t="shared" ref="H281" si="66">F281*(($H$196)+1)+(IF(G281&lt;101,G281,IF(G281&lt;201,G281/2,IF(G281&lt;=301,G281/3,G281/4))))</f>
        <v>652.35221999999999</v>
      </c>
      <c r="I281" s="35"/>
      <c r="L281" s="106"/>
      <c r="M281" s="106"/>
      <c r="N281" s="35"/>
    </row>
    <row r="282" spans="1:14" s="36" customFormat="1" ht="15.75" customHeight="1" x14ac:dyDescent="0.3">
      <c r="A282" s="104">
        <f t="shared" ref="A282:A288" si="67">A281+1</f>
        <v>2</v>
      </c>
      <c r="B282" s="105"/>
      <c r="C282" s="173" t="s">
        <v>203</v>
      </c>
      <c r="D282" s="174"/>
      <c r="E282" s="174"/>
      <c r="F282" s="174"/>
      <c r="G282" s="174"/>
      <c r="H282" s="175"/>
      <c r="I282" s="35"/>
      <c r="L282" s="106"/>
      <c r="M282" s="106"/>
      <c r="N282" s="35"/>
    </row>
    <row r="283" spans="1:14" s="36" customFormat="1" ht="15.75" customHeight="1" x14ac:dyDescent="0.3">
      <c r="A283" s="104">
        <f t="shared" si="67"/>
        <v>3</v>
      </c>
      <c r="B283" s="105"/>
      <c r="C283" s="54">
        <v>1</v>
      </c>
      <c r="D283" s="55">
        <f t="shared" ref="D283:D293" si="68">(39.1)*(10.764)</f>
        <v>420.87239999999997</v>
      </c>
      <c r="E283" s="41">
        <v>0</v>
      </c>
      <c r="F283" s="41">
        <f t="shared" ref="F283:F288" si="69">D283+E283</f>
        <v>420.87239999999997</v>
      </c>
      <c r="G283" s="55">
        <v>0</v>
      </c>
      <c r="H283" s="41">
        <f t="shared" ref="H283:H288" si="70">F283*(($H$196)+1)+(IF(G283&lt;101,G283,IF(G283&lt;201,G283/2,IF(G283&lt;=301,G283/3,G283/4))))</f>
        <v>652.35221999999999</v>
      </c>
      <c r="I283" s="35"/>
      <c r="L283" s="106"/>
      <c r="M283" s="106"/>
      <c r="N283" s="35"/>
    </row>
    <row r="284" spans="1:14" s="36" customFormat="1" ht="15.75" customHeight="1" x14ac:dyDescent="0.3">
      <c r="A284" s="104">
        <f t="shared" si="67"/>
        <v>4</v>
      </c>
      <c r="B284" s="105"/>
      <c r="C284" s="54">
        <v>1</v>
      </c>
      <c r="D284" s="55">
        <f t="shared" si="68"/>
        <v>420.87239999999997</v>
      </c>
      <c r="E284" s="41">
        <v>0</v>
      </c>
      <c r="F284" s="41">
        <f t="shared" si="69"/>
        <v>420.87239999999997</v>
      </c>
      <c r="G284" s="55">
        <v>0</v>
      </c>
      <c r="H284" s="41">
        <f t="shared" si="70"/>
        <v>652.35221999999999</v>
      </c>
      <c r="I284" s="35"/>
      <c r="L284" s="106"/>
      <c r="M284" s="106"/>
      <c r="N284" s="35"/>
    </row>
    <row r="285" spans="1:14" s="36" customFormat="1" ht="15.75" customHeight="1" x14ac:dyDescent="0.3">
      <c r="A285" s="104">
        <f t="shared" si="67"/>
        <v>5</v>
      </c>
      <c r="B285" s="105"/>
      <c r="C285" s="54">
        <v>1</v>
      </c>
      <c r="D285" s="55">
        <f t="shared" si="68"/>
        <v>420.87239999999997</v>
      </c>
      <c r="E285" s="41">
        <v>0</v>
      </c>
      <c r="F285" s="41">
        <f t="shared" si="69"/>
        <v>420.87239999999997</v>
      </c>
      <c r="G285" s="55">
        <v>0</v>
      </c>
      <c r="H285" s="41">
        <f t="shared" si="70"/>
        <v>652.35221999999999</v>
      </c>
      <c r="I285" s="35"/>
      <c r="L285" s="106"/>
      <c r="M285" s="106"/>
      <c r="N285" s="35"/>
    </row>
    <row r="286" spans="1:14" s="36" customFormat="1" ht="15.75" customHeight="1" x14ac:dyDescent="0.3">
      <c r="A286" s="104">
        <f t="shared" si="67"/>
        <v>6</v>
      </c>
      <c r="B286" s="105"/>
      <c r="C286" s="54">
        <v>1</v>
      </c>
      <c r="D286" s="55">
        <f t="shared" si="68"/>
        <v>420.87239999999997</v>
      </c>
      <c r="E286" s="41">
        <v>0</v>
      </c>
      <c r="F286" s="41">
        <f t="shared" si="69"/>
        <v>420.87239999999997</v>
      </c>
      <c r="G286" s="55">
        <v>0</v>
      </c>
      <c r="H286" s="41">
        <f t="shared" si="70"/>
        <v>652.35221999999999</v>
      </c>
      <c r="I286" s="35"/>
      <c r="L286" s="106"/>
      <c r="M286" s="106"/>
      <c r="N286" s="35"/>
    </row>
    <row r="287" spans="1:14" s="36" customFormat="1" ht="15.75" customHeight="1" x14ac:dyDescent="0.3">
      <c r="A287" s="104">
        <f t="shared" si="67"/>
        <v>7</v>
      </c>
      <c r="B287" s="105"/>
      <c r="C287" s="54">
        <v>1</v>
      </c>
      <c r="D287" s="55">
        <f t="shared" si="68"/>
        <v>420.87239999999997</v>
      </c>
      <c r="E287" s="41">
        <v>0</v>
      </c>
      <c r="F287" s="41">
        <f t="shared" si="69"/>
        <v>420.87239999999997</v>
      </c>
      <c r="G287" s="55">
        <v>0</v>
      </c>
      <c r="H287" s="41">
        <f t="shared" si="70"/>
        <v>652.35221999999999</v>
      </c>
      <c r="I287" s="35"/>
      <c r="L287" s="106"/>
      <c r="M287" s="106"/>
      <c r="N287" s="35"/>
    </row>
    <row r="288" spans="1:14" s="36" customFormat="1" ht="15.75" customHeight="1" x14ac:dyDescent="0.3">
      <c r="A288" s="104">
        <f t="shared" si="67"/>
        <v>8</v>
      </c>
      <c r="B288" s="105"/>
      <c r="C288" s="54">
        <v>1</v>
      </c>
      <c r="D288" s="55">
        <f t="shared" si="68"/>
        <v>420.87239999999997</v>
      </c>
      <c r="E288" s="41">
        <v>0</v>
      </c>
      <c r="F288" s="41">
        <f t="shared" si="69"/>
        <v>420.87239999999997</v>
      </c>
      <c r="G288" s="55">
        <v>0</v>
      </c>
      <c r="H288" s="41">
        <f t="shared" si="70"/>
        <v>652.35221999999999</v>
      </c>
      <c r="I288" s="35"/>
      <c r="L288" s="106"/>
      <c r="M288" s="106"/>
      <c r="N288" s="35"/>
    </row>
    <row r="289" spans="1:14" s="36" customFormat="1" x14ac:dyDescent="0.3">
      <c r="A289" s="61" t="s">
        <v>221</v>
      </c>
      <c r="B289" s="62"/>
      <c r="C289" s="62"/>
      <c r="D289" s="62"/>
      <c r="E289" s="62"/>
      <c r="F289" s="62"/>
      <c r="G289" s="62"/>
      <c r="H289" s="63"/>
      <c r="I289" s="36">
        <v>1</v>
      </c>
      <c r="J289" s="35"/>
    </row>
    <row r="290" spans="1:14" s="36" customFormat="1" ht="15.75" customHeight="1" x14ac:dyDescent="0.3">
      <c r="A290" s="104">
        <v>1</v>
      </c>
      <c r="B290" s="105"/>
      <c r="C290" s="54">
        <v>1</v>
      </c>
      <c r="D290" s="55">
        <f t="shared" si="68"/>
        <v>420.87239999999997</v>
      </c>
      <c r="E290" s="41">
        <v>0</v>
      </c>
      <c r="F290" s="41">
        <f t="shared" ref="F290:F293" si="71">D290+E290</f>
        <v>420.87239999999997</v>
      </c>
      <c r="G290" s="55">
        <v>0</v>
      </c>
      <c r="H290" s="41">
        <f t="shared" ref="H290:H293" si="72">F290*(($H$196)+1)+(IF(G290&lt;101,G290,IF(G290&lt;201,G290/2,IF(G290&lt;=301,G290/3,G290/4))))</f>
        <v>652.35221999999999</v>
      </c>
      <c r="I290" s="35"/>
      <c r="L290" s="106"/>
      <c r="M290" s="106"/>
      <c r="N290" s="35"/>
    </row>
    <row r="291" spans="1:14" s="36" customFormat="1" ht="15.75" customHeight="1" x14ac:dyDescent="0.3">
      <c r="A291" s="104">
        <f t="shared" ref="A291:A297" si="73">A290+1</f>
        <v>2</v>
      </c>
      <c r="B291" s="105"/>
      <c r="C291" s="54">
        <v>1</v>
      </c>
      <c r="D291" s="55">
        <f t="shared" si="68"/>
        <v>420.87239999999997</v>
      </c>
      <c r="E291" s="41">
        <v>0</v>
      </c>
      <c r="F291" s="41">
        <f t="shared" si="71"/>
        <v>420.87239999999997</v>
      </c>
      <c r="G291" s="55">
        <v>0</v>
      </c>
      <c r="H291" s="41">
        <f t="shared" si="72"/>
        <v>652.35221999999999</v>
      </c>
      <c r="I291" s="35"/>
      <c r="L291" s="106"/>
      <c r="M291" s="106"/>
      <c r="N291" s="35"/>
    </row>
    <row r="292" spans="1:14" s="36" customFormat="1" ht="15.75" customHeight="1" x14ac:dyDescent="0.3">
      <c r="A292" s="104">
        <f t="shared" si="73"/>
        <v>3</v>
      </c>
      <c r="B292" s="105"/>
      <c r="C292" s="54">
        <v>1</v>
      </c>
      <c r="D292" s="55">
        <f t="shared" si="68"/>
        <v>420.87239999999997</v>
      </c>
      <c r="E292" s="41">
        <v>0</v>
      </c>
      <c r="F292" s="41">
        <f t="shared" si="71"/>
        <v>420.87239999999997</v>
      </c>
      <c r="G292" s="55">
        <v>0</v>
      </c>
      <c r="H292" s="41">
        <f t="shared" si="72"/>
        <v>652.35221999999999</v>
      </c>
      <c r="I292" s="35"/>
      <c r="L292" s="106"/>
      <c r="M292" s="106"/>
      <c r="N292" s="35"/>
    </row>
    <row r="293" spans="1:14" s="36" customFormat="1" ht="15.75" customHeight="1" x14ac:dyDescent="0.3">
      <c r="A293" s="104">
        <f t="shared" si="73"/>
        <v>4</v>
      </c>
      <c r="B293" s="105"/>
      <c r="C293" s="54">
        <v>1</v>
      </c>
      <c r="D293" s="55">
        <f t="shared" si="68"/>
        <v>420.87239999999997</v>
      </c>
      <c r="E293" s="41">
        <v>0</v>
      </c>
      <c r="F293" s="41">
        <f t="shared" si="71"/>
        <v>420.87239999999997</v>
      </c>
      <c r="G293" s="55">
        <v>0</v>
      </c>
      <c r="H293" s="41">
        <f t="shared" si="72"/>
        <v>652.35221999999999</v>
      </c>
      <c r="I293" s="35"/>
      <c r="L293" s="106"/>
      <c r="M293" s="106"/>
      <c r="N293" s="35"/>
    </row>
    <row r="294" spans="1:14" s="36" customFormat="1" ht="15.75" customHeight="1" x14ac:dyDescent="0.3">
      <c r="A294" s="104">
        <f t="shared" si="73"/>
        <v>5</v>
      </c>
      <c r="B294" s="105"/>
      <c r="C294" s="115" t="s">
        <v>222</v>
      </c>
      <c r="D294" s="116"/>
      <c r="E294" s="116"/>
      <c r="F294" s="116"/>
      <c r="G294" s="116"/>
      <c r="H294" s="117"/>
      <c r="I294" s="35"/>
      <c r="L294" s="106"/>
      <c r="M294" s="106"/>
      <c r="N294" s="35"/>
    </row>
    <row r="295" spans="1:14" s="36" customFormat="1" ht="15.75" customHeight="1" x14ac:dyDescent="0.3">
      <c r="A295" s="104">
        <f t="shared" si="73"/>
        <v>6</v>
      </c>
      <c r="B295" s="105"/>
      <c r="C295" s="118"/>
      <c r="D295" s="238"/>
      <c r="E295" s="238"/>
      <c r="F295" s="238"/>
      <c r="G295" s="238"/>
      <c r="H295" s="119"/>
      <c r="I295" s="35"/>
      <c r="L295" s="106"/>
      <c r="M295" s="106"/>
      <c r="N295" s="35"/>
    </row>
    <row r="296" spans="1:14" s="36" customFormat="1" ht="15.75" customHeight="1" x14ac:dyDescent="0.3">
      <c r="A296" s="104">
        <f t="shared" si="73"/>
        <v>7</v>
      </c>
      <c r="B296" s="105"/>
      <c r="C296" s="120"/>
      <c r="D296" s="121"/>
      <c r="E296" s="121"/>
      <c r="F296" s="121"/>
      <c r="G296" s="121"/>
      <c r="H296" s="122"/>
      <c r="I296" s="35"/>
      <c r="L296" s="106"/>
      <c r="M296" s="106"/>
      <c r="N296" s="35"/>
    </row>
    <row r="297" spans="1:14" s="36" customFormat="1" ht="15.75" customHeight="1" x14ac:dyDescent="0.3">
      <c r="A297" s="104">
        <f t="shared" si="73"/>
        <v>8</v>
      </c>
      <c r="B297" s="105"/>
      <c r="C297" s="54">
        <v>1</v>
      </c>
      <c r="D297" s="55">
        <f t="shared" ref="D297" si="74">(39.1)*(10.764)</f>
        <v>420.87239999999997</v>
      </c>
      <c r="E297" s="41">
        <v>0</v>
      </c>
      <c r="F297" s="41">
        <f t="shared" ref="F297" si="75">D297+E297</f>
        <v>420.87239999999997</v>
      </c>
      <c r="G297" s="55">
        <v>0</v>
      </c>
      <c r="H297" s="41">
        <f t="shared" ref="H297" si="76">F297*(($H$196)+1)+(IF(G297&lt;101,G297,IF(G297&lt;201,G297/2,IF(G297&lt;=301,G297/3,G297/4))))</f>
        <v>652.35221999999999</v>
      </c>
      <c r="I297" s="35"/>
      <c r="L297" s="106"/>
      <c r="M297" s="106"/>
      <c r="N297" s="35"/>
    </row>
    <row r="298" spans="1:14" s="36" customFormat="1" x14ac:dyDescent="0.3">
      <c r="A298" s="245" t="s">
        <v>269</v>
      </c>
      <c r="B298" s="246"/>
      <c r="C298" s="246"/>
      <c r="D298" s="246"/>
      <c r="E298" s="246"/>
      <c r="F298" s="246"/>
      <c r="G298" s="246"/>
      <c r="H298" s="247"/>
      <c r="J298" s="35"/>
    </row>
    <row r="299" spans="1:14" s="36" customFormat="1" x14ac:dyDescent="0.3">
      <c r="A299" s="248" t="s">
        <v>196</v>
      </c>
      <c r="B299" s="249"/>
      <c r="C299" s="249"/>
      <c r="D299" s="249"/>
      <c r="E299" s="249"/>
      <c r="F299" s="249"/>
      <c r="G299" s="249"/>
      <c r="H299" s="250"/>
      <c r="J299" s="55">
        <f>10.764</f>
        <v>10.763999999999999</v>
      </c>
    </row>
    <row r="300" spans="1:14" s="36" customFormat="1" x14ac:dyDescent="0.3">
      <c r="A300" s="124" t="s">
        <v>197</v>
      </c>
      <c r="B300" s="125"/>
      <c r="C300" s="125"/>
      <c r="D300" s="125"/>
      <c r="E300" s="125"/>
      <c r="F300" s="125"/>
      <c r="G300" s="125"/>
      <c r="H300" s="126"/>
      <c r="J300" s="35"/>
    </row>
    <row r="301" spans="1:14" s="36" customFormat="1" x14ac:dyDescent="0.3">
      <c r="A301" s="61" t="s">
        <v>198</v>
      </c>
      <c r="B301" s="62"/>
      <c r="C301" s="62"/>
      <c r="D301" s="62"/>
      <c r="E301" s="62"/>
      <c r="F301" s="62"/>
      <c r="G301" s="62"/>
      <c r="H301" s="63"/>
      <c r="I301" s="36">
        <v>1</v>
      </c>
      <c r="J301" s="35"/>
    </row>
    <row r="302" spans="1:14" s="36" customFormat="1" x14ac:dyDescent="0.3">
      <c r="A302" s="61" t="s">
        <v>199</v>
      </c>
      <c r="B302" s="62"/>
      <c r="C302" s="62"/>
      <c r="D302" s="62"/>
      <c r="E302" s="62"/>
      <c r="F302" s="62"/>
      <c r="G302" s="62"/>
      <c r="H302" s="63"/>
      <c r="I302" s="36">
        <v>3</v>
      </c>
      <c r="J302" s="35"/>
    </row>
    <row r="303" spans="1:14" s="36" customFormat="1" x14ac:dyDescent="0.3">
      <c r="A303" s="61" t="s">
        <v>200</v>
      </c>
      <c r="B303" s="62"/>
      <c r="C303" s="62"/>
      <c r="D303" s="62"/>
      <c r="E303" s="62"/>
      <c r="F303" s="62"/>
      <c r="G303" s="62"/>
      <c r="H303" s="63"/>
      <c r="I303" s="36">
        <v>1</v>
      </c>
      <c r="J303" s="35"/>
    </row>
    <row r="304" spans="1:14" s="36" customFormat="1" x14ac:dyDescent="0.3">
      <c r="A304" s="61" t="s">
        <v>201</v>
      </c>
      <c r="B304" s="62"/>
      <c r="C304" s="62"/>
      <c r="D304" s="62"/>
      <c r="E304" s="62"/>
      <c r="F304" s="62"/>
      <c r="G304" s="62"/>
      <c r="H304" s="63"/>
      <c r="I304" s="36">
        <v>1</v>
      </c>
      <c r="J304" s="35"/>
    </row>
    <row r="305" spans="1:14" s="36" customFormat="1" ht="15.75" customHeight="1" x14ac:dyDescent="0.3">
      <c r="A305" s="110">
        <v>1</v>
      </c>
      <c r="B305" s="110"/>
      <c r="C305" s="54">
        <v>3</v>
      </c>
      <c r="D305" s="55">
        <f>(77.49)*(10.764)</f>
        <v>834.10235999999986</v>
      </c>
      <c r="E305" s="41">
        <v>0</v>
      </c>
      <c r="F305" s="41">
        <f t="shared" ref="F305:F307" si="77">D305+E305</f>
        <v>834.10235999999986</v>
      </c>
      <c r="G305" s="41">
        <f>(7.99*3.5)*(10.764)</f>
        <v>301.01525999999996</v>
      </c>
      <c r="H305" s="41">
        <f t="shared" ref="H305:H307" si="78">F305*(($H$196)+1)+(IF(G305&lt;101,G305,IF(G305&lt;201,G305/2,IF(G305&lt;=301,G305/3,G305/4))))</f>
        <v>1368.1124729999999</v>
      </c>
      <c r="I305" s="35"/>
      <c r="L305" s="106"/>
      <c r="M305" s="106"/>
      <c r="N305" s="35"/>
    </row>
    <row r="306" spans="1:14" s="36" customFormat="1" ht="15.75" customHeight="1" x14ac:dyDescent="0.3">
      <c r="A306" s="110">
        <f t="shared" ref="A306:A308" si="79">A305+1</f>
        <v>2</v>
      </c>
      <c r="B306" s="110"/>
      <c r="C306" s="54">
        <v>2</v>
      </c>
      <c r="D306" s="55">
        <f>(59.74)*(10.764)</f>
        <v>643.04135999999994</v>
      </c>
      <c r="E306" s="41">
        <v>0</v>
      </c>
      <c r="F306" s="41">
        <f t="shared" si="77"/>
        <v>643.04135999999994</v>
      </c>
      <c r="G306" s="55">
        <v>0</v>
      </c>
      <c r="H306" s="41">
        <f t="shared" si="78"/>
        <v>996.7141079999999</v>
      </c>
      <c r="I306" s="35"/>
      <c r="J306" s="36">
        <f>3.07*5.48+2.13*3.35+3.35*3.05+0.6*2+2.31*3.35+3.35*3.06+1.4*3.06</f>
        <v>57.650100000000002</v>
      </c>
      <c r="L306" s="106"/>
      <c r="M306" s="106"/>
      <c r="N306" s="35"/>
    </row>
    <row r="307" spans="1:14" s="36" customFormat="1" ht="15.75" customHeight="1" x14ac:dyDescent="0.3">
      <c r="A307" s="110">
        <f t="shared" si="79"/>
        <v>3</v>
      </c>
      <c r="B307" s="110"/>
      <c r="C307" s="54">
        <v>2</v>
      </c>
      <c r="D307" s="55">
        <f>(59.74)*(10.764)</f>
        <v>643.04135999999994</v>
      </c>
      <c r="E307" s="41">
        <v>0</v>
      </c>
      <c r="F307" s="41">
        <f t="shared" si="77"/>
        <v>643.04135999999994</v>
      </c>
      <c r="G307" s="55">
        <v>0</v>
      </c>
      <c r="H307" s="41">
        <f t="shared" si="78"/>
        <v>996.7141079999999</v>
      </c>
      <c r="I307" s="35"/>
      <c r="L307" s="106"/>
      <c r="M307" s="106"/>
      <c r="N307" s="35"/>
    </row>
    <row r="308" spans="1:14" s="36" customFormat="1" ht="15.75" customHeight="1" x14ac:dyDescent="0.3">
      <c r="A308" s="110">
        <f t="shared" si="79"/>
        <v>4</v>
      </c>
      <c r="B308" s="110"/>
      <c r="C308" s="173" t="s">
        <v>203</v>
      </c>
      <c r="D308" s="174"/>
      <c r="E308" s="174"/>
      <c r="F308" s="174"/>
      <c r="G308" s="174"/>
      <c r="H308" s="175"/>
      <c r="I308" s="35"/>
      <c r="L308" s="106"/>
      <c r="M308" s="106"/>
      <c r="N308" s="35"/>
    </row>
    <row r="309" spans="1:14" s="36" customFormat="1" ht="15.75" customHeight="1" x14ac:dyDescent="0.3">
      <c r="A309" s="110" t="s">
        <v>202</v>
      </c>
      <c r="B309" s="110"/>
      <c r="C309" s="54" t="s">
        <v>204</v>
      </c>
      <c r="D309" s="55">
        <f>(91.72)*(10.764)</f>
        <v>987.27407999999991</v>
      </c>
      <c r="E309" s="41">
        <v>0</v>
      </c>
      <c r="F309" s="41">
        <f t="shared" ref="F309:F310" si="80">D309+E309</f>
        <v>987.27407999999991</v>
      </c>
      <c r="G309" s="55">
        <v>0</v>
      </c>
      <c r="H309" s="41">
        <f t="shared" ref="H309:H310" si="81">F309*(($H$196)+1)+(IF(G309&lt;101,G309,IF(G309&lt;201,G309/2,IF(G309&lt;=301,G309/3,G309/4))))</f>
        <v>1530.2748239999999</v>
      </c>
      <c r="I309" s="35"/>
      <c r="L309" s="106"/>
      <c r="M309" s="106"/>
      <c r="N309" s="35"/>
    </row>
    <row r="310" spans="1:14" s="36" customFormat="1" ht="15.75" customHeight="1" x14ac:dyDescent="0.3">
      <c r="A310" s="110">
        <v>6</v>
      </c>
      <c r="B310" s="110"/>
      <c r="C310" s="54">
        <v>3</v>
      </c>
      <c r="D310" s="55">
        <f>(77.49)*(10.764)</f>
        <v>834.10235999999986</v>
      </c>
      <c r="E310" s="41">
        <v>0</v>
      </c>
      <c r="F310" s="41">
        <f t="shared" si="80"/>
        <v>834.10235999999986</v>
      </c>
      <c r="G310" s="41">
        <f>(7.99*3.5)*(10.764)</f>
        <v>301.01525999999996</v>
      </c>
      <c r="H310" s="41">
        <f t="shared" si="81"/>
        <v>1368.1124729999999</v>
      </c>
      <c r="I310" s="35"/>
      <c r="L310" s="106"/>
      <c r="M310" s="106"/>
      <c r="N310" s="35"/>
    </row>
    <row r="311" spans="1:14" s="36" customFormat="1" ht="31.5" customHeight="1" x14ac:dyDescent="0.3">
      <c r="A311" s="114" t="s">
        <v>233</v>
      </c>
      <c r="B311" s="114"/>
      <c r="C311" s="114"/>
      <c r="D311" s="114"/>
      <c r="E311" s="114"/>
      <c r="F311" s="114"/>
      <c r="G311" s="114"/>
      <c r="H311" s="114"/>
      <c r="I311" s="36">
        <f>3+4+4+3+4+4+3</f>
        <v>25</v>
      </c>
      <c r="J311" s="35"/>
    </row>
    <row r="312" spans="1:14" s="36" customFormat="1" ht="15.75" customHeight="1" x14ac:dyDescent="0.3">
      <c r="A312" s="110">
        <v>1</v>
      </c>
      <c r="B312" s="110"/>
      <c r="C312" s="54">
        <v>3</v>
      </c>
      <c r="D312" s="55">
        <f>(77.49)*(10.764)</f>
        <v>834.10235999999986</v>
      </c>
      <c r="E312" s="41">
        <v>0</v>
      </c>
      <c r="F312" s="41">
        <f t="shared" ref="F312:F317" si="82">D312+E312</f>
        <v>834.10235999999986</v>
      </c>
      <c r="G312" s="55">
        <v>0</v>
      </c>
      <c r="H312" s="41">
        <f t="shared" ref="H312:H317" si="83">F312*(($H$196)+1)+(IF(G312&lt;101,G312,IF(G312&lt;201,G312/2,IF(G312&lt;=301,G312/3,G312/4))))</f>
        <v>1292.8586579999999</v>
      </c>
      <c r="K312" s="35">
        <f>12700*F312</f>
        <v>10593099.971999999</v>
      </c>
      <c r="L312" s="35">
        <f>K312+400000</f>
        <v>10993099.971999999</v>
      </c>
      <c r="N312" s="35"/>
    </row>
    <row r="313" spans="1:14" s="36" customFormat="1" ht="15.75" customHeight="1" x14ac:dyDescent="0.3">
      <c r="A313" s="110">
        <f t="shared" ref="A313:A317" si="84">A312+1</f>
        <v>2</v>
      </c>
      <c r="B313" s="110"/>
      <c r="C313" s="54">
        <v>2</v>
      </c>
      <c r="D313" s="55">
        <f>(59.74)*(10.764)</f>
        <v>643.04135999999994</v>
      </c>
      <c r="E313" s="41">
        <v>0</v>
      </c>
      <c r="F313" s="41">
        <f t="shared" si="82"/>
        <v>643.04135999999994</v>
      </c>
      <c r="G313" s="55">
        <v>0</v>
      </c>
      <c r="H313" s="41">
        <f t="shared" si="83"/>
        <v>996.7141079999999</v>
      </c>
      <c r="K313" s="35">
        <f>13234*12700</f>
        <v>168071800</v>
      </c>
      <c r="L313" s="36">
        <f>L312/12700</f>
        <v>865.59842299212596</v>
      </c>
      <c r="N313" s="35"/>
    </row>
    <row r="314" spans="1:14" s="36" customFormat="1" ht="15.75" customHeight="1" x14ac:dyDescent="0.3">
      <c r="A314" s="110">
        <f t="shared" si="84"/>
        <v>3</v>
      </c>
      <c r="B314" s="110"/>
      <c r="C314" s="54">
        <v>2</v>
      </c>
      <c r="D314" s="55">
        <f>(59.74)*(10.764)</f>
        <v>643.04135999999994</v>
      </c>
      <c r="E314" s="41">
        <v>0</v>
      </c>
      <c r="F314" s="41">
        <f t="shared" si="82"/>
        <v>643.04135999999994</v>
      </c>
      <c r="G314" s="55">
        <v>0</v>
      </c>
      <c r="H314" s="41">
        <f t="shared" si="83"/>
        <v>996.7141079999999</v>
      </c>
      <c r="I314" s="35"/>
      <c r="L314" s="106"/>
      <c r="M314" s="106"/>
      <c r="N314" s="35"/>
    </row>
    <row r="315" spans="1:14" s="36" customFormat="1" ht="15.75" customHeight="1" x14ac:dyDescent="0.3">
      <c r="A315" s="110">
        <f t="shared" si="84"/>
        <v>4</v>
      </c>
      <c r="B315" s="110"/>
      <c r="C315" s="54">
        <v>2</v>
      </c>
      <c r="D315" s="55">
        <f>(58.52)*(10.764)</f>
        <v>629.90927999999997</v>
      </c>
      <c r="E315" s="41">
        <v>0</v>
      </c>
      <c r="F315" s="41">
        <f t="shared" si="82"/>
        <v>629.90927999999997</v>
      </c>
      <c r="G315" s="55">
        <v>0</v>
      </c>
      <c r="H315" s="41">
        <f t="shared" si="83"/>
        <v>976.35938399999998</v>
      </c>
      <c r="I315" s="35"/>
      <c r="L315" s="106"/>
      <c r="M315" s="106"/>
      <c r="N315" s="35"/>
    </row>
    <row r="316" spans="1:14" s="36" customFormat="1" ht="15.75" customHeight="1" x14ac:dyDescent="0.3">
      <c r="A316" s="110">
        <f t="shared" si="84"/>
        <v>5</v>
      </c>
      <c r="B316" s="110"/>
      <c r="C316" s="54">
        <v>2</v>
      </c>
      <c r="D316" s="55">
        <f>(58.52)*(10.764)</f>
        <v>629.90927999999997</v>
      </c>
      <c r="E316" s="41">
        <v>0</v>
      </c>
      <c r="F316" s="41">
        <f t="shared" si="82"/>
        <v>629.90927999999997</v>
      </c>
      <c r="G316" s="55">
        <v>0</v>
      </c>
      <c r="H316" s="41">
        <f t="shared" si="83"/>
        <v>976.35938399999998</v>
      </c>
      <c r="I316" s="35"/>
      <c r="L316" s="106"/>
      <c r="M316" s="106"/>
      <c r="N316" s="35"/>
    </row>
    <row r="317" spans="1:14" s="36" customFormat="1" ht="15.75" customHeight="1" x14ac:dyDescent="0.3">
      <c r="A317" s="110">
        <f t="shared" si="84"/>
        <v>6</v>
      </c>
      <c r="B317" s="110"/>
      <c r="C317" s="54">
        <v>3</v>
      </c>
      <c r="D317" s="55">
        <f>(77.49)*(10.764)</f>
        <v>834.10235999999986</v>
      </c>
      <c r="E317" s="41">
        <v>0</v>
      </c>
      <c r="F317" s="41">
        <f t="shared" si="82"/>
        <v>834.10235999999986</v>
      </c>
      <c r="G317" s="55">
        <v>0</v>
      </c>
      <c r="H317" s="41">
        <f t="shared" si="83"/>
        <v>1292.8586579999999</v>
      </c>
      <c r="I317" s="35"/>
      <c r="L317" s="106"/>
      <c r="M317" s="106"/>
      <c r="N317" s="35"/>
    </row>
    <row r="318" spans="1:14" s="36" customFormat="1" x14ac:dyDescent="0.3">
      <c r="A318" s="61" t="s">
        <v>232</v>
      </c>
      <c r="B318" s="62"/>
      <c r="C318" s="62"/>
      <c r="D318" s="62"/>
      <c r="E318" s="62"/>
      <c r="F318" s="62"/>
      <c r="G318" s="62"/>
      <c r="H318" s="63"/>
      <c r="I318" s="36">
        <v>1</v>
      </c>
      <c r="J318" s="35"/>
    </row>
    <row r="319" spans="1:14" s="36" customFormat="1" ht="15.75" customHeight="1" x14ac:dyDescent="0.3">
      <c r="A319" s="104">
        <v>1</v>
      </c>
      <c r="B319" s="105"/>
      <c r="C319" s="54">
        <v>3</v>
      </c>
      <c r="D319" s="55">
        <f>(77.49)*(10.764)</f>
        <v>834.10235999999986</v>
      </c>
      <c r="E319" s="41">
        <v>0</v>
      </c>
      <c r="F319" s="41">
        <f t="shared" ref="F319:F324" si="85">D319+E319</f>
        <v>834.10235999999986</v>
      </c>
      <c r="G319" s="55">
        <v>0</v>
      </c>
      <c r="H319" s="41">
        <f t="shared" ref="H319:H324" si="86">F319*(($H$196)+1)+(IF(G319&lt;101,G319,IF(G319&lt;201,G319/2,IF(G319&lt;=301,G319/3,G319/4))))</f>
        <v>1292.8586579999999</v>
      </c>
      <c r="J319" s="35">
        <f>F319*12700</f>
        <v>10593099.971999999</v>
      </c>
      <c r="L319" s="106"/>
      <c r="M319" s="106"/>
      <c r="N319" s="35"/>
    </row>
    <row r="320" spans="1:14" s="36" customFormat="1" ht="15.75" customHeight="1" x14ac:dyDescent="0.3">
      <c r="A320" s="104">
        <f t="shared" ref="A320:A324" si="87">A319+1</f>
        <v>2</v>
      </c>
      <c r="B320" s="105"/>
      <c r="C320" s="54">
        <v>2</v>
      </c>
      <c r="D320" s="55">
        <f>(59.74)*(10.764)</f>
        <v>643.04135999999994</v>
      </c>
      <c r="E320" s="41">
        <v>0</v>
      </c>
      <c r="F320" s="41">
        <f t="shared" si="85"/>
        <v>643.04135999999994</v>
      </c>
      <c r="G320" s="55">
        <v>0</v>
      </c>
      <c r="H320" s="41">
        <f t="shared" si="86"/>
        <v>996.7141079999999</v>
      </c>
      <c r="I320" s="35"/>
      <c r="L320" s="106"/>
      <c r="M320" s="106"/>
      <c r="N320" s="35"/>
    </row>
    <row r="321" spans="1:14" s="36" customFormat="1" ht="15.75" customHeight="1" x14ac:dyDescent="0.3">
      <c r="A321" s="104">
        <f t="shared" si="87"/>
        <v>3</v>
      </c>
      <c r="B321" s="105"/>
      <c r="C321" s="54">
        <v>2</v>
      </c>
      <c r="D321" s="55">
        <f>(59.74)*(10.764)</f>
        <v>643.04135999999994</v>
      </c>
      <c r="E321" s="41">
        <v>0</v>
      </c>
      <c r="F321" s="41">
        <f t="shared" si="85"/>
        <v>643.04135999999994</v>
      </c>
      <c r="G321" s="55">
        <v>0</v>
      </c>
      <c r="H321" s="41">
        <f t="shared" si="86"/>
        <v>996.7141079999999</v>
      </c>
      <c r="I321" s="35"/>
      <c r="L321" s="106"/>
      <c r="M321" s="106"/>
      <c r="N321" s="35"/>
    </row>
    <row r="322" spans="1:14" s="36" customFormat="1" ht="15.75" customHeight="1" x14ac:dyDescent="0.3">
      <c r="A322" s="104">
        <f t="shared" si="87"/>
        <v>4</v>
      </c>
      <c r="B322" s="105"/>
      <c r="C322" s="54">
        <v>2</v>
      </c>
      <c r="D322" s="55">
        <f>(58.52)*(10.764)</f>
        <v>629.90927999999997</v>
      </c>
      <c r="E322" s="41">
        <v>0</v>
      </c>
      <c r="F322" s="41">
        <f t="shared" si="85"/>
        <v>629.90927999999997</v>
      </c>
      <c r="G322" s="55">
        <v>0</v>
      </c>
      <c r="H322" s="41">
        <f t="shared" si="86"/>
        <v>976.35938399999998</v>
      </c>
      <c r="I322" s="35"/>
      <c r="L322" s="106"/>
      <c r="M322" s="106"/>
      <c r="N322" s="35"/>
    </row>
    <row r="323" spans="1:14" s="36" customFormat="1" ht="15.75" customHeight="1" x14ac:dyDescent="0.3">
      <c r="A323" s="104">
        <f t="shared" si="87"/>
        <v>5</v>
      </c>
      <c r="B323" s="105"/>
      <c r="C323" s="54">
        <v>2</v>
      </c>
      <c r="D323" s="55">
        <f>(58.52)*(10.764)</f>
        <v>629.90927999999997</v>
      </c>
      <c r="E323" s="41">
        <v>0</v>
      </c>
      <c r="F323" s="41">
        <f t="shared" si="85"/>
        <v>629.90927999999997</v>
      </c>
      <c r="G323" s="55">
        <v>0</v>
      </c>
      <c r="H323" s="41">
        <f t="shared" si="86"/>
        <v>976.35938399999998</v>
      </c>
      <c r="I323" s="35"/>
      <c r="L323" s="106"/>
      <c r="M323" s="106"/>
      <c r="N323" s="35"/>
    </row>
    <row r="324" spans="1:14" s="36" customFormat="1" ht="15.75" customHeight="1" x14ac:dyDescent="0.3">
      <c r="A324" s="104">
        <f t="shared" si="87"/>
        <v>6</v>
      </c>
      <c r="B324" s="105"/>
      <c r="C324" s="54">
        <v>3</v>
      </c>
      <c r="D324" s="55">
        <f>(77.49)*(10.764)</f>
        <v>834.10235999999986</v>
      </c>
      <c r="E324" s="41">
        <v>0</v>
      </c>
      <c r="F324" s="41">
        <f t="shared" si="85"/>
        <v>834.10235999999986</v>
      </c>
      <c r="G324" s="55">
        <v>0</v>
      </c>
      <c r="H324" s="41">
        <f t="shared" si="86"/>
        <v>1292.8586579999999</v>
      </c>
      <c r="I324" s="35"/>
      <c r="L324" s="106"/>
      <c r="M324" s="106"/>
      <c r="N324" s="35"/>
    </row>
    <row r="325" spans="1:14" s="36" customFormat="1" x14ac:dyDescent="0.3">
      <c r="A325" s="61" t="s">
        <v>205</v>
      </c>
      <c r="B325" s="62"/>
      <c r="C325" s="62"/>
      <c r="D325" s="62"/>
      <c r="E325" s="62"/>
      <c r="F325" s="62"/>
      <c r="G325" s="62"/>
      <c r="H325" s="63"/>
      <c r="I325" s="36">
        <v>6</v>
      </c>
      <c r="J325" s="35"/>
    </row>
    <row r="326" spans="1:14" s="36" customFormat="1" ht="15.75" customHeight="1" x14ac:dyDescent="0.3">
      <c r="A326" s="104">
        <v>1</v>
      </c>
      <c r="B326" s="105"/>
      <c r="C326" s="54">
        <v>3</v>
      </c>
      <c r="D326" s="55">
        <f>(77.49)*(10.764)</f>
        <v>834.10235999999986</v>
      </c>
      <c r="E326" s="41">
        <v>0</v>
      </c>
      <c r="F326" s="41">
        <f t="shared" ref="F326:F328" si="88">D326+E326</f>
        <v>834.10235999999986</v>
      </c>
      <c r="G326" s="55">
        <v>0</v>
      </c>
      <c r="H326" s="41">
        <f t="shared" ref="H326:H328" si="89">F326*(($H$196)+1)+(IF(G326&lt;101,G326,IF(G326&lt;201,G326/2,IF(G326&lt;=301,G326/3,G326/4))))</f>
        <v>1292.8586579999999</v>
      </c>
      <c r="I326" s="35"/>
      <c r="L326" s="106"/>
      <c r="M326" s="106"/>
      <c r="N326" s="35"/>
    </row>
    <row r="327" spans="1:14" s="36" customFormat="1" ht="15.75" customHeight="1" x14ac:dyDescent="0.3">
      <c r="A327" s="104">
        <f t="shared" ref="A327:A329" si="90">A326+1</f>
        <v>2</v>
      </c>
      <c r="B327" s="105"/>
      <c r="C327" s="54">
        <v>2</v>
      </c>
      <c r="D327" s="55">
        <f>(59.74)*(10.764)</f>
        <v>643.04135999999994</v>
      </c>
      <c r="E327" s="41">
        <v>0</v>
      </c>
      <c r="F327" s="41">
        <f t="shared" si="88"/>
        <v>643.04135999999994</v>
      </c>
      <c r="G327" s="55">
        <v>0</v>
      </c>
      <c r="H327" s="41">
        <f t="shared" si="89"/>
        <v>996.7141079999999</v>
      </c>
      <c r="I327" s="35"/>
      <c r="L327" s="106"/>
      <c r="M327" s="106"/>
      <c r="N327" s="35"/>
    </row>
    <row r="328" spans="1:14" s="36" customFormat="1" ht="15.75" customHeight="1" x14ac:dyDescent="0.3">
      <c r="A328" s="104">
        <f t="shared" si="90"/>
        <v>3</v>
      </c>
      <c r="B328" s="105"/>
      <c r="C328" s="54">
        <v>2</v>
      </c>
      <c r="D328" s="55">
        <f>(59.74)*(10.764)</f>
        <v>643.04135999999994</v>
      </c>
      <c r="E328" s="41">
        <v>0</v>
      </c>
      <c r="F328" s="41">
        <f t="shared" si="88"/>
        <v>643.04135999999994</v>
      </c>
      <c r="G328" s="55">
        <v>0</v>
      </c>
      <c r="H328" s="41">
        <f t="shared" si="89"/>
        <v>996.7141079999999</v>
      </c>
      <c r="I328" s="35"/>
      <c r="L328" s="106"/>
      <c r="M328" s="106"/>
      <c r="N328" s="35"/>
    </row>
    <row r="329" spans="1:14" s="36" customFormat="1" ht="15.75" customHeight="1" x14ac:dyDescent="0.3">
      <c r="A329" s="104">
        <f t="shared" si="90"/>
        <v>4</v>
      </c>
      <c r="B329" s="105"/>
      <c r="C329" s="173" t="s">
        <v>203</v>
      </c>
      <c r="D329" s="174"/>
      <c r="E329" s="174"/>
      <c r="F329" s="174"/>
      <c r="G329" s="174"/>
      <c r="H329" s="175"/>
      <c r="I329" s="35"/>
      <c r="L329" s="106"/>
      <c r="M329" s="106"/>
      <c r="N329" s="35"/>
    </row>
    <row r="330" spans="1:14" s="36" customFormat="1" ht="15.75" customHeight="1" x14ac:dyDescent="0.3">
      <c r="A330" s="104" t="s">
        <v>202</v>
      </c>
      <c r="B330" s="105"/>
      <c r="C330" s="54" t="s">
        <v>204</v>
      </c>
      <c r="D330" s="55">
        <f>(91.72)*(10.764)</f>
        <v>987.27407999999991</v>
      </c>
      <c r="E330" s="41">
        <v>0</v>
      </c>
      <c r="F330" s="41">
        <f t="shared" ref="F330:F331" si="91">D330+E330</f>
        <v>987.27407999999991</v>
      </c>
      <c r="G330" s="55">
        <v>0</v>
      </c>
      <c r="H330" s="41">
        <f t="shared" ref="H330:H331" si="92">F330*(($H$196)+1)+(IF(G330&lt;101,G330,IF(G330&lt;201,G330/2,IF(G330&lt;=301,G330/3,G330/4))))</f>
        <v>1530.2748239999999</v>
      </c>
      <c r="I330" s="35"/>
      <c r="L330" s="106"/>
      <c r="M330" s="106"/>
      <c r="N330" s="35"/>
    </row>
    <row r="331" spans="1:14" s="36" customFormat="1" ht="15.75" customHeight="1" x14ac:dyDescent="0.3">
      <c r="A331" s="104">
        <v>6</v>
      </c>
      <c r="B331" s="105"/>
      <c r="C331" s="54">
        <v>3</v>
      </c>
      <c r="D331" s="55">
        <f>(77.49)*(10.764)</f>
        <v>834.10235999999986</v>
      </c>
      <c r="E331" s="41">
        <v>0</v>
      </c>
      <c r="F331" s="41">
        <f t="shared" si="91"/>
        <v>834.10235999999986</v>
      </c>
      <c r="G331" s="55">
        <v>0</v>
      </c>
      <c r="H331" s="41">
        <f t="shared" si="92"/>
        <v>1292.8586579999999</v>
      </c>
      <c r="I331" s="35"/>
      <c r="L331" s="106"/>
      <c r="M331" s="106"/>
      <c r="N331" s="35"/>
    </row>
    <row r="332" spans="1:14" s="36" customFormat="1" x14ac:dyDescent="0.3">
      <c r="A332" s="248" t="s">
        <v>206</v>
      </c>
      <c r="B332" s="249"/>
      <c r="C332" s="249"/>
      <c r="D332" s="249"/>
      <c r="E332" s="249"/>
      <c r="F332" s="249"/>
      <c r="G332" s="249"/>
      <c r="H332" s="250"/>
      <c r="L332" s="215" t="s">
        <v>225</v>
      </c>
      <c r="M332" s="216"/>
      <c r="N332" s="216"/>
    </row>
    <row r="333" spans="1:14" s="36" customFormat="1" x14ac:dyDescent="0.3">
      <c r="A333" s="124" t="s">
        <v>207</v>
      </c>
      <c r="B333" s="125"/>
      <c r="C333" s="125"/>
      <c r="D333" s="125"/>
      <c r="E333" s="125"/>
      <c r="F333" s="125"/>
      <c r="G333" s="125"/>
      <c r="H333" s="126"/>
      <c r="J333" s="35"/>
    </row>
    <row r="334" spans="1:14" s="36" customFormat="1" x14ac:dyDescent="0.3">
      <c r="A334" s="124" t="s">
        <v>208</v>
      </c>
      <c r="B334" s="125"/>
      <c r="C334" s="125"/>
      <c r="D334" s="125"/>
      <c r="E334" s="125"/>
      <c r="F334" s="125"/>
      <c r="G334" s="125"/>
      <c r="H334" s="126"/>
      <c r="J334" s="35"/>
    </row>
    <row r="335" spans="1:14" s="36" customFormat="1" x14ac:dyDescent="0.3">
      <c r="A335" s="61" t="s">
        <v>210</v>
      </c>
      <c r="B335" s="62"/>
      <c r="C335" s="62"/>
      <c r="D335" s="62"/>
      <c r="E335" s="62"/>
      <c r="F335" s="62"/>
      <c r="G335" s="62"/>
      <c r="H335" s="63"/>
      <c r="I335" s="36">
        <v>3</v>
      </c>
      <c r="J335" s="35"/>
    </row>
    <row r="336" spans="1:14" s="36" customFormat="1" x14ac:dyDescent="0.3">
      <c r="A336" s="61" t="s">
        <v>209</v>
      </c>
      <c r="B336" s="62"/>
      <c r="C336" s="62"/>
      <c r="D336" s="62"/>
      <c r="E336" s="62"/>
      <c r="F336" s="62"/>
      <c r="G336" s="62"/>
      <c r="H336" s="63"/>
      <c r="I336" s="36">
        <v>1</v>
      </c>
      <c r="J336" s="35"/>
    </row>
    <row r="337" spans="1:14" s="36" customFormat="1" x14ac:dyDescent="0.3">
      <c r="A337" s="61" t="s">
        <v>200</v>
      </c>
      <c r="B337" s="62"/>
      <c r="C337" s="62"/>
      <c r="D337" s="62"/>
      <c r="E337" s="62"/>
      <c r="F337" s="62"/>
      <c r="G337" s="62"/>
      <c r="H337" s="63"/>
      <c r="I337" s="36">
        <v>1</v>
      </c>
      <c r="J337" s="35"/>
    </row>
    <row r="338" spans="1:14" s="36" customFormat="1" x14ac:dyDescent="0.3">
      <c r="A338" s="61" t="s">
        <v>201</v>
      </c>
      <c r="B338" s="62"/>
      <c r="C338" s="62"/>
      <c r="D338" s="62"/>
      <c r="E338" s="62"/>
      <c r="F338" s="62"/>
      <c r="G338" s="62"/>
      <c r="H338" s="63"/>
      <c r="I338" s="36">
        <v>1</v>
      </c>
      <c r="J338" s="35"/>
    </row>
    <row r="339" spans="1:14" s="36" customFormat="1" ht="15.75" customHeight="1" x14ac:dyDescent="0.3">
      <c r="A339" s="104">
        <v>1</v>
      </c>
      <c r="B339" s="105"/>
      <c r="C339" s="54">
        <v>2</v>
      </c>
      <c r="D339" s="55">
        <f>(58.52)*(10.764)</f>
        <v>629.90927999999997</v>
      </c>
      <c r="E339" s="41">
        <v>0</v>
      </c>
      <c r="F339" s="41">
        <f t="shared" ref="F339:F341" si="93">D339+E339</f>
        <v>629.90927999999997</v>
      </c>
      <c r="G339" s="41">
        <v>110.70235799999999</v>
      </c>
      <c r="H339" s="41">
        <f t="shared" ref="H339:H341" si="94">F339*(($H$196)+1)+(IF(G339&lt;101,G339,IF(G339&lt;201,G339/2,IF(G339&lt;=301,G339/3,G339/4))))</f>
        <v>1031.7105629999999</v>
      </c>
      <c r="I339" s="35"/>
      <c r="J339" s="36">
        <f>3.07*5.48+2.13*3.35+2.31*1.2+3.35*3.05+0.6*2.01+3.35*3.6+1.4*3.06+3*0.9</f>
        <v>57.198600000000006</v>
      </c>
      <c r="L339" s="106"/>
      <c r="M339" s="106"/>
      <c r="N339" s="35"/>
    </row>
    <row r="340" spans="1:14" s="36" customFormat="1" ht="15.75" customHeight="1" x14ac:dyDescent="0.3">
      <c r="A340" s="104">
        <f t="shared" ref="A340:A342" si="95">A339+1</f>
        <v>2</v>
      </c>
      <c r="B340" s="105"/>
      <c r="C340" s="54">
        <v>2</v>
      </c>
      <c r="D340" s="55">
        <f>(58.52)*(10.764)</f>
        <v>629.90927999999997</v>
      </c>
      <c r="E340" s="41">
        <v>0</v>
      </c>
      <c r="F340" s="41">
        <f t="shared" si="93"/>
        <v>629.90927999999997</v>
      </c>
      <c r="G340" s="41">
        <v>0</v>
      </c>
      <c r="H340" s="41">
        <f t="shared" si="94"/>
        <v>976.35938399999998</v>
      </c>
      <c r="I340" s="35"/>
      <c r="L340" s="106"/>
      <c r="M340" s="106"/>
      <c r="N340" s="35"/>
    </row>
    <row r="341" spans="1:14" s="36" customFormat="1" ht="15.75" customHeight="1" x14ac:dyDescent="0.3">
      <c r="A341" s="104">
        <f t="shared" si="95"/>
        <v>3</v>
      </c>
      <c r="B341" s="105"/>
      <c r="C341" s="54">
        <v>2</v>
      </c>
      <c r="D341" s="55">
        <f>(58.52)*(10.764)</f>
        <v>629.90927999999997</v>
      </c>
      <c r="E341" s="41">
        <v>0</v>
      </c>
      <c r="F341" s="41">
        <f t="shared" si="93"/>
        <v>629.90927999999997</v>
      </c>
      <c r="G341" s="55">
        <v>0</v>
      </c>
      <c r="H341" s="41">
        <f t="shared" si="94"/>
        <v>976.35938399999998</v>
      </c>
      <c r="I341" s="35"/>
      <c r="L341" s="106"/>
      <c r="M341" s="106"/>
      <c r="N341" s="35"/>
    </row>
    <row r="342" spans="1:14" s="36" customFormat="1" ht="15.75" customHeight="1" x14ac:dyDescent="0.3">
      <c r="A342" s="104">
        <f t="shared" si="95"/>
        <v>4</v>
      </c>
      <c r="B342" s="105"/>
      <c r="C342" s="173" t="s">
        <v>203</v>
      </c>
      <c r="D342" s="174"/>
      <c r="E342" s="174"/>
      <c r="F342" s="174"/>
      <c r="G342" s="174"/>
      <c r="H342" s="175"/>
      <c r="I342" s="35"/>
      <c r="L342" s="106"/>
      <c r="M342" s="106"/>
      <c r="N342" s="35"/>
    </row>
    <row r="343" spans="1:14" s="36" customFormat="1" ht="15.75" customHeight="1" x14ac:dyDescent="0.3">
      <c r="A343" s="104" t="s">
        <v>202</v>
      </c>
      <c r="B343" s="105"/>
      <c r="C343" s="54" t="s">
        <v>204</v>
      </c>
      <c r="D343" s="55">
        <f>(91.72)*(10.764)</f>
        <v>987.27407999999991</v>
      </c>
      <c r="E343" s="41">
        <v>0</v>
      </c>
      <c r="F343" s="41">
        <f t="shared" ref="F343:F344" si="96">D343+E343</f>
        <v>987.27407999999991</v>
      </c>
      <c r="G343" s="55">
        <v>0</v>
      </c>
      <c r="H343" s="41">
        <f t="shared" ref="H343:H344" si="97">F343*(($H$196)+1)+(IF(G343&lt;101,G343,IF(G343&lt;201,G343/2,IF(G343&lt;=301,G343/3,G343/4))))</f>
        <v>1530.2748239999999</v>
      </c>
      <c r="I343" s="35"/>
      <c r="L343" s="106"/>
      <c r="M343" s="106"/>
      <c r="N343" s="35"/>
    </row>
    <row r="344" spans="1:14" s="36" customFormat="1" ht="15.75" customHeight="1" x14ac:dyDescent="0.3">
      <c r="A344" s="104">
        <v>6</v>
      </c>
      <c r="B344" s="105"/>
      <c r="C344" s="54">
        <v>2</v>
      </c>
      <c r="D344" s="55">
        <f>(58.52)*(10.764)</f>
        <v>629.90927999999997</v>
      </c>
      <c r="E344" s="41">
        <v>0</v>
      </c>
      <c r="F344" s="41">
        <f t="shared" si="96"/>
        <v>629.90927999999997</v>
      </c>
      <c r="G344" s="41">
        <v>110.70235799999999</v>
      </c>
      <c r="H344" s="41">
        <f t="shared" si="97"/>
        <v>1031.7105629999999</v>
      </c>
      <c r="I344" s="35"/>
      <c r="L344" s="106"/>
      <c r="M344" s="106"/>
      <c r="N344" s="35"/>
    </row>
    <row r="345" spans="1:14" s="36" customFormat="1" ht="31.5" customHeight="1" x14ac:dyDescent="0.3">
      <c r="A345" s="61" t="s">
        <v>218</v>
      </c>
      <c r="B345" s="62"/>
      <c r="C345" s="62"/>
      <c r="D345" s="62"/>
      <c r="E345" s="62"/>
      <c r="F345" s="62"/>
      <c r="G345" s="62"/>
      <c r="H345" s="63"/>
      <c r="I345" s="36">
        <f>3+4+4+4+4+4+3</f>
        <v>26</v>
      </c>
      <c r="J345" s="35"/>
    </row>
    <row r="346" spans="1:14" s="36" customFormat="1" ht="15.75" customHeight="1" x14ac:dyDescent="0.3">
      <c r="A346" s="104">
        <v>1</v>
      </c>
      <c r="B346" s="105"/>
      <c r="C346" s="54">
        <v>2</v>
      </c>
      <c r="D346" s="55">
        <f>(58.52)*(10.764)</f>
        <v>629.90927999999997</v>
      </c>
      <c r="E346" s="41">
        <v>0</v>
      </c>
      <c r="F346" s="41">
        <f t="shared" ref="F346:F351" si="98">D346+E346</f>
        <v>629.90927999999997</v>
      </c>
      <c r="G346" s="55">
        <v>0</v>
      </c>
      <c r="H346" s="41">
        <f>F346*(($H$196)+1)+(IF(G346&lt;101,G346,IF(G346&lt;201,G346/2,IF(G346&lt;=301,G346/3,G346/4))))</f>
        <v>976.35938399999998</v>
      </c>
      <c r="I346" s="35"/>
      <c r="L346" s="106"/>
      <c r="M346" s="106"/>
      <c r="N346" s="35"/>
    </row>
    <row r="347" spans="1:14" s="36" customFormat="1" ht="15.75" customHeight="1" x14ac:dyDescent="0.3">
      <c r="A347" s="104">
        <f t="shared" ref="A347:A351" si="99">A346+1</f>
        <v>2</v>
      </c>
      <c r="B347" s="105"/>
      <c r="C347" s="54">
        <v>2</v>
      </c>
      <c r="D347" s="55">
        <f t="shared" ref="D347:D351" si="100">(58.52)*(10.764)</f>
        <v>629.90927999999997</v>
      </c>
      <c r="E347" s="41">
        <v>0</v>
      </c>
      <c r="F347" s="41">
        <f t="shared" si="98"/>
        <v>629.90927999999997</v>
      </c>
      <c r="G347" s="55">
        <v>0</v>
      </c>
      <c r="H347" s="41">
        <f>F347*(($H$196)+1)+(IF(G347&lt;101,G347,IF(G347&lt;201,G347/2,IF(G347&lt;=301,G347/3,G347/4))))</f>
        <v>976.35938399999998</v>
      </c>
      <c r="I347" s="35"/>
      <c r="L347" s="106" t="s">
        <v>291</v>
      </c>
      <c r="M347" s="106"/>
      <c r="N347" s="35"/>
    </row>
    <row r="348" spans="1:14" s="36" customFormat="1" ht="15.75" customHeight="1" x14ac:dyDescent="0.3">
      <c r="A348" s="104">
        <f t="shared" si="99"/>
        <v>3</v>
      </c>
      <c r="B348" s="105"/>
      <c r="C348" s="54">
        <v>2</v>
      </c>
      <c r="D348" s="55">
        <f t="shared" si="100"/>
        <v>629.90927999999997</v>
      </c>
      <c r="E348" s="41">
        <v>0</v>
      </c>
      <c r="F348" s="41">
        <f t="shared" si="98"/>
        <v>629.90927999999997</v>
      </c>
      <c r="G348" s="55">
        <v>0</v>
      </c>
      <c r="H348" s="41">
        <f>F348*(($H$196)+1)+(IF(G348&lt;101,G348,IF(G348&lt;201,G348/2,IF(G348&lt;=301,G348/3,G348/4))))</f>
        <v>976.35938399999998</v>
      </c>
      <c r="I348" s="35"/>
      <c r="L348" s="106"/>
      <c r="M348" s="106"/>
      <c r="N348" s="35"/>
    </row>
    <row r="349" spans="1:14" s="36" customFormat="1" ht="15.75" customHeight="1" x14ac:dyDescent="0.3">
      <c r="A349" s="104">
        <f t="shared" si="99"/>
        <v>4</v>
      </c>
      <c r="B349" s="105"/>
      <c r="C349" s="54">
        <v>2</v>
      </c>
      <c r="D349" s="55">
        <f t="shared" si="100"/>
        <v>629.90927999999997</v>
      </c>
      <c r="E349" s="41">
        <v>0</v>
      </c>
      <c r="F349" s="41">
        <f t="shared" si="98"/>
        <v>629.90927999999997</v>
      </c>
      <c r="G349" s="55">
        <v>0</v>
      </c>
      <c r="H349" s="41">
        <f>F349*(($H$196)+1)+(IF(G349&lt;101,G349,IF(G349&lt;201,G349/2,IF(G349&lt;=301,G349/3,G349/4))))</f>
        <v>976.35938399999998</v>
      </c>
      <c r="I349" s="35"/>
      <c r="L349" s="106"/>
      <c r="M349" s="106"/>
      <c r="N349" s="35"/>
    </row>
    <row r="350" spans="1:14" s="36" customFormat="1" ht="15.75" customHeight="1" x14ac:dyDescent="0.3">
      <c r="A350" s="104">
        <f t="shared" si="99"/>
        <v>5</v>
      </c>
      <c r="B350" s="105"/>
      <c r="C350" s="54">
        <v>2</v>
      </c>
      <c r="D350" s="55">
        <f t="shared" si="100"/>
        <v>629.90927999999997</v>
      </c>
      <c r="E350" s="41">
        <v>0</v>
      </c>
      <c r="F350" s="41">
        <f t="shared" si="98"/>
        <v>629.90927999999997</v>
      </c>
      <c r="G350" s="55">
        <v>0</v>
      </c>
      <c r="H350" s="41">
        <f>F350*(($H$196)+1)+(IF(G350&lt;101,G350,IF(G350&lt;201,G350/2,IF(G350&lt;=301,G350/3,G350/4))))</f>
        <v>976.35938399999998</v>
      </c>
      <c r="I350" s="35"/>
      <c r="L350" s="106"/>
      <c r="M350" s="106"/>
      <c r="N350" s="35"/>
    </row>
    <row r="351" spans="1:14" s="36" customFormat="1" ht="15.75" customHeight="1" x14ac:dyDescent="0.3">
      <c r="A351" s="104">
        <f t="shared" si="99"/>
        <v>6</v>
      </c>
      <c r="B351" s="105"/>
      <c r="C351" s="54">
        <v>2</v>
      </c>
      <c r="D351" s="55">
        <f t="shared" si="100"/>
        <v>629.90927999999997</v>
      </c>
      <c r="E351" s="41">
        <v>0</v>
      </c>
      <c r="F351" s="41">
        <f t="shared" si="98"/>
        <v>629.90927999999997</v>
      </c>
      <c r="G351" s="55">
        <v>0</v>
      </c>
      <c r="H351" s="41">
        <f>F351*(($H$196)+1)+(IF(G351&lt;101,G351,IF(G351&lt;201,G351/2,IF(G351&lt;=301,G351/3,G351/4))))</f>
        <v>976.35938399999998</v>
      </c>
      <c r="I351" s="35"/>
      <c r="L351" s="106"/>
      <c r="M351" s="106"/>
      <c r="N351" s="35"/>
    </row>
    <row r="352" spans="1:14" s="36" customFormat="1" x14ac:dyDescent="0.3">
      <c r="A352" s="61" t="s">
        <v>205</v>
      </c>
      <c r="B352" s="62"/>
      <c r="C352" s="62"/>
      <c r="D352" s="62"/>
      <c r="E352" s="62"/>
      <c r="F352" s="62"/>
      <c r="G352" s="62"/>
      <c r="H352" s="63"/>
      <c r="I352" s="36">
        <v>6</v>
      </c>
      <c r="J352" s="35"/>
    </row>
    <row r="353" spans="1:14" s="36" customFormat="1" ht="15.75" customHeight="1" x14ac:dyDescent="0.3">
      <c r="A353" s="104">
        <v>1</v>
      </c>
      <c r="B353" s="105"/>
      <c r="C353" s="54">
        <v>2</v>
      </c>
      <c r="D353" s="55">
        <f t="shared" ref="D353:D355" si="101">(58.52)*(10.764)</f>
        <v>629.90927999999997</v>
      </c>
      <c r="E353" s="41">
        <v>0</v>
      </c>
      <c r="F353" s="41">
        <f t="shared" ref="F353:F355" si="102">D353+E353</f>
        <v>629.90927999999997</v>
      </c>
      <c r="G353" s="55">
        <v>0</v>
      </c>
      <c r="H353" s="41">
        <f t="shared" ref="H353:H355" si="103">F353*(($H$196)+1)+(IF(G353&lt;101,G353,IF(G353&lt;201,G353/2,IF(G353&lt;=301,G353/3,G353/4))))</f>
        <v>976.35938399999998</v>
      </c>
      <c r="I353" s="35"/>
      <c r="L353" s="106"/>
      <c r="M353" s="106"/>
      <c r="N353" s="35"/>
    </row>
    <row r="354" spans="1:14" s="36" customFormat="1" ht="15.75" customHeight="1" x14ac:dyDescent="0.3">
      <c r="A354" s="104">
        <f t="shared" ref="A354:A356" si="104">A353+1</f>
        <v>2</v>
      </c>
      <c r="B354" s="105"/>
      <c r="C354" s="54">
        <v>2</v>
      </c>
      <c r="D354" s="55">
        <f t="shared" si="101"/>
        <v>629.90927999999997</v>
      </c>
      <c r="E354" s="41">
        <v>0</v>
      </c>
      <c r="F354" s="41">
        <f t="shared" si="102"/>
        <v>629.90927999999997</v>
      </c>
      <c r="G354" s="55">
        <v>0</v>
      </c>
      <c r="H354" s="41">
        <f t="shared" si="103"/>
        <v>976.35938399999998</v>
      </c>
      <c r="I354" s="35"/>
      <c r="L354" s="106"/>
      <c r="M354" s="106"/>
      <c r="N354" s="35"/>
    </row>
    <row r="355" spans="1:14" s="36" customFormat="1" ht="15.75" customHeight="1" x14ac:dyDescent="0.3">
      <c r="A355" s="104">
        <f t="shared" si="104"/>
        <v>3</v>
      </c>
      <c r="B355" s="105"/>
      <c r="C355" s="54">
        <v>2</v>
      </c>
      <c r="D355" s="55">
        <f t="shared" si="101"/>
        <v>629.90927999999997</v>
      </c>
      <c r="E355" s="41">
        <v>0</v>
      </c>
      <c r="F355" s="41">
        <f t="shared" si="102"/>
        <v>629.90927999999997</v>
      </c>
      <c r="G355" s="55">
        <v>0</v>
      </c>
      <c r="H355" s="41">
        <f t="shared" si="103"/>
        <v>976.35938399999998</v>
      </c>
      <c r="I355" s="35"/>
      <c r="L355" s="106"/>
      <c r="M355" s="106"/>
      <c r="N355" s="35"/>
    </row>
    <row r="356" spans="1:14" s="36" customFormat="1" ht="15.75" customHeight="1" x14ac:dyDescent="0.3">
      <c r="A356" s="104">
        <f t="shared" si="104"/>
        <v>4</v>
      </c>
      <c r="B356" s="105"/>
      <c r="C356" s="173" t="s">
        <v>203</v>
      </c>
      <c r="D356" s="174"/>
      <c r="E356" s="174"/>
      <c r="F356" s="174"/>
      <c r="G356" s="174"/>
      <c r="H356" s="175"/>
      <c r="I356" s="35"/>
      <c r="L356" s="106"/>
      <c r="M356" s="106"/>
      <c r="N356" s="35"/>
    </row>
    <row r="357" spans="1:14" s="36" customFormat="1" ht="15.75" customHeight="1" x14ac:dyDescent="0.3">
      <c r="A357" s="104" t="s">
        <v>202</v>
      </c>
      <c r="B357" s="105"/>
      <c r="C357" s="54" t="s">
        <v>204</v>
      </c>
      <c r="D357" s="55">
        <f>(91.72)*(10.764)</f>
        <v>987.27407999999991</v>
      </c>
      <c r="E357" s="41">
        <v>0</v>
      </c>
      <c r="F357" s="41">
        <f t="shared" ref="F357:F358" si="105">D357+E357</f>
        <v>987.27407999999991</v>
      </c>
      <c r="G357" s="55">
        <v>0</v>
      </c>
      <c r="H357" s="41">
        <f t="shared" ref="H357:H358" si="106">F357*(($H$196)+1)+(IF(G357&lt;101,G357,IF(G357&lt;201,G357/2,IF(G357&lt;=301,G357/3,G357/4))))</f>
        <v>1530.2748239999999</v>
      </c>
      <c r="I357" s="35"/>
      <c r="L357" s="106"/>
      <c r="M357" s="106"/>
      <c r="N357" s="35"/>
    </row>
    <row r="358" spans="1:14" s="36" customFormat="1" ht="15.75" customHeight="1" x14ac:dyDescent="0.3">
      <c r="A358" s="104">
        <v>6</v>
      </c>
      <c r="B358" s="105"/>
      <c r="C358" s="54">
        <v>2</v>
      </c>
      <c r="D358" s="55">
        <f>(58.52)*(10.764)</f>
        <v>629.90927999999997</v>
      </c>
      <c r="E358" s="41">
        <v>0</v>
      </c>
      <c r="F358" s="41">
        <f t="shared" si="105"/>
        <v>629.90927999999997</v>
      </c>
      <c r="G358" s="55">
        <v>0</v>
      </c>
      <c r="H358" s="41">
        <f t="shared" si="106"/>
        <v>976.35938399999998</v>
      </c>
      <c r="I358" s="35"/>
      <c r="L358" s="106"/>
      <c r="M358" s="106"/>
      <c r="N358" s="35"/>
    </row>
    <row r="359" spans="1:14" s="36" customFormat="1" x14ac:dyDescent="0.3">
      <c r="A359" s="254" t="s">
        <v>270</v>
      </c>
      <c r="B359" s="255"/>
      <c r="C359" s="255"/>
      <c r="D359" s="255"/>
      <c r="E359" s="255"/>
      <c r="F359" s="255"/>
      <c r="G359" s="255"/>
      <c r="H359" s="256"/>
      <c r="J359" s="35"/>
    </row>
    <row r="360" spans="1:14" s="36" customFormat="1" x14ac:dyDescent="0.3">
      <c r="A360" s="257" t="s">
        <v>284</v>
      </c>
      <c r="B360" s="258"/>
      <c r="C360" s="258"/>
      <c r="D360" s="258"/>
      <c r="E360" s="258"/>
      <c r="F360" s="258"/>
      <c r="G360" s="258"/>
      <c r="H360" s="259"/>
      <c r="J360" s="55">
        <f>10.764</f>
        <v>10.763999999999999</v>
      </c>
    </row>
    <row r="361" spans="1:14" s="36" customFormat="1" x14ac:dyDescent="0.3">
      <c r="A361" s="114" t="s">
        <v>275</v>
      </c>
      <c r="B361" s="114"/>
      <c r="C361" s="114"/>
      <c r="D361" s="114"/>
      <c r="E361" s="114"/>
      <c r="F361" s="114"/>
      <c r="G361" s="114"/>
      <c r="H361" s="114"/>
      <c r="I361" s="35"/>
      <c r="L361" s="106"/>
      <c r="M361" s="106"/>
    </row>
    <row r="362" spans="1:14" s="36" customFormat="1" x14ac:dyDescent="0.3">
      <c r="A362" s="114" t="s">
        <v>276</v>
      </c>
      <c r="B362" s="114"/>
      <c r="C362" s="114"/>
      <c r="D362" s="114"/>
      <c r="E362" s="114"/>
      <c r="F362" s="114"/>
      <c r="G362" s="114"/>
      <c r="H362" s="114"/>
      <c r="I362" s="35">
        <v>4</v>
      </c>
      <c r="L362" s="106"/>
      <c r="M362" s="106"/>
    </row>
    <row r="363" spans="1:14" s="36" customFormat="1" x14ac:dyDescent="0.3">
      <c r="A363" s="114" t="s">
        <v>277</v>
      </c>
      <c r="B363" s="114"/>
      <c r="C363" s="114"/>
      <c r="D363" s="114"/>
      <c r="E363" s="114"/>
      <c r="F363" s="114"/>
      <c r="G363" s="114"/>
      <c r="H363" s="114"/>
      <c r="I363" s="35">
        <v>1</v>
      </c>
      <c r="L363" s="106"/>
      <c r="M363" s="106"/>
    </row>
    <row r="364" spans="1:14" s="36" customFormat="1" x14ac:dyDescent="0.3">
      <c r="A364" s="257" t="s">
        <v>274</v>
      </c>
      <c r="B364" s="258"/>
      <c r="C364" s="258"/>
      <c r="D364" s="258"/>
      <c r="E364" s="258"/>
      <c r="F364" s="258"/>
      <c r="G364" s="258"/>
      <c r="H364" s="259"/>
      <c r="J364" s="55">
        <f>10.764</f>
        <v>10.763999999999999</v>
      </c>
    </row>
    <row r="365" spans="1:14" s="36" customFormat="1" x14ac:dyDescent="0.3">
      <c r="A365" s="114" t="s">
        <v>201</v>
      </c>
      <c r="B365" s="114"/>
      <c r="C365" s="114"/>
      <c r="D365" s="114"/>
      <c r="E365" s="114"/>
      <c r="F365" s="114"/>
      <c r="G365" s="114"/>
      <c r="H365" s="114"/>
      <c r="I365" s="35">
        <v>1</v>
      </c>
      <c r="L365" s="106"/>
      <c r="M365" s="106"/>
    </row>
    <row r="366" spans="1:14" s="36" customFormat="1" x14ac:dyDescent="0.3">
      <c r="A366" s="110">
        <v>1</v>
      </c>
      <c r="B366" s="110"/>
      <c r="C366" s="41" t="s">
        <v>278</v>
      </c>
      <c r="D366" s="41">
        <f>(76.75)*(10.764)</f>
        <v>826.13699999999994</v>
      </c>
      <c r="E366" s="41">
        <v>0</v>
      </c>
      <c r="F366" s="41">
        <f>D366+E366</f>
        <v>826.13699999999994</v>
      </c>
      <c r="G366" s="41">
        <v>0</v>
      </c>
      <c r="H366" s="41">
        <f>F366*(($H$196)+1)+(IF(G366&lt;101,G366,IF(G366&lt;201,G366/2,IF(G366&lt;=301,G366/3,G366/4))))</f>
        <v>1280.51235</v>
      </c>
      <c r="I366" s="35"/>
      <c r="N366" s="35"/>
    </row>
    <row r="367" spans="1:14" s="36" customFormat="1" x14ac:dyDescent="0.3">
      <c r="A367" s="110">
        <f>A366+1</f>
        <v>2</v>
      </c>
      <c r="B367" s="110"/>
      <c r="C367" s="41" t="s">
        <v>278</v>
      </c>
      <c r="D367" s="41">
        <f>(78.4)*(10.764)</f>
        <v>843.89760000000001</v>
      </c>
      <c r="E367" s="41">
        <v>0</v>
      </c>
      <c r="F367" s="41">
        <f>D367+E367</f>
        <v>843.89760000000001</v>
      </c>
      <c r="G367" s="41">
        <v>0</v>
      </c>
      <c r="H367" s="41">
        <f>F367*(($H$196)+1)+(IF(G367&lt;101,G367,IF(G367&lt;201,G367/2,IF(G367&lt;=301,G367/3,G367/4))))</f>
        <v>1308.0412800000001</v>
      </c>
      <c r="I367" s="35"/>
      <c r="N367" s="35"/>
    </row>
    <row r="368" spans="1:14" s="36" customFormat="1" x14ac:dyDescent="0.3">
      <c r="A368" s="110">
        <f>A367+1</f>
        <v>3</v>
      </c>
      <c r="B368" s="110"/>
      <c r="C368" s="41" t="s">
        <v>278</v>
      </c>
      <c r="D368" s="41">
        <f>(77.06)*(10.764)</f>
        <v>829.47384</v>
      </c>
      <c r="E368" s="41">
        <v>0</v>
      </c>
      <c r="F368" s="41">
        <f>D368+E368</f>
        <v>829.47384</v>
      </c>
      <c r="G368" s="41">
        <v>0</v>
      </c>
      <c r="H368" s="41">
        <f>F368*(($H$196)+1)+(IF(G368&lt;101,G368,IF(G368&lt;201,G368/2,IF(G368&lt;=301,G368/3,G368/4))))</f>
        <v>1285.684452</v>
      </c>
      <c r="I368" s="35"/>
      <c r="N368" s="35"/>
    </row>
    <row r="369" spans="1:14" s="36" customFormat="1" x14ac:dyDescent="0.3">
      <c r="A369" s="110" t="s">
        <v>279</v>
      </c>
      <c r="B369" s="110"/>
      <c r="C369" s="173" t="s">
        <v>203</v>
      </c>
      <c r="D369" s="174"/>
      <c r="E369" s="174"/>
      <c r="F369" s="174"/>
      <c r="G369" s="174"/>
      <c r="H369" s="175"/>
      <c r="I369" s="35"/>
      <c r="N369" s="35"/>
    </row>
    <row r="370" spans="1:14" s="36" customFormat="1" x14ac:dyDescent="0.3">
      <c r="A370" s="110" t="s">
        <v>202</v>
      </c>
      <c r="B370" s="110"/>
      <c r="C370" s="41" t="s">
        <v>204</v>
      </c>
      <c r="D370" s="41">
        <f>(91.71)*(10.764)</f>
        <v>987.16643999999985</v>
      </c>
      <c r="E370" s="41">
        <v>0</v>
      </c>
      <c r="F370" s="41">
        <f>D370+E370</f>
        <v>987.16643999999985</v>
      </c>
      <c r="G370" s="41">
        <f>(6.29*2.1)*(10.764)</f>
        <v>142.18167600000001</v>
      </c>
      <c r="H370" s="41">
        <f>F370*(($H$196)+1)+(IF(G370&lt;101,G370,IF(G370&lt;201,G370/2,IF(G370&lt;=301,G370/3,G370/4))))</f>
        <v>1601.1988199999998</v>
      </c>
      <c r="I370" s="35"/>
      <c r="N370" s="35"/>
    </row>
    <row r="371" spans="1:14" s="36" customFormat="1" ht="34.799999999999997" customHeight="1" x14ac:dyDescent="0.3">
      <c r="A371" s="114" t="s">
        <v>288</v>
      </c>
      <c r="B371" s="114"/>
      <c r="C371" s="114"/>
      <c r="D371" s="114"/>
      <c r="E371" s="114"/>
      <c r="F371" s="114"/>
      <c r="G371" s="114"/>
      <c r="H371" s="114"/>
      <c r="I371" s="35">
        <f>3+4+4+4+4+4+3</f>
        <v>26</v>
      </c>
      <c r="L371" s="106"/>
      <c r="M371" s="106"/>
    </row>
    <row r="372" spans="1:14" s="36" customFormat="1" x14ac:dyDescent="0.3">
      <c r="A372" s="110">
        <v>1</v>
      </c>
      <c r="B372" s="110"/>
      <c r="C372" s="41" t="s">
        <v>278</v>
      </c>
      <c r="D372" s="41">
        <f>(76.75)*(10.764)</f>
        <v>826.13699999999994</v>
      </c>
      <c r="E372" s="41">
        <v>0</v>
      </c>
      <c r="F372" s="41">
        <f>D372+E372</f>
        <v>826.13699999999994</v>
      </c>
      <c r="G372" s="41">
        <v>0</v>
      </c>
      <c r="H372" s="41">
        <f>F372*(($H$196)+1)+(IF(G372&lt;101,G372,IF(G372&lt;201,G372/2,IF(G372&lt;=301,G372/3,G372/4))))</f>
        <v>1280.51235</v>
      </c>
      <c r="I372" s="35"/>
      <c r="N372" s="35"/>
    </row>
    <row r="373" spans="1:14" s="36" customFormat="1" x14ac:dyDescent="0.3">
      <c r="A373" s="110">
        <f>A372+1</f>
        <v>2</v>
      </c>
      <c r="B373" s="110"/>
      <c r="C373" s="41" t="s">
        <v>278</v>
      </c>
      <c r="D373" s="41">
        <f>(78.4)*(10.764)</f>
        <v>843.89760000000001</v>
      </c>
      <c r="E373" s="41">
        <v>0</v>
      </c>
      <c r="F373" s="41">
        <f>D373+E373</f>
        <v>843.89760000000001</v>
      </c>
      <c r="G373" s="41">
        <v>0</v>
      </c>
      <c r="H373" s="41">
        <f>F373*(($H$196)+1)+(IF(G373&lt;101,G373,IF(G373&lt;201,G373/2,IF(G373&lt;=301,G373/3,G373/4))))</f>
        <v>1308.0412800000001</v>
      </c>
      <c r="I373" s="35"/>
      <c r="N373" s="35"/>
    </row>
    <row r="374" spans="1:14" s="36" customFormat="1" x14ac:dyDescent="0.3">
      <c r="A374" s="110">
        <f>A373+1</f>
        <v>3</v>
      </c>
      <c r="B374" s="110"/>
      <c r="C374" s="41" t="s">
        <v>278</v>
      </c>
      <c r="D374" s="41">
        <f>(77.06)*(10.764)</f>
        <v>829.47384</v>
      </c>
      <c r="E374" s="41">
        <v>0</v>
      </c>
      <c r="F374" s="41">
        <f>D374+E374</f>
        <v>829.47384</v>
      </c>
      <c r="G374" s="41">
        <v>0</v>
      </c>
      <c r="H374" s="41">
        <f>F374*(($H$196)+1)+(IF(G374&lt;101,G374,IF(G374&lt;201,G374/2,IF(G374&lt;=301,G374/3,G374/4))))</f>
        <v>1285.684452</v>
      </c>
      <c r="I374" s="35"/>
      <c r="N374" s="35"/>
    </row>
    <row r="375" spans="1:14" s="36" customFormat="1" x14ac:dyDescent="0.3">
      <c r="A375" s="110">
        <f>A374+1</f>
        <v>4</v>
      </c>
      <c r="B375" s="110"/>
      <c r="C375" s="41" t="s">
        <v>281</v>
      </c>
      <c r="D375" s="41">
        <f>(59.74)*(10.764)</f>
        <v>643.04135999999994</v>
      </c>
      <c r="E375" s="41">
        <v>0</v>
      </c>
      <c r="F375" s="41">
        <f>D375+E375</f>
        <v>643.04135999999994</v>
      </c>
      <c r="G375" s="41">
        <v>0</v>
      </c>
      <c r="H375" s="41">
        <f>F375*(($H$196)+1)+(IF(G375&lt;101,G375,IF(G375&lt;201,G375/2,IF(G375&lt;=301,G375/3,G375/4))))</f>
        <v>996.7141079999999</v>
      </c>
      <c r="I375" s="35"/>
      <c r="N375" s="35"/>
    </row>
    <row r="376" spans="1:14" s="36" customFormat="1" x14ac:dyDescent="0.3">
      <c r="A376" s="110">
        <f>A375+1</f>
        <v>5</v>
      </c>
      <c r="B376" s="110"/>
      <c r="C376" s="41" t="s">
        <v>281</v>
      </c>
      <c r="D376" s="41">
        <f>(59.74)*(10.764)</f>
        <v>643.04135999999994</v>
      </c>
      <c r="E376" s="41">
        <v>0</v>
      </c>
      <c r="F376" s="41">
        <f>D376+E376</f>
        <v>643.04135999999994</v>
      </c>
      <c r="G376" s="41">
        <v>0</v>
      </c>
      <c r="H376" s="41">
        <f>F376*(($H$196)+1)+(IF(G376&lt;101,G376,IF(G376&lt;201,G376/2,IF(G376&lt;=301,G376/3,G376/4))))</f>
        <v>996.7141079999999</v>
      </c>
      <c r="I376" s="35"/>
      <c r="N376" s="35"/>
    </row>
    <row r="377" spans="1:14" s="36" customFormat="1" x14ac:dyDescent="0.3">
      <c r="A377" s="114" t="s">
        <v>282</v>
      </c>
      <c r="B377" s="114"/>
      <c r="C377" s="114"/>
      <c r="D377" s="114"/>
      <c r="E377" s="114"/>
      <c r="F377" s="114"/>
      <c r="G377" s="114"/>
      <c r="H377" s="114"/>
      <c r="I377" s="35">
        <v>6</v>
      </c>
      <c r="L377" s="106"/>
      <c r="M377" s="106"/>
    </row>
    <row r="378" spans="1:14" s="36" customFormat="1" x14ac:dyDescent="0.3">
      <c r="A378" s="110">
        <v>1</v>
      </c>
      <c r="B378" s="110"/>
      <c r="C378" s="41" t="s">
        <v>278</v>
      </c>
      <c r="D378" s="41">
        <f>(76.75)*(10.764)</f>
        <v>826.13699999999994</v>
      </c>
      <c r="E378" s="41">
        <v>0</v>
      </c>
      <c r="F378" s="41">
        <f>D378+E378</f>
        <v>826.13699999999994</v>
      </c>
      <c r="G378" s="41">
        <v>0</v>
      </c>
      <c r="H378" s="41">
        <f>F378*(($H$196)+1)+(IF(G378&lt;101,G378,IF(G378&lt;201,G378/2,IF(G378&lt;=301,G378/3,G378/4))))</f>
        <v>1280.51235</v>
      </c>
      <c r="I378" s="35"/>
      <c r="N378" s="35"/>
    </row>
    <row r="379" spans="1:14" s="36" customFormat="1" x14ac:dyDescent="0.3">
      <c r="A379" s="110">
        <f>A378+1</f>
        <v>2</v>
      </c>
      <c r="B379" s="110"/>
      <c r="C379" s="41" t="s">
        <v>278</v>
      </c>
      <c r="D379" s="41">
        <f>(78.4)*(10.764)</f>
        <v>843.89760000000001</v>
      </c>
      <c r="E379" s="41">
        <v>0</v>
      </c>
      <c r="F379" s="41">
        <f>D379+E379</f>
        <v>843.89760000000001</v>
      </c>
      <c r="G379" s="41">
        <v>0</v>
      </c>
      <c r="H379" s="41">
        <f>F379*(($H$196)+1)+(IF(G379&lt;101,G379,IF(G379&lt;201,G379/2,IF(G379&lt;=301,G379/3,G379/4))))</f>
        <v>1308.0412800000001</v>
      </c>
      <c r="I379" s="35"/>
      <c r="N379" s="35"/>
    </row>
    <row r="380" spans="1:14" s="36" customFormat="1" x14ac:dyDescent="0.3">
      <c r="A380" s="110">
        <f>A379+1</f>
        <v>3</v>
      </c>
      <c r="B380" s="110"/>
      <c r="C380" s="41" t="s">
        <v>278</v>
      </c>
      <c r="D380" s="41">
        <f>(77.06)*(10.764)</f>
        <v>829.47384</v>
      </c>
      <c r="E380" s="41">
        <v>0</v>
      </c>
      <c r="F380" s="41">
        <f>D380+E380</f>
        <v>829.47384</v>
      </c>
      <c r="G380" s="41">
        <v>0</v>
      </c>
      <c r="H380" s="41">
        <f>F380*(($H$196)+1)+(IF(G380&lt;101,G380,IF(G380&lt;201,G380/2,IF(G380&lt;=301,G380/3,G380/4))))</f>
        <v>1285.684452</v>
      </c>
      <c r="I380" s="35"/>
      <c r="N380" s="35"/>
    </row>
    <row r="381" spans="1:14" s="36" customFormat="1" x14ac:dyDescent="0.3">
      <c r="A381" s="110" t="s">
        <v>279</v>
      </c>
      <c r="B381" s="110"/>
      <c r="C381" s="173" t="s">
        <v>203</v>
      </c>
      <c r="D381" s="174"/>
      <c r="E381" s="174"/>
      <c r="F381" s="174"/>
      <c r="G381" s="174"/>
      <c r="H381" s="175"/>
      <c r="I381" s="35"/>
      <c r="N381" s="35"/>
    </row>
    <row r="382" spans="1:14" s="36" customFormat="1" x14ac:dyDescent="0.3">
      <c r="A382" s="110" t="s">
        <v>202</v>
      </c>
      <c r="B382" s="110"/>
      <c r="C382" s="41" t="s">
        <v>204</v>
      </c>
      <c r="D382" s="41">
        <f>(91.71)*(10.764)</f>
        <v>987.16643999999985</v>
      </c>
      <c r="E382" s="41">
        <v>0</v>
      </c>
      <c r="F382" s="41">
        <f>D382+E382</f>
        <v>987.16643999999985</v>
      </c>
      <c r="G382" s="41">
        <v>0</v>
      </c>
      <c r="H382" s="41">
        <f>F382*(($H$196)+1)+(IF(G382&lt;101,G382,IF(G382&lt;201,G382/2,IF(G382&lt;=301,G382/3,G382/4))))</f>
        <v>1530.1079819999998</v>
      </c>
      <c r="I382" s="35"/>
      <c r="N382" s="35"/>
    </row>
    <row r="383" spans="1:14" s="36" customFormat="1" x14ac:dyDescent="0.3">
      <c r="A383" s="257" t="s">
        <v>283</v>
      </c>
      <c r="B383" s="258"/>
      <c r="C383" s="258"/>
      <c r="D383" s="258"/>
      <c r="E383" s="258"/>
      <c r="F383" s="258"/>
      <c r="G383" s="258"/>
      <c r="H383" s="259"/>
      <c r="J383" s="55">
        <f>10.764</f>
        <v>10.763999999999999</v>
      </c>
    </row>
    <row r="384" spans="1:14" s="36" customFormat="1" x14ac:dyDescent="0.3">
      <c r="A384" s="114" t="s">
        <v>201</v>
      </c>
      <c r="B384" s="114"/>
      <c r="C384" s="114"/>
      <c r="D384" s="114"/>
      <c r="E384" s="114"/>
      <c r="F384" s="114"/>
      <c r="G384" s="114"/>
      <c r="H384" s="114"/>
      <c r="I384" s="35">
        <v>1</v>
      </c>
      <c r="L384" s="106"/>
      <c r="M384" s="106"/>
    </row>
    <row r="385" spans="1:14" s="36" customFormat="1" x14ac:dyDescent="0.3">
      <c r="A385" s="110">
        <v>1</v>
      </c>
      <c r="B385" s="110"/>
      <c r="C385" s="41" t="s">
        <v>278</v>
      </c>
      <c r="D385" s="41">
        <f>(76.75)*(10.764)</f>
        <v>826.13699999999994</v>
      </c>
      <c r="E385" s="41">
        <v>0</v>
      </c>
      <c r="F385" s="41">
        <f>D385+E385</f>
        <v>826.13699999999994</v>
      </c>
      <c r="G385" s="41">
        <v>0</v>
      </c>
      <c r="H385" s="41">
        <f>F385*(($H$196)+1)+(IF(G385&lt;101,G385,IF(G385&lt;201,G385/2,IF(G385&lt;=301,G385/3,G385/4))))</f>
        <v>1280.51235</v>
      </c>
      <c r="I385" s="35"/>
      <c r="N385" s="35"/>
    </row>
    <row r="386" spans="1:14" s="36" customFormat="1" x14ac:dyDescent="0.3">
      <c r="A386" s="110">
        <f>A385+1</f>
        <v>2</v>
      </c>
      <c r="B386" s="110"/>
      <c r="C386" s="41" t="s">
        <v>278</v>
      </c>
      <c r="D386" s="41">
        <f>(78.4)*(10.764)</f>
        <v>843.89760000000001</v>
      </c>
      <c r="E386" s="41">
        <v>0</v>
      </c>
      <c r="F386" s="41">
        <f>D386+E386</f>
        <v>843.89760000000001</v>
      </c>
      <c r="G386" s="41">
        <v>0</v>
      </c>
      <c r="H386" s="41">
        <f>F386*(($H$196)+1)+(IF(G386&lt;101,G386,IF(G386&lt;201,G386/2,IF(G386&lt;=301,G386/3,G386/4))))</f>
        <v>1308.0412800000001</v>
      </c>
      <c r="I386" s="35"/>
      <c r="N386" s="35"/>
    </row>
    <row r="387" spans="1:14" s="36" customFormat="1" x14ac:dyDescent="0.3">
      <c r="A387" s="110">
        <f>A386+1</f>
        <v>3</v>
      </c>
      <c r="B387" s="110"/>
      <c r="C387" s="41" t="s">
        <v>278</v>
      </c>
      <c r="D387" s="41">
        <f>(77.06)*(10.764)</f>
        <v>829.47384</v>
      </c>
      <c r="E387" s="41">
        <v>0</v>
      </c>
      <c r="F387" s="41">
        <f>D387+E387</f>
        <v>829.47384</v>
      </c>
      <c r="G387" s="41">
        <v>0</v>
      </c>
      <c r="H387" s="41">
        <f>F387*(($H$196)+1)+(IF(G387&lt;101,G387,IF(G387&lt;201,G387/2,IF(G387&lt;=301,G387/3,G387/4))))</f>
        <v>1285.684452</v>
      </c>
      <c r="I387" s="35"/>
      <c r="N387" s="35"/>
    </row>
    <row r="388" spans="1:14" s="36" customFormat="1" x14ac:dyDescent="0.3">
      <c r="A388" s="110" t="s">
        <v>279</v>
      </c>
      <c r="B388" s="110"/>
      <c r="C388" s="173" t="s">
        <v>203</v>
      </c>
      <c r="D388" s="174"/>
      <c r="E388" s="174"/>
      <c r="F388" s="174"/>
      <c r="G388" s="174"/>
      <c r="H388" s="175"/>
      <c r="I388" s="35"/>
      <c r="N388" s="35"/>
    </row>
    <row r="389" spans="1:14" s="36" customFormat="1" x14ac:dyDescent="0.3">
      <c r="A389" s="110" t="s">
        <v>202</v>
      </c>
      <c r="B389" s="110"/>
      <c r="C389" s="41" t="s">
        <v>204</v>
      </c>
      <c r="D389" s="41">
        <f>(91.71)*(10.764)</f>
        <v>987.16643999999985</v>
      </c>
      <c r="E389" s="41">
        <v>0</v>
      </c>
      <c r="F389" s="41">
        <f>D389+E389</f>
        <v>987.16643999999985</v>
      </c>
      <c r="G389" s="41">
        <f>(6.29*2.1)*(10.764)</f>
        <v>142.18167600000001</v>
      </c>
      <c r="H389" s="41">
        <f t="shared" ref="H389" si="107">F389*(($H$196)+1)+(IF(G389&lt;101,G389,IF(G389&lt;201,G389/2,IF(G389&lt;=301,G389/3,G389/4))))</f>
        <v>1601.1988199999998</v>
      </c>
      <c r="I389" s="35"/>
      <c r="N389" s="35"/>
    </row>
    <row r="390" spans="1:14" s="36" customFormat="1" ht="34.799999999999997" customHeight="1" x14ac:dyDescent="0.3">
      <c r="A390" s="114" t="s">
        <v>288</v>
      </c>
      <c r="B390" s="114"/>
      <c r="C390" s="114"/>
      <c r="D390" s="114"/>
      <c r="E390" s="114"/>
      <c r="F390" s="114"/>
      <c r="G390" s="114"/>
      <c r="H390" s="114"/>
      <c r="I390" s="35">
        <f>3+4+4+4+4+4+3</f>
        <v>26</v>
      </c>
      <c r="L390" s="106"/>
      <c r="M390" s="106"/>
    </row>
    <row r="391" spans="1:14" s="36" customFormat="1" x14ac:dyDescent="0.3">
      <c r="A391" s="110">
        <v>1</v>
      </c>
      <c r="B391" s="110"/>
      <c r="C391" s="41" t="s">
        <v>278</v>
      </c>
      <c r="D391" s="41">
        <f>(76.75)*(10.764)</f>
        <v>826.13699999999994</v>
      </c>
      <c r="E391" s="41">
        <v>0</v>
      </c>
      <c r="F391" s="41">
        <f>D391+E391</f>
        <v>826.13699999999994</v>
      </c>
      <c r="G391" s="41">
        <v>0</v>
      </c>
      <c r="H391" s="41">
        <f>F391*(($H$196)+1)+(IF(G391&lt;101,G391,IF(G391&lt;201,G391/2,IF(G391&lt;=301,G391/3,G391/4))))</f>
        <v>1280.51235</v>
      </c>
      <c r="I391" s="35"/>
      <c r="N391" s="35"/>
    </row>
    <row r="392" spans="1:14" s="36" customFormat="1" x14ac:dyDescent="0.3">
      <c r="A392" s="110">
        <f>A391+1</f>
        <v>2</v>
      </c>
      <c r="B392" s="110"/>
      <c r="C392" s="41" t="s">
        <v>278</v>
      </c>
      <c r="D392" s="41">
        <f>(78.4)*(10.764)</f>
        <v>843.89760000000001</v>
      </c>
      <c r="E392" s="41">
        <v>0</v>
      </c>
      <c r="F392" s="41">
        <f>D392+E392</f>
        <v>843.89760000000001</v>
      </c>
      <c r="G392" s="41">
        <v>0</v>
      </c>
      <c r="H392" s="41">
        <f>F392*(($H$196)+1)+(IF(G392&lt;101,G392,IF(G392&lt;201,G392/2,IF(G392&lt;=301,G392/3,G392/4))))</f>
        <v>1308.0412800000001</v>
      </c>
      <c r="I392" s="35"/>
      <c r="N392" s="35"/>
    </row>
    <row r="393" spans="1:14" s="36" customFormat="1" x14ac:dyDescent="0.3">
      <c r="A393" s="110">
        <f>A392+1</f>
        <v>3</v>
      </c>
      <c r="B393" s="110"/>
      <c r="C393" s="41" t="s">
        <v>278</v>
      </c>
      <c r="D393" s="41">
        <f>(77.06)*(10.764)</f>
        <v>829.47384</v>
      </c>
      <c r="E393" s="41">
        <v>0</v>
      </c>
      <c r="F393" s="41">
        <f>D393+E393</f>
        <v>829.47384</v>
      </c>
      <c r="G393" s="41">
        <v>0</v>
      </c>
      <c r="H393" s="41">
        <f>F393*(($H$196)+1)+(IF(G393&lt;101,G393,IF(G393&lt;201,G393/2,IF(G393&lt;=301,G393/3,G393/4))))</f>
        <v>1285.684452</v>
      </c>
      <c r="I393" s="35"/>
      <c r="N393" s="35"/>
    </row>
    <row r="394" spans="1:14" s="36" customFormat="1" x14ac:dyDescent="0.3">
      <c r="A394" s="110">
        <f>A393+1</f>
        <v>4</v>
      </c>
      <c r="B394" s="110"/>
      <c r="C394" s="41" t="s">
        <v>281</v>
      </c>
      <c r="D394" s="41">
        <f>(59.74)*(10.764)</f>
        <v>643.04135999999994</v>
      </c>
      <c r="E394" s="41">
        <v>0</v>
      </c>
      <c r="F394" s="41">
        <f>D394+E394</f>
        <v>643.04135999999994</v>
      </c>
      <c r="G394" s="41">
        <v>0</v>
      </c>
      <c r="H394" s="41">
        <f t="shared" ref="H394:H395" si="108">F394*(($H$196)+1)+(IF(G394&lt;101,G394,IF(G394&lt;201,G394/2,IF(G394&lt;=301,G394/3,G394/4))))</f>
        <v>996.7141079999999</v>
      </c>
      <c r="I394" s="35"/>
      <c r="N394" s="35"/>
    </row>
    <row r="395" spans="1:14" s="36" customFormat="1" x14ac:dyDescent="0.3">
      <c r="A395" s="110">
        <f>A394+1</f>
        <v>5</v>
      </c>
      <c r="B395" s="110"/>
      <c r="C395" s="41" t="s">
        <v>281</v>
      </c>
      <c r="D395" s="41">
        <f>(59.74)*(10.764)</f>
        <v>643.04135999999994</v>
      </c>
      <c r="E395" s="41">
        <v>0</v>
      </c>
      <c r="F395" s="41">
        <f>D395+E395</f>
        <v>643.04135999999994</v>
      </c>
      <c r="G395" s="41">
        <v>0</v>
      </c>
      <c r="H395" s="41">
        <f t="shared" si="108"/>
        <v>996.7141079999999</v>
      </c>
      <c r="I395" s="35"/>
      <c r="N395" s="35"/>
    </row>
    <row r="396" spans="1:14" s="36" customFormat="1" x14ac:dyDescent="0.3">
      <c r="A396" s="114" t="s">
        <v>282</v>
      </c>
      <c r="B396" s="114"/>
      <c r="C396" s="114"/>
      <c r="D396" s="114"/>
      <c r="E396" s="114"/>
      <c r="F396" s="114"/>
      <c r="G396" s="114"/>
      <c r="H396" s="114"/>
      <c r="I396" s="35">
        <v>6</v>
      </c>
      <c r="L396" s="106"/>
      <c r="M396" s="106"/>
    </row>
    <row r="397" spans="1:14" s="36" customFormat="1" x14ac:dyDescent="0.3">
      <c r="A397" s="110">
        <v>1</v>
      </c>
      <c r="B397" s="110"/>
      <c r="C397" s="41" t="s">
        <v>278</v>
      </c>
      <c r="D397" s="41">
        <f>(76.75)*(10.764)</f>
        <v>826.13699999999994</v>
      </c>
      <c r="E397" s="41">
        <v>0</v>
      </c>
      <c r="F397" s="41">
        <f>D397+E397</f>
        <v>826.13699999999994</v>
      </c>
      <c r="G397" s="41">
        <v>0</v>
      </c>
      <c r="H397" s="41">
        <f>F397*(($H$196)+1)+(IF(G397&lt;101,G397,IF(G397&lt;201,G397/2,IF(G397&lt;=301,G397/3,G397/4))))</f>
        <v>1280.51235</v>
      </c>
      <c r="I397" s="35"/>
      <c r="N397" s="35"/>
    </row>
    <row r="398" spans="1:14" s="36" customFormat="1" x14ac:dyDescent="0.3">
      <c r="A398" s="110">
        <f>A397+1</f>
        <v>2</v>
      </c>
      <c r="B398" s="110"/>
      <c r="C398" s="41" t="s">
        <v>278</v>
      </c>
      <c r="D398" s="41">
        <f>(78.4)*(10.764)</f>
        <v>843.89760000000001</v>
      </c>
      <c r="E398" s="41">
        <v>0</v>
      </c>
      <c r="F398" s="41">
        <f>D398+E398</f>
        <v>843.89760000000001</v>
      </c>
      <c r="G398" s="41">
        <v>0</v>
      </c>
      <c r="H398" s="41">
        <f>F398*(($H$196)+1)+(IF(G398&lt;101,G398,IF(G398&lt;201,G398/2,IF(G398&lt;=301,G398/3,G398/4))))</f>
        <v>1308.0412800000001</v>
      </c>
      <c r="I398" s="35"/>
      <c r="N398" s="35"/>
    </row>
    <row r="399" spans="1:14" s="36" customFormat="1" x14ac:dyDescent="0.3">
      <c r="A399" s="110">
        <f>A398+1</f>
        <v>3</v>
      </c>
      <c r="B399" s="110"/>
      <c r="C399" s="41" t="s">
        <v>278</v>
      </c>
      <c r="D399" s="41">
        <f>(77.06)*(10.764)</f>
        <v>829.47384</v>
      </c>
      <c r="E399" s="41">
        <v>0</v>
      </c>
      <c r="F399" s="41">
        <f>D399+E399</f>
        <v>829.47384</v>
      </c>
      <c r="G399" s="41">
        <v>0</v>
      </c>
      <c r="H399" s="41">
        <f>F399*(($H$196)+1)+(IF(G399&lt;101,G399,IF(G399&lt;201,G399/2,IF(G399&lt;=301,G399/3,G399/4))))</f>
        <v>1285.684452</v>
      </c>
      <c r="I399" s="35"/>
      <c r="N399" s="35"/>
    </row>
    <row r="400" spans="1:14" s="36" customFormat="1" x14ac:dyDescent="0.3">
      <c r="A400" s="110" t="s">
        <v>279</v>
      </c>
      <c r="B400" s="110"/>
      <c r="C400" s="173" t="s">
        <v>203</v>
      </c>
      <c r="D400" s="174"/>
      <c r="E400" s="174"/>
      <c r="F400" s="174"/>
      <c r="G400" s="174"/>
      <c r="H400" s="175"/>
      <c r="I400" s="35"/>
      <c r="N400" s="35"/>
    </row>
    <row r="401" spans="1:14" s="36" customFormat="1" x14ac:dyDescent="0.3">
      <c r="A401" s="110" t="s">
        <v>202</v>
      </c>
      <c r="B401" s="110"/>
      <c r="C401" s="41" t="s">
        <v>204</v>
      </c>
      <c r="D401" s="41">
        <f>(91.71)*(10.764)</f>
        <v>987.16643999999985</v>
      </c>
      <c r="E401" s="41">
        <v>0</v>
      </c>
      <c r="F401" s="41">
        <f>D401+E401</f>
        <v>987.16643999999985</v>
      </c>
      <c r="G401" s="41">
        <v>0</v>
      </c>
      <c r="H401" s="41">
        <f t="shared" ref="H401" si="109">F401*(($H$196)+1)+(IF(G401&lt;101,G401,IF(G401&lt;201,G401/2,IF(G401&lt;=301,G401/3,G401/4))))</f>
        <v>1530.1079819999998</v>
      </c>
      <c r="I401" s="35"/>
      <c r="N401" s="35"/>
    </row>
    <row r="402" spans="1:14" s="36" customFormat="1" x14ac:dyDescent="0.3">
      <c r="A402" s="257" t="s">
        <v>260</v>
      </c>
      <c r="B402" s="258"/>
      <c r="C402" s="258"/>
      <c r="D402" s="258"/>
      <c r="E402" s="258"/>
      <c r="F402" s="258"/>
      <c r="G402" s="258"/>
      <c r="H402" s="259"/>
      <c r="J402" s="55">
        <f>10.764</f>
        <v>10.763999999999999</v>
      </c>
    </row>
    <row r="403" spans="1:14" s="36" customFormat="1" x14ac:dyDescent="0.3">
      <c r="A403" s="114" t="s">
        <v>285</v>
      </c>
      <c r="B403" s="114"/>
      <c r="C403" s="114"/>
      <c r="D403" s="114"/>
      <c r="E403" s="114"/>
      <c r="F403" s="114"/>
      <c r="G403" s="114"/>
      <c r="H403" s="114"/>
      <c r="I403" s="35"/>
      <c r="L403" s="106"/>
      <c r="M403" s="106"/>
    </row>
    <row r="404" spans="1:14" s="36" customFormat="1" x14ac:dyDescent="0.3">
      <c r="A404" s="114" t="s">
        <v>275</v>
      </c>
      <c r="B404" s="114"/>
      <c r="C404" s="114"/>
      <c r="D404" s="114"/>
      <c r="E404" s="114"/>
      <c r="F404" s="114"/>
      <c r="G404" s="114"/>
      <c r="H404" s="114"/>
      <c r="I404" s="35"/>
      <c r="L404" s="106"/>
      <c r="M404" s="106"/>
    </row>
    <row r="405" spans="1:14" s="36" customFormat="1" x14ac:dyDescent="0.3">
      <c r="A405" s="114" t="s">
        <v>286</v>
      </c>
      <c r="B405" s="114"/>
      <c r="C405" s="114"/>
      <c r="D405" s="114"/>
      <c r="E405" s="114"/>
      <c r="F405" s="114"/>
      <c r="G405" s="114"/>
      <c r="H405" s="114"/>
      <c r="I405" s="35">
        <v>4</v>
      </c>
      <c r="L405" s="106"/>
      <c r="M405" s="106"/>
    </row>
    <row r="406" spans="1:14" s="36" customFormat="1" x14ac:dyDescent="0.3">
      <c r="A406" s="114" t="s">
        <v>287</v>
      </c>
      <c r="B406" s="114"/>
      <c r="C406" s="114"/>
      <c r="D406" s="114"/>
      <c r="E406" s="114"/>
      <c r="F406" s="114"/>
      <c r="G406" s="114"/>
      <c r="H406" s="114"/>
      <c r="I406" s="35">
        <v>1</v>
      </c>
      <c r="L406" s="106"/>
      <c r="M406" s="106"/>
    </row>
    <row r="407" spans="1:14" s="36" customFormat="1" x14ac:dyDescent="0.3">
      <c r="A407" s="114" t="s">
        <v>201</v>
      </c>
      <c r="B407" s="114"/>
      <c r="C407" s="114"/>
      <c r="D407" s="114"/>
      <c r="E407" s="114"/>
      <c r="F407" s="114"/>
      <c r="G407" s="114"/>
      <c r="H407" s="114"/>
      <c r="I407" s="35">
        <v>1</v>
      </c>
      <c r="L407" s="106"/>
      <c r="M407" s="106"/>
    </row>
    <row r="408" spans="1:14" s="36" customFormat="1" x14ac:dyDescent="0.3">
      <c r="A408" s="110">
        <v>1</v>
      </c>
      <c r="B408" s="110"/>
      <c r="C408" s="41" t="s">
        <v>281</v>
      </c>
      <c r="D408" s="41">
        <f>(58.52)*(10.764)</f>
        <v>629.90927999999997</v>
      </c>
      <c r="E408" s="41">
        <v>0</v>
      </c>
      <c r="F408" s="41">
        <f>D408+E408</f>
        <v>629.90927999999997</v>
      </c>
      <c r="G408" s="41">
        <f>(3.07*3.35)*(10.764)</f>
        <v>110.70235799999999</v>
      </c>
      <c r="H408" s="41">
        <f>F408*(($H$196)+1)+(IF(G408&lt;101,G408,IF(G408&lt;201,G408/2,IF(G408&lt;=301,G408/3,G408/4))))</f>
        <v>1031.7105629999999</v>
      </c>
      <c r="I408" s="35"/>
      <c r="N408" s="35"/>
    </row>
    <row r="409" spans="1:14" s="36" customFormat="1" x14ac:dyDescent="0.3">
      <c r="A409" s="110">
        <f>A408+1</f>
        <v>2</v>
      </c>
      <c r="B409" s="110"/>
      <c r="C409" s="41" t="s">
        <v>281</v>
      </c>
      <c r="D409" s="41">
        <f>(58.52)*(10.764)</f>
        <v>629.90927999999997</v>
      </c>
      <c r="E409" s="41">
        <v>0</v>
      </c>
      <c r="F409" s="41">
        <f>D409+E409</f>
        <v>629.90927999999997</v>
      </c>
      <c r="G409" s="41">
        <v>0</v>
      </c>
      <c r="H409" s="41">
        <f>F409*(($H$196)+1)+(IF(G409&lt;101,G409,IF(G409&lt;201,G409/2,IF(G409&lt;=301,G409/3,G409/4))))</f>
        <v>976.35938399999998</v>
      </c>
      <c r="I409" s="35"/>
      <c r="N409" s="35"/>
    </row>
    <row r="410" spans="1:14" s="36" customFormat="1" x14ac:dyDescent="0.3">
      <c r="A410" s="110">
        <f>A409+1</f>
        <v>3</v>
      </c>
      <c r="B410" s="110"/>
      <c r="C410" s="41" t="s">
        <v>281</v>
      </c>
      <c r="D410" s="41">
        <f>(58.52)*(10.764)</f>
        <v>629.90927999999997</v>
      </c>
      <c r="E410" s="41">
        <v>0</v>
      </c>
      <c r="F410" s="41">
        <f>D410+E410</f>
        <v>629.90927999999997</v>
      </c>
      <c r="G410" s="41">
        <v>0</v>
      </c>
      <c r="H410" s="41">
        <f>F410*(($H$196)+1)+(IF(G410&lt;101,G410,IF(G410&lt;201,G410/2,IF(G410&lt;=301,G410/3,G410/4))))</f>
        <v>976.35938399999998</v>
      </c>
      <c r="I410" s="35"/>
      <c r="N410" s="35"/>
    </row>
    <row r="411" spans="1:14" s="36" customFormat="1" x14ac:dyDescent="0.3">
      <c r="A411" s="110" t="s">
        <v>279</v>
      </c>
      <c r="B411" s="110"/>
      <c r="C411" s="173" t="s">
        <v>203</v>
      </c>
      <c r="D411" s="174"/>
      <c r="E411" s="174"/>
      <c r="F411" s="174"/>
      <c r="G411" s="174"/>
      <c r="H411" s="175"/>
      <c r="I411" s="35"/>
      <c r="N411" s="35"/>
    </row>
    <row r="412" spans="1:14" s="36" customFormat="1" x14ac:dyDescent="0.3">
      <c r="A412" s="110" t="s">
        <v>202</v>
      </c>
      <c r="B412" s="110"/>
      <c r="C412" s="41" t="s">
        <v>204</v>
      </c>
      <c r="D412" s="41">
        <f>(91.65)*(10.764)</f>
        <v>986.52059999999994</v>
      </c>
      <c r="E412" s="41">
        <v>0</v>
      </c>
      <c r="F412" s="41">
        <f>D412+E412</f>
        <v>986.52059999999994</v>
      </c>
      <c r="G412" s="41">
        <v>0</v>
      </c>
      <c r="H412" s="41">
        <f t="shared" ref="H412" si="110">F412*(($H$196)+1)+(IF(G412&lt;101,G412,IF(G412&lt;201,G412/2,IF(G412&lt;=301,G412/3,G412/4))))</f>
        <v>1529.1069299999999</v>
      </c>
      <c r="I412" s="35"/>
      <c r="N412" s="35"/>
    </row>
    <row r="413" spans="1:14" s="36" customFormat="1" x14ac:dyDescent="0.3">
      <c r="A413" s="110">
        <v>6</v>
      </c>
      <c r="B413" s="110"/>
      <c r="C413" s="41" t="s">
        <v>281</v>
      </c>
      <c r="D413" s="41">
        <f>(58.52)*(10.764)</f>
        <v>629.90927999999997</v>
      </c>
      <c r="E413" s="41">
        <v>0</v>
      </c>
      <c r="F413" s="41">
        <f>D413+E413</f>
        <v>629.90927999999997</v>
      </c>
      <c r="G413" s="41">
        <f>(3.07*3.35)*(10.764)</f>
        <v>110.70235799999999</v>
      </c>
      <c r="H413" s="41">
        <f t="shared" ref="H413" si="111">F413*(($H$196)+1)+(IF(G413&lt;101,G413,IF(G413&lt;201,G413/2,IF(G413&lt;=301,G413/3,G413/4))))</f>
        <v>1031.7105629999999</v>
      </c>
      <c r="I413" s="35"/>
      <c r="N413" s="35"/>
    </row>
    <row r="414" spans="1:14" s="36" customFormat="1" x14ac:dyDescent="0.3">
      <c r="A414" s="114" t="s">
        <v>280</v>
      </c>
      <c r="B414" s="114"/>
      <c r="C414" s="114"/>
      <c r="D414" s="114"/>
      <c r="E414" s="114"/>
      <c r="F414" s="114"/>
      <c r="G414" s="114"/>
      <c r="H414" s="114"/>
      <c r="I414" s="35">
        <f>3+4+4+4+4+4+3</f>
        <v>26</v>
      </c>
      <c r="L414" s="106"/>
      <c r="M414" s="106"/>
    </row>
    <row r="415" spans="1:14" s="36" customFormat="1" x14ac:dyDescent="0.3">
      <c r="A415" s="110">
        <v>1</v>
      </c>
      <c r="B415" s="110"/>
      <c r="C415" s="41" t="s">
        <v>281</v>
      </c>
      <c r="D415" s="41">
        <f t="shared" ref="D415:D424" si="112">(58.52)*(10.764)</f>
        <v>629.90927999999997</v>
      </c>
      <c r="E415" s="41">
        <v>0</v>
      </c>
      <c r="F415" s="41">
        <f>D415+E415</f>
        <v>629.90927999999997</v>
      </c>
      <c r="G415" s="41">
        <v>0</v>
      </c>
      <c r="H415" s="41">
        <f>F415*(($H$196)+1)+(IF(G415&lt;101,G415,IF(G415&lt;201,G415/2,IF(G415&lt;=301,G415/3,G415/4))))</f>
        <v>976.35938399999998</v>
      </c>
      <c r="I415" s="35"/>
      <c r="N415" s="35"/>
    </row>
    <row r="416" spans="1:14" s="36" customFormat="1" x14ac:dyDescent="0.3">
      <c r="A416" s="110">
        <f>A415+1</f>
        <v>2</v>
      </c>
      <c r="B416" s="110"/>
      <c r="C416" s="41" t="s">
        <v>281</v>
      </c>
      <c r="D416" s="41">
        <f t="shared" si="112"/>
        <v>629.90927999999997</v>
      </c>
      <c r="E416" s="41">
        <v>0</v>
      </c>
      <c r="F416" s="41">
        <f>D416+E416</f>
        <v>629.90927999999997</v>
      </c>
      <c r="G416" s="41">
        <v>0</v>
      </c>
      <c r="H416" s="41">
        <f>F416*(($H$196)+1)+(IF(G416&lt;101,G416,IF(G416&lt;201,G416/2,IF(G416&lt;=301,G416/3,G416/4))))</f>
        <v>976.35938399999998</v>
      </c>
      <c r="I416" s="35"/>
      <c r="N416" s="35"/>
    </row>
    <row r="417" spans="1:14" s="36" customFormat="1" x14ac:dyDescent="0.3">
      <c r="A417" s="110">
        <f>A416+1</f>
        <v>3</v>
      </c>
      <c r="B417" s="110"/>
      <c r="C417" s="41" t="s">
        <v>281</v>
      </c>
      <c r="D417" s="41">
        <f t="shared" si="112"/>
        <v>629.90927999999997</v>
      </c>
      <c r="E417" s="41">
        <v>0</v>
      </c>
      <c r="F417" s="41">
        <f>D417+E417</f>
        <v>629.90927999999997</v>
      </c>
      <c r="G417" s="41">
        <v>0</v>
      </c>
      <c r="H417" s="41">
        <f>F417*(($H$196)+1)+(IF(G417&lt;101,G417,IF(G417&lt;201,G417/2,IF(G417&lt;=301,G417/3,G417/4))))</f>
        <v>976.35938399999998</v>
      </c>
      <c r="I417" s="35"/>
      <c r="N417" s="35"/>
    </row>
    <row r="418" spans="1:14" s="36" customFormat="1" x14ac:dyDescent="0.3">
      <c r="A418" s="110">
        <f t="shared" ref="A418:A420" si="113">A417+1</f>
        <v>4</v>
      </c>
      <c r="B418" s="110"/>
      <c r="C418" s="41" t="s">
        <v>281</v>
      </c>
      <c r="D418" s="41">
        <f t="shared" si="112"/>
        <v>629.90927999999997</v>
      </c>
      <c r="E418" s="41">
        <v>0</v>
      </c>
      <c r="F418" s="41">
        <f>D418+E418</f>
        <v>629.90927999999997</v>
      </c>
      <c r="G418" s="41">
        <v>0</v>
      </c>
      <c r="H418" s="41">
        <f t="shared" ref="H418:H419" si="114">F418*(($H$196)+1)+(IF(G418&lt;101,G418,IF(G418&lt;201,G418/2,IF(G418&lt;=301,G418/3,G418/4))))</f>
        <v>976.35938399999998</v>
      </c>
      <c r="I418" s="35"/>
      <c r="N418" s="35"/>
    </row>
    <row r="419" spans="1:14" s="36" customFormat="1" x14ac:dyDescent="0.3">
      <c r="A419" s="110">
        <f t="shared" si="113"/>
        <v>5</v>
      </c>
      <c r="B419" s="110"/>
      <c r="C419" s="41" t="s">
        <v>281</v>
      </c>
      <c r="D419" s="41">
        <f t="shared" si="112"/>
        <v>629.90927999999997</v>
      </c>
      <c r="E419" s="41">
        <v>0</v>
      </c>
      <c r="F419" s="41">
        <f>D419+E419</f>
        <v>629.90927999999997</v>
      </c>
      <c r="G419" s="41">
        <v>0</v>
      </c>
      <c r="H419" s="41">
        <f t="shared" si="114"/>
        <v>976.35938399999998</v>
      </c>
      <c r="I419" s="35"/>
      <c r="N419" s="35"/>
    </row>
    <row r="420" spans="1:14" s="36" customFormat="1" x14ac:dyDescent="0.3">
      <c r="A420" s="110">
        <f t="shared" si="113"/>
        <v>6</v>
      </c>
      <c r="B420" s="110"/>
      <c r="C420" s="41" t="s">
        <v>281</v>
      </c>
      <c r="D420" s="41">
        <f t="shared" si="112"/>
        <v>629.90927999999997</v>
      </c>
      <c r="E420" s="41">
        <v>0</v>
      </c>
      <c r="F420" s="41">
        <f>D420+E420</f>
        <v>629.90927999999997</v>
      </c>
      <c r="G420" s="41">
        <v>0</v>
      </c>
      <c r="H420" s="41">
        <f t="shared" ref="H420" si="115">F420*(($H$196)+1)+(IF(G420&lt;101,G420,IF(G420&lt;201,G420/2,IF(G420&lt;=301,G420/3,G420/4))))</f>
        <v>976.35938399999998</v>
      </c>
      <c r="I420" s="35"/>
      <c r="N420" s="35"/>
    </row>
    <row r="421" spans="1:14" s="36" customFormat="1" x14ac:dyDescent="0.3">
      <c r="A421" s="114" t="s">
        <v>282</v>
      </c>
      <c r="B421" s="114"/>
      <c r="C421" s="114"/>
      <c r="D421" s="114"/>
      <c r="E421" s="114"/>
      <c r="F421" s="114"/>
      <c r="G421" s="114"/>
      <c r="H421" s="114"/>
      <c r="I421" s="35">
        <v>6</v>
      </c>
      <c r="L421" s="106"/>
      <c r="M421" s="106"/>
    </row>
    <row r="422" spans="1:14" s="36" customFormat="1" x14ac:dyDescent="0.3">
      <c r="A422" s="110">
        <v>1</v>
      </c>
      <c r="B422" s="110"/>
      <c r="C422" s="41" t="s">
        <v>281</v>
      </c>
      <c r="D422" s="41">
        <f t="shared" si="112"/>
        <v>629.90927999999997</v>
      </c>
      <c r="E422" s="41">
        <v>0</v>
      </c>
      <c r="F422" s="41">
        <f>D422+E422</f>
        <v>629.90927999999997</v>
      </c>
      <c r="G422" s="41">
        <v>0</v>
      </c>
      <c r="H422" s="41">
        <f>F422*(($H$196)+1)+(IF(G422&lt;101,G422,IF(G422&lt;201,G422/2,IF(G422&lt;=301,G422/3,G422/4))))</f>
        <v>976.35938399999998</v>
      </c>
      <c r="I422" s="35"/>
      <c r="N422" s="35"/>
    </row>
    <row r="423" spans="1:14" s="36" customFormat="1" x14ac:dyDescent="0.3">
      <c r="A423" s="110">
        <f>A422+1</f>
        <v>2</v>
      </c>
      <c r="B423" s="110"/>
      <c r="C423" s="41" t="s">
        <v>281</v>
      </c>
      <c r="D423" s="41">
        <f t="shared" si="112"/>
        <v>629.90927999999997</v>
      </c>
      <c r="E423" s="41">
        <v>0</v>
      </c>
      <c r="F423" s="41">
        <f>D423+E423</f>
        <v>629.90927999999997</v>
      </c>
      <c r="G423" s="41">
        <v>0</v>
      </c>
      <c r="H423" s="41">
        <f>F423*(($H$196)+1)+(IF(G423&lt;101,G423,IF(G423&lt;201,G423/2,IF(G423&lt;=301,G423/3,G423/4))))</f>
        <v>976.35938399999998</v>
      </c>
      <c r="I423" s="35"/>
      <c r="N423" s="35"/>
    </row>
    <row r="424" spans="1:14" s="36" customFormat="1" x14ac:dyDescent="0.3">
      <c r="A424" s="110">
        <f>A423+1</f>
        <v>3</v>
      </c>
      <c r="B424" s="110"/>
      <c r="C424" s="41" t="s">
        <v>281</v>
      </c>
      <c r="D424" s="41">
        <f t="shared" si="112"/>
        <v>629.90927999999997</v>
      </c>
      <c r="E424" s="41">
        <v>0</v>
      </c>
      <c r="F424" s="41">
        <f>D424+E424</f>
        <v>629.90927999999997</v>
      </c>
      <c r="G424" s="41">
        <v>0</v>
      </c>
      <c r="H424" s="41">
        <f>F424*(($H$196)+1)+(IF(G424&lt;101,G424,IF(G424&lt;201,G424/2,IF(G424&lt;=301,G424/3,G424/4))))</f>
        <v>976.35938399999998</v>
      </c>
      <c r="I424" s="35"/>
      <c r="N424" s="35"/>
    </row>
    <row r="425" spans="1:14" s="36" customFormat="1" x14ac:dyDescent="0.3">
      <c r="A425" s="110">
        <f t="shared" ref="A425" si="116">A424+1</f>
        <v>4</v>
      </c>
      <c r="B425" s="110"/>
      <c r="C425" s="173" t="s">
        <v>203</v>
      </c>
      <c r="D425" s="174"/>
      <c r="E425" s="174"/>
      <c r="F425" s="174"/>
      <c r="G425" s="174"/>
      <c r="H425" s="175"/>
      <c r="I425" s="35"/>
      <c r="N425" s="35"/>
    </row>
    <row r="426" spans="1:14" s="36" customFormat="1" x14ac:dyDescent="0.3">
      <c r="A426" s="110" t="s">
        <v>202</v>
      </c>
      <c r="B426" s="110"/>
      <c r="C426" s="41" t="s">
        <v>204</v>
      </c>
      <c r="D426" s="41">
        <f>(91.65)*(10.764)</f>
        <v>986.52059999999994</v>
      </c>
      <c r="E426" s="41">
        <v>0</v>
      </c>
      <c r="F426" s="41">
        <f>D426+E426</f>
        <v>986.52059999999994</v>
      </c>
      <c r="G426" s="41">
        <v>0</v>
      </c>
      <c r="H426" s="41">
        <f t="shared" ref="H426:H427" si="117">F426*(($H$196)+1)+(IF(G426&lt;101,G426,IF(G426&lt;201,G426/2,IF(G426&lt;=301,G426/3,G426/4))))</f>
        <v>1529.1069299999999</v>
      </c>
      <c r="I426" s="35"/>
      <c r="N426" s="35"/>
    </row>
    <row r="427" spans="1:14" s="36" customFormat="1" x14ac:dyDescent="0.3">
      <c r="A427" s="110">
        <v>6</v>
      </c>
      <c r="B427" s="110"/>
      <c r="C427" s="41" t="s">
        <v>281</v>
      </c>
      <c r="D427" s="41">
        <f>(58.52)*(10.764)</f>
        <v>629.90927999999997</v>
      </c>
      <c r="E427" s="41">
        <v>0</v>
      </c>
      <c r="F427" s="41">
        <f>D427+E427</f>
        <v>629.90927999999997</v>
      </c>
      <c r="G427" s="41">
        <v>0</v>
      </c>
      <c r="H427" s="41">
        <f t="shared" si="117"/>
        <v>976.35938399999998</v>
      </c>
      <c r="I427" s="35"/>
      <c r="N427" s="35"/>
    </row>
    <row r="428" spans="1:14" s="36" customFormat="1" x14ac:dyDescent="0.3">
      <c r="A428" s="104"/>
      <c r="B428" s="109"/>
      <c r="C428" s="109"/>
      <c r="D428" s="109"/>
      <c r="E428" s="109"/>
      <c r="F428" s="109"/>
      <c r="G428" s="109"/>
      <c r="H428" s="105"/>
      <c r="I428" s="35"/>
      <c r="N428" s="35"/>
    </row>
    <row r="429" spans="1:14" s="36" customFormat="1" ht="15.75" hidden="1" customHeight="1" x14ac:dyDescent="0.3">
      <c r="A429" s="61" t="s">
        <v>120</v>
      </c>
      <c r="B429" s="62"/>
      <c r="C429" s="62"/>
      <c r="D429" s="62"/>
      <c r="E429" s="62"/>
      <c r="F429" s="62"/>
      <c r="G429" s="62"/>
      <c r="H429" s="63"/>
      <c r="J429" s="35"/>
    </row>
    <row r="430" spans="1:14" s="36" customFormat="1" hidden="1" x14ac:dyDescent="0.3">
      <c r="A430" s="104">
        <v>1</v>
      </c>
      <c r="B430" s="105"/>
      <c r="C430" s="54"/>
      <c r="D430" s="41"/>
      <c r="E430" s="41">
        <v>0</v>
      </c>
      <c r="F430" s="41" t="e">
        <f>D430*((#REF!)+1)+(IF(E430&lt;101,E430,IF(E430&lt;201,E430/2,IF(E430&lt;=301,E430/3,E430/4))))</f>
        <v>#REF!</v>
      </c>
      <c r="G430" s="104" t="str">
        <f>A429</f>
        <v>Ground Floor</v>
      </c>
      <c r="H430" s="105"/>
      <c r="I430" s="35"/>
      <c r="L430" s="106"/>
      <c r="M430" s="106"/>
      <c r="N430" s="35"/>
    </row>
    <row r="431" spans="1:14" s="36" customFormat="1" hidden="1" x14ac:dyDescent="0.3">
      <c r="A431" s="104">
        <f t="shared" ref="A431:A433" si="118">A430+1</f>
        <v>2</v>
      </c>
      <c r="B431" s="105"/>
      <c r="C431" s="54"/>
      <c r="D431" s="41"/>
      <c r="E431" s="41">
        <v>0</v>
      </c>
      <c r="F431" s="41" t="e">
        <f>D431*((#REF!)+1)+(IF(E431&lt;101,E431,IF(E431&lt;201,E431/2,IF(E431&lt;=301,E431/3,E431/4))))</f>
        <v>#REF!</v>
      </c>
      <c r="G431" s="104" t="str">
        <f t="shared" ref="G431:G433" si="119">G430</f>
        <v>Ground Floor</v>
      </c>
      <c r="H431" s="105"/>
      <c r="I431" s="35"/>
      <c r="L431" s="106"/>
      <c r="M431" s="106"/>
      <c r="N431" s="35"/>
    </row>
    <row r="432" spans="1:14" s="36" customFormat="1" hidden="1" x14ac:dyDescent="0.3">
      <c r="A432" s="104">
        <f t="shared" si="118"/>
        <v>3</v>
      </c>
      <c r="B432" s="105"/>
      <c r="C432" s="54"/>
      <c r="D432" s="41"/>
      <c r="E432" s="41">
        <v>0</v>
      </c>
      <c r="F432" s="41" t="e">
        <f>D432*((#REF!)+1)+(IF(E432&lt;101,E432,IF(E432&lt;201,E432/2,IF(E432&lt;=301,E432/3,E432/4))))</f>
        <v>#REF!</v>
      </c>
      <c r="G432" s="104" t="str">
        <f t="shared" si="119"/>
        <v>Ground Floor</v>
      </c>
      <c r="H432" s="105"/>
      <c r="I432" s="35"/>
      <c r="L432" s="106"/>
      <c r="M432" s="106"/>
      <c r="N432" s="35"/>
    </row>
    <row r="433" spans="1:14" s="36" customFormat="1" hidden="1" x14ac:dyDescent="0.3">
      <c r="A433" s="104">
        <f t="shared" si="118"/>
        <v>4</v>
      </c>
      <c r="B433" s="105"/>
      <c r="C433" s="54"/>
      <c r="D433" s="41"/>
      <c r="E433" s="41">
        <v>0</v>
      </c>
      <c r="F433" s="41" t="e">
        <f>D433*((#REF!)+1)+(IF(E433&lt;101,E433,IF(E433&lt;201,E433/2,IF(E433&lt;=301,E433/3,E433/4))))</f>
        <v>#REF!</v>
      </c>
      <c r="G433" s="104" t="str">
        <f t="shared" si="119"/>
        <v>Ground Floor</v>
      </c>
      <c r="H433" s="105"/>
      <c r="I433" s="35"/>
      <c r="L433" s="106"/>
      <c r="M433" s="106"/>
      <c r="N433" s="35"/>
    </row>
    <row r="434" spans="1:14" s="36" customFormat="1" hidden="1" x14ac:dyDescent="0.3">
      <c r="A434" s="114" t="s">
        <v>121</v>
      </c>
      <c r="B434" s="114"/>
      <c r="C434" s="114"/>
      <c r="D434" s="114"/>
      <c r="E434" s="114"/>
      <c r="F434" s="114"/>
      <c r="G434" s="114"/>
      <c r="H434" s="114"/>
      <c r="I434" s="35"/>
      <c r="L434" s="106"/>
      <c r="M434" s="106"/>
    </row>
    <row r="435" spans="1:14" s="36" customFormat="1" hidden="1" x14ac:dyDescent="0.3">
      <c r="A435" s="110">
        <f>LEFT(A434,SUM(LEN(A434)-LEN(SUBSTITUTE(A434,{"0","1","2","3","4","5","6","7","8","9"},""))))*100+1</f>
        <v>201</v>
      </c>
      <c r="B435" s="110"/>
      <c r="C435" s="54"/>
      <c r="D435" s="41"/>
      <c r="E435" s="41">
        <v>0</v>
      </c>
      <c r="F435" s="41" t="e">
        <f>D435*((#REF!)+1)+(IF(E435&lt;101,E435,IF(E435&lt;201,E435/2,IF(E435&lt;=301,E435/3,E435/4))))</f>
        <v>#REF!</v>
      </c>
      <c r="G435" s="110" t="str">
        <f>A434</f>
        <v>2nd Floor</v>
      </c>
      <c r="H435" s="110"/>
      <c r="I435" s="35"/>
      <c r="N435" s="35"/>
    </row>
    <row r="436" spans="1:14" s="36" customFormat="1" hidden="1" x14ac:dyDescent="0.3">
      <c r="A436" s="110">
        <f>A435+1</f>
        <v>202</v>
      </c>
      <c r="B436" s="110"/>
      <c r="C436" s="54"/>
      <c r="D436" s="41"/>
      <c r="E436" s="41">
        <v>0</v>
      </c>
      <c r="F436" s="41" t="e">
        <f>D436*((#REF!)+1)+(IF(E436&lt;101,E436,IF(E436&lt;201,E436/2,IF(E436&lt;=301,E436/3,E436/4))))</f>
        <v>#REF!</v>
      </c>
      <c r="G436" s="110" t="str">
        <f>G435</f>
        <v>2nd Floor</v>
      </c>
      <c r="H436" s="110"/>
      <c r="I436" s="35"/>
      <c r="N436" s="35"/>
    </row>
    <row r="437" spans="1:14" s="36" customFormat="1" hidden="1" x14ac:dyDescent="0.3">
      <c r="A437" s="110">
        <f>A436+1</f>
        <v>203</v>
      </c>
      <c r="B437" s="110"/>
      <c r="C437" s="54"/>
      <c r="D437" s="41"/>
      <c r="E437" s="41">
        <v>0</v>
      </c>
      <c r="F437" s="41" t="e">
        <f>D437*((#REF!)+1)+(IF(E437&lt;101,E437,IF(E437&lt;201,E437/2,IF(E437&lt;=301,E437/3,E437/4))))</f>
        <v>#REF!</v>
      </c>
      <c r="G437" s="110" t="str">
        <f>G436</f>
        <v>2nd Floor</v>
      </c>
      <c r="H437" s="110"/>
      <c r="I437" s="35"/>
      <c r="N437" s="35"/>
    </row>
    <row r="438" spans="1:14" s="36" customFormat="1" hidden="1" x14ac:dyDescent="0.3">
      <c r="A438" s="110">
        <f>A437+1</f>
        <v>204</v>
      </c>
      <c r="B438" s="110"/>
      <c r="C438" s="54"/>
      <c r="D438" s="41"/>
      <c r="E438" s="41">
        <v>0</v>
      </c>
      <c r="F438" s="41" t="e">
        <f>D438*((#REF!)+1)+(IF(E438&lt;101,E438,IF(E438&lt;201,E438/2,IF(E438&lt;=301,E438/3,E438/4))))</f>
        <v>#REF!</v>
      </c>
      <c r="G438" s="110" t="str">
        <f>G437</f>
        <v>2nd Floor</v>
      </c>
      <c r="H438" s="110"/>
      <c r="I438" s="35"/>
      <c r="N438" s="35"/>
    </row>
    <row r="439" spans="1:14" s="36" customFormat="1" hidden="1" x14ac:dyDescent="0.3">
      <c r="A439" s="110">
        <f>A438+1</f>
        <v>205</v>
      </c>
      <c r="B439" s="110"/>
      <c r="C439" s="54"/>
      <c r="D439" s="41"/>
      <c r="E439" s="41">
        <v>0</v>
      </c>
      <c r="F439" s="41" t="e">
        <f>D439*((#REF!)+1)+(IF(E439&lt;101,E439,IF(E439&lt;201,E439/2,IF(E439&lt;=301,E439/3,E439/4))))</f>
        <v>#REF!</v>
      </c>
      <c r="G439" s="110" t="str">
        <f>G438</f>
        <v>2nd Floor</v>
      </c>
      <c r="H439" s="110"/>
      <c r="I439" s="35"/>
      <c r="N439" s="35"/>
    </row>
    <row r="440" spans="1:14" s="36" customFormat="1" ht="15.75" hidden="1" customHeight="1" x14ac:dyDescent="0.3">
      <c r="A440" s="61" t="s">
        <v>152</v>
      </c>
      <c r="B440" s="62"/>
      <c r="C440" s="62"/>
      <c r="D440" s="62"/>
      <c r="E440" s="62"/>
      <c r="F440" s="62"/>
      <c r="G440" s="62"/>
      <c r="H440" s="63"/>
      <c r="I440" s="35"/>
    </row>
    <row r="441" spans="1:14" s="36" customFormat="1" hidden="1" x14ac:dyDescent="0.3">
      <c r="A441" s="104" t="str">
        <f ca="1">(SUMPRODUCT(MID(0&amp;(LEFT(A440,SUM(LEN(A440)-LEN(SUBSTITUTE(A440,{"0","1","2"},""))))), LARGE(INDEX(ISNUMBER(--MID((LEFT(A440,SUM(LEN(A440)-LEN(SUBSTITUTE(A440,{"0","1","2"},""))))), ROW(INDIRECT("1:"&amp;LEN((LEFT(A440,SUM(LEN(A440)-LEN(SUBSTITUTE(A440,{"0","1","2"},"")))))))), 1)) * ROW(INDIRECT("1:"&amp;LEN((LEFT(A440,SUM(LEN(A440)-LEN(SUBSTITUTE(A440,{"0","1","2"},"")))))))), 0), ROW(INDIRECT("1:"&amp;LEN((LEFT(A440,SUM(LEN(A440)-LEN(SUBSTITUTE(A440,{"0","1","2"},"")))))))))+1, 1) * 10^ROW(INDIRECT("1:"&amp;LEN((LEFT(A440,SUM(LEN(A440)-LEN(SUBSTITUTE(A440,{"0","1","2"},""))))))))/10))*100+1&amp;""&amp;" ,.., "&amp;""&amp;(SUMPRODUCT(MID(0&amp;(--TRIM(RIGHT(SUBSTITUTE(LEFT(A440,_xlfn.AGGREGATE(16,6,FIND({0,1,2,3,4,5,6,7,8,9},A440,ROW(INDIRECT("1:"&amp;LEN(A440)))),1))," ",REPT(" ",LEN(A440))),LEN(A440)))), LARGE(INDEX(ISNUMBER(--MID((--TRIM(RIGHT(SUBSTITUTE(LEFT(A440,_xlfn.AGGREGATE(16,6,FIND({0,1,2,3,4,5,6,7,8,9},A440,ROW(INDIRECT("1:"&amp;LEN(A440)))),1))," ",REPT(" ",LEN(A440))),LEN(A440)))), ROW(INDIRECT("1:"&amp;LEN((--TRIM(RIGHT(SUBSTITUTE(LEFT(A440,_xlfn.AGGREGATE(16,6,FIND({0,1,2,3,4,5,6,7,8,9},A440,ROW(INDIRECT("1:"&amp;LEN(A440)))),1))," ",REPT(" ",LEN(A440))),LEN(A440))))))), 1)) * ROW(INDIRECT("1:"&amp;LEN((--TRIM(RIGHT(SUBSTITUTE(LEFT(A440,_xlfn.AGGREGATE(16,6,FIND({0,1,2,3,4,5,6,7,8,9},A440,ROW(INDIRECT("1:"&amp;LEN(A440)))),1))," ",REPT(" ",LEN(A440))),LEN(A440))))))), 0), ROW(INDIRECT("1:"&amp;LEN((--TRIM(RIGHT(SUBSTITUTE(LEFT(A440,_xlfn.AGGREGATE(16,6,FIND({0,1,2,3,4,5,6,7,8,9},A440,ROW(INDIRECT("1:"&amp;LEN(A440)))),1))," ",REPT(" ",LEN(A440))),LEN(A440))))))))+1, 1) * 10^ROW(INDIRECT("1:"&amp;LEN((--TRIM(RIGHT(SUBSTITUTE(LEFT(A440,_xlfn.AGGREGATE(16,6,FIND({0,1,2,3,4,5,6,7,8,9},A440,ROW(INDIRECT("1:"&amp;LEN(A440)))),1))," ",REPT(" ",LEN(A440))),LEN(A440)))))))/10))*100+1</f>
        <v>301 ,.., 1501</v>
      </c>
      <c r="B441" s="105"/>
      <c r="C441" s="54"/>
      <c r="D441" s="41"/>
      <c r="E441" s="41">
        <v>0</v>
      </c>
      <c r="F441" s="41" t="e">
        <f>D441*((#REF!)+1)+(IF(E441&lt;101,E441,IF(E441&lt;201,E441/2,IF(E441&lt;=301,E441/3,E441/4))))</f>
        <v>#REF!</v>
      </c>
      <c r="G441" s="104" t="str">
        <f>A440</f>
        <v>3rd, 5th, 7th, 9th, 11th, 13th, 15th Floor</v>
      </c>
      <c r="H441" s="105"/>
      <c r="I441" s="35"/>
    </row>
    <row r="442" spans="1:14" s="36" customFormat="1" hidden="1" x14ac:dyDescent="0.3">
      <c r="A442" s="104" t="str">
        <f ca="1">(SUMPRODUCT(MID(0&amp;(LEFT(A441,SUM(LEN(A441)-LEN(SUBSTITUTE(A441,{"0","1","2"},""))))), LARGE(INDEX(ISNUMBER(--MID((LEFT(A441,SUM(LEN(A441)-LEN(SUBSTITUTE(A441,{"0","1","2"},""))))), ROW(INDIRECT("1:"&amp;LEN((LEFT(A441,SUM(LEN(A441)-LEN(SUBSTITUTE(A441,{"0","1","2"},"")))))))), 1)) * ROW(INDIRECT("1:"&amp;LEN((LEFT(A441,SUM(LEN(A441)-LEN(SUBSTITUTE(A441,{"0","1","2"},"")))))))), 0), ROW(INDIRECT("1:"&amp;LEN((LEFT(A441,SUM(LEN(A441)-LEN(SUBSTITUTE(A441,{"0","1","2"},"")))))))))+1, 1) * 10^ROW(INDIRECT("1:"&amp;LEN((LEFT(A441,SUM(LEN(A441)-LEN(SUBSTITUTE(A441,{"0","1","2"},""))))))))/10))*1+1&amp;""&amp;" ,.., "&amp;""&amp;(SUMPRODUCT(MID(0&amp;(--TRIM(RIGHT(SUBSTITUTE(LEFT(A441,_xlfn.AGGREGATE(16,6,FIND({0,1,2,3,4,5,6,7,8,9},A441,ROW(INDIRECT("1:"&amp;LEN(A441)))),1))," ",REPT(" ",LEN(A441))),LEN(A441)))), LARGE(INDEX(ISNUMBER(--MID((--TRIM(RIGHT(SUBSTITUTE(LEFT(A441,_xlfn.AGGREGATE(16,6,FIND({0,1,2,3,4,5,6,7,8,9},A441,ROW(INDIRECT("1:"&amp;LEN(A441)))),1))," ",REPT(" ",LEN(A441))),LEN(A441)))), ROW(INDIRECT("1:"&amp;LEN((--TRIM(RIGHT(SUBSTITUTE(LEFT(A441,_xlfn.AGGREGATE(16,6,FIND({0,1,2,3,4,5,6,7,8,9},A441,ROW(INDIRECT("1:"&amp;LEN(A441)))),1))," ",REPT(" ",LEN(A441))),LEN(A441))))))), 1)) * ROW(INDIRECT("1:"&amp;LEN((--TRIM(RIGHT(SUBSTITUTE(LEFT(A441,_xlfn.AGGREGATE(16,6,FIND({0,1,2,3,4,5,6,7,8,9},A441,ROW(INDIRECT("1:"&amp;LEN(A441)))),1))," ",REPT(" ",LEN(A441))),LEN(A441))))))), 0), ROW(INDIRECT("1:"&amp;LEN((--TRIM(RIGHT(SUBSTITUTE(LEFT(A441,_xlfn.AGGREGATE(16,6,FIND({0,1,2,3,4,5,6,7,8,9},A441,ROW(INDIRECT("1:"&amp;LEN(A441)))),1))," ",REPT(" ",LEN(A441))),LEN(A441))))))))+1, 1) * 10^ROW(INDIRECT("1:"&amp;LEN((--TRIM(RIGHT(SUBSTITUTE(LEFT(A441,_xlfn.AGGREGATE(16,6,FIND({0,1,2,3,4,5,6,7,8,9},A441,ROW(INDIRECT("1:"&amp;LEN(A441)))),1))," ",REPT(" ",LEN(A441))),LEN(A441)))))))/10))*1+1</f>
        <v>302 ,.., 1502</v>
      </c>
      <c r="B442" s="105"/>
      <c r="C442" s="54"/>
      <c r="D442" s="41"/>
      <c r="E442" s="41">
        <v>0</v>
      </c>
      <c r="F442" s="41" t="e">
        <f>D442*((#REF!)+1)+(IF(E442&lt;101,E442,IF(E442&lt;201,E442/2,IF(E442&lt;=301,E442/3,E442/4))))</f>
        <v>#REF!</v>
      </c>
      <c r="G442" s="104" t="str">
        <f>G441</f>
        <v>3rd, 5th, 7th, 9th, 11th, 13th, 15th Floor</v>
      </c>
      <c r="H442" s="105"/>
      <c r="I442" s="35"/>
    </row>
    <row r="443" spans="1:14" s="36" customFormat="1" ht="15.75" hidden="1" customHeight="1" x14ac:dyDescent="0.3">
      <c r="A443" s="104" t="str">
        <f ca="1">(SUMPRODUCT(MID(0&amp;(LEFT(A442,SUM(LEN(A442)-LEN(SUBSTITUTE(A442,{"0","1","2"},""))))), LARGE(INDEX(ISNUMBER(--MID((LEFT(A442,SUM(LEN(A442)-LEN(SUBSTITUTE(A442,{"0","1","2"},""))))), ROW(INDIRECT("1:"&amp;LEN((LEFT(A442,SUM(LEN(A442)-LEN(SUBSTITUTE(A442,{"0","1","2"},"")))))))), 1)) * ROW(INDIRECT("1:"&amp;LEN((LEFT(A442,SUM(LEN(A442)-LEN(SUBSTITUTE(A442,{"0","1","2"},"")))))))), 0), ROW(INDIRECT("1:"&amp;LEN((LEFT(A442,SUM(LEN(A442)-LEN(SUBSTITUTE(A442,{"0","1","2"},"")))))))))+1, 1) * 10^ROW(INDIRECT("1:"&amp;LEN((LEFT(A442,SUM(LEN(A442)-LEN(SUBSTITUTE(A442,{"0","1","2"},""))))))))/10))*1+1&amp;""&amp;" ,.., "&amp;""&amp;(SUMPRODUCT(MID(0&amp;(--TRIM(RIGHT(SUBSTITUTE(LEFT(A442,_xlfn.AGGREGATE(16,6,FIND({0,1,2,3,4,5,6,7,8,9},A442,ROW(INDIRECT("1:"&amp;LEN(A442)))),1))," ",REPT(" ",LEN(A442))),LEN(A442)))), LARGE(INDEX(ISNUMBER(--MID((--TRIM(RIGHT(SUBSTITUTE(LEFT(A442,_xlfn.AGGREGATE(16,6,FIND({0,1,2,3,4,5,6,7,8,9},A442,ROW(INDIRECT("1:"&amp;LEN(A442)))),1))," ",REPT(" ",LEN(A442))),LEN(A442)))), ROW(INDIRECT("1:"&amp;LEN((--TRIM(RIGHT(SUBSTITUTE(LEFT(A442,_xlfn.AGGREGATE(16,6,FIND({0,1,2,3,4,5,6,7,8,9},A442,ROW(INDIRECT("1:"&amp;LEN(A442)))),1))," ",REPT(" ",LEN(A442))),LEN(A442))))))), 1)) * ROW(INDIRECT("1:"&amp;LEN((--TRIM(RIGHT(SUBSTITUTE(LEFT(A442,_xlfn.AGGREGATE(16,6,FIND({0,1,2,3,4,5,6,7,8,9},A442,ROW(INDIRECT("1:"&amp;LEN(A442)))),1))," ",REPT(" ",LEN(A442))),LEN(A442))))))), 0), ROW(INDIRECT("1:"&amp;LEN((--TRIM(RIGHT(SUBSTITUTE(LEFT(A442,_xlfn.AGGREGATE(16,6,FIND({0,1,2,3,4,5,6,7,8,9},A442,ROW(INDIRECT("1:"&amp;LEN(A442)))),1))," ",REPT(" ",LEN(A442))),LEN(A442))))))))+1, 1) * 10^ROW(INDIRECT("1:"&amp;LEN((--TRIM(RIGHT(SUBSTITUTE(LEFT(A442,_xlfn.AGGREGATE(16,6,FIND({0,1,2,3,4,5,6,7,8,9},A442,ROW(INDIRECT("1:"&amp;LEN(A442)))),1))," ",REPT(" ",LEN(A442))),LEN(A442)))))))/10))*1+1</f>
        <v>303 ,.., 1503</v>
      </c>
      <c r="B443" s="105"/>
      <c r="C443" s="54"/>
      <c r="D443" s="41"/>
      <c r="E443" s="41">
        <v>0</v>
      </c>
      <c r="F443" s="41" t="e">
        <f>D443*((#REF!)+1)+(IF(E443&lt;101,E443,IF(E443&lt;201,E443/2,IF(E443&lt;=301,E443/3,E443/4))))</f>
        <v>#REF!</v>
      </c>
      <c r="G443" s="104" t="str">
        <f>G442</f>
        <v>3rd, 5th, 7th, 9th, 11th, 13th, 15th Floor</v>
      </c>
      <c r="H443" s="105"/>
      <c r="I443" s="35"/>
    </row>
    <row r="444" spans="1:14" s="36" customFormat="1" ht="15.75" hidden="1" customHeight="1" x14ac:dyDescent="0.3">
      <c r="A444" s="104" t="str">
        <f ca="1">(SUMPRODUCT(MID(0&amp;(LEFT(A443,SUM(LEN(A443)-LEN(SUBSTITUTE(A443,{"0","1","2"},""))))), LARGE(INDEX(ISNUMBER(--MID((LEFT(A443,SUM(LEN(A443)-LEN(SUBSTITUTE(A443,{"0","1","2"},""))))), ROW(INDIRECT("1:"&amp;LEN((LEFT(A443,SUM(LEN(A443)-LEN(SUBSTITUTE(A443,{"0","1","2"},"")))))))), 1)) * ROW(INDIRECT("1:"&amp;LEN((LEFT(A443,SUM(LEN(A443)-LEN(SUBSTITUTE(A443,{"0","1","2"},"")))))))), 0), ROW(INDIRECT("1:"&amp;LEN((LEFT(A443,SUM(LEN(A443)-LEN(SUBSTITUTE(A443,{"0","1","2"},"")))))))))+1, 1) * 10^ROW(INDIRECT("1:"&amp;LEN((LEFT(A443,SUM(LEN(A443)-LEN(SUBSTITUTE(A443,{"0","1","2"},""))))))))/10))*1+1&amp;""&amp;" ,.., "&amp;""&amp;(SUMPRODUCT(MID(0&amp;(--TRIM(RIGHT(SUBSTITUTE(LEFT(A443,_xlfn.AGGREGATE(16,6,FIND({0,1,2,3,4,5,6,7,8,9},A443,ROW(INDIRECT("1:"&amp;LEN(A443)))),1))," ",REPT(" ",LEN(A443))),LEN(A443)))), LARGE(INDEX(ISNUMBER(--MID((--TRIM(RIGHT(SUBSTITUTE(LEFT(A443,_xlfn.AGGREGATE(16,6,FIND({0,1,2,3,4,5,6,7,8,9},A443,ROW(INDIRECT("1:"&amp;LEN(A443)))),1))," ",REPT(" ",LEN(A443))),LEN(A443)))), ROW(INDIRECT("1:"&amp;LEN((--TRIM(RIGHT(SUBSTITUTE(LEFT(A443,_xlfn.AGGREGATE(16,6,FIND({0,1,2,3,4,5,6,7,8,9},A443,ROW(INDIRECT("1:"&amp;LEN(A443)))),1))," ",REPT(" ",LEN(A443))),LEN(A443))))))), 1)) * ROW(INDIRECT("1:"&amp;LEN((--TRIM(RIGHT(SUBSTITUTE(LEFT(A443,_xlfn.AGGREGATE(16,6,FIND({0,1,2,3,4,5,6,7,8,9},A443,ROW(INDIRECT("1:"&amp;LEN(A443)))),1))," ",REPT(" ",LEN(A443))),LEN(A443))))))), 0), ROW(INDIRECT("1:"&amp;LEN((--TRIM(RIGHT(SUBSTITUTE(LEFT(A443,_xlfn.AGGREGATE(16,6,FIND({0,1,2,3,4,5,6,7,8,9},A443,ROW(INDIRECT("1:"&amp;LEN(A443)))),1))," ",REPT(" ",LEN(A443))),LEN(A443))))))))+1, 1) * 10^ROW(INDIRECT("1:"&amp;LEN((--TRIM(RIGHT(SUBSTITUTE(LEFT(A443,_xlfn.AGGREGATE(16,6,FIND({0,1,2,3,4,5,6,7,8,9},A443,ROW(INDIRECT("1:"&amp;LEN(A443)))),1))," ",REPT(" ",LEN(A443))),LEN(A443)))))))/10))*1+1</f>
        <v>304 ,.., 1504</v>
      </c>
      <c r="B444" s="105"/>
      <c r="C444" s="54"/>
      <c r="D444" s="41"/>
      <c r="E444" s="41">
        <v>0</v>
      </c>
      <c r="F444" s="41" t="e">
        <f>D444*((#REF!)+1)+(IF(E444&lt;101,E444,IF(E444&lt;201,E444/2,IF(E444&lt;=301,E444/3,E444/4))))</f>
        <v>#REF!</v>
      </c>
      <c r="G444" s="104" t="str">
        <f>G443</f>
        <v>3rd, 5th, 7th, 9th, 11th, 13th, 15th Floor</v>
      </c>
      <c r="H444" s="105"/>
      <c r="I444" s="35"/>
    </row>
    <row r="445" spans="1:14" s="36" customFormat="1" ht="15.75" hidden="1" customHeight="1" x14ac:dyDescent="0.3">
      <c r="A445" s="104" t="str">
        <f ca="1">(SUMPRODUCT(MID(0&amp;(LEFT(A444,SUM(LEN(A444)-LEN(SUBSTITUTE(A444,{"0","1","2"},""))))), LARGE(INDEX(ISNUMBER(--MID((LEFT(A444,SUM(LEN(A444)-LEN(SUBSTITUTE(A444,{"0","1","2"},""))))), ROW(INDIRECT("1:"&amp;LEN((LEFT(A444,SUM(LEN(A444)-LEN(SUBSTITUTE(A444,{"0","1","2"},"")))))))), 1)) * ROW(INDIRECT("1:"&amp;LEN((LEFT(A444,SUM(LEN(A444)-LEN(SUBSTITUTE(A444,{"0","1","2"},"")))))))), 0), ROW(INDIRECT("1:"&amp;LEN((LEFT(A444,SUM(LEN(A444)-LEN(SUBSTITUTE(A444,{"0","1","2"},"")))))))))+1, 1) * 10^ROW(INDIRECT("1:"&amp;LEN((LEFT(A444,SUM(LEN(A444)-LEN(SUBSTITUTE(A444,{"0","1","2"},""))))))))/10))*1+1&amp;""&amp;" ,.., "&amp;""&amp;(SUMPRODUCT(MID(0&amp;(--TRIM(RIGHT(SUBSTITUTE(LEFT(A444,_xlfn.AGGREGATE(16,6,FIND({0,1,2,3,4,5,6,7,8,9},A444,ROW(INDIRECT("1:"&amp;LEN(A444)))),1))," ",REPT(" ",LEN(A444))),LEN(A444)))), LARGE(INDEX(ISNUMBER(--MID((--TRIM(RIGHT(SUBSTITUTE(LEFT(A444,_xlfn.AGGREGATE(16,6,FIND({0,1,2,3,4,5,6,7,8,9},A444,ROW(INDIRECT("1:"&amp;LEN(A444)))),1))," ",REPT(" ",LEN(A444))),LEN(A444)))), ROW(INDIRECT("1:"&amp;LEN((--TRIM(RIGHT(SUBSTITUTE(LEFT(A444,_xlfn.AGGREGATE(16,6,FIND({0,1,2,3,4,5,6,7,8,9},A444,ROW(INDIRECT("1:"&amp;LEN(A444)))),1))," ",REPT(" ",LEN(A444))),LEN(A444))))))), 1)) * ROW(INDIRECT("1:"&amp;LEN((--TRIM(RIGHT(SUBSTITUTE(LEFT(A444,_xlfn.AGGREGATE(16,6,FIND({0,1,2,3,4,5,6,7,8,9},A444,ROW(INDIRECT("1:"&amp;LEN(A444)))),1))," ",REPT(" ",LEN(A444))),LEN(A444))))))), 0), ROW(INDIRECT("1:"&amp;LEN((--TRIM(RIGHT(SUBSTITUTE(LEFT(A444,_xlfn.AGGREGATE(16,6,FIND({0,1,2,3,4,5,6,7,8,9},A444,ROW(INDIRECT("1:"&amp;LEN(A444)))),1))," ",REPT(" ",LEN(A444))),LEN(A444))))))))+1, 1) * 10^ROW(INDIRECT("1:"&amp;LEN((--TRIM(RIGHT(SUBSTITUTE(LEFT(A444,_xlfn.AGGREGATE(16,6,FIND({0,1,2,3,4,5,6,7,8,9},A444,ROW(INDIRECT("1:"&amp;LEN(A444)))),1))," ",REPT(" ",LEN(A444))),LEN(A444)))))))/10))*1+1</f>
        <v>305 ,.., 1505</v>
      </c>
      <c r="B445" s="105"/>
      <c r="C445" s="54"/>
      <c r="D445" s="41"/>
      <c r="E445" s="41">
        <v>0</v>
      </c>
      <c r="F445" s="41" t="e">
        <f>D445*((#REF!)+1)+(IF(E445&lt;101,E445,IF(E445&lt;201,E445/2,IF(E445&lt;=301,E445/3,E445/4))))</f>
        <v>#REF!</v>
      </c>
      <c r="G445" s="104" t="str">
        <f>G444</f>
        <v>3rd, 5th, 7th, 9th, 11th, 13th, 15th Floor</v>
      </c>
      <c r="H445" s="105"/>
      <c r="I445" s="35"/>
    </row>
    <row r="446" spans="1:14" s="36" customFormat="1" hidden="1" x14ac:dyDescent="0.3">
      <c r="A446" s="61" t="s">
        <v>146</v>
      </c>
      <c r="B446" s="62"/>
      <c r="C446" s="62"/>
      <c r="D446" s="62"/>
      <c r="E446" s="62"/>
      <c r="F446" s="62"/>
      <c r="G446" s="62"/>
      <c r="H446" s="63"/>
      <c r="I446" s="35"/>
    </row>
    <row r="447" spans="1:14" s="36" customFormat="1" hidden="1" x14ac:dyDescent="0.3">
      <c r="A447" s="104" t="str">
        <f ca="1">(SUMPRODUCT(MID(0&amp;(LEFT(A446,SUM(LEN(A446)-LEN(SUBSTITUTE(A446,{"0","1","2"},""))))), LARGE(INDEX(ISNUMBER(--MID((LEFT(A446,SUM(LEN(A446)-LEN(SUBSTITUTE(A446,{"0","1","2"},""))))), ROW(INDIRECT("1:"&amp;LEN((LEFT(A446,SUM(LEN(A446)-LEN(SUBSTITUTE(A446,{"0","1","2"},"")))))))), 1)) * ROW(INDIRECT("1:"&amp;LEN((LEFT(A446,SUM(LEN(A446)-LEN(SUBSTITUTE(A446,{"0","1","2"},"")))))))), 0), ROW(INDIRECT("1:"&amp;LEN((LEFT(A446,SUM(LEN(A446)-LEN(SUBSTITUTE(A446,{"0","1","2"},"")))))))))+1, 1) * 10^ROW(INDIRECT("1:"&amp;LEN((LEFT(A446,SUM(LEN(A446)-LEN(SUBSTITUTE(A446,{"0","1","2"},""))))))))/10))*100+1&amp;""&amp;" to "&amp;""&amp;(SUMPRODUCT(MID(0&amp;(--TRIM(RIGHT(SUBSTITUTE(LEFT(A446,_xlfn.AGGREGATE(16,6,FIND({0,1,2,3,4,5,6,7,8,9},A446,ROW(INDIRECT("1:"&amp;LEN(A446)))),1))," ",REPT(" ",LEN(A446))),LEN(A446)))), LARGE(INDEX(ISNUMBER(--MID((--TRIM(RIGHT(SUBSTITUTE(LEFT(A446,_xlfn.AGGREGATE(16,6,FIND({0,1,2,3,4,5,6,7,8,9},A446,ROW(INDIRECT("1:"&amp;LEN(A446)))),1))," ",REPT(" ",LEN(A446))),LEN(A446)))), ROW(INDIRECT("1:"&amp;LEN((--TRIM(RIGHT(SUBSTITUTE(LEFT(A446,_xlfn.AGGREGATE(16,6,FIND({0,1,2,3,4,5,6,7,8,9},A446,ROW(INDIRECT("1:"&amp;LEN(A446)))),1))," ",REPT(" ",LEN(A446))),LEN(A446))))))), 1)) * ROW(INDIRECT("1:"&amp;LEN((--TRIM(RIGHT(SUBSTITUTE(LEFT(A446,_xlfn.AGGREGATE(16,6,FIND({0,1,2,3,4,5,6,7,8,9},A446,ROW(INDIRECT("1:"&amp;LEN(A446)))),1))," ",REPT(" ",LEN(A446))),LEN(A446))))))), 0), ROW(INDIRECT("1:"&amp;LEN((--TRIM(RIGHT(SUBSTITUTE(LEFT(A446,_xlfn.AGGREGATE(16,6,FIND({0,1,2,3,4,5,6,7,8,9},A446,ROW(INDIRECT("1:"&amp;LEN(A446)))),1))," ",REPT(" ",LEN(A446))),LEN(A446))))))))+1, 1) * 10^ROW(INDIRECT("1:"&amp;LEN((--TRIM(RIGHT(SUBSTITUTE(LEFT(A446,_xlfn.AGGREGATE(16,6,FIND({0,1,2,3,4,5,6,7,8,9},A446,ROW(INDIRECT("1:"&amp;LEN(A446)))),1))," ",REPT(" ",LEN(A446))),LEN(A446)))))))/10))*100+1</f>
        <v>201 to 501</v>
      </c>
      <c r="B447" s="105"/>
      <c r="C447" s="54"/>
      <c r="D447" s="41"/>
      <c r="E447" s="41">
        <v>0</v>
      </c>
      <c r="F447" s="41" t="e">
        <f>D447*((#REF!)+1)+(IF(E447&lt;101,E447,IF(E447&lt;201,E447/2,IF(E447&lt;=301,E447/3,E447/4))))</f>
        <v>#REF!</v>
      </c>
      <c r="G447" s="104" t="str">
        <f>A446</f>
        <v>2nd to 5th Floor</v>
      </c>
      <c r="H447" s="105"/>
      <c r="I447" s="35"/>
    </row>
    <row r="448" spans="1:14" s="36" customFormat="1" hidden="1" x14ac:dyDescent="0.3">
      <c r="A448" s="104" t="str">
        <f ca="1">(SUMPRODUCT(MID(0&amp;(LEFT(A447,SUM(LEN(A447)-LEN(SUBSTITUTE(A447,{"0","1","2"},""))))), LARGE(INDEX(ISNUMBER(--MID((LEFT(A447,SUM(LEN(A447)-LEN(SUBSTITUTE(A447,{"0","1","2"},""))))), ROW(INDIRECT("1:"&amp;LEN((LEFT(A447,SUM(LEN(A447)-LEN(SUBSTITUTE(A447,{"0","1","2"},"")))))))), 1)) * ROW(INDIRECT("1:"&amp;LEN((LEFT(A447,SUM(LEN(A447)-LEN(SUBSTITUTE(A447,{"0","1","2"},"")))))))), 0), ROW(INDIRECT("1:"&amp;LEN((LEFT(A447,SUM(LEN(A447)-LEN(SUBSTITUTE(A447,{"0","1","2"},"")))))))))+1, 1) * 10^ROW(INDIRECT("1:"&amp;LEN((LEFT(A447,SUM(LEN(A447)-LEN(SUBSTITUTE(A447,{"0","1","2"},""))))))))/10))*1+1&amp;""&amp;" to "&amp;""&amp;(SUMPRODUCT(MID(0&amp;(--TRIM(RIGHT(SUBSTITUTE(LEFT(A447,_xlfn.AGGREGATE(16,6,FIND({0,1,2,3,4,5,6,7,8,9},A447,ROW(INDIRECT("1:"&amp;LEN(A447)))),1))," ",REPT(" ",LEN(A447))),LEN(A447)))), LARGE(INDEX(ISNUMBER(--MID((--TRIM(RIGHT(SUBSTITUTE(LEFT(A447,_xlfn.AGGREGATE(16,6,FIND({0,1,2,3,4,5,6,7,8,9},A447,ROW(INDIRECT("1:"&amp;LEN(A447)))),1))," ",REPT(" ",LEN(A447))),LEN(A447)))), ROW(INDIRECT("1:"&amp;LEN((--TRIM(RIGHT(SUBSTITUTE(LEFT(A447,_xlfn.AGGREGATE(16,6,FIND({0,1,2,3,4,5,6,7,8,9},A447,ROW(INDIRECT("1:"&amp;LEN(A447)))),1))," ",REPT(" ",LEN(A447))),LEN(A447))))))), 1)) * ROW(INDIRECT("1:"&amp;LEN((--TRIM(RIGHT(SUBSTITUTE(LEFT(A447,_xlfn.AGGREGATE(16,6,FIND({0,1,2,3,4,5,6,7,8,9},A447,ROW(INDIRECT("1:"&amp;LEN(A447)))),1))," ",REPT(" ",LEN(A447))),LEN(A447))))))), 0), ROW(INDIRECT("1:"&amp;LEN((--TRIM(RIGHT(SUBSTITUTE(LEFT(A447,_xlfn.AGGREGATE(16,6,FIND({0,1,2,3,4,5,6,7,8,9},A447,ROW(INDIRECT("1:"&amp;LEN(A447)))),1))," ",REPT(" ",LEN(A447))),LEN(A447))))))))+1, 1) * 10^ROW(INDIRECT("1:"&amp;LEN((--TRIM(RIGHT(SUBSTITUTE(LEFT(A447,_xlfn.AGGREGATE(16,6,FIND({0,1,2,3,4,5,6,7,8,9},A447,ROW(INDIRECT("1:"&amp;LEN(A447)))),1))," ",REPT(" ",LEN(A447))),LEN(A447)))))))/10))*1+1</f>
        <v>202 to 502</v>
      </c>
      <c r="B448" s="105"/>
      <c r="C448" s="54"/>
      <c r="D448" s="41"/>
      <c r="E448" s="41">
        <v>0</v>
      </c>
      <c r="F448" s="41" t="e">
        <f>D448*((#REF!)+1)+(IF(E448&lt;101,E448,IF(E448&lt;201,E448/2,IF(E448&lt;=301,E448/3,E448/4))))</f>
        <v>#REF!</v>
      </c>
      <c r="G448" s="104" t="str">
        <f>G447</f>
        <v>2nd to 5th Floor</v>
      </c>
      <c r="H448" s="105"/>
      <c r="I448" s="35"/>
    </row>
    <row r="449" spans="1:9" s="36" customFormat="1" hidden="1" x14ac:dyDescent="0.3">
      <c r="A449" s="104" t="str">
        <f ca="1">(SUMPRODUCT(MID(0&amp;(LEFT(A448,SUM(LEN(A448)-LEN(SUBSTITUTE(A448,{"0","1","2"},""))))), LARGE(INDEX(ISNUMBER(--MID((LEFT(A448,SUM(LEN(A448)-LEN(SUBSTITUTE(A448,{"0","1","2"},""))))), ROW(INDIRECT("1:"&amp;LEN((LEFT(A448,SUM(LEN(A448)-LEN(SUBSTITUTE(A448,{"0","1","2"},"")))))))), 1)) * ROW(INDIRECT("1:"&amp;LEN((LEFT(A448,SUM(LEN(A448)-LEN(SUBSTITUTE(A448,{"0","1","2"},"")))))))), 0), ROW(INDIRECT("1:"&amp;LEN((LEFT(A448,SUM(LEN(A448)-LEN(SUBSTITUTE(A448,{"0","1","2"},"")))))))))+1, 1) * 10^ROW(INDIRECT("1:"&amp;LEN((LEFT(A448,SUM(LEN(A448)-LEN(SUBSTITUTE(A448,{"0","1","2"},""))))))))/10))*1+1&amp;""&amp;" to "&amp;""&amp;(SUMPRODUCT(MID(0&amp;(--TRIM(RIGHT(SUBSTITUTE(LEFT(A448,_xlfn.AGGREGATE(16,6,FIND({0,1,2,3,4,5,6,7,8,9},A448,ROW(INDIRECT("1:"&amp;LEN(A448)))),1))," ",REPT(" ",LEN(A448))),LEN(A448)))), LARGE(INDEX(ISNUMBER(--MID((--TRIM(RIGHT(SUBSTITUTE(LEFT(A448,_xlfn.AGGREGATE(16,6,FIND({0,1,2,3,4,5,6,7,8,9},A448,ROW(INDIRECT("1:"&amp;LEN(A448)))),1))," ",REPT(" ",LEN(A448))),LEN(A448)))), ROW(INDIRECT("1:"&amp;LEN((--TRIM(RIGHT(SUBSTITUTE(LEFT(A448,_xlfn.AGGREGATE(16,6,FIND({0,1,2,3,4,5,6,7,8,9},A448,ROW(INDIRECT("1:"&amp;LEN(A448)))),1))," ",REPT(" ",LEN(A448))),LEN(A448))))))), 1)) * ROW(INDIRECT("1:"&amp;LEN((--TRIM(RIGHT(SUBSTITUTE(LEFT(A448,_xlfn.AGGREGATE(16,6,FIND({0,1,2,3,4,5,6,7,8,9},A448,ROW(INDIRECT("1:"&amp;LEN(A448)))),1))," ",REPT(" ",LEN(A448))),LEN(A448))))))), 0), ROW(INDIRECT("1:"&amp;LEN((--TRIM(RIGHT(SUBSTITUTE(LEFT(A448,_xlfn.AGGREGATE(16,6,FIND({0,1,2,3,4,5,6,7,8,9},A448,ROW(INDIRECT("1:"&amp;LEN(A448)))),1))," ",REPT(" ",LEN(A448))),LEN(A448))))))))+1, 1) * 10^ROW(INDIRECT("1:"&amp;LEN((--TRIM(RIGHT(SUBSTITUTE(LEFT(A448,_xlfn.AGGREGATE(16,6,FIND({0,1,2,3,4,5,6,7,8,9},A448,ROW(INDIRECT("1:"&amp;LEN(A448)))),1))," ",REPT(" ",LEN(A448))),LEN(A448)))))))/10))*1+1</f>
        <v>203 to 503</v>
      </c>
      <c r="B449" s="105"/>
      <c r="C449" s="54"/>
      <c r="D449" s="41"/>
      <c r="E449" s="41">
        <v>0</v>
      </c>
      <c r="F449" s="41" t="e">
        <f>D449*((#REF!)+1)+(IF(E449&lt;101,E449,IF(E449&lt;201,E449/2,IF(E449&lt;=301,E449/3,E449/4))))</f>
        <v>#REF!</v>
      </c>
      <c r="G449" s="104" t="str">
        <f>G448</f>
        <v>2nd to 5th Floor</v>
      </c>
      <c r="H449" s="105"/>
      <c r="I449" s="35"/>
    </row>
    <row r="450" spans="1:9" s="36" customFormat="1" hidden="1" x14ac:dyDescent="0.3">
      <c r="A450" s="104" t="str">
        <f ca="1">(SUMPRODUCT(MID(0&amp;(LEFT(A449,SUM(LEN(A449)-LEN(SUBSTITUTE(A449,{"0","1","2"},""))))), LARGE(INDEX(ISNUMBER(--MID((LEFT(A449,SUM(LEN(A449)-LEN(SUBSTITUTE(A449,{"0","1","2"},""))))), ROW(INDIRECT("1:"&amp;LEN((LEFT(A449,SUM(LEN(A449)-LEN(SUBSTITUTE(A449,{"0","1","2"},"")))))))), 1)) * ROW(INDIRECT("1:"&amp;LEN((LEFT(A449,SUM(LEN(A449)-LEN(SUBSTITUTE(A449,{"0","1","2"},"")))))))), 0), ROW(INDIRECT("1:"&amp;LEN((LEFT(A449,SUM(LEN(A449)-LEN(SUBSTITUTE(A449,{"0","1","2"},"")))))))))+1, 1) * 10^ROW(INDIRECT("1:"&amp;LEN((LEFT(A449,SUM(LEN(A449)-LEN(SUBSTITUTE(A449,{"0","1","2"},""))))))))/10))*1+1&amp;""&amp;" to "&amp;""&amp;(SUMPRODUCT(MID(0&amp;(--TRIM(RIGHT(SUBSTITUTE(LEFT(A449,_xlfn.AGGREGATE(16,6,FIND({0,1,2,3,4,5,6,7,8,9},A449,ROW(INDIRECT("1:"&amp;LEN(A449)))),1))," ",REPT(" ",LEN(A449))),LEN(A449)))), LARGE(INDEX(ISNUMBER(--MID((--TRIM(RIGHT(SUBSTITUTE(LEFT(A449,_xlfn.AGGREGATE(16,6,FIND({0,1,2,3,4,5,6,7,8,9},A449,ROW(INDIRECT("1:"&amp;LEN(A449)))),1))," ",REPT(" ",LEN(A449))),LEN(A449)))), ROW(INDIRECT("1:"&amp;LEN((--TRIM(RIGHT(SUBSTITUTE(LEFT(A449,_xlfn.AGGREGATE(16,6,FIND({0,1,2,3,4,5,6,7,8,9},A449,ROW(INDIRECT("1:"&amp;LEN(A449)))),1))," ",REPT(" ",LEN(A449))),LEN(A449))))))), 1)) * ROW(INDIRECT("1:"&amp;LEN((--TRIM(RIGHT(SUBSTITUTE(LEFT(A449,_xlfn.AGGREGATE(16,6,FIND({0,1,2,3,4,5,6,7,8,9},A449,ROW(INDIRECT("1:"&amp;LEN(A449)))),1))," ",REPT(" ",LEN(A449))),LEN(A449))))))), 0), ROW(INDIRECT("1:"&amp;LEN((--TRIM(RIGHT(SUBSTITUTE(LEFT(A449,_xlfn.AGGREGATE(16,6,FIND({0,1,2,3,4,5,6,7,8,9},A449,ROW(INDIRECT("1:"&amp;LEN(A449)))),1))," ",REPT(" ",LEN(A449))),LEN(A449))))))))+1, 1) * 10^ROW(INDIRECT("1:"&amp;LEN((--TRIM(RIGHT(SUBSTITUTE(LEFT(A449,_xlfn.AGGREGATE(16,6,FIND({0,1,2,3,4,5,6,7,8,9},A449,ROW(INDIRECT("1:"&amp;LEN(A449)))),1))," ",REPT(" ",LEN(A449))),LEN(A449)))))))/10))*1+1</f>
        <v>204 to 504</v>
      </c>
      <c r="B450" s="105"/>
      <c r="C450" s="54"/>
      <c r="D450" s="41"/>
      <c r="E450" s="41">
        <v>0</v>
      </c>
      <c r="F450" s="41" t="e">
        <f>D450*((#REF!)+1)+(IF(E450&lt;101,E450,IF(E450&lt;201,E450/2,IF(E450&lt;=301,E450/3,E450/4))))</f>
        <v>#REF!</v>
      </c>
      <c r="G450" s="104" t="str">
        <f>G449</f>
        <v>2nd to 5th Floor</v>
      </c>
      <c r="H450" s="105"/>
      <c r="I450" s="35"/>
    </row>
    <row r="451" spans="1:9" s="36" customFormat="1" hidden="1" x14ac:dyDescent="0.3">
      <c r="A451" s="104" t="str">
        <f ca="1">(SUMPRODUCT(MID(0&amp;(LEFT(A450,SUM(LEN(A450)-LEN(SUBSTITUTE(A450,{"0","1","2"},""))))), LARGE(INDEX(ISNUMBER(--MID((LEFT(A450,SUM(LEN(A450)-LEN(SUBSTITUTE(A450,{"0","1","2"},""))))), ROW(INDIRECT("1:"&amp;LEN((LEFT(A450,SUM(LEN(A450)-LEN(SUBSTITUTE(A450,{"0","1","2"},"")))))))), 1)) * ROW(INDIRECT("1:"&amp;LEN((LEFT(A450,SUM(LEN(A450)-LEN(SUBSTITUTE(A450,{"0","1","2"},"")))))))), 0), ROW(INDIRECT("1:"&amp;LEN((LEFT(A450,SUM(LEN(A450)-LEN(SUBSTITUTE(A450,{"0","1","2"},"")))))))))+1, 1) * 10^ROW(INDIRECT("1:"&amp;LEN((LEFT(A450,SUM(LEN(A450)-LEN(SUBSTITUTE(A450,{"0","1","2"},""))))))))/10))*1+1&amp;""&amp;" to "&amp;""&amp;(SUMPRODUCT(MID(0&amp;(--TRIM(RIGHT(SUBSTITUTE(LEFT(A450,_xlfn.AGGREGATE(16,6,FIND({0,1,2,3,4,5,6,7,8,9},A450,ROW(INDIRECT("1:"&amp;LEN(A450)))),1))," ",REPT(" ",LEN(A450))),LEN(A450)))), LARGE(INDEX(ISNUMBER(--MID((--TRIM(RIGHT(SUBSTITUTE(LEFT(A450,_xlfn.AGGREGATE(16,6,FIND({0,1,2,3,4,5,6,7,8,9},A450,ROW(INDIRECT("1:"&amp;LEN(A450)))),1))," ",REPT(" ",LEN(A450))),LEN(A450)))), ROW(INDIRECT("1:"&amp;LEN((--TRIM(RIGHT(SUBSTITUTE(LEFT(A450,_xlfn.AGGREGATE(16,6,FIND({0,1,2,3,4,5,6,7,8,9},A450,ROW(INDIRECT("1:"&amp;LEN(A450)))),1))," ",REPT(" ",LEN(A450))),LEN(A450))))))), 1)) * ROW(INDIRECT("1:"&amp;LEN((--TRIM(RIGHT(SUBSTITUTE(LEFT(A450,_xlfn.AGGREGATE(16,6,FIND({0,1,2,3,4,5,6,7,8,9},A450,ROW(INDIRECT("1:"&amp;LEN(A450)))),1))," ",REPT(" ",LEN(A450))),LEN(A450))))))), 0), ROW(INDIRECT("1:"&amp;LEN((--TRIM(RIGHT(SUBSTITUTE(LEFT(A450,_xlfn.AGGREGATE(16,6,FIND({0,1,2,3,4,5,6,7,8,9},A450,ROW(INDIRECT("1:"&amp;LEN(A450)))),1))," ",REPT(" ",LEN(A450))),LEN(A450))))))))+1, 1) * 10^ROW(INDIRECT("1:"&amp;LEN((--TRIM(RIGHT(SUBSTITUTE(LEFT(A450,_xlfn.AGGREGATE(16,6,FIND({0,1,2,3,4,5,6,7,8,9},A450,ROW(INDIRECT("1:"&amp;LEN(A450)))),1))," ",REPT(" ",LEN(A450))),LEN(A450)))))))/10))*1+1</f>
        <v>205 to 505</v>
      </c>
      <c r="B451" s="105"/>
      <c r="C451" s="54"/>
      <c r="D451" s="41"/>
      <c r="E451" s="41">
        <v>0</v>
      </c>
      <c r="F451" s="41" t="e">
        <f>D451*((#REF!)+1)+(IF(E451&lt;101,E451,IF(E451&lt;201,E451/2,IF(E451&lt;=301,E451/3,E451/4))))</f>
        <v>#REF!</v>
      </c>
      <c r="G451" s="104" t="str">
        <f>G450</f>
        <v>2nd to 5th Floor</v>
      </c>
      <c r="H451" s="105"/>
      <c r="I451" s="35"/>
    </row>
    <row r="452" spans="1:9" s="36" customFormat="1" hidden="1" x14ac:dyDescent="0.3">
      <c r="A452" s="61" t="s">
        <v>147</v>
      </c>
      <c r="B452" s="62"/>
      <c r="C452" s="62"/>
      <c r="D452" s="62"/>
      <c r="E452" s="62"/>
      <c r="F452" s="62"/>
      <c r="G452" s="62"/>
      <c r="H452" s="63"/>
      <c r="I452" s="35"/>
    </row>
    <row r="453" spans="1:9" s="36" customFormat="1" hidden="1" x14ac:dyDescent="0.3">
      <c r="A453" s="104" t="str">
        <f ca="1">(SUMPRODUCT(MID(0&amp;(LEFT(A452,SUM(LEN(A452)-LEN(SUBSTITUTE(A452,{"0","1","2"},""))))), LARGE(INDEX(ISNUMBER(--MID((LEFT(A452,SUM(LEN(A452)-LEN(SUBSTITUTE(A452,{"0","1","2"},""))))), ROW(INDIRECT("1:"&amp;LEN((LEFT(A452,SUM(LEN(A452)-LEN(SUBSTITUTE(A452,{"0","1","2"},"")))))))), 1)) * ROW(INDIRECT("1:"&amp;LEN((LEFT(A452,SUM(LEN(A452)-LEN(SUBSTITUTE(A452,{"0","1","2"},"")))))))), 0), ROW(INDIRECT("1:"&amp;LEN((LEFT(A452,SUM(LEN(A452)-LEN(SUBSTITUTE(A452,{"0","1","2"},"")))))))))+1, 1) * 10^ROW(INDIRECT("1:"&amp;LEN((LEFT(A452,SUM(LEN(A452)-LEN(SUBSTITUTE(A452,{"0","1","2"},""))))))))/10))*100+1&amp;""&amp;" &amp; "&amp;""&amp;(SUMPRODUCT(MID(0&amp;(--TRIM(RIGHT(SUBSTITUTE(LEFT(A452,_xlfn.AGGREGATE(16,6,FIND({0,1,2,3,4,5,6,7,8,9},A452,ROW(INDIRECT("1:"&amp;LEN(A452)))),1))," ",REPT(" ",LEN(A452))),LEN(A452)))), LARGE(INDEX(ISNUMBER(--MID((--TRIM(RIGHT(SUBSTITUTE(LEFT(A452,_xlfn.AGGREGATE(16,6,FIND({0,1,2,3,4,5,6,7,8,9},A452,ROW(INDIRECT("1:"&amp;LEN(A452)))),1))," ",REPT(" ",LEN(A452))),LEN(A452)))), ROW(INDIRECT("1:"&amp;LEN((--TRIM(RIGHT(SUBSTITUTE(LEFT(A452,_xlfn.AGGREGATE(16,6,FIND({0,1,2,3,4,5,6,7,8,9},A452,ROW(INDIRECT("1:"&amp;LEN(A452)))),1))," ",REPT(" ",LEN(A452))),LEN(A452))))))), 1)) * ROW(INDIRECT("1:"&amp;LEN((--TRIM(RIGHT(SUBSTITUTE(LEFT(A452,_xlfn.AGGREGATE(16,6,FIND({0,1,2,3,4,5,6,7,8,9},A452,ROW(INDIRECT("1:"&amp;LEN(A452)))),1))," ",REPT(" ",LEN(A452))),LEN(A452))))))), 0), ROW(INDIRECT("1:"&amp;LEN((--TRIM(RIGHT(SUBSTITUTE(LEFT(A452,_xlfn.AGGREGATE(16,6,FIND({0,1,2,3,4,5,6,7,8,9},A452,ROW(INDIRECT("1:"&amp;LEN(A452)))),1))," ",REPT(" ",LEN(A452))),LEN(A452))))))))+1, 1) * 10^ROW(INDIRECT("1:"&amp;LEN((--TRIM(RIGHT(SUBSTITUTE(LEFT(A452,_xlfn.AGGREGATE(16,6,FIND({0,1,2,3,4,5,6,7,8,9},A452,ROW(INDIRECT("1:"&amp;LEN(A452)))),1))," ",REPT(" ",LEN(A452))),LEN(A452)))))))/10))*100+1</f>
        <v>201 &amp; 501</v>
      </c>
      <c r="B453" s="105"/>
      <c r="C453" s="54"/>
      <c r="D453" s="41"/>
      <c r="E453" s="41">
        <v>0</v>
      </c>
      <c r="F453" s="41" t="e">
        <f>D453*((#REF!)+1)+(IF(E453&lt;101,E453,IF(E453&lt;201,E453/2,IF(E453&lt;=301,E453/3,E453/4))))</f>
        <v>#REF!</v>
      </c>
      <c r="G453" s="104" t="str">
        <f>A452</f>
        <v>2nd &amp; 5th Floor</v>
      </c>
      <c r="H453" s="105"/>
      <c r="I453" s="35"/>
    </row>
    <row r="454" spans="1:9" s="36" customFormat="1" hidden="1" x14ac:dyDescent="0.3">
      <c r="A454" s="104" t="str">
        <f ca="1">(SUMPRODUCT(MID(0&amp;(LEFT(A453,SUM(LEN(A453)-LEN(SUBSTITUTE(A453,{"0","1","2"},""))))), LARGE(INDEX(ISNUMBER(--MID((LEFT(A453,SUM(LEN(A453)-LEN(SUBSTITUTE(A453,{"0","1","2"},""))))), ROW(INDIRECT("1:"&amp;LEN((LEFT(A453,SUM(LEN(A453)-LEN(SUBSTITUTE(A453,{"0","1","2"},"")))))))), 1)) * ROW(INDIRECT("1:"&amp;LEN((LEFT(A453,SUM(LEN(A453)-LEN(SUBSTITUTE(A453,{"0","1","2"},"")))))))), 0), ROW(INDIRECT("1:"&amp;LEN((LEFT(A453,SUM(LEN(A453)-LEN(SUBSTITUTE(A453,{"0","1","2"},"")))))))))+1, 1) * 10^ROW(INDIRECT("1:"&amp;LEN((LEFT(A453,SUM(LEN(A453)-LEN(SUBSTITUTE(A453,{"0","1","2"},""))))))))/10))*1+1&amp;""&amp;" &amp; "&amp;""&amp;(SUMPRODUCT(MID(0&amp;(--TRIM(RIGHT(SUBSTITUTE(LEFT(A453,_xlfn.AGGREGATE(16,6,FIND({0,1,2,3,4,5,6,7,8,9},A453,ROW(INDIRECT("1:"&amp;LEN(A453)))),1))," ",REPT(" ",LEN(A453))),LEN(A453)))), LARGE(INDEX(ISNUMBER(--MID((--TRIM(RIGHT(SUBSTITUTE(LEFT(A453,_xlfn.AGGREGATE(16,6,FIND({0,1,2,3,4,5,6,7,8,9},A453,ROW(INDIRECT("1:"&amp;LEN(A453)))),1))," ",REPT(" ",LEN(A453))),LEN(A453)))), ROW(INDIRECT("1:"&amp;LEN((--TRIM(RIGHT(SUBSTITUTE(LEFT(A453,_xlfn.AGGREGATE(16,6,FIND({0,1,2,3,4,5,6,7,8,9},A453,ROW(INDIRECT("1:"&amp;LEN(A453)))),1))," ",REPT(" ",LEN(A453))),LEN(A453))))))), 1)) * ROW(INDIRECT("1:"&amp;LEN((--TRIM(RIGHT(SUBSTITUTE(LEFT(A453,_xlfn.AGGREGATE(16,6,FIND({0,1,2,3,4,5,6,7,8,9},A453,ROW(INDIRECT("1:"&amp;LEN(A453)))),1))," ",REPT(" ",LEN(A453))),LEN(A453))))))), 0), ROW(INDIRECT("1:"&amp;LEN((--TRIM(RIGHT(SUBSTITUTE(LEFT(A453,_xlfn.AGGREGATE(16,6,FIND({0,1,2,3,4,5,6,7,8,9},A453,ROW(INDIRECT("1:"&amp;LEN(A453)))),1))," ",REPT(" ",LEN(A453))),LEN(A453))))))))+1, 1) * 10^ROW(INDIRECT("1:"&amp;LEN((--TRIM(RIGHT(SUBSTITUTE(LEFT(A453,_xlfn.AGGREGATE(16,6,FIND({0,1,2,3,4,5,6,7,8,9},A453,ROW(INDIRECT("1:"&amp;LEN(A453)))),1))," ",REPT(" ",LEN(A453))),LEN(A453)))))))/10))*1+1</f>
        <v>202 &amp; 502</v>
      </c>
      <c r="B454" s="105"/>
      <c r="C454" s="54"/>
      <c r="D454" s="41"/>
      <c r="E454" s="41">
        <v>0</v>
      </c>
      <c r="F454" s="41" t="e">
        <f>D454*((#REF!)+1)+(IF(E454&lt;101,E454,IF(E454&lt;201,E454/2,IF(E454&lt;=301,E454/3,E454/4))))</f>
        <v>#REF!</v>
      </c>
      <c r="G454" s="104" t="str">
        <f t="shared" ref="G454:G457" si="120">G453</f>
        <v>2nd &amp; 5th Floor</v>
      </c>
      <c r="H454" s="105"/>
      <c r="I454" s="35"/>
    </row>
    <row r="455" spans="1:9" s="36" customFormat="1" hidden="1" x14ac:dyDescent="0.3">
      <c r="A455" s="104" t="str">
        <f ca="1">(SUMPRODUCT(MID(0&amp;(LEFT(A454,SUM(LEN(A454)-LEN(SUBSTITUTE(A454,{"0","1","2"},""))))), LARGE(INDEX(ISNUMBER(--MID((LEFT(A454,SUM(LEN(A454)-LEN(SUBSTITUTE(A454,{"0","1","2"},""))))), ROW(INDIRECT("1:"&amp;LEN((LEFT(A454,SUM(LEN(A454)-LEN(SUBSTITUTE(A454,{"0","1","2"},"")))))))), 1)) * ROW(INDIRECT("1:"&amp;LEN((LEFT(A454,SUM(LEN(A454)-LEN(SUBSTITUTE(A454,{"0","1","2"},"")))))))), 0), ROW(INDIRECT("1:"&amp;LEN((LEFT(A454,SUM(LEN(A454)-LEN(SUBSTITUTE(A454,{"0","1","2"},"")))))))))+1, 1) * 10^ROW(INDIRECT("1:"&amp;LEN((LEFT(A454,SUM(LEN(A454)-LEN(SUBSTITUTE(A454,{"0","1","2"},""))))))))/10))*1+1&amp;""&amp;" &amp; "&amp;""&amp;(SUMPRODUCT(MID(0&amp;(--TRIM(RIGHT(SUBSTITUTE(LEFT(A454,_xlfn.AGGREGATE(16,6,FIND({0,1,2,3,4,5,6,7,8,9},A454,ROW(INDIRECT("1:"&amp;LEN(A454)))),1))," ",REPT(" ",LEN(A454))),LEN(A454)))), LARGE(INDEX(ISNUMBER(--MID((--TRIM(RIGHT(SUBSTITUTE(LEFT(A454,_xlfn.AGGREGATE(16,6,FIND({0,1,2,3,4,5,6,7,8,9},A454,ROW(INDIRECT("1:"&amp;LEN(A454)))),1))," ",REPT(" ",LEN(A454))),LEN(A454)))), ROW(INDIRECT("1:"&amp;LEN((--TRIM(RIGHT(SUBSTITUTE(LEFT(A454,_xlfn.AGGREGATE(16,6,FIND({0,1,2,3,4,5,6,7,8,9},A454,ROW(INDIRECT("1:"&amp;LEN(A454)))),1))," ",REPT(" ",LEN(A454))),LEN(A454))))))), 1)) * ROW(INDIRECT("1:"&amp;LEN((--TRIM(RIGHT(SUBSTITUTE(LEFT(A454,_xlfn.AGGREGATE(16,6,FIND({0,1,2,3,4,5,6,7,8,9},A454,ROW(INDIRECT("1:"&amp;LEN(A454)))),1))," ",REPT(" ",LEN(A454))),LEN(A454))))))), 0), ROW(INDIRECT("1:"&amp;LEN((--TRIM(RIGHT(SUBSTITUTE(LEFT(A454,_xlfn.AGGREGATE(16,6,FIND({0,1,2,3,4,5,6,7,8,9},A454,ROW(INDIRECT("1:"&amp;LEN(A454)))),1))," ",REPT(" ",LEN(A454))),LEN(A454))))))))+1, 1) * 10^ROW(INDIRECT("1:"&amp;LEN((--TRIM(RIGHT(SUBSTITUTE(LEFT(A454,_xlfn.AGGREGATE(16,6,FIND({0,1,2,3,4,5,6,7,8,9},A454,ROW(INDIRECT("1:"&amp;LEN(A454)))),1))," ",REPT(" ",LEN(A454))),LEN(A454)))))))/10))*1+1</f>
        <v>203 &amp; 503</v>
      </c>
      <c r="B455" s="105"/>
      <c r="C455" s="54"/>
      <c r="D455" s="41"/>
      <c r="E455" s="41">
        <v>0</v>
      </c>
      <c r="F455" s="41" t="e">
        <f>D455*((#REF!)+1)+(IF(E455&lt;101,E455,IF(E455&lt;201,E455/2,IF(E455&lt;=301,E455/3,E455/4))))</f>
        <v>#REF!</v>
      </c>
      <c r="G455" s="104" t="str">
        <f t="shared" si="120"/>
        <v>2nd &amp; 5th Floor</v>
      </c>
      <c r="H455" s="105"/>
      <c r="I455" s="35"/>
    </row>
    <row r="456" spans="1:9" s="36" customFormat="1" hidden="1" x14ac:dyDescent="0.3">
      <c r="A456" s="104" t="str">
        <f ca="1">(SUMPRODUCT(MID(0&amp;(LEFT(A455,SUM(LEN(A455)-LEN(SUBSTITUTE(A455,{"0","1","2"},""))))), LARGE(INDEX(ISNUMBER(--MID((LEFT(A455,SUM(LEN(A455)-LEN(SUBSTITUTE(A455,{"0","1","2"},""))))), ROW(INDIRECT("1:"&amp;LEN((LEFT(A455,SUM(LEN(A455)-LEN(SUBSTITUTE(A455,{"0","1","2"},"")))))))), 1)) * ROW(INDIRECT("1:"&amp;LEN((LEFT(A455,SUM(LEN(A455)-LEN(SUBSTITUTE(A455,{"0","1","2"},"")))))))), 0), ROW(INDIRECT("1:"&amp;LEN((LEFT(A455,SUM(LEN(A455)-LEN(SUBSTITUTE(A455,{"0","1","2"},"")))))))))+1, 1) * 10^ROW(INDIRECT("1:"&amp;LEN((LEFT(A455,SUM(LEN(A455)-LEN(SUBSTITUTE(A455,{"0","1","2"},""))))))))/10))*1+1&amp;""&amp;" &amp; "&amp;""&amp;(SUMPRODUCT(MID(0&amp;(--TRIM(RIGHT(SUBSTITUTE(LEFT(A455,_xlfn.AGGREGATE(16,6,FIND({0,1,2,3,4,5,6,7,8,9},A455,ROW(INDIRECT("1:"&amp;LEN(A455)))),1))," ",REPT(" ",LEN(A455))),LEN(A455)))), LARGE(INDEX(ISNUMBER(--MID((--TRIM(RIGHT(SUBSTITUTE(LEFT(A455,_xlfn.AGGREGATE(16,6,FIND({0,1,2,3,4,5,6,7,8,9},A455,ROW(INDIRECT("1:"&amp;LEN(A455)))),1))," ",REPT(" ",LEN(A455))),LEN(A455)))), ROW(INDIRECT("1:"&amp;LEN((--TRIM(RIGHT(SUBSTITUTE(LEFT(A455,_xlfn.AGGREGATE(16,6,FIND({0,1,2,3,4,5,6,7,8,9},A455,ROW(INDIRECT("1:"&amp;LEN(A455)))),1))," ",REPT(" ",LEN(A455))),LEN(A455))))))), 1)) * ROW(INDIRECT("1:"&amp;LEN((--TRIM(RIGHT(SUBSTITUTE(LEFT(A455,_xlfn.AGGREGATE(16,6,FIND({0,1,2,3,4,5,6,7,8,9},A455,ROW(INDIRECT("1:"&amp;LEN(A455)))),1))," ",REPT(" ",LEN(A455))),LEN(A455))))))), 0), ROW(INDIRECT("1:"&amp;LEN((--TRIM(RIGHT(SUBSTITUTE(LEFT(A455,_xlfn.AGGREGATE(16,6,FIND({0,1,2,3,4,5,6,7,8,9},A455,ROW(INDIRECT("1:"&amp;LEN(A455)))),1))," ",REPT(" ",LEN(A455))),LEN(A455))))))))+1, 1) * 10^ROW(INDIRECT("1:"&amp;LEN((--TRIM(RIGHT(SUBSTITUTE(LEFT(A455,_xlfn.AGGREGATE(16,6,FIND({0,1,2,3,4,5,6,7,8,9},A455,ROW(INDIRECT("1:"&amp;LEN(A455)))),1))," ",REPT(" ",LEN(A455))),LEN(A455)))))))/10))*1+1</f>
        <v>204 &amp; 504</v>
      </c>
      <c r="B456" s="105"/>
      <c r="C456" s="54"/>
      <c r="D456" s="41"/>
      <c r="E456" s="41">
        <v>0</v>
      </c>
      <c r="F456" s="41" t="e">
        <f>D456*((#REF!)+1)+(IF(E456&lt;101,E456,IF(E456&lt;201,E456/2,IF(E456&lt;=301,E456/3,E456/4))))</f>
        <v>#REF!</v>
      </c>
      <c r="G456" s="104" t="str">
        <f t="shared" si="120"/>
        <v>2nd &amp; 5th Floor</v>
      </c>
      <c r="H456" s="105"/>
      <c r="I456" s="35"/>
    </row>
    <row r="457" spans="1:9" s="36" customFormat="1" hidden="1" x14ac:dyDescent="0.3">
      <c r="A457" s="104" t="str">
        <f ca="1">(SUMPRODUCT(MID(0&amp;(LEFT(A456,SUM(LEN(A456)-LEN(SUBSTITUTE(A456,{"0","1","2"},""))))), LARGE(INDEX(ISNUMBER(--MID((LEFT(A456,SUM(LEN(A456)-LEN(SUBSTITUTE(A456,{"0","1","2"},""))))), ROW(INDIRECT("1:"&amp;LEN((LEFT(A456,SUM(LEN(A456)-LEN(SUBSTITUTE(A456,{"0","1","2"},"")))))))), 1)) * ROW(INDIRECT("1:"&amp;LEN((LEFT(A456,SUM(LEN(A456)-LEN(SUBSTITUTE(A456,{"0","1","2"},"")))))))), 0), ROW(INDIRECT("1:"&amp;LEN((LEFT(A456,SUM(LEN(A456)-LEN(SUBSTITUTE(A456,{"0","1","2"},"")))))))))+1, 1) * 10^ROW(INDIRECT("1:"&amp;LEN((LEFT(A456,SUM(LEN(A456)-LEN(SUBSTITUTE(A456,{"0","1","2"},""))))))))/10))*1+1&amp;""&amp;" &amp; "&amp;""&amp;(SUMPRODUCT(MID(0&amp;(--TRIM(RIGHT(SUBSTITUTE(LEFT(A456,_xlfn.AGGREGATE(16,6,FIND({0,1,2,3,4,5,6,7,8,9},A456,ROW(INDIRECT("1:"&amp;LEN(A456)))),1))," ",REPT(" ",LEN(A456))),LEN(A456)))), LARGE(INDEX(ISNUMBER(--MID((--TRIM(RIGHT(SUBSTITUTE(LEFT(A456,_xlfn.AGGREGATE(16,6,FIND({0,1,2,3,4,5,6,7,8,9},A456,ROW(INDIRECT("1:"&amp;LEN(A456)))),1))," ",REPT(" ",LEN(A456))),LEN(A456)))), ROW(INDIRECT("1:"&amp;LEN((--TRIM(RIGHT(SUBSTITUTE(LEFT(A456,_xlfn.AGGREGATE(16,6,FIND({0,1,2,3,4,5,6,7,8,9},A456,ROW(INDIRECT("1:"&amp;LEN(A456)))),1))," ",REPT(" ",LEN(A456))),LEN(A456))))))), 1)) * ROW(INDIRECT("1:"&amp;LEN((--TRIM(RIGHT(SUBSTITUTE(LEFT(A456,_xlfn.AGGREGATE(16,6,FIND({0,1,2,3,4,5,6,7,8,9},A456,ROW(INDIRECT("1:"&amp;LEN(A456)))),1))," ",REPT(" ",LEN(A456))),LEN(A456))))))), 0), ROW(INDIRECT("1:"&amp;LEN((--TRIM(RIGHT(SUBSTITUTE(LEFT(A456,_xlfn.AGGREGATE(16,6,FIND({0,1,2,3,4,5,6,7,8,9},A456,ROW(INDIRECT("1:"&amp;LEN(A456)))),1))," ",REPT(" ",LEN(A456))),LEN(A456))))))))+1, 1) * 10^ROW(INDIRECT("1:"&amp;LEN((--TRIM(RIGHT(SUBSTITUTE(LEFT(A456,_xlfn.AGGREGATE(16,6,FIND({0,1,2,3,4,5,6,7,8,9},A456,ROW(INDIRECT("1:"&amp;LEN(A456)))),1))," ",REPT(" ",LEN(A456))),LEN(A456)))))))/10))*1+1</f>
        <v>205 &amp; 505</v>
      </c>
      <c r="B457" s="105"/>
      <c r="C457" s="54"/>
      <c r="D457" s="41"/>
      <c r="E457" s="41">
        <v>0</v>
      </c>
      <c r="F457" s="41" t="e">
        <f>D457*((#REF!)+1)+(IF(E457&lt;101,E457,IF(E457&lt;201,E457/2,IF(E457&lt;=301,E457/3,E457/4))))</f>
        <v>#REF!</v>
      </c>
      <c r="G457" s="104" t="str">
        <f t="shared" si="120"/>
        <v>2nd &amp; 5th Floor</v>
      </c>
      <c r="H457" s="105"/>
      <c r="I457" s="35"/>
    </row>
    <row r="458" spans="1:9" s="34" customFormat="1" x14ac:dyDescent="0.3">
      <c r="A458" s="214" t="s">
        <v>67</v>
      </c>
      <c r="B458" s="214"/>
      <c r="C458" s="214"/>
      <c r="D458" s="214"/>
      <c r="E458" s="214"/>
      <c r="F458" s="214"/>
      <c r="G458" s="214"/>
      <c r="H458" s="214"/>
    </row>
    <row r="459" spans="1:9" s="53" customFormat="1" ht="51" customHeight="1" x14ac:dyDescent="0.3">
      <c r="A459" s="52" t="s">
        <v>156</v>
      </c>
      <c r="B459" s="130" t="s">
        <v>294</v>
      </c>
      <c r="C459" s="131"/>
      <c r="D459" s="131"/>
      <c r="E459" s="131"/>
      <c r="F459" s="131"/>
      <c r="G459" s="131"/>
      <c r="H459" s="132"/>
    </row>
    <row r="460" spans="1:9" s="34" customFormat="1" x14ac:dyDescent="0.3">
      <c r="A460" s="45" t="s">
        <v>156</v>
      </c>
      <c r="B460" s="130" t="str">
        <f>(IF(H195="Saleable area Loading :","We have considered Saleable area of Flats as per our Calculation.","We considered Saleable area of Flat as per Builder area Sheet."))</f>
        <v>We have considered Saleable area of Flats as per our Calculation.</v>
      </c>
      <c r="C460" s="131"/>
      <c r="D460" s="131"/>
      <c r="E460" s="131"/>
      <c r="F460" s="131"/>
      <c r="G460" s="131"/>
      <c r="H460" s="132"/>
    </row>
    <row r="461" spans="1:9" s="34" customFormat="1" x14ac:dyDescent="0.3">
      <c r="A461" s="45" t="s">
        <v>156</v>
      </c>
      <c r="B461" s="133" t="s">
        <v>123</v>
      </c>
      <c r="C461" s="134"/>
      <c r="D461" s="134"/>
      <c r="E461" s="134"/>
      <c r="F461" s="134"/>
      <c r="G461" s="134"/>
      <c r="H461" s="135"/>
    </row>
    <row r="462" spans="1:9" s="34" customFormat="1" x14ac:dyDescent="0.3">
      <c r="A462" s="45" t="s">
        <v>156</v>
      </c>
      <c r="B462" s="133" t="s">
        <v>224</v>
      </c>
      <c r="C462" s="134"/>
      <c r="D462" s="134"/>
      <c r="E462" s="134"/>
      <c r="F462" s="134"/>
      <c r="G462" s="134"/>
      <c r="H462" s="135"/>
    </row>
    <row r="463" spans="1:9" s="34" customFormat="1" x14ac:dyDescent="0.3">
      <c r="A463" s="45" t="s">
        <v>156</v>
      </c>
      <c r="B463" s="133" t="s">
        <v>155</v>
      </c>
      <c r="C463" s="134"/>
      <c r="D463" s="134"/>
      <c r="E463" s="134"/>
      <c r="F463" s="134"/>
      <c r="G463" s="134"/>
      <c r="H463" s="135"/>
    </row>
    <row r="464" spans="1:9" s="34" customFormat="1" x14ac:dyDescent="0.3">
      <c r="A464" s="45" t="s">
        <v>156</v>
      </c>
      <c r="B464" s="133" t="s">
        <v>124</v>
      </c>
      <c r="C464" s="134"/>
      <c r="D464" s="134"/>
      <c r="E464" s="134"/>
      <c r="F464" s="134"/>
      <c r="G464" s="134"/>
      <c r="H464" s="135"/>
    </row>
    <row r="465" spans="1:8" s="34" customFormat="1" ht="34.5" customHeight="1" x14ac:dyDescent="0.3">
      <c r="A465" s="45" t="s">
        <v>156</v>
      </c>
      <c r="B465" s="133" t="s">
        <v>157</v>
      </c>
      <c r="C465" s="134"/>
      <c r="D465" s="134"/>
      <c r="E465" s="134"/>
      <c r="F465" s="134"/>
      <c r="G465" s="134"/>
      <c r="H465" s="135"/>
    </row>
    <row r="466" spans="1:8" s="34" customFormat="1" x14ac:dyDescent="0.3">
      <c r="A466" s="45" t="s">
        <v>156</v>
      </c>
      <c r="B466" s="133" t="s">
        <v>125</v>
      </c>
      <c r="C466" s="134"/>
      <c r="D466" s="134"/>
      <c r="E466" s="134"/>
      <c r="F466" s="134"/>
      <c r="G466" s="134"/>
      <c r="H466" s="135"/>
    </row>
    <row r="467" spans="1:8" s="34" customFormat="1" ht="32.25" customHeight="1" x14ac:dyDescent="0.3">
      <c r="A467" s="45" t="s">
        <v>156</v>
      </c>
      <c r="B467" s="133" t="s">
        <v>234</v>
      </c>
      <c r="C467" s="134"/>
      <c r="D467" s="134"/>
      <c r="E467" s="134"/>
      <c r="F467" s="134"/>
      <c r="G467" s="134"/>
      <c r="H467" s="135"/>
    </row>
    <row r="468" spans="1:8" s="34" customFormat="1" ht="32.25" customHeight="1" x14ac:dyDescent="0.3">
      <c r="A468" s="45"/>
      <c r="B468" s="133" t="s">
        <v>295</v>
      </c>
      <c r="C468" s="134"/>
      <c r="D468" s="134"/>
      <c r="E468" s="134"/>
      <c r="F468" s="134"/>
      <c r="G468" s="134"/>
      <c r="H468" s="135"/>
    </row>
    <row r="469" spans="1:8" s="34" customFormat="1" x14ac:dyDescent="0.3">
      <c r="A469" s="45" t="s">
        <v>156</v>
      </c>
      <c r="B469" s="133" t="s">
        <v>296</v>
      </c>
      <c r="C469" s="134"/>
      <c r="D469" s="134"/>
      <c r="E469" s="134"/>
      <c r="F469" s="134"/>
      <c r="G469" s="134"/>
      <c r="H469" s="135"/>
    </row>
    <row r="470" spans="1:8" x14ac:dyDescent="0.3">
      <c r="A470" s="167" t="s">
        <v>60</v>
      </c>
      <c r="B470" s="167"/>
      <c r="C470" s="167"/>
      <c r="D470" s="167"/>
      <c r="E470" s="167"/>
      <c r="F470" s="167"/>
      <c r="G470" s="167"/>
      <c r="H470" s="167"/>
    </row>
    <row r="471" spans="1:8" x14ac:dyDescent="0.3">
      <c r="A471" s="128" t="s">
        <v>61</v>
      </c>
      <c r="B471" s="128"/>
      <c r="C471" s="128"/>
      <c r="D471" s="128"/>
      <c r="E471" s="128"/>
      <c r="F471" s="128"/>
      <c r="G471" s="128"/>
      <c r="H471" s="128"/>
    </row>
    <row r="472" spans="1:8" ht="15.75" customHeight="1" x14ac:dyDescent="0.3">
      <c r="A472" s="129" t="s">
        <v>62</v>
      </c>
      <c r="B472" s="129"/>
      <c r="C472" s="129"/>
      <c r="D472" s="129"/>
      <c r="E472" s="129"/>
      <c r="F472" s="129"/>
      <c r="G472" s="129"/>
      <c r="H472" s="129"/>
    </row>
    <row r="473" spans="1:8" x14ac:dyDescent="0.3">
      <c r="A473" s="128" t="s">
        <v>63</v>
      </c>
      <c r="B473" s="128"/>
      <c r="C473" s="128"/>
      <c r="D473" s="128"/>
      <c r="E473" s="128"/>
      <c r="F473" s="128"/>
      <c r="G473" s="128"/>
      <c r="H473" s="128"/>
    </row>
    <row r="474" spans="1:8" x14ac:dyDescent="0.3">
      <c r="A474" s="128" t="s">
        <v>64</v>
      </c>
      <c r="B474" s="128"/>
      <c r="C474" s="128"/>
      <c r="D474" s="128"/>
      <c r="E474" s="128"/>
      <c r="F474" s="128"/>
      <c r="G474" s="128"/>
      <c r="H474" s="128"/>
    </row>
    <row r="475" spans="1:8" x14ac:dyDescent="0.3">
      <c r="A475" s="128" t="s">
        <v>126</v>
      </c>
      <c r="B475" s="128"/>
      <c r="C475" s="128"/>
      <c r="D475" s="128"/>
      <c r="E475" s="128"/>
      <c r="F475" s="128"/>
      <c r="G475" s="128"/>
      <c r="H475" s="128"/>
    </row>
    <row r="476" spans="1:8" ht="33.9" customHeight="1" x14ac:dyDescent="0.3">
      <c r="A476" s="168" t="s">
        <v>127</v>
      </c>
      <c r="B476" s="168"/>
      <c r="C476" s="168"/>
      <c r="D476" s="168"/>
      <c r="E476" s="168"/>
      <c r="F476" s="168"/>
      <c r="G476" s="168"/>
      <c r="H476" s="168"/>
    </row>
    <row r="477" spans="1:8" ht="15.75" customHeight="1" x14ac:dyDescent="0.3">
      <c r="A477" s="179" t="s">
        <v>77</v>
      </c>
      <c r="B477" s="179"/>
      <c r="C477" s="180" t="s">
        <v>237</v>
      </c>
      <c r="D477" s="181"/>
      <c r="E477" s="179" t="s">
        <v>107</v>
      </c>
      <c r="F477" s="179"/>
      <c r="G477" s="180" t="s">
        <v>290</v>
      </c>
      <c r="H477" s="181"/>
    </row>
    <row r="478" spans="1:8" x14ac:dyDescent="0.3">
      <c r="A478" s="178" t="s">
        <v>79</v>
      </c>
      <c r="B478" s="178"/>
      <c r="C478" s="178"/>
      <c r="D478" s="178"/>
      <c r="E478" s="178"/>
      <c r="F478" s="178"/>
      <c r="G478" s="178"/>
      <c r="H478" s="178"/>
    </row>
    <row r="479" spans="1:8" x14ac:dyDescent="0.3">
      <c r="A479" s="178"/>
      <c r="B479" s="178"/>
      <c r="C479" s="178"/>
      <c r="D479" s="178"/>
      <c r="E479" s="178"/>
      <c r="F479" s="178"/>
      <c r="G479" s="178"/>
      <c r="H479" s="178"/>
    </row>
    <row r="480" spans="1:8" x14ac:dyDescent="0.3">
      <c r="A480" s="178"/>
      <c r="B480" s="178"/>
      <c r="C480" s="178"/>
      <c r="D480" s="178"/>
      <c r="E480" s="178"/>
      <c r="F480" s="178"/>
      <c r="G480" s="178"/>
      <c r="H480" s="178"/>
    </row>
    <row r="481" spans="1:8" x14ac:dyDescent="0.3">
      <c r="A481" s="178"/>
      <c r="B481" s="178"/>
      <c r="C481" s="178"/>
      <c r="D481" s="178"/>
      <c r="E481" s="178"/>
      <c r="F481" s="178"/>
      <c r="G481" s="178"/>
      <c r="H481" s="178"/>
    </row>
    <row r="482" spans="1:8" x14ac:dyDescent="0.3">
      <c r="A482" s="37" t="s">
        <v>65</v>
      </c>
      <c r="B482" s="38"/>
      <c r="C482" s="38"/>
      <c r="D482" s="37" t="str">
        <f>E8</f>
        <v>Maplewoods Phase I, II &amp; III</v>
      </c>
      <c r="F482" s="38"/>
      <c r="G482" s="38"/>
      <c r="H482" s="38"/>
    </row>
    <row r="483" spans="1:8" x14ac:dyDescent="0.3">
      <c r="A483" s="38"/>
      <c r="B483" s="38"/>
      <c r="C483" s="38"/>
      <c r="D483" s="38"/>
      <c r="E483" s="38"/>
      <c r="F483" s="38"/>
      <c r="G483" s="38"/>
      <c r="H483" s="38"/>
    </row>
    <row r="484" spans="1:8" x14ac:dyDescent="0.3">
      <c r="B484" s="38"/>
      <c r="C484" s="38"/>
      <c r="D484" s="38"/>
      <c r="E484" s="38"/>
      <c r="F484" s="38"/>
      <c r="G484" s="38"/>
      <c r="H484" s="38"/>
    </row>
    <row r="485" spans="1:8" ht="15" customHeight="1" x14ac:dyDescent="0.3">
      <c r="A485" s="38"/>
    </row>
    <row r="524" spans="1:1" x14ac:dyDescent="0.3">
      <c r="A524" s="40" t="s">
        <v>168</v>
      </c>
    </row>
    <row r="566" spans="1:1" x14ac:dyDescent="0.3">
      <c r="A566" s="40" t="s">
        <v>66</v>
      </c>
    </row>
  </sheetData>
  <mergeCells count="837">
    <mergeCell ref="C425:H425"/>
    <mergeCell ref="B469:H469"/>
    <mergeCell ref="B468:H468"/>
    <mergeCell ref="A425:B425"/>
    <mergeCell ref="A426:B426"/>
    <mergeCell ref="A413:B413"/>
    <mergeCell ref="A420:B420"/>
    <mergeCell ref="A416:B416"/>
    <mergeCell ref="A417:B417"/>
    <mergeCell ref="A418:B418"/>
    <mergeCell ref="A419:B419"/>
    <mergeCell ref="A421:H421"/>
    <mergeCell ref="L421:M421"/>
    <mergeCell ref="A422:B422"/>
    <mergeCell ref="A423:B423"/>
    <mergeCell ref="A424:B424"/>
    <mergeCell ref="A408:B408"/>
    <mergeCell ref="A409:B409"/>
    <mergeCell ref="A410:B410"/>
    <mergeCell ref="A411:B411"/>
    <mergeCell ref="A412:B412"/>
    <mergeCell ref="A414:H414"/>
    <mergeCell ref="L414:M414"/>
    <mergeCell ref="A415:B415"/>
    <mergeCell ref="C411:H411"/>
    <mergeCell ref="A399:B399"/>
    <mergeCell ref="A400:B400"/>
    <mergeCell ref="C400:H400"/>
    <mergeCell ref="A401:B401"/>
    <mergeCell ref="A364:H364"/>
    <mergeCell ref="A167:B167"/>
    <mergeCell ref="A402:H402"/>
    <mergeCell ref="A407:H407"/>
    <mergeCell ref="L407:M407"/>
    <mergeCell ref="A403:H403"/>
    <mergeCell ref="L403:M403"/>
    <mergeCell ref="A404:H404"/>
    <mergeCell ref="L404:M404"/>
    <mergeCell ref="A405:H405"/>
    <mergeCell ref="L405:M405"/>
    <mergeCell ref="A406:H406"/>
    <mergeCell ref="L406:M406"/>
    <mergeCell ref="A391:B391"/>
    <mergeCell ref="A392:B392"/>
    <mergeCell ref="A393:B393"/>
    <mergeCell ref="A394:B394"/>
    <mergeCell ref="A395:B395"/>
    <mergeCell ref="A396:H396"/>
    <mergeCell ref="L396:M396"/>
    <mergeCell ref="A397:B397"/>
    <mergeCell ref="A398:B398"/>
    <mergeCell ref="A384:H384"/>
    <mergeCell ref="L384:M384"/>
    <mergeCell ref="A385:B385"/>
    <mergeCell ref="A386:B386"/>
    <mergeCell ref="A387:B387"/>
    <mergeCell ref="A388:B388"/>
    <mergeCell ref="C388:H388"/>
    <mergeCell ref="A389:B389"/>
    <mergeCell ref="A390:H390"/>
    <mergeCell ref="L390:M390"/>
    <mergeCell ref="A427:B427"/>
    <mergeCell ref="C369:H369"/>
    <mergeCell ref="A377:H377"/>
    <mergeCell ref="L377:M377"/>
    <mergeCell ref="A378:B378"/>
    <mergeCell ref="A379:B379"/>
    <mergeCell ref="A380:B380"/>
    <mergeCell ref="A381:B381"/>
    <mergeCell ref="A382:B382"/>
    <mergeCell ref="C381:H381"/>
    <mergeCell ref="A383:H383"/>
    <mergeCell ref="L190:M190"/>
    <mergeCell ref="A191:B191"/>
    <mergeCell ref="L191:M191"/>
    <mergeCell ref="A192:B192"/>
    <mergeCell ref="L192:M192"/>
    <mergeCell ref="A193:B193"/>
    <mergeCell ref="L193:M193"/>
    <mergeCell ref="A359:H359"/>
    <mergeCell ref="A360:H360"/>
    <mergeCell ref="L185:M185"/>
    <mergeCell ref="A186:B186"/>
    <mergeCell ref="L186:M186"/>
    <mergeCell ref="A187:B187"/>
    <mergeCell ref="L187:M187"/>
    <mergeCell ref="A188:B188"/>
    <mergeCell ref="L188:M188"/>
    <mergeCell ref="A189:B189"/>
    <mergeCell ref="L189:M189"/>
    <mergeCell ref="L365:M365"/>
    <mergeCell ref="A366:B366"/>
    <mergeCell ref="A367:B367"/>
    <mergeCell ref="A368:B368"/>
    <mergeCell ref="A369:B369"/>
    <mergeCell ref="A370:B370"/>
    <mergeCell ref="A217:H217"/>
    <mergeCell ref="L217:M217"/>
    <mergeCell ref="A218:B218"/>
    <mergeCell ref="A219:B219"/>
    <mergeCell ref="A220:B220"/>
    <mergeCell ref="A221:B221"/>
    <mergeCell ref="A222:B222"/>
    <mergeCell ref="A223:B223"/>
    <mergeCell ref="C221:H221"/>
    <mergeCell ref="C229:H230"/>
    <mergeCell ref="C238:H239"/>
    <mergeCell ref="C247:H248"/>
    <mergeCell ref="C256:H257"/>
    <mergeCell ref="C264:H264"/>
    <mergeCell ref="C282:H282"/>
    <mergeCell ref="C294:H296"/>
    <mergeCell ref="A298:H298"/>
    <mergeCell ref="L204:M204"/>
    <mergeCell ref="A205:B205"/>
    <mergeCell ref="L205:M205"/>
    <mergeCell ref="A206:B206"/>
    <mergeCell ref="L206:M206"/>
    <mergeCell ref="A207:B207"/>
    <mergeCell ref="L207:M207"/>
    <mergeCell ref="A210:H210"/>
    <mergeCell ref="L210:M210"/>
    <mergeCell ref="A208:B208"/>
    <mergeCell ref="L208:M208"/>
    <mergeCell ref="A209:B209"/>
    <mergeCell ref="L209:M209"/>
    <mergeCell ref="C207:H207"/>
    <mergeCell ref="L177:M177"/>
    <mergeCell ref="A178:B178"/>
    <mergeCell ref="L178:M178"/>
    <mergeCell ref="A179:B179"/>
    <mergeCell ref="L179:M179"/>
    <mergeCell ref="A180:B180"/>
    <mergeCell ref="L180:M180"/>
    <mergeCell ref="A194:H194"/>
    <mergeCell ref="A195:A196"/>
    <mergeCell ref="B195:B196"/>
    <mergeCell ref="C195:C196"/>
    <mergeCell ref="D195:D196"/>
    <mergeCell ref="E195:E196"/>
    <mergeCell ref="F195:F196"/>
    <mergeCell ref="G195:G196"/>
    <mergeCell ref="A181:B181"/>
    <mergeCell ref="L181:M181"/>
    <mergeCell ref="A182:B182"/>
    <mergeCell ref="L182:M182"/>
    <mergeCell ref="A183:B183"/>
    <mergeCell ref="L183:M183"/>
    <mergeCell ref="A184:B184"/>
    <mergeCell ref="L184:M184"/>
    <mergeCell ref="A185:B185"/>
    <mergeCell ref="A452:H452"/>
    <mergeCell ref="A453:B453"/>
    <mergeCell ref="A454:B454"/>
    <mergeCell ref="A457:B457"/>
    <mergeCell ref="G457:H457"/>
    <mergeCell ref="A456:B456"/>
    <mergeCell ref="G456:H456"/>
    <mergeCell ref="A171:H171"/>
    <mergeCell ref="A172:A173"/>
    <mergeCell ref="B172:B173"/>
    <mergeCell ref="C172:C173"/>
    <mergeCell ref="D172:D173"/>
    <mergeCell ref="E172:E173"/>
    <mergeCell ref="F172:F173"/>
    <mergeCell ref="G172:G173"/>
    <mergeCell ref="A176:H176"/>
    <mergeCell ref="A177:B177"/>
    <mergeCell ref="A203:H203"/>
    <mergeCell ref="A204:B204"/>
    <mergeCell ref="A211:B211"/>
    <mergeCell ref="A212:B212"/>
    <mergeCell ref="A213:B213"/>
    <mergeCell ref="A214:B214"/>
    <mergeCell ref="A215:B215"/>
    <mergeCell ref="L317:M317"/>
    <mergeCell ref="A313:B313"/>
    <mergeCell ref="A314:B314"/>
    <mergeCell ref="L314:M314"/>
    <mergeCell ref="A315:B315"/>
    <mergeCell ref="L315:M315"/>
    <mergeCell ref="L332:N332"/>
    <mergeCell ref="A438:B438"/>
    <mergeCell ref="L434:M434"/>
    <mergeCell ref="L433:M433"/>
    <mergeCell ref="C329:H329"/>
    <mergeCell ref="C356:H356"/>
    <mergeCell ref="C342:H342"/>
    <mergeCell ref="A361:H361"/>
    <mergeCell ref="L361:M361"/>
    <mergeCell ref="A362:H362"/>
    <mergeCell ref="L362:M362"/>
    <mergeCell ref="A363:H363"/>
    <mergeCell ref="L363:M363"/>
    <mergeCell ref="A371:H371"/>
    <mergeCell ref="L371:M371"/>
    <mergeCell ref="A372:B372"/>
    <mergeCell ref="A373:B373"/>
    <mergeCell ref="L430:M430"/>
    <mergeCell ref="A431:B431"/>
    <mergeCell ref="G431:H431"/>
    <mergeCell ref="L431:M431"/>
    <mergeCell ref="A432:B432"/>
    <mergeCell ref="G432:H432"/>
    <mergeCell ref="L432:M432"/>
    <mergeCell ref="B461:H461"/>
    <mergeCell ref="B462:H462"/>
    <mergeCell ref="G453:H453"/>
    <mergeCell ref="G451:H451"/>
    <mergeCell ref="A458:H458"/>
    <mergeCell ref="A450:B450"/>
    <mergeCell ref="A451:B451"/>
    <mergeCell ref="G449:H449"/>
    <mergeCell ref="A446:H446"/>
    <mergeCell ref="A440:H440"/>
    <mergeCell ref="A433:B433"/>
    <mergeCell ref="G443:H443"/>
    <mergeCell ref="G441:H441"/>
    <mergeCell ref="A430:B430"/>
    <mergeCell ref="A448:B448"/>
    <mergeCell ref="A449:B449"/>
    <mergeCell ref="G448:H448"/>
    <mergeCell ref="L309:M309"/>
    <mergeCell ref="A310:B310"/>
    <mergeCell ref="L310:M310"/>
    <mergeCell ref="A311:H311"/>
    <mergeCell ref="A312:B312"/>
    <mergeCell ref="A316:B316"/>
    <mergeCell ref="L316:M316"/>
    <mergeCell ref="C308:H308"/>
    <mergeCell ref="A81:B81"/>
    <mergeCell ref="A74:B74"/>
    <mergeCell ref="A307:B307"/>
    <mergeCell ref="L307:M307"/>
    <mergeCell ref="A308:B308"/>
    <mergeCell ref="L308:M308"/>
    <mergeCell ref="A300:H300"/>
    <mergeCell ref="A301:H301"/>
    <mergeCell ref="A302:H302"/>
    <mergeCell ref="A303:H303"/>
    <mergeCell ref="L305:M305"/>
    <mergeCell ref="A306:B306"/>
    <mergeCell ref="L306:M306"/>
    <mergeCell ref="A168:B168"/>
    <mergeCell ref="E168:F168"/>
    <mergeCell ref="A148:E148"/>
    <mergeCell ref="A150:E150"/>
    <mergeCell ref="F144:H144"/>
    <mergeCell ref="A149:E149"/>
    <mergeCell ref="A144:E144"/>
    <mergeCell ref="F145:H145"/>
    <mergeCell ref="A146:E146"/>
    <mergeCell ref="F141:H141"/>
    <mergeCell ref="F146:H146"/>
    <mergeCell ref="A39:B39"/>
    <mergeCell ref="C39:H39"/>
    <mergeCell ref="B465:H465"/>
    <mergeCell ref="A48:B48"/>
    <mergeCell ref="C48:H48"/>
    <mergeCell ref="B463:H463"/>
    <mergeCell ref="G117:H126"/>
    <mergeCell ref="A118:B118"/>
    <mergeCell ref="A119:B119"/>
    <mergeCell ref="A120:B120"/>
    <mergeCell ref="F143:H143"/>
    <mergeCell ref="A143:E143"/>
    <mergeCell ref="G442:H442"/>
    <mergeCell ref="G438:H438"/>
    <mergeCell ref="G435:H435"/>
    <mergeCell ref="A145:E145"/>
    <mergeCell ref="A116:B116"/>
    <mergeCell ref="E116:F116"/>
    <mergeCell ref="G116:H116"/>
    <mergeCell ref="A147:E147"/>
    <mergeCell ref="F147:H147"/>
    <mergeCell ref="C164:D164"/>
    <mergeCell ref="E164:F164"/>
    <mergeCell ref="G164:H164"/>
    <mergeCell ref="G160:H160"/>
    <mergeCell ref="G430:H430"/>
    <mergeCell ref="C156:D156"/>
    <mergeCell ref="F152:H152"/>
    <mergeCell ref="A271:H271"/>
    <mergeCell ref="A272:B272"/>
    <mergeCell ref="A197:H197"/>
    <mergeCell ref="A199:H199"/>
    <mergeCell ref="A200:H200"/>
    <mergeCell ref="A201:H201"/>
    <mergeCell ref="A202:H202"/>
    <mergeCell ref="A216:B216"/>
    <mergeCell ref="A365:H365"/>
    <mergeCell ref="A198:H198"/>
    <mergeCell ref="A174:H174"/>
    <mergeCell ref="A175:H175"/>
    <mergeCell ref="A190:B190"/>
    <mergeCell ref="A374:B374"/>
    <mergeCell ref="A375:B375"/>
    <mergeCell ref="A376:B376"/>
    <mergeCell ref="C38:H38"/>
    <mergeCell ref="A45:D45"/>
    <mergeCell ref="A82:B82"/>
    <mergeCell ref="C163:D163"/>
    <mergeCell ref="E163:F163"/>
    <mergeCell ref="G163:H163"/>
    <mergeCell ref="F148:H148"/>
    <mergeCell ref="A142:E142"/>
    <mergeCell ref="A117:B117"/>
    <mergeCell ref="E117:F126"/>
    <mergeCell ref="A124:B124"/>
    <mergeCell ref="A125:B125"/>
    <mergeCell ref="E75:F84"/>
    <mergeCell ref="G75:H84"/>
    <mergeCell ref="A83:B83"/>
    <mergeCell ref="A84:B84"/>
    <mergeCell ref="A152:E152"/>
    <mergeCell ref="A37:H37"/>
    <mergeCell ref="A36:B36"/>
    <mergeCell ref="C36:E36"/>
    <mergeCell ref="A41:D41"/>
    <mergeCell ref="E41:H41"/>
    <mergeCell ref="A40:H40"/>
    <mergeCell ref="A64:C64"/>
    <mergeCell ref="A65:C65"/>
    <mergeCell ref="D64:H64"/>
    <mergeCell ref="D65:H65"/>
    <mergeCell ref="A43:D43"/>
    <mergeCell ref="E43:H43"/>
    <mergeCell ref="E44:H44"/>
    <mergeCell ref="E45:H45"/>
    <mergeCell ref="E46:H46"/>
    <mergeCell ref="A44:D44"/>
    <mergeCell ref="F36:H36"/>
    <mergeCell ref="A46:D46"/>
    <mergeCell ref="A47:H47"/>
    <mergeCell ref="D57:H57"/>
    <mergeCell ref="G50:H50"/>
    <mergeCell ref="A51:B52"/>
    <mergeCell ref="A49:B49"/>
    <mergeCell ref="A38:B38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E13:H13"/>
    <mergeCell ref="A14:D14"/>
    <mergeCell ref="A10:D10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77:B77"/>
    <mergeCell ref="A73:B73"/>
    <mergeCell ref="A71:B71"/>
    <mergeCell ref="C71:H71"/>
    <mergeCell ref="A79:B79"/>
    <mergeCell ref="A66:C66"/>
    <mergeCell ref="D66:H66"/>
    <mergeCell ref="C73:H73"/>
    <mergeCell ref="A76:B76"/>
    <mergeCell ref="A78:B78"/>
    <mergeCell ref="E74:F74"/>
    <mergeCell ref="A67:C67"/>
    <mergeCell ref="D67:H67"/>
    <mergeCell ref="A70:C70"/>
    <mergeCell ref="D70:H70"/>
    <mergeCell ref="A68:C68"/>
    <mergeCell ref="D68:H68"/>
    <mergeCell ref="A69:C69"/>
    <mergeCell ref="D69:H69"/>
    <mergeCell ref="A75:B75"/>
    <mergeCell ref="G74:H74"/>
    <mergeCell ref="A155:H155"/>
    <mergeCell ref="A153:E153"/>
    <mergeCell ref="F153:H153"/>
    <mergeCell ref="A154:E154"/>
    <mergeCell ref="F154:H154"/>
    <mergeCell ref="A434:H434"/>
    <mergeCell ref="A163:B163"/>
    <mergeCell ref="A443:B443"/>
    <mergeCell ref="A157:B157"/>
    <mergeCell ref="A159:H159"/>
    <mergeCell ref="E160:F160"/>
    <mergeCell ref="A428:H428"/>
    <mergeCell ref="A439:B439"/>
    <mergeCell ref="A436:B436"/>
    <mergeCell ref="A437:B437"/>
    <mergeCell ref="G168:H168"/>
    <mergeCell ref="A158:B158"/>
    <mergeCell ref="C158:D158"/>
    <mergeCell ref="E158:F158"/>
    <mergeCell ref="G158:H158"/>
    <mergeCell ref="A164:B164"/>
    <mergeCell ref="A262:H262"/>
    <mergeCell ref="A263:B263"/>
    <mergeCell ref="A268:B268"/>
    <mergeCell ref="A256:B256"/>
    <mergeCell ref="A261:B261"/>
    <mergeCell ref="A478:H481"/>
    <mergeCell ref="A477:B477"/>
    <mergeCell ref="E477:F477"/>
    <mergeCell ref="C477:D477"/>
    <mergeCell ref="G477:H477"/>
    <mergeCell ref="A473:H473"/>
    <mergeCell ref="A476:H476"/>
    <mergeCell ref="A474:H474"/>
    <mergeCell ref="A470:H470"/>
    <mergeCell ref="A471:H471"/>
    <mergeCell ref="B466:H466"/>
    <mergeCell ref="B467:H467"/>
    <mergeCell ref="A444:B444"/>
    <mergeCell ref="A455:B455"/>
    <mergeCell ref="G455:H455"/>
    <mergeCell ref="G454:H454"/>
    <mergeCell ref="A352:H352"/>
    <mergeCell ref="A353:B353"/>
    <mergeCell ref="A358:B358"/>
    <mergeCell ref="A228:B228"/>
    <mergeCell ref="A232:B232"/>
    <mergeCell ref="A236:B236"/>
    <mergeCell ref="A240:B240"/>
    <mergeCell ref="A244:H244"/>
    <mergeCell ref="G157:H157"/>
    <mergeCell ref="A339:B339"/>
    <mergeCell ref="A344:B344"/>
    <mergeCell ref="A170:H170"/>
    <mergeCell ref="G437:H437"/>
    <mergeCell ref="G161:H161"/>
    <mergeCell ref="A162:B162"/>
    <mergeCell ref="C162:D162"/>
    <mergeCell ref="E162:F162"/>
    <mergeCell ref="G162:H162"/>
    <mergeCell ref="A309:B309"/>
    <mergeCell ref="A317:B317"/>
    <mergeCell ref="A245:B245"/>
    <mergeCell ref="A277:B277"/>
    <mergeCell ref="B459:H459"/>
    <mergeCell ref="A447:B447"/>
    <mergeCell ref="A295:B295"/>
    <mergeCell ref="G447:H447"/>
    <mergeCell ref="A445:B445"/>
    <mergeCell ref="G439:H439"/>
    <mergeCell ref="G445:H445"/>
    <mergeCell ref="G444:H444"/>
    <mergeCell ref="A299:H299"/>
    <mergeCell ref="A304:H304"/>
    <mergeCell ref="A305:B305"/>
    <mergeCell ref="A253:H253"/>
    <mergeCell ref="A281:B281"/>
    <mergeCell ref="A286:B286"/>
    <mergeCell ref="G49:H49"/>
    <mergeCell ref="G51:H51"/>
    <mergeCell ref="D55:H55"/>
    <mergeCell ref="C51:E51"/>
    <mergeCell ref="D60:H60"/>
    <mergeCell ref="D62:H62"/>
    <mergeCell ref="C50:E50"/>
    <mergeCell ref="A53:B53"/>
    <mergeCell ref="C53:E53"/>
    <mergeCell ref="A50:B50"/>
    <mergeCell ref="A54:H54"/>
    <mergeCell ref="A55:C55"/>
    <mergeCell ref="A56:C56"/>
    <mergeCell ref="D56:H56"/>
    <mergeCell ref="G53:H53"/>
    <mergeCell ref="C52:H52"/>
    <mergeCell ref="F34:H34"/>
    <mergeCell ref="F33:H33"/>
    <mergeCell ref="A169:B169"/>
    <mergeCell ref="C169:D169"/>
    <mergeCell ref="E169:F169"/>
    <mergeCell ref="G169:H169"/>
    <mergeCell ref="E42:H42"/>
    <mergeCell ref="A42:D42"/>
    <mergeCell ref="A113:B113"/>
    <mergeCell ref="C113:H113"/>
    <mergeCell ref="A80:B80"/>
    <mergeCell ref="D61:H61"/>
    <mergeCell ref="A99:B99"/>
    <mergeCell ref="C99:H99"/>
    <mergeCell ref="A101:B101"/>
    <mergeCell ref="C101:H101"/>
    <mergeCell ref="A102:B102"/>
    <mergeCell ref="E102:F102"/>
    <mergeCell ref="G102:H102"/>
    <mergeCell ref="A103:B103"/>
    <mergeCell ref="E103:F112"/>
    <mergeCell ref="G103:H112"/>
    <mergeCell ref="A104:B104"/>
    <mergeCell ref="C49:E49"/>
    <mergeCell ref="A121:B121"/>
    <mergeCell ref="A122:B122"/>
    <mergeCell ref="A123:B123"/>
    <mergeCell ref="F142:H142"/>
    <mergeCell ref="A325:H325"/>
    <mergeCell ref="A326:B326"/>
    <mergeCell ref="F149:H149"/>
    <mergeCell ref="F150:H150"/>
    <mergeCell ref="G156:H156"/>
    <mergeCell ref="A151:E151"/>
    <mergeCell ref="C157:D157"/>
    <mergeCell ref="E157:F157"/>
    <mergeCell ref="C168:D168"/>
    <mergeCell ref="F151:H151"/>
    <mergeCell ref="E156:F156"/>
    <mergeCell ref="A156:B156"/>
    <mergeCell ref="A161:B161"/>
    <mergeCell ref="C161:D161"/>
    <mergeCell ref="E161:F161"/>
    <mergeCell ref="C160:D160"/>
    <mergeCell ref="L327:M327"/>
    <mergeCell ref="A328:B328"/>
    <mergeCell ref="L328:M328"/>
    <mergeCell ref="A329:B329"/>
    <mergeCell ref="L329:M329"/>
    <mergeCell ref="A475:H475"/>
    <mergeCell ref="A472:H472"/>
    <mergeCell ref="G450:H450"/>
    <mergeCell ref="A435:B435"/>
    <mergeCell ref="A330:B330"/>
    <mergeCell ref="A334:H334"/>
    <mergeCell ref="A335:H335"/>
    <mergeCell ref="A337:H337"/>
    <mergeCell ref="A333:H333"/>
    <mergeCell ref="A336:H336"/>
    <mergeCell ref="A338:H338"/>
    <mergeCell ref="A442:B442"/>
    <mergeCell ref="G436:H436"/>
    <mergeCell ref="A429:H429"/>
    <mergeCell ref="A441:B441"/>
    <mergeCell ref="G433:H433"/>
    <mergeCell ref="B460:H460"/>
    <mergeCell ref="B464:H464"/>
    <mergeCell ref="L330:M330"/>
    <mergeCell ref="A331:B331"/>
    <mergeCell ref="L331:M331"/>
    <mergeCell ref="A332:H332"/>
    <mergeCell ref="L326:M326"/>
    <mergeCell ref="L339:M339"/>
    <mergeCell ref="A340:B340"/>
    <mergeCell ref="L340:M340"/>
    <mergeCell ref="A341:B341"/>
    <mergeCell ref="L341:M341"/>
    <mergeCell ref="A342:B342"/>
    <mergeCell ref="L342:M342"/>
    <mergeCell ref="A343:B343"/>
    <mergeCell ref="L343:M343"/>
    <mergeCell ref="L344:M344"/>
    <mergeCell ref="A345:H345"/>
    <mergeCell ref="A346:B346"/>
    <mergeCell ref="L346:M346"/>
    <mergeCell ref="A347:B347"/>
    <mergeCell ref="L347:M347"/>
    <mergeCell ref="A348:B348"/>
    <mergeCell ref="L348:M348"/>
    <mergeCell ref="A349:B349"/>
    <mergeCell ref="L349:M349"/>
    <mergeCell ref="A350:B350"/>
    <mergeCell ref="L350:M350"/>
    <mergeCell ref="A351:B351"/>
    <mergeCell ref="L351:M351"/>
    <mergeCell ref="L358:M358"/>
    <mergeCell ref="A224:H224"/>
    <mergeCell ref="A225:H225"/>
    <mergeCell ref="A226:H226"/>
    <mergeCell ref="A227:B227"/>
    <mergeCell ref="L227:M227"/>
    <mergeCell ref="L353:M353"/>
    <mergeCell ref="A354:B354"/>
    <mergeCell ref="L354:M354"/>
    <mergeCell ref="A355:B355"/>
    <mergeCell ref="L355:M355"/>
    <mergeCell ref="A356:B356"/>
    <mergeCell ref="L356:M356"/>
    <mergeCell ref="A357:B357"/>
    <mergeCell ref="L357:M357"/>
    <mergeCell ref="L232:M232"/>
    <mergeCell ref="A233:B233"/>
    <mergeCell ref="L233:M233"/>
    <mergeCell ref="A234:B234"/>
    <mergeCell ref="L234:M234"/>
    <mergeCell ref="A235:H235"/>
    <mergeCell ref="L228:M228"/>
    <mergeCell ref="A229:B229"/>
    <mergeCell ref="L229:M229"/>
    <mergeCell ref="A230:B230"/>
    <mergeCell ref="L230:M230"/>
    <mergeCell ref="A231:B231"/>
    <mergeCell ref="L231:M231"/>
    <mergeCell ref="L240:M240"/>
    <mergeCell ref="A241:B241"/>
    <mergeCell ref="L241:M241"/>
    <mergeCell ref="A242:B242"/>
    <mergeCell ref="L242:M242"/>
    <mergeCell ref="A243:B243"/>
    <mergeCell ref="L243:M243"/>
    <mergeCell ref="L236:M236"/>
    <mergeCell ref="A237:B237"/>
    <mergeCell ref="L237:M237"/>
    <mergeCell ref="A238:B238"/>
    <mergeCell ref="L238:M238"/>
    <mergeCell ref="A239:B239"/>
    <mergeCell ref="L239:M239"/>
    <mergeCell ref="L267:M267"/>
    <mergeCell ref="L245:M245"/>
    <mergeCell ref="A246:B246"/>
    <mergeCell ref="L246:M246"/>
    <mergeCell ref="A247:B247"/>
    <mergeCell ref="L247:M247"/>
    <mergeCell ref="A248:B248"/>
    <mergeCell ref="L248:M248"/>
    <mergeCell ref="A249:B249"/>
    <mergeCell ref="L249:M249"/>
    <mergeCell ref="A250:B250"/>
    <mergeCell ref="L250:M250"/>
    <mergeCell ref="A251:B251"/>
    <mergeCell ref="L251:M251"/>
    <mergeCell ref="A252:B252"/>
    <mergeCell ref="L252:M252"/>
    <mergeCell ref="J253:Q253"/>
    <mergeCell ref="A254:B254"/>
    <mergeCell ref="L254:M254"/>
    <mergeCell ref="A255:B255"/>
    <mergeCell ref="L255:M255"/>
    <mergeCell ref="L256:M256"/>
    <mergeCell ref="A257:B257"/>
    <mergeCell ref="L257:M257"/>
    <mergeCell ref="A258:B258"/>
    <mergeCell ref="L258:M258"/>
    <mergeCell ref="A259:B259"/>
    <mergeCell ref="L259:M259"/>
    <mergeCell ref="A260:B260"/>
    <mergeCell ref="L260:M260"/>
    <mergeCell ref="L261:M261"/>
    <mergeCell ref="L272:M272"/>
    <mergeCell ref="A273:B273"/>
    <mergeCell ref="L273:M273"/>
    <mergeCell ref="A274:B274"/>
    <mergeCell ref="L274:M274"/>
    <mergeCell ref="A275:B275"/>
    <mergeCell ref="L275:M275"/>
    <mergeCell ref="A276:B276"/>
    <mergeCell ref="L276:M276"/>
    <mergeCell ref="L268:M268"/>
    <mergeCell ref="A269:B269"/>
    <mergeCell ref="L269:M269"/>
    <mergeCell ref="A270:B270"/>
    <mergeCell ref="L270:M270"/>
    <mergeCell ref="J262:Q262"/>
    <mergeCell ref="L263:M263"/>
    <mergeCell ref="A264:B264"/>
    <mergeCell ref="L264:M264"/>
    <mergeCell ref="A265:B265"/>
    <mergeCell ref="L265:M265"/>
    <mergeCell ref="A266:B266"/>
    <mergeCell ref="L266:M266"/>
    <mergeCell ref="A267:B267"/>
    <mergeCell ref="L281:M281"/>
    <mergeCell ref="A282:B282"/>
    <mergeCell ref="L282:M282"/>
    <mergeCell ref="A283:B283"/>
    <mergeCell ref="L283:M283"/>
    <mergeCell ref="A284:B284"/>
    <mergeCell ref="L284:M284"/>
    <mergeCell ref="A285:B285"/>
    <mergeCell ref="L285:M285"/>
    <mergeCell ref="L286:M286"/>
    <mergeCell ref="A287:B287"/>
    <mergeCell ref="L287:M287"/>
    <mergeCell ref="A288:B288"/>
    <mergeCell ref="L288:M288"/>
    <mergeCell ref="A296:B296"/>
    <mergeCell ref="L296:M296"/>
    <mergeCell ref="A297:B297"/>
    <mergeCell ref="L297:M297"/>
    <mergeCell ref="L295:M295"/>
    <mergeCell ref="A291:B291"/>
    <mergeCell ref="L291:M291"/>
    <mergeCell ref="A292:B292"/>
    <mergeCell ref="L292:M292"/>
    <mergeCell ref="A293:B293"/>
    <mergeCell ref="L293:M293"/>
    <mergeCell ref="A294:B294"/>
    <mergeCell ref="L294:M294"/>
    <mergeCell ref="A289:H289"/>
    <mergeCell ref="A290:B290"/>
    <mergeCell ref="L290:M290"/>
    <mergeCell ref="L277:M277"/>
    <mergeCell ref="A278:B278"/>
    <mergeCell ref="L278:M278"/>
    <mergeCell ref="A279:B279"/>
    <mergeCell ref="L279:M279"/>
    <mergeCell ref="A280:H280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327:B327"/>
    <mergeCell ref="A160:B160"/>
    <mergeCell ref="A141:E141"/>
    <mergeCell ref="A126:B126"/>
    <mergeCell ref="A115:B115"/>
    <mergeCell ref="C115:H115"/>
    <mergeCell ref="G89:H98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318:H318"/>
    <mergeCell ref="A319:B319"/>
    <mergeCell ref="L319:M319"/>
    <mergeCell ref="A320:B320"/>
    <mergeCell ref="L320:M320"/>
    <mergeCell ref="A321:B321"/>
    <mergeCell ref="L321:M321"/>
    <mergeCell ref="A322:B322"/>
    <mergeCell ref="L322:M322"/>
    <mergeCell ref="A323:B323"/>
    <mergeCell ref="L323:M323"/>
    <mergeCell ref="A324:B324"/>
    <mergeCell ref="L324:M324"/>
    <mergeCell ref="A135:B135"/>
    <mergeCell ref="A136:B136"/>
    <mergeCell ref="A137:B137"/>
    <mergeCell ref="A138:B138"/>
    <mergeCell ref="A139:B139"/>
    <mergeCell ref="A140:B140"/>
    <mergeCell ref="D63:H63"/>
    <mergeCell ref="A60:C63"/>
    <mergeCell ref="A127:B127"/>
    <mergeCell ref="C127:H127"/>
    <mergeCell ref="A129:B129"/>
    <mergeCell ref="C129:H129"/>
    <mergeCell ref="A130:B130"/>
    <mergeCell ref="E130:F130"/>
    <mergeCell ref="G130:H130"/>
    <mergeCell ref="A85:B85"/>
    <mergeCell ref="C85:H85"/>
    <mergeCell ref="A87:B87"/>
    <mergeCell ref="C87:H87"/>
    <mergeCell ref="A88:B88"/>
    <mergeCell ref="E88:F88"/>
    <mergeCell ref="G88:H88"/>
    <mergeCell ref="A89:B89"/>
    <mergeCell ref="E89:F98"/>
    <mergeCell ref="D58:H58"/>
    <mergeCell ref="D59:H59"/>
    <mergeCell ref="A57:C59"/>
    <mergeCell ref="A165:A166"/>
    <mergeCell ref="C165:D165"/>
    <mergeCell ref="E165:F165"/>
    <mergeCell ref="G165:H165"/>
    <mergeCell ref="C166:D166"/>
    <mergeCell ref="E166:F166"/>
    <mergeCell ref="G166:H166"/>
    <mergeCell ref="C167:D167"/>
    <mergeCell ref="E167:F167"/>
    <mergeCell ref="G167:H167"/>
    <mergeCell ref="A131:B131"/>
    <mergeCell ref="E131:F140"/>
    <mergeCell ref="G131:H140"/>
    <mergeCell ref="A132:B132"/>
    <mergeCell ref="A133:B133"/>
    <mergeCell ref="A134:B134"/>
  </mergeCells>
  <dataValidations count="13">
    <dataValidation type="list" allowBlank="1" showInputMessage="1" showErrorMessage="1" sqref="E4:H4" xr:uid="{00000000-0002-0000-0000-000000000000}">
      <formula1>"Axis Goregaon,Axis Thane,Axis Badlapur,Axis Sanpada, PNB Thane"</formula1>
    </dataValidation>
    <dataValidation type="list" allowBlank="1" showInputMessage="1" showErrorMessage="1" sqref="A16:B16" xr:uid="{00000000-0002-0000-0000-000001000000}">
      <formula1>"CTS No.,Survey No.,Plot No.,Gut No.,FP No.,"</formula1>
    </dataValidation>
    <dataValidation type="list" allowBlank="1" showInputMessage="1" showErrorMessage="1" sqref="G19:H19" xr:uid="{00000000-0002-0000-0000-000002000000}">
      <formula1>"Mumbai,Thane,Palghar,Raigad,Pune"</formula1>
    </dataValidation>
    <dataValidation type="list" allowBlank="1" showInputMessage="1" showErrorMessage="1" sqref="F141:H141" xr:uid="{00000000-0002-0000-0000-000005000000}">
      <formula1>"On Saleable Area,On Builtup Area,On Carpet Area,On Plot Area"</formula1>
    </dataValidation>
    <dataValidation type="list" allowBlank="1" showInputMessage="1" showErrorMessage="1" sqref="F153:H153" xr:uid="{00000000-0002-0000-0000-000006000000}">
      <formula1>"100000,150000,200000,250000,300000,350000,400000,500000,600000,700000,800000,900000,1000000,1200000,1400000,1500000"</formula1>
    </dataValidation>
    <dataValidation type="list" allowBlank="1" showInputMessage="1" showErrorMessage="1" sqref="D195:D196" xr:uid="{54EF0868-66AC-4946-BFCA-72C1ECD0AF3F}">
      <formula1>"Carpet Area,Carpet + Encl Balcony Area,RERA Carpet area"</formula1>
    </dataValidation>
    <dataValidation type="list" allowBlank="1" showInputMessage="1" showErrorMessage="1" sqref="D172:D173" xr:uid="{5795EC64-DF3B-44BC-8CBC-D7EC2DCE32F0}">
      <formula1>"Carpet area,RERA Carpet area"</formula1>
    </dataValidation>
    <dataValidation type="list" allowBlank="1" showInputMessage="1" showErrorMessage="1" sqref="H172 H195" xr:uid="{81BAF330-FE07-4488-ABD8-A469D2FC5228}">
      <formula1>"Saleable area Loading :,Builder Saleable Area"</formula1>
    </dataValidation>
    <dataValidation type="list" allowBlank="1" showInputMessage="1" showErrorMessage="1" sqref="H196 H173" xr:uid="{F010064A-DA68-45DF-A23A-DA79D3C1A86E}">
      <formula1>".45,.50,.55,.60"</formula1>
    </dataValidation>
    <dataValidation type="list" allowBlank="1" showInputMessage="1" showErrorMessage="1" sqref="E195:E196" xr:uid="{222A4C79-299A-47A8-A211-1EFFD8779E2D}">
      <formula1>"Fungible area,Balcony Area,Chajja Area,Cornice Area,AP Area,WS Area"</formula1>
    </dataValidation>
    <dataValidation type="list" allowBlank="1" showInputMessage="1" showErrorMessage="1" sqref="B195:B196" xr:uid="{26A4D01B-5372-408A-AFA5-3A62FB373DFE}">
      <formula1>"Flat No. (Sale Plan),Sale / Rehab,Sale / Mhada"</formula1>
    </dataValidation>
    <dataValidation type="list" allowBlank="1" showInputMessage="1" showErrorMessage="1" sqref="B172:B173" xr:uid="{73529E31-D50D-470F-8A86-99B6516748FA}">
      <formula1>"Shop No. (Sale Plan),Sale / Rehab,Sale / Mhada"</formula1>
    </dataValidation>
    <dataValidation type="list" allowBlank="1" showInputMessage="1" showErrorMessage="1" sqref="E172:E173" xr:uid="{4CE32C0B-3EBE-4F11-AEC9-34DA5A45E4C2}">
      <formula1>"Attached Loft area,Attached Otla area,Attached Mezzanine area"</formula1>
    </dataValidation>
  </dataValidations>
  <hyperlinks>
    <hyperlink ref="C39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481" max="16383" man="1"/>
    <brk id="523" max="16383" man="1"/>
    <brk id="565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217" t="s">
        <v>108</v>
      </c>
      <c r="C3" s="217"/>
      <c r="D3" s="217"/>
      <c r="E3" s="217"/>
      <c r="F3" s="217"/>
      <c r="G3" s="217"/>
      <c r="H3" s="217"/>
    </row>
    <row r="4" spans="1:9" x14ac:dyDescent="0.3">
      <c r="A4" s="2"/>
      <c r="B4" s="3" t="s">
        <v>109</v>
      </c>
      <c r="C4" s="3" t="s">
        <v>110</v>
      </c>
      <c r="D4" s="3" t="s">
        <v>68</v>
      </c>
      <c r="E4" s="3" t="s">
        <v>111</v>
      </c>
      <c r="F4" s="3" t="s">
        <v>117</v>
      </c>
      <c r="G4" s="3" t="s">
        <v>118</v>
      </c>
      <c r="H4" s="3" t="s">
        <v>112</v>
      </c>
    </row>
    <row r="5" spans="1:9" ht="15" customHeight="1" x14ac:dyDescent="0.3">
      <c r="A5" s="2"/>
      <c r="B5" s="5" t="s">
        <v>113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113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113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113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113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114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114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115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116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2025-09-23T09:28:52Z</cp:lastPrinted>
  <dcterms:created xsi:type="dcterms:W3CDTF">2019-07-16T09:29:46Z</dcterms:created>
  <dcterms:modified xsi:type="dcterms:W3CDTF">2025-09-23T09:36:19Z</dcterms:modified>
</cp:coreProperties>
</file>