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rani\Downloads\12.09 Dump\"/>
    </mc:Choice>
  </mc:AlternateContent>
  <xr:revisionPtr revIDLastSave="0" documentId="13_ncr:1_{EE120CFE-E53F-4D83-BAB8-63FA0368CF6C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Report!$A$1:$H$281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25" i="1" l="1"/>
  <c r="K135" i="1"/>
  <c r="E123" i="1"/>
  <c r="E122" i="1"/>
  <c r="E121" i="1"/>
  <c r="E120" i="1"/>
  <c r="J108" i="1"/>
  <c r="D154" i="1"/>
  <c r="D149" i="1"/>
  <c r="D143" i="1"/>
  <c r="D133" i="1"/>
  <c r="D144" i="1"/>
  <c r="D142" i="1"/>
  <c r="D141" i="1"/>
  <c r="D139" i="1"/>
  <c r="D138" i="1"/>
  <c r="D137" i="1"/>
  <c r="D132" i="1"/>
  <c r="D131" i="1"/>
  <c r="D130" i="1"/>
  <c r="D134" i="1"/>
  <c r="D129" i="1"/>
  <c r="D128" i="1"/>
  <c r="D127" i="1"/>
  <c r="D126" i="1"/>
  <c r="D120" i="1"/>
  <c r="D123" i="1"/>
  <c r="D124" i="1"/>
  <c r="D121" i="1"/>
  <c r="D118" i="1"/>
  <c r="D117" i="1"/>
  <c r="D116" i="1"/>
  <c r="E7" i="1"/>
  <c r="D108" i="1" l="1"/>
  <c r="D151" i="1" l="1"/>
  <c r="D147" i="1"/>
  <c r="D119" i="1"/>
  <c r="J124" i="1"/>
  <c r="J123" i="1"/>
  <c r="J122" i="1"/>
  <c r="J121" i="1"/>
  <c r="J120" i="1"/>
  <c r="J119" i="1"/>
  <c r="J118" i="1"/>
  <c r="J117" i="1"/>
  <c r="J116" i="1"/>
  <c r="A147" i="1" l="1"/>
  <c r="A148" i="1" s="1"/>
  <c r="A149" i="1" s="1"/>
  <c r="A150" i="1" s="1"/>
  <c r="A151" i="1" s="1"/>
  <c r="A152" i="1" s="1"/>
  <c r="A153" i="1" s="1"/>
  <c r="A154" i="1" s="1"/>
  <c r="A137" i="1"/>
  <c r="A138" i="1" s="1"/>
  <c r="A139" i="1" s="1"/>
  <c r="A140" i="1" s="1"/>
  <c r="A141" i="1" s="1"/>
  <c r="A142" i="1" s="1"/>
  <c r="A143" i="1" s="1"/>
  <c r="A144" i="1" s="1"/>
  <c r="A117" i="1"/>
  <c r="A118" i="1" s="1"/>
  <c r="A119" i="1" s="1"/>
  <c r="A120" i="1" s="1"/>
  <c r="A121" i="1" s="1"/>
  <c r="A122" i="1" s="1"/>
  <c r="A123" i="1" s="1"/>
  <c r="A124" i="1" s="1"/>
  <c r="F154" i="1"/>
  <c r="D152" i="1"/>
  <c r="F152" i="1" s="1"/>
  <c r="F151" i="1"/>
  <c r="F149" i="1"/>
  <c r="F147" i="1"/>
  <c r="F144" i="1"/>
  <c r="F143" i="1"/>
  <c r="F142" i="1"/>
  <c r="F141" i="1"/>
  <c r="F139" i="1"/>
  <c r="F138" i="1"/>
  <c r="F137" i="1"/>
  <c r="G136" i="1"/>
  <c r="F132" i="1"/>
  <c r="K132" i="1" s="1"/>
  <c r="F134" i="1"/>
  <c r="K134" i="1" s="1"/>
  <c r="F133" i="1"/>
  <c r="K133" i="1" s="1"/>
  <c r="F131" i="1"/>
  <c r="K131" i="1" s="1"/>
  <c r="F123" i="1"/>
  <c r="K123" i="1" s="1"/>
  <c r="F120" i="1"/>
  <c r="K120" i="1" s="1"/>
  <c r="F124" i="1"/>
  <c r="K124" i="1" s="1"/>
  <c r="D122" i="1"/>
  <c r="F122" i="1" s="1"/>
  <c r="K122" i="1" s="1"/>
  <c r="F121" i="1"/>
  <c r="K121" i="1" s="1"/>
  <c r="G116" i="1"/>
  <c r="E110" i="1"/>
  <c r="E109" i="1"/>
  <c r="D110" i="1"/>
  <c r="D109" i="1"/>
  <c r="F109" i="1" s="1"/>
  <c r="E111" i="1"/>
  <c r="D111" i="1"/>
  <c r="E108" i="1"/>
  <c r="F108" i="1" s="1"/>
  <c r="A126" i="1"/>
  <c r="E100" i="1" l="1"/>
  <c r="E101" i="1" s="1"/>
  <c r="C100" i="1"/>
  <c r="C101" i="1" s="1"/>
  <c r="C96" i="1"/>
  <c r="C97" i="1" s="1"/>
  <c r="E96" i="1"/>
  <c r="E97" i="1" s="1"/>
  <c r="F116" i="1"/>
  <c r="K116" i="1" s="1"/>
  <c r="A127" i="1"/>
  <c r="E102" i="1" l="1"/>
  <c r="C102" i="1"/>
  <c r="A128" i="1"/>
  <c r="E43" i="1" l="1"/>
  <c r="E44" i="1" s="1"/>
  <c r="A129" i="1"/>
  <c r="C15" i="1" l="1"/>
  <c r="A130" i="1"/>
  <c r="E30" i="1" l="1"/>
  <c r="A131" i="1"/>
  <c r="F117" i="1" l="1"/>
  <c r="K117" i="1" s="1"/>
  <c r="F118" i="1"/>
  <c r="K118" i="1" s="1"/>
  <c r="F119" i="1"/>
  <c r="K119" i="1" s="1"/>
  <c r="A132" i="1"/>
  <c r="F93" i="1" l="1"/>
  <c r="A133" i="1"/>
  <c r="F110" i="1" l="1"/>
  <c r="F111" i="1"/>
  <c r="A134" i="1"/>
  <c r="G96" i="1" l="1"/>
  <c r="G97" i="1" s="1"/>
  <c r="B157" i="1"/>
  <c r="F130" i="1" l="1"/>
  <c r="K130" i="1" s="1"/>
  <c r="F129" i="1"/>
  <c r="K129" i="1" s="1"/>
  <c r="F127" i="1"/>
  <c r="F126" i="1"/>
  <c r="K126" i="1" s="1"/>
  <c r="F128" i="1"/>
  <c r="K128" i="1" s="1"/>
  <c r="K127" i="1" l="1"/>
  <c r="J128" i="1"/>
  <c r="G100" i="1"/>
  <c r="G101" i="1" s="1"/>
  <c r="G102" i="1" s="1"/>
  <c r="B158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78" i="1"/>
  <c r="G146" i="1"/>
  <c r="G126" i="1"/>
  <c r="A109" i="1"/>
  <c r="A110" i="1" s="1"/>
  <c r="A111" i="1" s="1"/>
  <c r="G108" i="1"/>
  <c r="C66" i="1"/>
  <c r="D55" i="1"/>
  <c r="G50" i="1"/>
  <c r="G51" i="1" s="1"/>
  <c r="C50" i="1"/>
  <c r="E27" i="1"/>
  <c r="E25" i="1"/>
  <c r="E3" i="1"/>
  <c r="D60" i="1" l="1"/>
  <c r="H67" i="1"/>
  <c r="D79" i="1" l="1"/>
  <c r="D77" i="1"/>
  <c r="D76" i="1"/>
  <c r="D73" i="1"/>
  <c r="D75" i="1"/>
  <c r="J72" i="1"/>
  <c r="J73" i="1" s="1"/>
  <c r="J78" i="1" s="1"/>
  <c r="D78" i="1"/>
  <c r="J66" i="1"/>
  <c r="J68" i="1" s="1"/>
  <c r="D74" i="1"/>
  <c r="J70" i="1"/>
  <c r="J71" i="1"/>
  <c r="J69" i="1"/>
  <c r="J74" i="1"/>
  <c r="J75" i="1" s="1"/>
  <c r="J76" i="1" s="1"/>
  <c r="J77" i="1" s="1"/>
  <c r="D72" i="1"/>
  <c r="C70" i="1" l="1"/>
  <c r="D70" i="1" s="1"/>
  <c r="J79" i="1"/>
  <c r="C71" i="1" s="1"/>
  <c r="G70" i="1" l="1"/>
  <c r="D64" i="1" s="1"/>
  <c r="D65" i="1" s="1"/>
  <c r="J67" i="1"/>
  <c r="D71" i="1"/>
  <c r="I67" i="1" s="1"/>
  <c r="I68" i="1" s="1"/>
  <c r="E70" i="1"/>
  <c r="F65" i="1" l="1"/>
  <c r="I66" i="1"/>
  <c r="C68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Sachin</author>
  </authors>
  <commentList>
    <comment ref="E1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Building No. 
Tower No.
Wing 
Bunglow No., etc</t>
        </r>
      </text>
    </comment>
    <comment ref="E12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If exisiting Building is provided write it or else
NA</t>
        </r>
      </text>
    </comment>
    <comment ref="D5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If multiple building in project or complex just mention builtup of required building</t>
        </r>
      </text>
    </comment>
  </commentList>
</comments>
</file>

<file path=xl/sharedStrings.xml><?xml version="1.0" encoding="utf-8"?>
<sst xmlns="http://schemas.openxmlformats.org/spreadsheetml/2006/main" count="308" uniqueCount="235">
  <si>
    <t xml:space="preserve">Valuation Report </t>
  </si>
  <si>
    <t>Date:</t>
  </si>
  <si>
    <t>CPC Name:</t>
  </si>
  <si>
    <t>Date Of Property Visit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</si>
  <si>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</si>
  <si>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</si>
  <si>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</si>
  <si>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</si>
  <si>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</si>
  <si>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</si>
  <si>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</si>
  <si>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</si>
  <si>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</si>
  <si>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</si>
  <si>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</si>
  <si>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</si>
  <si>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</si>
  <si>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</si>
  <si>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</si>
  <si>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</si>
  <si>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</si>
  <si>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</si>
  <si>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</si>
  <si>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</si>
  <si>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</si>
  <si>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</si>
  <si>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</si>
  <si>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</si>
  <si>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</si>
  <si>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</si>
  <si>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</si>
  <si>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</si>
  <si>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</si>
  <si>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</si>
  <si>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</si>
  <si>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</si>
  <si>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</si>
  <si>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</si>
  <si>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</si>
  <si>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</si>
  <si>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</si>
  <si>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</si>
  <si>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</si>
  <si>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</si>
  <si>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</si>
  <si>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</si>
  <si>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</si>
  <si>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</si>
  <si>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</si>
  <si>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</si>
  <si>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</si>
  <si>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</si>
  <si>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</si>
  <si>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</si>
  <si>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</si>
  <si>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</si>
  <si>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</si>
  <si>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</si>
  <si>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</si>
  <si>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</si>
  <si>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</si>
  <si>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</si>
  <si>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</si>
  <si>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</si>
  <si>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</si>
  <si>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</si>
  <si>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</si>
  <si>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</si>
  <si>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</si>
  <si>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</si>
  <si>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</si>
  <si>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</si>
  <si>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</si>
  <si>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</si>
  <si>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</si>
  <si>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</si>
  <si>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</si>
  <si>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</si>
  <si>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</si>
  <si>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</si>
  <si>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</si>
  <si>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</si>
  <si>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</si>
  <si>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</si>
  <si>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</si>
  <si>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</si>
  <si>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</si>
  <si>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</si>
  <si>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</si>
  <si>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</si>
  <si>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</si>
  <si>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</si>
  <si>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</si>
  <si>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</si>
  <si>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</si>
  <si>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</si>
  <si>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</si>
  <si>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</si>
  <si>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</si>
  <si>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</si>
  <si>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</si>
  <si>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</si>
  <si>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</si>
  <si>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</si>
  <si>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</si>
  <si>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</si>
  <si>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</si>
  <si>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</si>
  <si>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</si>
  <si>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</si>
  <si>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</si>
  <si>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</si>
  <si>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</si>
  <si>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</si>
  <si>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</si>
  <si>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</si>
  <si>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</si>
  <si>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</si>
  <si>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</si>
  <si>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</si>
  <si>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</si>
  <si>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</si>
  <si>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</si>
  <si>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</si>
  <si>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</si>
  <si>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</si>
  <si>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</si>
  <si>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</si>
  <si>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</si>
  <si>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</si>
  <si>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</si>
  <si>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</si>
  <si>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</si>
  <si>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</si>
  <si>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</si>
  <si>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</si>
  <si>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</si>
  <si>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</si>
  <si>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</si>
  <si>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</si>
  <si>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</si>
  <si>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</si>
  <si>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</si>
  <si>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</si>
  <si>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</si>
  <si>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</si>
  <si>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</si>
  <si>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</si>
  <si>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</si>
  <si>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</si>
  <si>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</si>
  <si>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</si>
  <si>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</si>
  <si>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</si>
  <si>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</si>
  <si>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</si>
  <si>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</si>
  <si>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>Attached Loft area</t>
  </si>
  <si>
    <t xml:space="preserve">Recommended Rates of the Property : 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</si>
  <si>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</si>
  <si>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</si>
  <si>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</si>
  <si>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</si>
  <si>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</si>
  <si>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</si>
  <si>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</si>
  <si>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Layout :</t>
  </si>
  <si>
    <t>Latitude, Longitude</t>
  </si>
  <si>
    <t>Grand Total</t>
  </si>
  <si>
    <t>Provided Contact Details (Name &amp; Contact No.)</t>
  </si>
  <si>
    <t>Site Person - Contact Details (Name &amp; Contact No.)</t>
  </si>
  <si>
    <t>Name / No of the Existing Building</t>
  </si>
  <si>
    <t>As per Layout</t>
  </si>
  <si>
    <t>Floor Rise Rate from    Floor</t>
  </si>
  <si>
    <t>Axis Sanpada</t>
  </si>
  <si>
    <t>P52000051959</t>
  </si>
  <si>
    <t>Meghna Bliss</t>
  </si>
  <si>
    <t>Meghna Builders</t>
  </si>
  <si>
    <t xml:space="preserve">Name of the builder </t>
  </si>
  <si>
    <t>Survey No</t>
  </si>
  <si>
    <t>24A/12/2</t>
  </si>
  <si>
    <t>Panvel Muncipal Corporation</t>
  </si>
  <si>
    <t>PMC/TP/Rohinjan/24A/12/2/21-23/16623/763/2023</t>
  </si>
  <si>
    <t>Ground + 12 Upper Floor</t>
  </si>
  <si>
    <t>As per RERA - 31/12/2026</t>
  </si>
  <si>
    <t>G + 1st to 12th Floor</t>
  </si>
  <si>
    <t>Garden, Swimming Pool, Gymnasium, Children's Play area, Yoga/Meditation area.</t>
  </si>
  <si>
    <t>Shop</t>
  </si>
  <si>
    <t>1BHK</t>
  </si>
  <si>
    <t>2BHK</t>
  </si>
  <si>
    <t>2nd to 7th, 9th to 11th Floor</t>
  </si>
  <si>
    <t>8th Floor (Part Refuge Area, Society Office &amp; Drivers Room)</t>
  </si>
  <si>
    <t>Society Office &amp; Drivers Room</t>
  </si>
  <si>
    <t>Refuge Area</t>
  </si>
  <si>
    <t>12th Floor (Part Terrace Area )</t>
  </si>
  <si>
    <t xml:space="preserve">Terrace area </t>
  </si>
  <si>
    <t>Shops</t>
  </si>
  <si>
    <t>Flats</t>
  </si>
  <si>
    <t>https://goo.gl/maps/dTSt9v2fgoMtcJCX7</t>
  </si>
  <si>
    <t>2.1 KM from Taloja Panchnand Railway Station</t>
  </si>
  <si>
    <t>PMC/NRV/16623/J.K.763/2022</t>
  </si>
  <si>
    <t>Pisarve Road</t>
  </si>
  <si>
    <t>Rohinjan</t>
  </si>
  <si>
    <t>Raigad</t>
  </si>
  <si>
    <t>Panvel</t>
  </si>
  <si>
    <t>Taloja</t>
  </si>
  <si>
    <t>S. No. 24A/12/1</t>
  </si>
  <si>
    <t>Plot No. 14</t>
  </si>
  <si>
    <t>Other plot</t>
  </si>
  <si>
    <t>Open Plot</t>
  </si>
  <si>
    <t>1st Floor For Residential</t>
  </si>
  <si>
    <t>Flats - 102, Shops - 4</t>
  </si>
  <si>
    <t>Rohinjan to Pisarve Road</t>
  </si>
  <si>
    <t>Ground Floor For Commercial, Swimming pool, Meter Room &amp; Parking</t>
  </si>
  <si>
    <t xml:space="preserve">Details of Commercials &amp; Residential in Building   </t>
  </si>
  <si>
    <t>Mauli Apartment</t>
  </si>
  <si>
    <t>Approved Plans, CC</t>
  </si>
  <si>
    <t>Shop line</t>
  </si>
  <si>
    <t>Internal Road</t>
  </si>
  <si>
    <t xml:space="preserve">Mr. Mohit Jain 9769550509
</t>
  </si>
  <si>
    <t>Navin Vasahat</t>
  </si>
  <si>
    <t>Remark :</t>
  </si>
  <si>
    <t>We considered Gross carpet area = Net carpet + Encclosed Balcony + Balcony Area.</t>
  </si>
  <si>
    <t>found refernces lower than our rates</t>
  </si>
  <si>
    <t>Office No. 1031, Wing J, Akshar Business Park, Plot No. 03 Sector 25, Near APMC Market, 
Vashi, Navi Mumbai, Maharashtra 400703 TEL: 022-46090378/79/80                                                                       
E mail : vsjcapf@gmail.com. Web site : www.vsjadon.com</t>
  </si>
  <si>
    <t>Plint beam constriction is done.</t>
  </si>
  <si>
    <t>7300 to 7500</t>
  </si>
  <si>
    <t>smith</t>
  </si>
  <si>
    <t xml:space="preserve">Recommended Rates/Other Charges of the Property have been revised on 20/02/2024.
</t>
  </si>
  <si>
    <t>19.092363,73.077081</t>
  </si>
  <si>
    <t xml:space="preserve">Commencement-CC No
Valid Up to: </t>
  </si>
  <si>
    <t>Mr. Mohit 9820006627</t>
  </si>
  <si>
    <t>Pranita Mhatre</t>
  </si>
  <si>
    <t>Sunil Peravi</t>
  </si>
  <si>
    <t>Construction work is in process at the time of Visit. (labour found)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</si>
</sst>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 * #,##0.00_ ;_ * \-#,##0.00_ ;_ * &quot;-&quot;??_ ;_ @_ "/>
    <numFmt numFmtId="165" formatCode="0.0"/>
    <numFmt numFmtId="166" formatCode="_(* #,##0.00_);_(* \(#,##0.00\);_(* &quot;-&quot;??_);_(@_)"/>
    <numFmt numFmtId="167" formatCode="_(* #,##0_);_(* \(#,##0\);_(* &quot;-&quot;??_);_(@_)"/>
    <numFmt numFmtId="168" formatCode="_ * #,##0_ ;_ * \-#,##0_ ;_ * &quot;-&quot;??_ ;_ @_ "/>
  </numFmts>
  <fonts count="31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b/>
      <sz val="12"/>
      <color rgb="FFFF0000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6" fontId="5" fillId="0" borderId="0" applyFont="0" applyFill="0" applyBorder="0" applyAlignment="0" applyProtection="0"/>
    <xf numFmtId="0" fontId="21" fillId="0" borderId="0"/>
    <xf numFmtId="9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7" fillId="0" borderId="0" applyNumberFormat="0" applyFill="0" applyBorder="0" applyAlignment="0" applyProtection="0"/>
  </cellStyleXfs>
  <cellXfs count="191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20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7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9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0" fontId="18" fillId="0" borderId="0" xfId="0" applyFont="1" applyProtection="1">
      <protection hidden="1"/>
    </xf>
    <xf numFmtId="0" fontId="18" fillId="0" borderId="10" xfId="0" applyFont="1" applyBorder="1" applyProtection="1">
      <protection hidden="1"/>
    </xf>
    <xf numFmtId="0" fontId="12" fillId="0" borderId="3" xfId="1" applyFont="1" applyBorder="1" applyAlignment="1" applyProtection="1">
      <alignment horizontal="center" vertical="top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9" fontId="7" fillId="0" borderId="6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4" fillId="0" borderId="0" xfId="1" applyFont="1"/>
    <xf numFmtId="0" fontId="7" fillId="0" borderId="9" xfId="1" applyFont="1" applyBorder="1"/>
    <xf numFmtId="0" fontId="18" fillId="0" borderId="9" xfId="0" applyFont="1" applyBorder="1" applyProtection="1">
      <protection hidden="1"/>
    </xf>
    <xf numFmtId="1" fontId="0" fillId="0" borderId="9" xfId="0" applyNumberFormat="1" applyBorder="1"/>
    <xf numFmtId="1" fontId="0" fillId="0" borderId="9" xfId="0" applyNumberFormat="1" applyBorder="1" applyAlignment="1">
      <alignment horizontal="right"/>
    </xf>
    <xf numFmtId="1" fontId="0" fillId="0" borderId="11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25" fillId="2" borderId="29" xfId="0" applyFont="1" applyFill="1" applyBorder="1"/>
    <xf numFmtId="0" fontId="26" fillId="0" borderId="30" xfId="0" applyFont="1" applyBorder="1"/>
    <xf numFmtId="0" fontId="26" fillId="0" borderId="1" xfId="0" applyFont="1" applyBorder="1"/>
    <xf numFmtId="0" fontId="26" fillId="0" borderId="4" xfId="0" applyFont="1" applyBorder="1"/>
    <xf numFmtId="0" fontId="17" fillId="0" borderId="0" xfId="1" applyFont="1"/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9" fontId="8" fillId="0" borderId="15" xfId="8" applyFont="1" applyFill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1" fontId="12" fillId="0" borderId="1" xfId="1" applyNumberFormat="1" applyFont="1" applyBorder="1" applyAlignment="1" applyProtection="1">
      <alignment horizontal="center" vertical="top" wrapText="1"/>
      <protection locked="0"/>
    </xf>
    <xf numFmtId="1" fontId="6" fillId="0" borderId="0" xfId="1" applyNumberFormat="1" applyFont="1" applyAlignment="1" applyProtection="1">
      <alignment horizontal="center" vertical="center" wrapText="1"/>
      <protection locked="0"/>
    </xf>
    <xf numFmtId="1" fontId="7" fillId="0" borderId="1" xfId="1" applyNumberFormat="1" applyFont="1" applyBorder="1" applyAlignment="1">
      <alignment horizontal="center" vertical="center"/>
    </xf>
    <xf numFmtId="0" fontId="30" fillId="0" borderId="0" xfId="0" applyFont="1"/>
    <xf numFmtId="0" fontId="10" fillId="0" borderId="0" xfId="0" applyFont="1" applyAlignment="1">
      <alignment horizontal="center" vertical="center"/>
    </xf>
    <xf numFmtId="0" fontId="6" fillId="0" borderId="16" xfId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0" fontId="6" fillId="0" borderId="19" xfId="1" applyFont="1" applyBorder="1" applyAlignment="1" applyProtection="1">
      <alignment horizontal="left" vertical="top" wrapText="1"/>
      <protection locked="0"/>
    </xf>
    <xf numFmtId="1" fontId="8" fillId="0" borderId="7" xfId="0" applyNumberFormat="1" applyFont="1" applyBorder="1" applyAlignment="1" applyProtection="1">
      <alignment vertical="top" wrapText="1"/>
      <protection locked="0"/>
    </xf>
    <xf numFmtId="1" fontId="8" fillId="0" borderId="20" xfId="0" applyNumberFormat="1" applyFont="1" applyBorder="1" applyAlignment="1" applyProtection="1">
      <alignment vertical="top" wrapText="1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1" fontId="6" fillId="0" borderId="7" xfId="1" applyNumberFormat="1" applyFont="1" applyBorder="1" applyAlignment="1" applyProtection="1">
      <alignment horizontal="center" vertical="center" wrapText="1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1" fontId="6" fillId="0" borderId="16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24" xfId="1" applyNumberFormat="1" applyFont="1" applyBorder="1" applyAlignment="1" applyProtection="1">
      <alignment horizontal="center" vertical="center" wrapText="1"/>
      <protection locked="0"/>
    </xf>
    <xf numFmtId="1" fontId="6" fillId="0" borderId="25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1" fontId="8" fillId="0" borderId="7" xfId="1" applyNumberFormat="1" applyFont="1" applyBorder="1" applyAlignment="1" applyProtection="1">
      <alignment horizontal="center" vertical="center" wrapText="1"/>
      <protection locked="0"/>
    </xf>
    <xf numFmtId="1" fontId="8" fillId="0" borderId="20" xfId="1" applyNumberFormat="1" applyFont="1" applyBorder="1" applyAlignment="1" applyProtection="1">
      <alignment horizontal="center" vertical="center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1" fontId="8" fillId="0" borderId="7" xfId="0" applyNumberFormat="1" applyFont="1" applyBorder="1" applyAlignment="1" applyProtection="1">
      <alignment horizontal="left" vertical="center" wrapText="1"/>
      <protection locked="0"/>
    </xf>
    <xf numFmtId="1" fontId="8" fillId="0" borderId="20" xfId="0" applyNumberFormat="1" applyFont="1" applyBorder="1" applyAlignment="1" applyProtection="1">
      <alignment horizontal="left" vertical="center" wrapText="1"/>
      <protection locked="0"/>
    </xf>
    <xf numFmtId="1" fontId="8" fillId="0" borderId="8" xfId="0" applyNumberFormat="1" applyFont="1" applyBorder="1" applyAlignment="1" applyProtection="1">
      <alignment horizontal="left" vertical="center" wrapText="1"/>
      <protection locked="0"/>
    </xf>
    <xf numFmtId="0" fontId="7" fillId="0" borderId="0" xfId="1" applyFont="1" applyAlignment="1">
      <alignment horizontal="center" vertical="center"/>
    </xf>
    <xf numFmtId="0" fontId="12" fillId="0" borderId="16" xfId="1" applyFont="1" applyBorder="1" applyAlignment="1" applyProtection="1">
      <alignment horizontal="left" vertical="top" wrapText="1"/>
      <protection locked="0"/>
    </xf>
    <xf numFmtId="0" fontId="12" fillId="0" borderId="23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168" fontId="12" fillId="0" borderId="1" xfId="9" applyNumberFormat="1" applyFont="1" applyFill="1" applyBorder="1" applyAlignment="1" applyProtection="1">
      <alignment horizontal="left" vertical="top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5" xfId="1" applyNumberFormat="1" applyFont="1" applyBorder="1" applyAlignment="1" applyProtection="1">
      <alignment horizontal="center" vertical="top" wrapText="1"/>
      <protection locked="0"/>
    </xf>
    <xf numFmtId="0" fontId="10" fillId="0" borderId="2" xfId="0" applyFont="1" applyBorder="1" applyAlignment="1" applyProtection="1">
      <alignment horizontal="center" vertical="center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8" fillId="0" borderId="7" xfId="1" applyFont="1" applyBorder="1" applyAlignment="1" applyProtection="1">
      <alignment horizontal="left" vertical="top"/>
      <protection locked="0"/>
    </xf>
    <xf numFmtId="0" fontId="8" fillId="0" borderId="8" xfId="1" applyFont="1" applyBorder="1" applyAlignment="1" applyProtection="1">
      <alignment horizontal="left" vertical="top"/>
      <protection locked="0"/>
    </xf>
    <xf numFmtId="0" fontId="12" fillId="0" borderId="7" xfId="1" applyFont="1" applyBorder="1" applyAlignment="1" applyProtection="1">
      <alignment horizontal="center" vertical="top"/>
      <protection locked="0"/>
    </xf>
    <xf numFmtId="0" fontId="12" fillId="0" borderId="20" xfId="1" applyFont="1" applyBorder="1" applyAlignment="1" applyProtection="1">
      <alignment horizontal="center" vertical="top"/>
      <protection locked="0"/>
    </xf>
    <xf numFmtId="0" fontId="12" fillId="0" borderId="8" xfId="1" applyFont="1" applyBorder="1" applyAlignment="1" applyProtection="1">
      <alignment horizontal="center" vertical="top"/>
      <protection locked="0"/>
    </xf>
    <xf numFmtId="1" fontId="8" fillId="0" borderId="31" xfId="0" applyNumberFormat="1" applyFont="1" applyBorder="1" applyAlignment="1" applyProtection="1">
      <alignment horizontal="center" vertical="center" wrapText="1"/>
      <protection locked="0"/>
    </xf>
    <xf numFmtId="1" fontId="8" fillId="0" borderId="32" xfId="0" applyNumberFormat="1" applyFont="1" applyBorder="1" applyAlignment="1" applyProtection="1">
      <alignment horizontal="center" vertical="center" wrapText="1"/>
      <protection locked="0"/>
    </xf>
    <xf numFmtId="0" fontId="10" fillId="0" borderId="32" xfId="0" applyFont="1" applyBorder="1" applyAlignment="1" applyProtection="1">
      <alignment horizontal="center" vertical="center"/>
      <protection locked="0"/>
    </xf>
    <xf numFmtId="1" fontId="10" fillId="0" borderId="32" xfId="0" applyNumberFormat="1" applyFont="1" applyBorder="1" applyAlignment="1" applyProtection="1">
      <alignment horizontal="center" vertical="top" wrapText="1"/>
      <protection locked="0"/>
    </xf>
    <xf numFmtId="1" fontId="8" fillId="0" borderId="32" xfId="0" applyNumberFormat="1" applyFont="1" applyBorder="1" applyAlignment="1" applyProtection="1">
      <alignment horizontal="center" vertical="top" wrapText="1"/>
      <protection locked="0"/>
    </xf>
    <xf numFmtId="1" fontId="8" fillId="0" borderId="33" xfId="0" applyNumberFormat="1" applyFont="1" applyBorder="1" applyAlignment="1" applyProtection="1">
      <alignment horizontal="center" vertical="top" wrapText="1"/>
      <protection locked="0"/>
    </xf>
    <xf numFmtId="165" fontId="6" fillId="0" borderId="1" xfId="1" applyNumberFormat="1" applyFont="1" applyBorder="1" applyAlignment="1" applyProtection="1">
      <alignment horizontal="left" vertical="top"/>
      <protection locked="0"/>
    </xf>
    <xf numFmtId="0" fontId="7" fillId="0" borderId="3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6" fillId="0" borderId="7" xfId="1" applyFont="1" applyBorder="1" applyAlignment="1" applyProtection="1">
      <alignment horizontal="left" vertical="top" wrapText="1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6" fillId="0" borderId="20" xfId="1" applyFont="1" applyBorder="1" applyAlignment="1" applyProtection="1">
      <alignment horizontal="left" vertical="top" wrapText="1"/>
      <protection locked="0"/>
    </xf>
    <xf numFmtId="14" fontId="6" fillId="0" borderId="7" xfId="1" applyNumberFormat="1" applyFont="1" applyBorder="1" applyAlignment="1" applyProtection="1">
      <alignment horizontal="left" vertical="top" wrapText="1"/>
      <protection locked="0"/>
    </xf>
    <xf numFmtId="14" fontId="6" fillId="0" borderId="8" xfId="1" applyNumberFormat="1" applyFont="1" applyBorder="1" applyAlignment="1" applyProtection="1">
      <alignment horizontal="left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13" fillId="0" borderId="7" xfId="0" applyNumberFormat="1" applyFont="1" applyBorder="1" applyAlignment="1" applyProtection="1">
      <alignment vertical="top" wrapText="1"/>
      <protection locked="0"/>
    </xf>
    <xf numFmtId="1" fontId="13" fillId="0" borderId="20" xfId="0" applyNumberFormat="1" applyFont="1" applyBorder="1" applyAlignment="1" applyProtection="1">
      <alignment vertical="top" wrapText="1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0" fontId="8" fillId="0" borderId="15" xfId="1" applyFont="1" applyBorder="1" applyAlignment="1" applyProtection="1">
      <alignment horizontal="center" vertical="top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5" xfId="1" applyNumberFormat="1" applyFont="1" applyBorder="1" applyAlignment="1" applyProtection="1">
      <alignment horizontal="center" vertical="top" wrapText="1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9" fontId="7" fillId="0" borderId="16" xfId="8" applyFont="1" applyFill="1" applyBorder="1" applyAlignment="1" applyProtection="1">
      <alignment horizontal="center" vertical="center" wrapText="1"/>
      <protection locked="0"/>
    </xf>
    <xf numFmtId="9" fontId="7" fillId="0" borderId="17" xfId="8" applyFont="1" applyFill="1" applyBorder="1" applyAlignment="1" applyProtection="1">
      <alignment horizontal="center" vertical="center" wrapText="1"/>
      <protection locked="0"/>
    </xf>
    <xf numFmtId="9" fontId="7" fillId="0" borderId="24" xfId="8" applyFont="1" applyFill="1" applyBorder="1" applyAlignment="1" applyProtection="1">
      <alignment horizontal="center" vertical="center" wrapText="1"/>
      <protection locked="0"/>
    </xf>
    <xf numFmtId="9" fontId="7" fillId="0" borderId="25" xfId="8" applyFont="1" applyFill="1" applyBorder="1" applyAlignment="1" applyProtection="1">
      <alignment horizontal="center" vertical="center" wrapText="1"/>
      <protection locked="0"/>
    </xf>
    <xf numFmtId="9" fontId="7" fillId="0" borderId="27" xfId="8" applyFont="1" applyFill="1" applyBorder="1" applyAlignment="1" applyProtection="1">
      <alignment horizontal="center" vertical="center" wrapText="1"/>
      <protection locked="0"/>
    </xf>
    <xf numFmtId="9" fontId="7" fillId="0" borderId="28" xfId="8" applyFont="1" applyFill="1" applyBorder="1" applyAlignment="1" applyProtection="1">
      <alignment horizontal="center" vertical="center" wrapText="1"/>
      <protection locked="0"/>
    </xf>
    <xf numFmtId="0" fontId="6" fillId="0" borderId="2" xfId="1" applyFont="1" applyBorder="1" applyAlignment="1" applyProtection="1">
      <alignment horizontal="left" vertical="top"/>
      <protection locked="0"/>
    </xf>
    <xf numFmtId="0" fontId="7" fillId="0" borderId="4" xfId="1" applyFont="1" applyBorder="1" applyAlignment="1" applyProtection="1">
      <alignment horizontal="center" vertical="top" wrapText="1"/>
      <protection locked="0"/>
    </xf>
    <xf numFmtId="0" fontId="7" fillId="0" borderId="5" xfId="1" applyFont="1" applyBorder="1" applyAlignment="1" applyProtection="1">
      <alignment horizontal="center" vertical="top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7" xfId="1" applyFont="1" applyBorder="1" applyAlignment="1">
      <alignment horizontal="center"/>
    </xf>
    <xf numFmtId="0" fontId="12" fillId="0" borderId="20" xfId="1" applyFont="1" applyBorder="1" applyAlignment="1">
      <alignment horizontal="center"/>
    </xf>
    <xf numFmtId="0" fontId="12" fillId="0" borderId="8" xfId="1" applyFont="1" applyBorder="1" applyAlignment="1">
      <alignment horizontal="center"/>
    </xf>
    <xf numFmtId="0" fontId="13" fillId="0" borderId="7" xfId="1" applyFont="1" applyBorder="1" applyAlignment="1" applyProtection="1">
      <alignment horizontal="center" vertical="top"/>
      <protection locked="0"/>
    </xf>
    <xf numFmtId="0" fontId="13" fillId="0" borderId="20" xfId="1" applyFont="1" applyBorder="1" applyAlignment="1" applyProtection="1">
      <alignment horizontal="center" vertical="top"/>
      <protection locked="0"/>
    </xf>
    <xf numFmtId="0" fontId="13" fillId="0" borderId="8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27" fillId="0" borderId="1" xfId="10" applyFill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0" fontId="8" fillId="0" borderId="7" xfId="1" applyFont="1" applyBorder="1" applyAlignment="1" applyProtection="1">
      <alignment horizontal="left" vertical="top" wrapText="1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8" fillId="0" borderId="20" xfId="1" applyFont="1" applyBorder="1" applyAlignment="1" applyProtection="1">
      <alignment horizontal="left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13" fillId="0" borderId="3" xfId="1" applyFont="1" applyBorder="1" applyAlignment="1" applyProtection="1">
      <alignment horizontal="left" vertical="top"/>
      <protection locked="0"/>
    </xf>
    <xf numFmtId="0" fontId="8" fillId="0" borderId="21" xfId="1" applyFont="1" applyBorder="1" applyAlignment="1" applyProtection="1">
      <alignment horizontal="left" vertical="top" wrapText="1"/>
      <protection locked="0"/>
    </xf>
    <xf numFmtId="0" fontId="8" fillId="0" borderId="14" xfId="1" applyFont="1" applyBorder="1" applyAlignment="1" applyProtection="1">
      <alignment horizontal="left" vertical="top" wrapText="1"/>
      <protection locked="0"/>
    </xf>
    <xf numFmtId="0" fontId="13" fillId="0" borderId="12" xfId="1" applyFont="1" applyBorder="1" applyAlignment="1" applyProtection="1">
      <alignment horizontal="left" vertical="top" wrapText="1"/>
      <protection locked="0"/>
    </xf>
    <xf numFmtId="0" fontId="13" fillId="0" borderId="13" xfId="1" applyFont="1" applyBorder="1" applyAlignment="1" applyProtection="1">
      <alignment horizontal="left" vertical="top" wrapText="1"/>
      <protection locked="0"/>
    </xf>
    <xf numFmtId="0" fontId="13" fillId="0" borderId="22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4" xfId="1" applyFont="1" applyBorder="1" applyAlignment="1" applyProtection="1">
      <alignment horizontal="left" vertical="top" wrapText="1"/>
      <protection locked="0"/>
    </xf>
    <xf numFmtId="0" fontId="6" fillId="0" borderId="2" xfId="1" applyFont="1" applyBorder="1" applyAlignment="1" applyProtection="1">
      <alignment horizontal="left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1" fontId="10" fillId="0" borderId="2" xfId="0" applyNumberFormat="1" applyFont="1" applyBorder="1" applyAlignment="1" applyProtection="1">
      <alignment horizontal="center" vertical="center"/>
      <protection locked="0"/>
    </xf>
    <xf numFmtId="9" fontId="7" fillId="0" borderId="26" xfId="8" applyFont="1" applyFill="1" applyBorder="1" applyAlignment="1" applyProtection="1">
      <alignment horizontal="center" vertical="center" wrapText="1"/>
      <protection locked="0"/>
    </xf>
    <xf numFmtId="9" fontId="7" fillId="0" borderId="9" xfId="8" applyFont="1" applyFill="1" applyBorder="1" applyAlignment="1" applyProtection="1">
      <alignment horizontal="center" vertical="center" wrapText="1"/>
      <protection locked="0"/>
    </xf>
    <xf numFmtId="9" fontId="7" fillId="0" borderId="11" xfId="8" applyFont="1" applyFill="1" applyBorder="1" applyAlignment="1" applyProtection="1">
      <alignment horizontal="center" vertical="center" wrapText="1"/>
      <protection locked="0"/>
    </xf>
    <xf numFmtId="0" fontId="15" fillId="0" borderId="24" xfId="1" applyFont="1" applyBorder="1" applyAlignment="1">
      <alignment horizontal="center" vertical="center"/>
    </xf>
    <xf numFmtId="0" fontId="13" fillId="0" borderId="7" xfId="1" applyFont="1" applyBorder="1" applyAlignment="1" applyProtection="1">
      <alignment horizontal="left" vertical="top"/>
      <protection locked="0"/>
    </xf>
    <xf numFmtId="0" fontId="13" fillId="0" borderId="20" xfId="1" applyFont="1" applyBorder="1" applyAlignment="1" applyProtection="1">
      <alignment horizontal="left" vertical="top"/>
      <protection locked="0"/>
    </xf>
    <xf numFmtId="0" fontId="13" fillId="0" borderId="8" xfId="1" applyFont="1" applyBorder="1" applyAlignment="1" applyProtection="1">
      <alignment horizontal="left" vertical="top"/>
      <protection locked="0"/>
    </xf>
    <xf numFmtId="0" fontId="8" fillId="0" borderId="15" xfId="1" applyFont="1" applyBorder="1" applyAlignment="1" applyProtection="1">
      <alignment horizontal="left" vertical="top"/>
      <protection locked="0"/>
    </xf>
    <xf numFmtId="1" fontId="8" fillId="0" borderId="2" xfId="0" applyNumberFormat="1" applyFont="1" applyBorder="1" applyAlignment="1" applyProtection="1">
      <alignment horizontal="center" vertical="center" wrapText="1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220</xdr:row>
      <xdr:rowOff>114300</xdr:rowOff>
    </xdr:from>
    <xdr:to>
      <xdr:col>5</xdr:col>
      <xdr:colOff>730250</xdr:colOff>
      <xdr:row>234</xdr:row>
      <xdr:rowOff>6352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57300" y="45253275"/>
          <a:ext cx="3911600" cy="269239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438150</xdr:colOff>
      <xdr:row>234</xdr:row>
      <xdr:rowOff>120649</xdr:rowOff>
    </xdr:from>
    <xdr:to>
      <xdr:col>5</xdr:col>
      <xdr:colOff>730250</xdr:colOff>
      <xdr:row>248</xdr:row>
      <xdr:rowOff>152399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57300" y="48059974"/>
          <a:ext cx="3911600" cy="283210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19050</xdr:colOff>
      <xdr:row>265</xdr:row>
      <xdr:rowOff>68848</xdr:rowOff>
    </xdr:from>
    <xdr:to>
      <xdr:col>5</xdr:col>
      <xdr:colOff>628650</xdr:colOff>
      <xdr:row>277</xdr:row>
      <xdr:rowOff>87901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77686" y="51607757"/>
          <a:ext cx="3181350" cy="240896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19050</xdr:colOff>
      <xdr:row>252</xdr:row>
      <xdr:rowOff>85725</xdr:rowOff>
    </xdr:from>
    <xdr:to>
      <xdr:col>5</xdr:col>
      <xdr:colOff>628650</xdr:colOff>
      <xdr:row>264</xdr:row>
      <xdr:rowOff>151694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95450" y="51625500"/>
          <a:ext cx="3371850" cy="246626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3</xdr:col>
      <xdr:colOff>440914</xdr:colOff>
      <xdr:row>268</xdr:row>
      <xdr:rowOff>122111</xdr:rowOff>
    </xdr:from>
    <xdr:to>
      <xdr:col>4</xdr:col>
      <xdr:colOff>2519</xdr:colOff>
      <xdr:row>273</xdr:row>
      <xdr:rowOff>76615</xdr:rowOff>
    </xdr:to>
    <xdr:sp macro="" textlink="">
      <xdr:nvSpPr>
        <xdr:cNvPr id="25" name="Rectangl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 rot="3211146">
          <a:off x="2625714" y="52480924"/>
          <a:ext cx="950300" cy="505446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IN"/>
        </a:p>
      </xdr:txBody>
    </xdr:sp>
    <xdr:clientData/>
  </xdr:twoCellAnchor>
  <xdr:twoCellAnchor>
    <xdr:from>
      <xdr:col>8</xdr:col>
      <xdr:colOff>537210</xdr:colOff>
      <xdr:row>176</xdr:row>
      <xdr:rowOff>180975</xdr:rowOff>
    </xdr:from>
    <xdr:to>
      <xdr:col>15</xdr:col>
      <xdr:colOff>221544</xdr:colOff>
      <xdr:row>219</xdr:row>
      <xdr:rowOff>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7197090" y="35766375"/>
          <a:ext cx="5711754" cy="8330565"/>
          <a:chOff x="361950" y="36556950"/>
          <a:chExt cx="5559354" cy="8436975"/>
        </a:xfrm>
      </xdr:grpSpPr>
      <xdr:pic>
        <xdr:nvPicPr>
          <xdr:cNvPr id="28" name="Picture 27" descr="https://vsjcllp.vsjadon.com/upload/insp-236396-1525.jpg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286125" y="42833925"/>
            <a:ext cx="161831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9" name="Picture 28" descr="https://vsjcllp.vsjadon.com/upload/insp-236396-843.jpg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85775" y="36556950"/>
            <a:ext cx="2609850" cy="3483428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0" name="Picture 29" descr="https://vsjcllp.vsjadon.com/upload/insp-236396-845.jpg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61950" y="40128824"/>
            <a:ext cx="1969623" cy="2628901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1" name="Picture 30" descr="https://vsjcllp.vsjadon.com/upload/insp-236396-847.jpg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181350" y="36556950"/>
            <a:ext cx="2609850" cy="3483428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1" name="Picture 40" descr="https://vsjcllp.vsjadon.com/upload/insp-236396-849.jpg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19349" y="40133586"/>
            <a:ext cx="3501955" cy="2628901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2" name="Picture 41" descr="https://vsjcllp.vsjadon.com/upload/insp-236396-862.jpg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581150" y="42833924"/>
            <a:ext cx="161831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373381</xdr:colOff>
      <xdr:row>178</xdr:row>
      <xdr:rowOff>137161</xdr:rowOff>
    </xdr:from>
    <xdr:to>
      <xdr:col>6</xdr:col>
      <xdr:colOff>670561</xdr:colOff>
      <xdr:row>217</xdr:row>
      <xdr:rowOff>121921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5CA75EC-5E5A-5977-E361-638DFBAE7AF1}"/>
            </a:ext>
          </a:extLst>
        </xdr:cNvPr>
        <xdr:cNvGrpSpPr/>
      </xdr:nvGrpSpPr>
      <xdr:grpSpPr>
        <a:xfrm>
          <a:off x="373381" y="36118801"/>
          <a:ext cx="5341620" cy="7703820"/>
          <a:chOff x="643254" y="368276"/>
          <a:chExt cx="5686911" cy="8281131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331FB41D-9C7F-AFDB-A0DB-A09B47C9AB8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93286" y="6489407"/>
            <a:ext cx="161850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7FB7FEF-753A-3772-A779-8623A6AD742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43254" y="368276"/>
            <a:ext cx="2760679" cy="3684317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23B2F0C5-D9DD-65B7-606C-3B5B463FE2F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65575" y="4191000"/>
            <a:ext cx="161850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1CE66FD8-B974-C9F9-8AC2-583C432F08F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1768" y="4191000"/>
            <a:ext cx="2877336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11CE7078-4960-7B24-1B53-13629B32397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69486" y="368276"/>
            <a:ext cx="2760679" cy="3684317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9914FD4D-6A28-23FB-19D2-FBE9EEAF85E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43039" y="6474167"/>
            <a:ext cx="161850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15</xdr:col>
      <xdr:colOff>100348</xdr:colOff>
      <xdr:row>53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706" y="2868706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15</xdr:col>
      <xdr:colOff>100348</xdr:colOff>
      <xdr:row>93</xdr:row>
      <xdr:rowOff>75286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2706" y="10488706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15</xdr:col>
      <xdr:colOff>100348</xdr:colOff>
      <xdr:row>133</xdr:row>
      <xdr:rowOff>75286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2706" y="18108706"/>
          <a:ext cx="13009524" cy="73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dTSt9v2fgoMtcJCX7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2.v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252"/>
  <sheetViews>
    <sheetView tabSelected="1" view="pageBreakPreview" topLeftCell="A141" zoomScaleNormal="100" zoomScaleSheetLayoutView="100" zoomScalePageLayoutView="91" workbookViewId="0">
      <selection activeCell="K149" sqref="K149"/>
    </sheetView>
  </sheetViews>
  <sheetFormatPr defaultColWidth="9.109375" defaultRowHeight="15.6" x14ac:dyDescent="0.3"/>
  <cols>
    <col min="1" max="1" width="11.44140625" style="39" customWidth="1"/>
    <col min="2" max="2" width="12" style="39" customWidth="1"/>
    <col min="3" max="3" width="12.6640625" style="39" customWidth="1"/>
    <col min="4" max="4" width="14.109375" style="39" customWidth="1"/>
    <col min="5" max="6" width="11.6640625" style="39" customWidth="1"/>
    <col min="7" max="7" width="11.44140625" style="39" customWidth="1"/>
    <col min="8" max="8" width="12.109375" style="39" customWidth="1"/>
    <col min="9" max="9" width="17.44140625" style="20" customWidth="1"/>
    <col min="10" max="10" width="11.44140625" style="20" customWidth="1"/>
    <col min="11" max="11" width="14.109375" style="20" bestFit="1" customWidth="1"/>
    <col min="12" max="12" width="10.5546875" style="20" customWidth="1"/>
    <col min="13" max="13" width="11.88671875" style="20" customWidth="1"/>
    <col min="14" max="14" width="12.5546875" style="20" customWidth="1"/>
    <col min="15" max="15" width="9.88671875" style="20" customWidth="1"/>
    <col min="16" max="16" width="11.6640625" style="20" customWidth="1"/>
    <col min="17" max="247" width="9.109375" style="20"/>
    <col min="248" max="248" width="8.6640625" style="20" customWidth="1"/>
    <col min="249" max="249" width="9.88671875" style="20" customWidth="1"/>
    <col min="250" max="250" width="14.44140625" style="20" customWidth="1"/>
    <col min="251" max="251" width="7.33203125" style="20" customWidth="1"/>
    <col min="252" max="252" width="5.5546875" style="20" customWidth="1"/>
    <col min="253" max="253" width="9" style="20" customWidth="1"/>
    <col min="254" max="255" width="9.88671875" style="20" customWidth="1"/>
    <col min="256" max="256" width="11.109375" style="20" customWidth="1"/>
    <col min="257" max="257" width="2.88671875" style="20" customWidth="1"/>
    <col min="258" max="258" width="3.5546875" style="20" customWidth="1"/>
    <col min="259" max="503" width="9.109375" style="20"/>
    <col min="504" max="504" width="8.6640625" style="20" customWidth="1"/>
    <col min="505" max="505" width="9.88671875" style="20" customWidth="1"/>
    <col min="506" max="506" width="14.44140625" style="20" customWidth="1"/>
    <col min="507" max="507" width="7.33203125" style="20" customWidth="1"/>
    <col min="508" max="508" width="5.5546875" style="20" customWidth="1"/>
    <col min="509" max="509" width="9" style="20" customWidth="1"/>
    <col min="510" max="511" width="9.88671875" style="20" customWidth="1"/>
    <col min="512" max="512" width="11.109375" style="20" customWidth="1"/>
    <col min="513" max="513" width="2.88671875" style="20" customWidth="1"/>
    <col min="514" max="514" width="3.5546875" style="20" customWidth="1"/>
    <col min="515" max="759" width="9.109375" style="20"/>
    <col min="760" max="760" width="8.6640625" style="20" customWidth="1"/>
    <col min="761" max="761" width="9.88671875" style="20" customWidth="1"/>
    <col min="762" max="762" width="14.44140625" style="20" customWidth="1"/>
    <col min="763" max="763" width="7.33203125" style="20" customWidth="1"/>
    <col min="764" max="764" width="5.5546875" style="20" customWidth="1"/>
    <col min="765" max="765" width="9" style="20" customWidth="1"/>
    <col min="766" max="767" width="9.88671875" style="20" customWidth="1"/>
    <col min="768" max="768" width="11.109375" style="20" customWidth="1"/>
    <col min="769" max="769" width="2.88671875" style="20" customWidth="1"/>
    <col min="770" max="770" width="3.5546875" style="20" customWidth="1"/>
    <col min="771" max="1015" width="9.109375" style="20"/>
    <col min="1016" max="1016" width="8.6640625" style="20" customWidth="1"/>
    <col min="1017" max="1017" width="9.88671875" style="20" customWidth="1"/>
    <col min="1018" max="1018" width="14.44140625" style="20" customWidth="1"/>
    <col min="1019" max="1019" width="7.33203125" style="20" customWidth="1"/>
    <col min="1020" max="1020" width="5.5546875" style="20" customWidth="1"/>
    <col min="1021" max="1021" width="9" style="20" customWidth="1"/>
    <col min="1022" max="1023" width="9.88671875" style="20" customWidth="1"/>
    <col min="1024" max="1024" width="11.109375" style="20" customWidth="1"/>
    <col min="1025" max="1025" width="2.88671875" style="20" customWidth="1"/>
    <col min="1026" max="1026" width="3.5546875" style="20" customWidth="1"/>
    <col min="1027" max="1271" width="9.109375" style="20"/>
    <col min="1272" max="1272" width="8.6640625" style="20" customWidth="1"/>
    <col min="1273" max="1273" width="9.88671875" style="20" customWidth="1"/>
    <col min="1274" max="1274" width="14.44140625" style="20" customWidth="1"/>
    <col min="1275" max="1275" width="7.33203125" style="20" customWidth="1"/>
    <col min="1276" max="1276" width="5.5546875" style="20" customWidth="1"/>
    <col min="1277" max="1277" width="9" style="20" customWidth="1"/>
    <col min="1278" max="1279" width="9.88671875" style="20" customWidth="1"/>
    <col min="1280" max="1280" width="11.109375" style="20" customWidth="1"/>
    <col min="1281" max="1281" width="2.88671875" style="20" customWidth="1"/>
    <col min="1282" max="1282" width="3.5546875" style="20" customWidth="1"/>
    <col min="1283" max="1527" width="9.109375" style="20"/>
    <col min="1528" max="1528" width="8.6640625" style="20" customWidth="1"/>
    <col min="1529" max="1529" width="9.88671875" style="20" customWidth="1"/>
    <col min="1530" max="1530" width="14.44140625" style="20" customWidth="1"/>
    <col min="1531" max="1531" width="7.33203125" style="20" customWidth="1"/>
    <col min="1532" max="1532" width="5.5546875" style="20" customWidth="1"/>
    <col min="1533" max="1533" width="9" style="20" customWidth="1"/>
    <col min="1534" max="1535" width="9.88671875" style="20" customWidth="1"/>
    <col min="1536" max="1536" width="11.109375" style="20" customWidth="1"/>
    <col min="1537" max="1537" width="2.88671875" style="20" customWidth="1"/>
    <col min="1538" max="1538" width="3.5546875" style="20" customWidth="1"/>
    <col min="1539" max="1783" width="9.109375" style="20"/>
    <col min="1784" max="1784" width="8.6640625" style="20" customWidth="1"/>
    <col min="1785" max="1785" width="9.88671875" style="20" customWidth="1"/>
    <col min="1786" max="1786" width="14.44140625" style="20" customWidth="1"/>
    <col min="1787" max="1787" width="7.33203125" style="20" customWidth="1"/>
    <col min="1788" max="1788" width="5.5546875" style="20" customWidth="1"/>
    <col min="1789" max="1789" width="9" style="20" customWidth="1"/>
    <col min="1790" max="1791" width="9.88671875" style="20" customWidth="1"/>
    <col min="1792" max="1792" width="11.109375" style="20" customWidth="1"/>
    <col min="1793" max="1793" width="2.88671875" style="20" customWidth="1"/>
    <col min="1794" max="1794" width="3.5546875" style="20" customWidth="1"/>
    <col min="1795" max="2039" width="9.109375" style="20"/>
    <col min="2040" max="2040" width="8.6640625" style="20" customWidth="1"/>
    <col min="2041" max="2041" width="9.88671875" style="20" customWidth="1"/>
    <col min="2042" max="2042" width="14.44140625" style="20" customWidth="1"/>
    <col min="2043" max="2043" width="7.33203125" style="20" customWidth="1"/>
    <col min="2044" max="2044" width="5.5546875" style="20" customWidth="1"/>
    <col min="2045" max="2045" width="9" style="20" customWidth="1"/>
    <col min="2046" max="2047" width="9.88671875" style="20" customWidth="1"/>
    <col min="2048" max="2048" width="11.109375" style="20" customWidth="1"/>
    <col min="2049" max="2049" width="2.88671875" style="20" customWidth="1"/>
    <col min="2050" max="2050" width="3.5546875" style="20" customWidth="1"/>
    <col min="2051" max="2295" width="9.109375" style="20"/>
    <col min="2296" max="2296" width="8.6640625" style="20" customWidth="1"/>
    <col min="2297" max="2297" width="9.88671875" style="20" customWidth="1"/>
    <col min="2298" max="2298" width="14.44140625" style="20" customWidth="1"/>
    <col min="2299" max="2299" width="7.33203125" style="20" customWidth="1"/>
    <col min="2300" max="2300" width="5.5546875" style="20" customWidth="1"/>
    <col min="2301" max="2301" width="9" style="20" customWidth="1"/>
    <col min="2302" max="2303" width="9.88671875" style="20" customWidth="1"/>
    <col min="2304" max="2304" width="11.109375" style="20" customWidth="1"/>
    <col min="2305" max="2305" width="2.88671875" style="20" customWidth="1"/>
    <col min="2306" max="2306" width="3.5546875" style="20" customWidth="1"/>
    <col min="2307" max="2551" width="9.109375" style="20"/>
    <col min="2552" max="2552" width="8.6640625" style="20" customWidth="1"/>
    <col min="2553" max="2553" width="9.88671875" style="20" customWidth="1"/>
    <col min="2554" max="2554" width="14.44140625" style="20" customWidth="1"/>
    <col min="2555" max="2555" width="7.33203125" style="20" customWidth="1"/>
    <col min="2556" max="2556" width="5.5546875" style="20" customWidth="1"/>
    <col min="2557" max="2557" width="9" style="20" customWidth="1"/>
    <col min="2558" max="2559" width="9.88671875" style="20" customWidth="1"/>
    <col min="2560" max="2560" width="11.109375" style="20" customWidth="1"/>
    <col min="2561" max="2561" width="2.88671875" style="20" customWidth="1"/>
    <col min="2562" max="2562" width="3.5546875" style="20" customWidth="1"/>
    <col min="2563" max="2807" width="9.109375" style="20"/>
    <col min="2808" max="2808" width="8.6640625" style="20" customWidth="1"/>
    <col min="2809" max="2809" width="9.88671875" style="20" customWidth="1"/>
    <col min="2810" max="2810" width="14.44140625" style="20" customWidth="1"/>
    <col min="2811" max="2811" width="7.33203125" style="20" customWidth="1"/>
    <col min="2812" max="2812" width="5.5546875" style="20" customWidth="1"/>
    <col min="2813" max="2813" width="9" style="20" customWidth="1"/>
    <col min="2814" max="2815" width="9.88671875" style="20" customWidth="1"/>
    <col min="2816" max="2816" width="11.109375" style="20" customWidth="1"/>
    <col min="2817" max="2817" width="2.88671875" style="20" customWidth="1"/>
    <col min="2818" max="2818" width="3.5546875" style="20" customWidth="1"/>
    <col min="2819" max="3063" width="9.109375" style="20"/>
    <col min="3064" max="3064" width="8.6640625" style="20" customWidth="1"/>
    <col min="3065" max="3065" width="9.88671875" style="20" customWidth="1"/>
    <col min="3066" max="3066" width="14.44140625" style="20" customWidth="1"/>
    <col min="3067" max="3067" width="7.33203125" style="20" customWidth="1"/>
    <col min="3068" max="3068" width="5.5546875" style="20" customWidth="1"/>
    <col min="3069" max="3069" width="9" style="20" customWidth="1"/>
    <col min="3070" max="3071" width="9.88671875" style="20" customWidth="1"/>
    <col min="3072" max="3072" width="11.109375" style="20" customWidth="1"/>
    <col min="3073" max="3073" width="2.88671875" style="20" customWidth="1"/>
    <col min="3074" max="3074" width="3.5546875" style="20" customWidth="1"/>
    <col min="3075" max="3319" width="9.109375" style="20"/>
    <col min="3320" max="3320" width="8.6640625" style="20" customWidth="1"/>
    <col min="3321" max="3321" width="9.88671875" style="20" customWidth="1"/>
    <col min="3322" max="3322" width="14.44140625" style="20" customWidth="1"/>
    <col min="3323" max="3323" width="7.33203125" style="20" customWidth="1"/>
    <col min="3324" max="3324" width="5.5546875" style="20" customWidth="1"/>
    <col min="3325" max="3325" width="9" style="20" customWidth="1"/>
    <col min="3326" max="3327" width="9.88671875" style="20" customWidth="1"/>
    <col min="3328" max="3328" width="11.109375" style="20" customWidth="1"/>
    <col min="3329" max="3329" width="2.88671875" style="20" customWidth="1"/>
    <col min="3330" max="3330" width="3.5546875" style="20" customWidth="1"/>
    <col min="3331" max="3575" width="9.109375" style="20"/>
    <col min="3576" max="3576" width="8.6640625" style="20" customWidth="1"/>
    <col min="3577" max="3577" width="9.88671875" style="20" customWidth="1"/>
    <col min="3578" max="3578" width="14.44140625" style="20" customWidth="1"/>
    <col min="3579" max="3579" width="7.33203125" style="20" customWidth="1"/>
    <col min="3580" max="3580" width="5.5546875" style="20" customWidth="1"/>
    <col min="3581" max="3581" width="9" style="20" customWidth="1"/>
    <col min="3582" max="3583" width="9.88671875" style="20" customWidth="1"/>
    <col min="3584" max="3584" width="11.109375" style="20" customWidth="1"/>
    <col min="3585" max="3585" width="2.88671875" style="20" customWidth="1"/>
    <col min="3586" max="3586" width="3.5546875" style="20" customWidth="1"/>
    <col min="3587" max="3831" width="9.109375" style="20"/>
    <col min="3832" max="3832" width="8.6640625" style="20" customWidth="1"/>
    <col min="3833" max="3833" width="9.88671875" style="20" customWidth="1"/>
    <col min="3834" max="3834" width="14.44140625" style="20" customWidth="1"/>
    <col min="3835" max="3835" width="7.33203125" style="20" customWidth="1"/>
    <col min="3836" max="3836" width="5.5546875" style="20" customWidth="1"/>
    <col min="3837" max="3837" width="9" style="20" customWidth="1"/>
    <col min="3838" max="3839" width="9.88671875" style="20" customWidth="1"/>
    <col min="3840" max="3840" width="11.109375" style="20" customWidth="1"/>
    <col min="3841" max="3841" width="2.88671875" style="20" customWidth="1"/>
    <col min="3842" max="3842" width="3.5546875" style="20" customWidth="1"/>
    <col min="3843" max="4087" width="9.109375" style="20"/>
    <col min="4088" max="4088" width="8.6640625" style="20" customWidth="1"/>
    <col min="4089" max="4089" width="9.88671875" style="20" customWidth="1"/>
    <col min="4090" max="4090" width="14.44140625" style="20" customWidth="1"/>
    <col min="4091" max="4091" width="7.33203125" style="20" customWidth="1"/>
    <col min="4092" max="4092" width="5.5546875" style="20" customWidth="1"/>
    <col min="4093" max="4093" width="9" style="20" customWidth="1"/>
    <col min="4094" max="4095" width="9.88671875" style="20" customWidth="1"/>
    <col min="4096" max="4096" width="11.109375" style="20" customWidth="1"/>
    <col min="4097" max="4097" width="2.88671875" style="20" customWidth="1"/>
    <col min="4098" max="4098" width="3.5546875" style="20" customWidth="1"/>
    <col min="4099" max="4343" width="9.109375" style="20"/>
    <col min="4344" max="4344" width="8.6640625" style="20" customWidth="1"/>
    <col min="4345" max="4345" width="9.88671875" style="20" customWidth="1"/>
    <col min="4346" max="4346" width="14.44140625" style="20" customWidth="1"/>
    <col min="4347" max="4347" width="7.33203125" style="20" customWidth="1"/>
    <col min="4348" max="4348" width="5.5546875" style="20" customWidth="1"/>
    <col min="4349" max="4349" width="9" style="20" customWidth="1"/>
    <col min="4350" max="4351" width="9.88671875" style="20" customWidth="1"/>
    <col min="4352" max="4352" width="11.109375" style="20" customWidth="1"/>
    <col min="4353" max="4353" width="2.88671875" style="20" customWidth="1"/>
    <col min="4354" max="4354" width="3.5546875" style="20" customWidth="1"/>
    <col min="4355" max="4599" width="9.109375" style="20"/>
    <col min="4600" max="4600" width="8.6640625" style="20" customWidth="1"/>
    <col min="4601" max="4601" width="9.88671875" style="20" customWidth="1"/>
    <col min="4602" max="4602" width="14.44140625" style="20" customWidth="1"/>
    <col min="4603" max="4603" width="7.33203125" style="20" customWidth="1"/>
    <col min="4604" max="4604" width="5.5546875" style="20" customWidth="1"/>
    <col min="4605" max="4605" width="9" style="20" customWidth="1"/>
    <col min="4606" max="4607" width="9.88671875" style="20" customWidth="1"/>
    <col min="4608" max="4608" width="11.109375" style="20" customWidth="1"/>
    <col min="4609" max="4609" width="2.88671875" style="20" customWidth="1"/>
    <col min="4610" max="4610" width="3.5546875" style="20" customWidth="1"/>
    <col min="4611" max="4855" width="9.109375" style="20"/>
    <col min="4856" max="4856" width="8.6640625" style="20" customWidth="1"/>
    <col min="4857" max="4857" width="9.88671875" style="20" customWidth="1"/>
    <col min="4858" max="4858" width="14.44140625" style="20" customWidth="1"/>
    <col min="4859" max="4859" width="7.33203125" style="20" customWidth="1"/>
    <col min="4860" max="4860" width="5.5546875" style="20" customWidth="1"/>
    <col min="4861" max="4861" width="9" style="20" customWidth="1"/>
    <col min="4862" max="4863" width="9.88671875" style="20" customWidth="1"/>
    <col min="4864" max="4864" width="11.109375" style="20" customWidth="1"/>
    <col min="4865" max="4865" width="2.88671875" style="20" customWidth="1"/>
    <col min="4866" max="4866" width="3.5546875" style="20" customWidth="1"/>
    <col min="4867" max="5111" width="9.109375" style="20"/>
    <col min="5112" max="5112" width="8.6640625" style="20" customWidth="1"/>
    <col min="5113" max="5113" width="9.88671875" style="20" customWidth="1"/>
    <col min="5114" max="5114" width="14.44140625" style="20" customWidth="1"/>
    <col min="5115" max="5115" width="7.33203125" style="20" customWidth="1"/>
    <col min="5116" max="5116" width="5.5546875" style="20" customWidth="1"/>
    <col min="5117" max="5117" width="9" style="20" customWidth="1"/>
    <col min="5118" max="5119" width="9.88671875" style="20" customWidth="1"/>
    <col min="5120" max="5120" width="11.109375" style="20" customWidth="1"/>
    <col min="5121" max="5121" width="2.88671875" style="20" customWidth="1"/>
    <col min="5122" max="5122" width="3.5546875" style="20" customWidth="1"/>
    <col min="5123" max="5367" width="9.109375" style="20"/>
    <col min="5368" max="5368" width="8.6640625" style="20" customWidth="1"/>
    <col min="5369" max="5369" width="9.88671875" style="20" customWidth="1"/>
    <col min="5370" max="5370" width="14.44140625" style="20" customWidth="1"/>
    <col min="5371" max="5371" width="7.33203125" style="20" customWidth="1"/>
    <col min="5372" max="5372" width="5.5546875" style="20" customWidth="1"/>
    <col min="5373" max="5373" width="9" style="20" customWidth="1"/>
    <col min="5374" max="5375" width="9.88671875" style="20" customWidth="1"/>
    <col min="5376" max="5376" width="11.109375" style="20" customWidth="1"/>
    <col min="5377" max="5377" width="2.88671875" style="20" customWidth="1"/>
    <col min="5378" max="5378" width="3.5546875" style="20" customWidth="1"/>
    <col min="5379" max="5623" width="9.109375" style="20"/>
    <col min="5624" max="5624" width="8.6640625" style="20" customWidth="1"/>
    <col min="5625" max="5625" width="9.88671875" style="20" customWidth="1"/>
    <col min="5626" max="5626" width="14.44140625" style="20" customWidth="1"/>
    <col min="5627" max="5627" width="7.33203125" style="20" customWidth="1"/>
    <col min="5628" max="5628" width="5.5546875" style="20" customWidth="1"/>
    <col min="5629" max="5629" width="9" style="20" customWidth="1"/>
    <col min="5630" max="5631" width="9.88671875" style="20" customWidth="1"/>
    <col min="5632" max="5632" width="11.109375" style="20" customWidth="1"/>
    <col min="5633" max="5633" width="2.88671875" style="20" customWidth="1"/>
    <col min="5634" max="5634" width="3.5546875" style="20" customWidth="1"/>
    <col min="5635" max="5879" width="9.109375" style="20"/>
    <col min="5880" max="5880" width="8.6640625" style="20" customWidth="1"/>
    <col min="5881" max="5881" width="9.88671875" style="20" customWidth="1"/>
    <col min="5882" max="5882" width="14.44140625" style="20" customWidth="1"/>
    <col min="5883" max="5883" width="7.33203125" style="20" customWidth="1"/>
    <col min="5884" max="5884" width="5.5546875" style="20" customWidth="1"/>
    <col min="5885" max="5885" width="9" style="20" customWidth="1"/>
    <col min="5886" max="5887" width="9.88671875" style="20" customWidth="1"/>
    <col min="5888" max="5888" width="11.109375" style="20" customWidth="1"/>
    <col min="5889" max="5889" width="2.88671875" style="20" customWidth="1"/>
    <col min="5890" max="5890" width="3.5546875" style="20" customWidth="1"/>
    <col min="5891" max="6135" width="9.109375" style="20"/>
    <col min="6136" max="6136" width="8.6640625" style="20" customWidth="1"/>
    <col min="6137" max="6137" width="9.88671875" style="20" customWidth="1"/>
    <col min="6138" max="6138" width="14.44140625" style="20" customWidth="1"/>
    <col min="6139" max="6139" width="7.33203125" style="20" customWidth="1"/>
    <col min="6140" max="6140" width="5.5546875" style="20" customWidth="1"/>
    <col min="6141" max="6141" width="9" style="20" customWidth="1"/>
    <col min="6142" max="6143" width="9.88671875" style="20" customWidth="1"/>
    <col min="6144" max="6144" width="11.109375" style="20" customWidth="1"/>
    <col min="6145" max="6145" width="2.88671875" style="20" customWidth="1"/>
    <col min="6146" max="6146" width="3.5546875" style="20" customWidth="1"/>
    <col min="6147" max="6391" width="9.109375" style="20"/>
    <col min="6392" max="6392" width="8.6640625" style="20" customWidth="1"/>
    <col min="6393" max="6393" width="9.88671875" style="20" customWidth="1"/>
    <col min="6394" max="6394" width="14.44140625" style="20" customWidth="1"/>
    <col min="6395" max="6395" width="7.33203125" style="20" customWidth="1"/>
    <col min="6396" max="6396" width="5.5546875" style="20" customWidth="1"/>
    <col min="6397" max="6397" width="9" style="20" customWidth="1"/>
    <col min="6398" max="6399" width="9.88671875" style="20" customWidth="1"/>
    <col min="6400" max="6400" width="11.109375" style="20" customWidth="1"/>
    <col min="6401" max="6401" width="2.88671875" style="20" customWidth="1"/>
    <col min="6402" max="6402" width="3.5546875" style="20" customWidth="1"/>
    <col min="6403" max="6647" width="9.109375" style="20"/>
    <col min="6648" max="6648" width="8.6640625" style="20" customWidth="1"/>
    <col min="6649" max="6649" width="9.88671875" style="20" customWidth="1"/>
    <col min="6650" max="6650" width="14.44140625" style="20" customWidth="1"/>
    <col min="6651" max="6651" width="7.33203125" style="20" customWidth="1"/>
    <col min="6652" max="6652" width="5.5546875" style="20" customWidth="1"/>
    <col min="6653" max="6653" width="9" style="20" customWidth="1"/>
    <col min="6654" max="6655" width="9.88671875" style="20" customWidth="1"/>
    <col min="6656" max="6656" width="11.109375" style="20" customWidth="1"/>
    <col min="6657" max="6657" width="2.88671875" style="20" customWidth="1"/>
    <col min="6658" max="6658" width="3.5546875" style="20" customWidth="1"/>
    <col min="6659" max="6903" width="9.109375" style="20"/>
    <col min="6904" max="6904" width="8.6640625" style="20" customWidth="1"/>
    <col min="6905" max="6905" width="9.88671875" style="20" customWidth="1"/>
    <col min="6906" max="6906" width="14.44140625" style="20" customWidth="1"/>
    <col min="6907" max="6907" width="7.33203125" style="20" customWidth="1"/>
    <col min="6908" max="6908" width="5.5546875" style="20" customWidth="1"/>
    <col min="6909" max="6909" width="9" style="20" customWidth="1"/>
    <col min="6910" max="6911" width="9.88671875" style="20" customWidth="1"/>
    <col min="6912" max="6912" width="11.109375" style="20" customWidth="1"/>
    <col min="6913" max="6913" width="2.88671875" style="20" customWidth="1"/>
    <col min="6914" max="6914" width="3.5546875" style="20" customWidth="1"/>
    <col min="6915" max="7159" width="9.109375" style="20"/>
    <col min="7160" max="7160" width="8.6640625" style="20" customWidth="1"/>
    <col min="7161" max="7161" width="9.88671875" style="20" customWidth="1"/>
    <col min="7162" max="7162" width="14.44140625" style="20" customWidth="1"/>
    <col min="7163" max="7163" width="7.33203125" style="20" customWidth="1"/>
    <col min="7164" max="7164" width="5.5546875" style="20" customWidth="1"/>
    <col min="7165" max="7165" width="9" style="20" customWidth="1"/>
    <col min="7166" max="7167" width="9.88671875" style="20" customWidth="1"/>
    <col min="7168" max="7168" width="11.109375" style="20" customWidth="1"/>
    <col min="7169" max="7169" width="2.88671875" style="20" customWidth="1"/>
    <col min="7170" max="7170" width="3.5546875" style="20" customWidth="1"/>
    <col min="7171" max="7415" width="9.109375" style="20"/>
    <col min="7416" max="7416" width="8.6640625" style="20" customWidth="1"/>
    <col min="7417" max="7417" width="9.88671875" style="20" customWidth="1"/>
    <col min="7418" max="7418" width="14.44140625" style="20" customWidth="1"/>
    <col min="7419" max="7419" width="7.33203125" style="20" customWidth="1"/>
    <col min="7420" max="7420" width="5.5546875" style="20" customWidth="1"/>
    <col min="7421" max="7421" width="9" style="20" customWidth="1"/>
    <col min="7422" max="7423" width="9.88671875" style="20" customWidth="1"/>
    <col min="7424" max="7424" width="11.109375" style="20" customWidth="1"/>
    <col min="7425" max="7425" width="2.88671875" style="20" customWidth="1"/>
    <col min="7426" max="7426" width="3.5546875" style="20" customWidth="1"/>
    <col min="7427" max="7671" width="9.109375" style="20"/>
    <col min="7672" max="7672" width="8.6640625" style="20" customWidth="1"/>
    <col min="7673" max="7673" width="9.88671875" style="20" customWidth="1"/>
    <col min="7674" max="7674" width="14.44140625" style="20" customWidth="1"/>
    <col min="7675" max="7675" width="7.33203125" style="20" customWidth="1"/>
    <col min="7676" max="7676" width="5.5546875" style="20" customWidth="1"/>
    <col min="7677" max="7677" width="9" style="20" customWidth="1"/>
    <col min="7678" max="7679" width="9.88671875" style="20" customWidth="1"/>
    <col min="7680" max="7680" width="11.109375" style="20" customWidth="1"/>
    <col min="7681" max="7681" width="2.88671875" style="20" customWidth="1"/>
    <col min="7682" max="7682" width="3.5546875" style="20" customWidth="1"/>
    <col min="7683" max="7927" width="9.109375" style="20"/>
    <col min="7928" max="7928" width="8.6640625" style="20" customWidth="1"/>
    <col min="7929" max="7929" width="9.88671875" style="20" customWidth="1"/>
    <col min="7930" max="7930" width="14.44140625" style="20" customWidth="1"/>
    <col min="7931" max="7931" width="7.33203125" style="20" customWidth="1"/>
    <col min="7932" max="7932" width="5.5546875" style="20" customWidth="1"/>
    <col min="7933" max="7933" width="9" style="20" customWidth="1"/>
    <col min="7934" max="7935" width="9.88671875" style="20" customWidth="1"/>
    <col min="7936" max="7936" width="11.109375" style="20" customWidth="1"/>
    <col min="7937" max="7937" width="2.88671875" style="20" customWidth="1"/>
    <col min="7938" max="7938" width="3.5546875" style="20" customWidth="1"/>
    <col min="7939" max="8183" width="9.109375" style="20"/>
    <col min="8184" max="8184" width="8.6640625" style="20" customWidth="1"/>
    <col min="8185" max="8185" width="9.88671875" style="20" customWidth="1"/>
    <col min="8186" max="8186" width="14.44140625" style="20" customWidth="1"/>
    <col min="8187" max="8187" width="7.33203125" style="20" customWidth="1"/>
    <col min="8188" max="8188" width="5.5546875" style="20" customWidth="1"/>
    <col min="8189" max="8189" width="9" style="20" customWidth="1"/>
    <col min="8190" max="8191" width="9.88671875" style="20" customWidth="1"/>
    <col min="8192" max="8192" width="11.109375" style="20" customWidth="1"/>
    <col min="8193" max="8193" width="2.88671875" style="20" customWidth="1"/>
    <col min="8194" max="8194" width="3.5546875" style="20" customWidth="1"/>
    <col min="8195" max="8439" width="9.109375" style="20"/>
    <col min="8440" max="8440" width="8.6640625" style="20" customWidth="1"/>
    <col min="8441" max="8441" width="9.88671875" style="20" customWidth="1"/>
    <col min="8442" max="8442" width="14.44140625" style="20" customWidth="1"/>
    <col min="8443" max="8443" width="7.33203125" style="20" customWidth="1"/>
    <col min="8444" max="8444" width="5.5546875" style="20" customWidth="1"/>
    <col min="8445" max="8445" width="9" style="20" customWidth="1"/>
    <col min="8446" max="8447" width="9.88671875" style="20" customWidth="1"/>
    <col min="8448" max="8448" width="11.109375" style="20" customWidth="1"/>
    <col min="8449" max="8449" width="2.88671875" style="20" customWidth="1"/>
    <col min="8450" max="8450" width="3.5546875" style="20" customWidth="1"/>
    <col min="8451" max="8695" width="9.109375" style="20"/>
    <col min="8696" max="8696" width="8.6640625" style="20" customWidth="1"/>
    <col min="8697" max="8697" width="9.88671875" style="20" customWidth="1"/>
    <col min="8698" max="8698" width="14.44140625" style="20" customWidth="1"/>
    <col min="8699" max="8699" width="7.33203125" style="20" customWidth="1"/>
    <col min="8700" max="8700" width="5.5546875" style="20" customWidth="1"/>
    <col min="8701" max="8701" width="9" style="20" customWidth="1"/>
    <col min="8702" max="8703" width="9.88671875" style="20" customWidth="1"/>
    <col min="8704" max="8704" width="11.109375" style="20" customWidth="1"/>
    <col min="8705" max="8705" width="2.88671875" style="20" customWidth="1"/>
    <col min="8706" max="8706" width="3.5546875" style="20" customWidth="1"/>
    <col min="8707" max="8951" width="9.109375" style="20"/>
    <col min="8952" max="8952" width="8.6640625" style="20" customWidth="1"/>
    <col min="8953" max="8953" width="9.88671875" style="20" customWidth="1"/>
    <col min="8954" max="8954" width="14.44140625" style="20" customWidth="1"/>
    <col min="8955" max="8955" width="7.33203125" style="20" customWidth="1"/>
    <col min="8956" max="8956" width="5.5546875" style="20" customWidth="1"/>
    <col min="8957" max="8957" width="9" style="20" customWidth="1"/>
    <col min="8958" max="8959" width="9.88671875" style="20" customWidth="1"/>
    <col min="8960" max="8960" width="11.109375" style="20" customWidth="1"/>
    <col min="8961" max="8961" width="2.88671875" style="20" customWidth="1"/>
    <col min="8962" max="8962" width="3.5546875" style="20" customWidth="1"/>
    <col min="8963" max="9207" width="9.109375" style="20"/>
    <col min="9208" max="9208" width="8.6640625" style="20" customWidth="1"/>
    <col min="9209" max="9209" width="9.88671875" style="20" customWidth="1"/>
    <col min="9210" max="9210" width="14.44140625" style="20" customWidth="1"/>
    <col min="9211" max="9211" width="7.33203125" style="20" customWidth="1"/>
    <col min="9212" max="9212" width="5.5546875" style="20" customWidth="1"/>
    <col min="9213" max="9213" width="9" style="20" customWidth="1"/>
    <col min="9214" max="9215" width="9.88671875" style="20" customWidth="1"/>
    <col min="9216" max="9216" width="11.109375" style="20" customWidth="1"/>
    <col min="9217" max="9217" width="2.88671875" style="20" customWidth="1"/>
    <col min="9218" max="9218" width="3.5546875" style="20" customWidth="1"/>
    <col min="9219" max="9463" width="9.109375" style="20"/>
    <col min="9464" max="9464" width="8.6640625" style="20" customWidth="1"/>
    <col min="9465" max="9465" width="9.88671875" style="20" customWidth="1"/>
    <col min="9466" max="9466" width="14.44140625" style="20" customWidth="1"/>
    <col min="9467" max="9467" width="7.33203125" style="20" customWidth="1"/>
    <col min="9468" max="9468" width="5.5546875" style="20" customWidth="1"/>
    <col min="9469" max="9469" width="9" style="20" customWidth="1"/>
    <col min="9470" max="9471" width="9.88671875" style="20" customWidth="1"/>
    <col min="9472" max="9472" width="11.109375" style="20" customWidth="1"/>
    <col min="9473" max="9473" width="2.88671875" style="20" customWidth="1"/>
    <col min="9474" max="9474" width="3.5546875" style="20" customWidth="1"/>
    <col min="9475" max="9719" width="9.109375" style="20"/>
    <col min="9720" max="9720" width="8.6640625" style="20" customWidth="1"/>
    <col min="9721" max="9721" width="9.88671875" style="20" customWidth="1"/>
    <col min="9722" max="9722" width="14.44140625" style="20" customWidth="1"/>
    <col min="9723" max="9723" width="7.33203125" style="20" customWidth="1"/>
    <col min="9724" max="9724" width="5.5546875" style="20" customWidth="1"/>
    <col min="9725" max="9725" width="9" style="20" customWidth="1"/>
    <col min="9726" max="9727" width="9.88671875" style="20" customWidth="1"/>
    <col min="9728" max="9728" width="11.109375" style="20" customWidth="1"/>
    <col min="9729" max="9729" width="2.88671875" style="20" customWidth="1"/>
    <col min="9730" max="9730" width="3.5546875" style="20" customWidth="1"/>
    <col min="9731" max="9975" width="9.109375" style="20"/>
    <col min="9976" max="9976" width="8.6640625" style="20" customWidth="1"/>
    <col min="9977" max="9977" width="9.88671875" style="20" customWidth="1"/>
    <col min="9978" max="9978" width="14.44140625" style="20" customWidth="1"/>
    <col min="9979" max="9979" width="7.33203125" style="20" customWidth="1"/>
    <col min="9980" max="9980" width="5.5546875" style="20" customWidth="1"/>
    <col min="9981" max="9981" width="9" style="20" customWidth="1"/>
    <col min="9982" max="9983" width="9.88671875" style="20" customWidth="1"/>
    <col min="9984" max="9984" width="11.109375" style="20" customWidth="1"/>
    <col min="9985" max="9985" width="2.88671875" style="20" customWidth="1"/>
    <col min="9986" max="9986" width="3.5546875" style="20" customWidth="1"/>
    <col min="9987" max="10231" width="9.109375" style="20"/>
    <col min="10232" max="10232" width="8.6640625" style="20" customWidth="1"/>
    <col min="10233" max="10233" width="9.88671875" style="20" customWidth="1"/>
    <col min="10234" max="10234" width="14.44140625" style="20" customWidth="1"/>
    <col min="10235" max="10235" width="7.33203125" style="20" customWidth="1"/>
    <col min="10236" max="10236" width="5.5546875" style="20" customWidth="1"/>
    <col min="10237" max="10237" width="9" style="20" customWidth="1"/>
    <col min="10238" max="10239" width="9.88671875" style="20" customWidth="1"/>
    <col min="10240" max="10240" width="11.109375" style="20" customWidth="1"/>
    <col min="10241" max="10241" width="2.88671875" style="20" customWidth="1"/>
    <col min="10242" max="10242" width="3.5546875" style="20" customWidth="1"/>
    <col min="10243" max="10487" width="9.109375" style="20"/>
    <col min="10488" max="10488" width="8.6640625" style="20" customWidth="1"/>
    <col min="10489" max="10489" width="9.88671875" style="20" customWidth="1"/>
    <col min="10490" max="10490" width="14.44140625" style="20" customWidth="1"/>
    <col min="10491" max="10491" width="7.33203125" style="20" customWidth="1"/>
    <col min="10492" max="10492" width="5.5546875" style="20" customWidth="1"/>
    <col min="10493" max="10493" width="9" style="20" customWidth="1"/>
    <col min="10494" max="10495" width="9.88671875" style="20" customWidth="1"/>
    <col min="10496" max="10496" width="11.109375" style="20" customWidth="1"/>
    <col min="10497" max="10497" width="2.88671875" style="20" customWidth="1"/>
    <col min="10498" max="10498" width="3.5546875" style="20" customWidth="1"/>
    <col min="10499" max="10743" width="9.109375" style="20"/>
    <col min="10744" max="10744" width="8.6640625" style="20" customWidth="1"/>
    <col min="10745" max="10745" width="9.88671875" style="20" customWidth="1"/>
    <col min="10746" max="10746" width="14.44140625" style="20" customWidth="1"/>
    <col min="10747" max="10747" width="7.33203125" style="20" customWidth="1"/>
    <col min="10748" max="10748" width="5.5546875" style="20" customWidth="1"/>
    <col min="10749" max="10749" width="9" style="20" customWidth="1"/>
    <col min="10750" max="10751" width="9.88671875" style="20" customWidth="1"/>
    <col min="10752" max="10752" width="11.109375" style="20" customWidth="1"/>
    <col min="10753" max="10753" width="2.88671875" style="20" customWidth="1"/>
    <col min="10754" max="10754" width="3.5546875" style="20" customWidth="1"/>
    <col min="10755" max="10999" width="9.109375" style="20"/>
    <col min="11000" max="11000" width="8.6640625" style="20" customWidth="1"/>
    <col min="11001" max="11001" width="9.88671875" style="20" customWidth="1"/>
    <col min="11002" max="11002" width="14.44140625" style="20" customWidth="1"/>
    <col min="11003" max="11003" width="7.33203125" style="20" customWidth="1"/>
    <col min="11004" max="11004" width="5.5546875" style="20" customWidth="1"/>
    <col min="11005" max="11005" width="9" style="20" customWidth="1"/>
    <col min="11006" max="11007" width="9.88671875" style="20" customWidth="1"/>
    <col min="11008" max="11008" width="11.109375" style="20" customWidth="1"/>
    <col min="11009" max="11009" width="2.88671875" style="20" customWidth="1"/>
    <col min="11010" max="11010" width="3.5546875" style="20" customWidth="1"/>
    <col min="11011" max="11255" width="9.109375" style="20"/>
    <col min="11256" max="11256" width="8.6640625" style="20" customWidth="1"/>
    <col min="11257" max="11257" width="9.88671875" style="20" customWidth="1"/>
    <col min="11258" max="11258" width="14.44140625" style="20" customWidth="1"/>
    <col min="11259" max="11259" width="7.33203125" style="20" customWidth="1"/>
    <col min="11260" max="11260" width="5.5546875" style="20" customWidth="1"/>
    <col min="11261" max="11261" width="9" style="20" customWidth="1"/>
    <col min="11262" max="11263" width="9.88671875" style="20" customWidth="1"/>
    <col min="11264" max="11264" width="11.109375" style="20" customWidth="1"/>
    <col min="11265" max="11265" width="2.88671875" style="20" customWidth="1"/>
    <col min="11266" max="11266" width="3.5546875" style="20" customWidth="1"/>
    <col min="11267" max="11511" width="9.109375" style="20"/>
    <col min="11512" max="11512" width="8.6640625" style="20" customWidth="1"/>
    <col min="11513" max="11513" width="9.88671875" style="20" customWidth="1"/>
    <col min="11514" max="11514" width="14.44140625" style="20" customWidth="1"/>
    <col min="11515" max="11515" width="7.33203125" style="20" customWidth="1"/>
    <col min="11516" max="11516" width="5.5546875" style="20" customWidth="1"/>
    <col min="11517" max="11517" width="9" style="20" customWidth="1"/>
    <col min="11518" max="11519" width="9.88671875" style="20" customWidth="1"/>
    <col min="11520" max="11520" width="11.109375" style="20" customWidth="1"/>
    <col min="11521" max="11521" width="2.88671875" style="20" customWidth="1"/>
    <col min="11522" max="11522" width="3.5546875" style="20" customWidth="1"/>
    <col min="11523" max="11767" width="9.109375" style="20"/>
    <col min="11768" max="11768" width="8.6640625" style="20" customWidth="1"/>
    <col min="11769" max="11769" width="9.88671875" style="20" customWidth="1"/>
    <col min="11770" max="11770" width="14.44140625" style="20" customWidth="1"/>
    <col min="11771" max="11771" width="7.33203125" style="20" customWidth="1"/>
    <col min="11772" max="11772" width="5.5546875" style="20" customWidth="1"/>
    <col min="11773" max="11773" width="9" style="20" customWidth="1"/>
    <col min="11774" max="11775" width="9.88671875" style="20" customWidth="1"/>
    <col min="11776" max="11776" width="11.109375" style="20" customWidth="1"/>
    <col min="11777" max="11777" width="2.88671875" style="20" customWidth="1"/>
    <col min="11778" max="11778" width="3.5546875" style="20" customWidth="1"/>
    <col min="11779" max="12023" width="9.109375" style="20"/>
    <col min="12024" max="12024" width="8.6640625" style="20" customWidth="1"/>
    <col min="12025" max="12025" width="9.88671875" style="20" customWidth="1"/>
    <col min="12026" max="12026" width="14.44140625" style="20" customWidth="1"/>
    <col min="12027" max="12027" width="7.33203125" style="20" customWidth="1"/>
    <col min="12028" max="12028" width="5.5546875" style="20" customWidth="1"/>
    <col min="12029" max="12029" width="9" style="20" customWidth="1"/>
    <col min="12030" max="12031" width="9.88671875" style="20" customWidth="1"/>
    <col min="12032" max="12032" width="11.109375" style="20" customWidth="1"/>
    <col min="12033" max="12033" width="2.88671875" style="20" customWidth="1"/>
    <col min="12034" max="12034" width="3.5546875" style="20" customWidth="1"/>
    <col min="12035" max="12279" width="9.109375" style="20"/>
    <col min="12280" max="12280" width="8.6640625" style="20" customWidth="1"/>
    <col min="12281" max="12281" width="9.88671875" style="20" customWidth="1"/>
    <col min="12282" max="12282" width="14.44140625" style="20" customWidth="1"/>
    <col min="12283" max="12283" width="7.33203125" style="20" customWidth="1"/>
    <col min="12284" max="12284" width="5.5546875" style="20" customWidth="1"/>
    <col min="12285" max="12285" width="9" style="20" customWidth="1"/>
    <col min="12286" max="12287" width="9.88671875" style="20" customWidth="1"/>
    <col min="12288" max="12288" width="11.109375" style="20" customWidth="1"/>
    <col min="12289" max="12289" width="2.88671875" style="20" customWidth="1"/>
    <col min="12290" max="12290" width="3.5546875" style="20" customWidth="1"/>
    <col min="12291" max="12535" width="9.109375" style="20"/>
    <col min="12536" max="12536" width="8.6640625" style="20" customWidth="1"/>
    <col min="12537" max="12537" width="9.88671875" style="20" customWidth="1"/>
    <col min="12538" max="12538" width="14.44140625" style="20" customWidth="1"/>
    <col min="12539" max="12539" width="7.33203125" style="20" customWidth="1"/>
    <col min="12540" max="12540" width="5.5546875" style="20" customWidth="1"/>
    <col min="12541" max="12541" width="9" style="20" customWidth="1"/>
    <col min="12542" max="12543" width="9.88671875" style="20" customWidth="1"/>
    <col min="12544" max="12544" width="11.109375" style="20" customWidth="1"/>
    <col min="12545" max="12545" width="2.88671875" style="20" customWidth="1"/>
    <col min="12546" max="12546" width="3.5546875" style="20" customWidth="1"/>
    <col min="12547" max="12791" width="9.109375" style="20"/>
    <col min="12792" max="12792" width="8.6640625" style="20" customWidth="1"/>
    <col min="12793" max="12793" width="9.88671875" style="20" customWidth="1"/>
    <col min="12794" max="12794" width="14.44140625" style="20" customWidth="1"/>
    <col min="12795" max="12795" width="7.33203125" style="20" customWidth="1"/>
    <col min="12796" max="12796" width="5.5546875" style="20" customWidth="1"/>
    <col min="12797" max="12797" width="9" style="20" customWidth="1"/>
    <col min="12798" max="12799" width="9.88671875" style="20" customWidth="1"/>
    <col min="12800" max="12800" width="11.109375" style="20" customWidth="1"/>
    <col min="12801" max="12801" width="2.88671875" style="20" customWidth="1"/>
    <col min="12802" max="12802" width="3.5546875" style="20" customWidth="1"/>
    <col min="12803" max="13047" width="9.109375" style="20"/>
    <col min="13048" max="13048" width="8.6640625" style="20" customWidth="1"/>
    <col min="13049" max="13049" width="9.88671875" style="20" customWidth="1"/>
    <col min="13050" max="13050" width="14.44140625" style="20" customWidth="1"/>
    <col min="13051" max="13051" width="7.33203125" style="20" customWidth="1"/>
    <col min="13052" max="13052" width="5.5546875" style="20" customWidth="1"/>
    <col min="13053" max="13053" width="9" style="20" customWidth="1"/>
    <col min="13054" max="13055" width="9.88671875" style="20" customWidth="1"/>
    <col min="13056" max="13056" width="11.109375" style="20" customWidth="1"/>
    <col min="13057" max="13057" width="2.88671875" style="20" customWidth="1"/>
    <col min="13058" max="13058" width="3.5546875" style="20" customWidth="1"/>
    <col min="13059" max="13303" width="9.109375" style="20"/>
    <col min="13304" max="13304" width="8.6640625" style="20" customWidth="1"/>
    <col min="13305" max="13305" width="9.88671875" style="20" customWidth="1"/>
    <col min="13306" max="13306" width="14.44140625" style="20" customWidth="1"/>
    <col min="13307" max="13307" width="7.33203125" style="20" customWidth="1"/>
    <col min="13308" max="13308" width="5.5546875" style="20" customWidth="1"/>
    <col min="13309" max="13309" width="9" style="20" customWidth="1"/>
    <col min="13310" max="13311" width="9.88671875" style="20" customWidth="1"/>
    <col min="13312" max="13312" width="11.109375" style="20" customWidth="1"/>
    <col min="13313" max="13313" width="2.88671875" style="20" customWidth="1"/>
    <col min="13314" max="13314" width="3.5546875" style="20" customWidth="1"/>
    <col min="13315" max="13559" width="9.109375" style="20"/>
    <col min="13560" max="13560" width="8.6640625" style="20" customWidth="1"/>
    <col min="13561" max="13561" width="9.88671875" style="20" customWidth="1"/>
    <col min="13562" max="13562" width="14.44140625" style="20" customWidth="1"/>
    <col min="13563" max="13563" width="7.33203125" style="20" customWidth="1"/>
    <col min="13564" max="13564" width="5.5546875" style="20" customWidth="1"/>
    <col min="13565" max="13565" width="9" style="20" customWidth="1"/>
    <col min="13566" max="13567" width="9.88671875" style="20" customWidth="1"/>
    <col min="13568" max="13568" width="11.109375" style="20" customWidth="1"/>
    <col min="13569" max="13569" width="2.88671875" style="20" customWidth="1"/>
    <col min="13570" max="13570" width="3.5546875" style="20" customWidth="1"/>
    <col min="13571" max="13815" width="9.109375" style="20"/>
    <col min="13816" max="13816" width="8.6640625" style="20" customWidth="1"/>
    <col min="13817" max="13817" width="9.88671875" style="20" customWidth="1"/>
    <col min="13818" max="13818" width="14.44140625" style="20" customWidth="1"/>
    <col min="13819" max="13819" width="7.33203125" style="20" customWidth="1"/>
    <col min="13820" max="13820" width="5.5546875" style="20" customWidth="1"/>
    <col min="13821" max="13821" width="9" style="20" customWidth="1"/>
    <col min="13822" max="13823" width="9.88671875" style="20" customWidth="1"/>
    <col min="13824" max="13824" width="11.109375" style="20" customWidth="1"/>
    <col min="13825" max="13825" width="2.88671875" style="20" customWidth="1"/>
    <col min="13826" max="13826" width="3.5546875" style="20" customWidth="1"/>
    <col min="13827" max="14071" width="9.109375" style="20"/>
    <col min="14072" max="14072" width="8.6640625" style="20" customWidth="1"/>
    <col min="14073" max="14073" width="9.88671875" style="20" customWidth="1"/>
    <col min="14074" max="14074" width="14.44140625" style="20" customWidth="1"/>
    <col min="14075" max="14075" width="7.33203125" style="20" customWidth="1"/>
    <col min="14076" max="14076" width="5.5546875" style="20" customWidth="1"/>
    <col min="14077" max="14077" width="9" style="20" customWidth="1"/>
    <col min="14078" max="14079" width="9.88671875" style="20" customWidth="1"/>
    <col min="14080" max="14080" width="11.109375" style="20" customWidth="1"/>
    <col min="14081" max="14081" width="2.88671875" style="20" customWidth="1"/>
    <col min="14082" max="14082" width="3.5546875" style="20" customWidth="1"/>
    <col min="14083" max="14327" width="9.109375" style="20"/>
    <col min="14328" max="14328" width="8.6640625" style="20" customWidth="1"/>
    <col min="14329" max="14329" width="9.88671875" style="20" customWidth="1"/>
    <col min="14330" max="14330" width="14.44140625" style="20" customWidth="1"/>
    <col min="14331" max="14331" width="7.33203125" style="20" customWidth="1"/>
    <col min="14332" max="14332" width="5.5546875" style="20" customWidth="1"/>
    <col min="14333" max="14333" width="9" style="20" customWidth="1"/>
    <col min="14334" max="14335" width="9.88671875" style="20" customWidth="1"/>
    <col min="14336" max="14336" width="11.109375" style="20" customWidth="1"/>
    <col min="14337" max="14337" width="2.88671875" style="20" customWidth="1"/>
    <col min="14338" max="14338" width="3.5546875" style="20" customWidth="1"/>
    <col min="14339" max="14583" width="9.109375" style="20"/>
    <col min="14584" max="14584" width="8.6640625" style="20" customWidth="1"/>
    <col min="14585" max="14585" width="9.88671875" style="20" customWidth="1"/>
    <col min="14586" max="14586" width="14.44140625" style="20" customWidth="1"/>
    <col min="14587" max="14587" width="7.33203125" style="20" customWidth="1"/>
    <col min="14588" max="14588" width="5.5546875" style="20" customWidth="1"/>
    <col min="14589" max="14589" width="9" style="20" customWidth="1"/>
    <col min="14590" max="14591" width="9.88671875" style="20" customWidth="1"/>
    <col min="14592" max="14592" width="11.109375" style="20" customWidth="1"/>
    <col min="14593" max="14593" width="2.88671875" style="20" customWidth="1"/>
    <col min="14594" max="14594" width="3.5546875" style="20" customWidth="1"/>
    <col min="14595" max="14839" width="9.109375" style="20"/>
    <col min="14840" max="14840" width="8.6640625" style="20" customWidth="1"/>
    <col min="14841" max="14841" width="9.88671875" style="20" customWidth="1"/>
    <col min="14842" max="14842" width="14.44140625" style="20" customWidth="1"/>
    <col min="14843" max="14843" width="7.33203125" style="20" customWidth="1"/>
    <col min="14844" max="14844" width="5.5546875" style="20" customWidth="1"/>
    <col min="14845" max="14845" width="9" style="20" customWidth="1"/>
    <col min="14846" max="14847" width="9.88671875" style="20" customWidth="1"/>
    <col min="14848" max="14848" width="11.109375" style="20" customWidth="1"/>
    <col min="14849" max="14849" width="2.88671875" style="20" customWidth="1"/>
    <col min="14850" max="14850" width="3.5546875" style="20" customWidth="1"/>
    <col min="14851" max="15095" width="9.109375" style="20"/>
    <col min="15096" max="15096" width="8.6640625" style="20" customWidth="1"/>
    <col min="15097" max="15097" width="9.88671875" style="20" customWidth="1"/>
    <col min="15098" max="15098" width="14.44140625" style="20" customWidth="1"/>
    <col min="15099" max="15099" width="7.33203125" style="20" customWidth="1"/>
    <col min="15100" max="15100" width="5.5546875" style="20" customWidth="1"/>
    <col min="15101" max="15101" width="9" style="20" customWidth="1"/>
    <col min="15102" max="15103" width="9.88671875" style="20" customWidth="1"/>
    <col min="15104" max="15104" width="11.109375" style="20" customWidth="1"/>
    <col min="15105" max="15105" width="2.88671875" style="20" customWidth="1"/>
    <col min="15106" max="15106" width="3.5546875" style="20" customWidth="1"/>
    <col min="15107" max="15351" width="9.109375" style="20"/>
    <col min="15352" max="15352" width="8.6640625" style="20" customWidth="1"/>
    <col min="15353" max="15353" width="9.88671875" style="20" customWidth="1"/>
    <col min="15354" max="15354" width="14.44140625" style="20" customWidth="1"/>
    <col min="15355" max="15355" width="7.33203125" style="20" customWidth="1"/>
    <col min="15356" max="15356" width="5.5546875" style="20" customWidth="1"/>
    <col min="15357" max="15357" width="9" style="20" customWidth="1"/>
    <col min="15358" max="15359" width="9.88671875" style="20" customWidth="1"/>
    <col min="15360" max="15360" width="11.109375" style="20" customWidth="1"/>
    <col min="15361" max="15361" width="2.88671875" style="20" customWidth="1"/>
    <col min="15362" max="15362" width="3.5546875" style="20" customWidth="1"/>
    <col min="15363" max="15607" width="9.109375" style="20"/>
    <col min="15608" max="15608" width="8.6640625" style="20" customWidth="1"/>
    <col min="15609" max="15609" width="9.88671875" style="20" customWidth="1"/>
    <col min="15610" max="15610" width="14.44140625" style="20" customWidth="1"/>
    <col min="15611" max="15611" width="7.33203125" style="20" customWidth="1"/>
    <col min="15612" max="15612" width="5.5546875" style="20" customWidth="1"/>
    <col min="15613" max="15613" width="9" style="20" customWidth="1"/>
    <col min="15614" max="15615" width="9.88671875" style="20" customWidth="1"/>
    <col min="15616" max="15616" width="11.109375" style="20" customWidth="1"/>
    <col min="15617" max="15617" width="2.88671875" style="20" customWidth="1"/>
    <col min="15618" max="15618" width="3.5546875" style="20" customWidth="1"/>
    <col min="15619" max="15863" width="9.109375" style="20"/>
    <col min="15864" max="15864" width="8.6640625" style="20" customWidth="1"/>
    <col min="15865" max="15865" width="9.88671875" style="20" customWidth="1"/>
    <col min="15866" max="15866" width="14.44140625" style="20" customWidth="1"/>
    <col min="15867" max="15867" width="7.33203125" style="20" customWidth="1"/>
    <col min="15868" max="15868" width="5.5546875" style="20" customWidth="1"/>
    <col min="15869" max="15869" width="9" style="20" customWidth="1"/>
    <col min="15870" max="15871" width="9.88671875" style="20" customWidth="1"/>
    <col min="15872" max="15872" width="11.109375" style="20" customWidth="1"/>
    <col min="15873" max="15873" width="2.88671875" style="20" customWidth="1"/>
    <col min="15874" max="15874" width="3.5546875" style="20" customWidth="1"/>
    <col min="15875" max="16119" width="9.109375" style="20"/>
    <col min="16120" max="16120" width="8.6640625" style="20" customWidth="1"/>
    <col min="16121" max="16121" width="9.88671875" style="20" customWidth="1"/>
    <col min="16122" max="16122" width="14.44140625" style="20" customWidth="1"/>
    <col min="16123" max="16123" width="7.33203125" style="20" customWidth="1"/>
    <col min="16124" max="16124" width="5.5546875" style="20" customWidth="1"/>
    <col min="16125" max="16125" width="9" style="20" customWidth="1"/>
    <col min="16126" max="16127" width="9.88671875" style="20" customWidth="1"/>
    <col min="16128" max="16128" width="11.109375" style="20" customWidth="1"/>
    <col min="16129" max="16129" width="2.88671875" style="20" customWidth="1"/>
    <col min="16130" max="16130" width="3.5546875" style="20" customWidth="1"/>
    <col min="16131" max="16384" width="9.109375" style="20"/>
  </cols>
  <sheetData>
    <row r="1" spans="1:9" ht="46.5" customHeight="1" x14ac:dyDescent="0.3">
      <c r="A1" s="147" t="s">
        <v>224</v>
      </c>
      <c r="B1" s="147"/>
      <c r="C1" s="147"/>
      <c r="D1" s="147"/>
      <c r="E1" s="147"/>
      <c r="F1" s="147"/>
      <c r="G1" s="147"/>
      <c r="H1" s="147"/>
    </row>
    <row r="2" spans="1:9" ht="16.5" customHeight="1" x14ac:dyDescent="0.3">
      <c r="A2" s="89" t="s">
        <v>0</v>
      </c>
      <c r="B2" s="89"/>
      <c r="C2" s="89"/>
      <c r="D2" s="89"/>
      <c r="E2" s="89"/>
      <c r="F2" s="89"/>
      <c r="G2" s="89"/>
      <c r="H2" s="89"/>
    </row>
    <row r="3" spans="1:9" x14ac:dyDescent="0.3">
      <c r="A3" s="86" t="s">
        <v>1</v>
      </c>
      <c r="B3" s="86"/>
      <c r="C3" s="86"/>
      <c r="D3" s="86"/>
      <c r="E3" s="86" t="str">
        <f ca="1">TEXT(TODAY(),"DD/MM/YYYY")</f>
        <v>12/09/2025</v>
      </c>
      <c r="F3" s="86"/>
      <c r="G3" s="86"/>
      <c r="H3" s="86"/>
    </row>
    <row r="4" spans="1:9" ht="15" customHeight="1" x14ac:dyDescent="0.3">
      <c r="A4" s="86" t="s">
        <v>2</v>
      </c>
      <c r="B4" s="86"/>
      <c r="C4" s="86"/>
      <c r="D4" s="86"/>
      <c r="E4" s="86" t="s">
        <v>174</v>
      </c>
      <c r="F4" s="86"/>
      <c r="G4" s="86"/>
      <c r="H4" s="86"/>
    </row>
    <row r="5" spans="1:9" x14ac:dyDescent="0.3">
      <c r="A5" s="86" t="s">
        <v>3</v>
      </c>
      <c r="B5" s="86"/>
      <c r="C5" s="86"/>
      <c r="D5" s="86"/>
      <c r="E5" s="149">
        <v>45908</v>
      </c>
      <c r="F5" s="86"/>
      <c r="G5" s="86"/>
      <c r="H5" s="86"/>
      <c r="I5" s="21"/>
    </row>
    <row r="6" spans="1:9" ht="16.5" customHeight="1" x14ac:dyDescent="0.3">
      <c r="A6" s="86" t="s">
        <v>178</v>
      </c>
      <c r="B6" s="86"/>
      <c r="C6" s="86"/>
      <c r="D6" s="86"/>
      <c r="E6" s="86" t="s">
        <v>177</v>
      </c>
      <c r="F6" s="86"/>
      <c r="G6" s="86"/>
      <c r="H6" s="86"/>
    </row>
    <row r="7" spans="1:9" ht="15" customHeight="1" x14ac:dyDescent="0.3">
      <c r="A7" s="86" t="s">
        <v>4</v>
      </c>
      <c r="B7" s="86"/>
      <c r="C7" s="86"/>
      <c r="D7" s="86"/>
      <c r="E7" s="86" t="str">
        <f>E6</f>
        <v>Meghna Builders</v>
      </c>
      <c r="F7" s="86"/>
      <c r="G7" s="86"/>
      <c r="H7" s="86"/>
    </row>
    <row r="8" spans="1:9" x14ac:dyDescent="0.3">
      <c r="A8" s="86" t="s">
        <v>5</v>
      </c>
      <c r="B8" s="86"/>
      <c r="C8" s="86"/>
      <c r="D8" s="86"/>
      <c r="E8" s="148" t="s">
        <v>176</v>
      </c>
      <c r="F8" s="148"/>
      <c r="G8" s="148"/>
      <c r="H8" s="148"/>
    </row>
    <row r="9" spans="1:9" x14ac:dyDescent="0.3">
      <c r="A9" s="86" t="s">
        <v>169</v>
      </c>
      <c r="B9" s="86"/>
      <c r="C9" s="86"/>
      <c r="D9" s="86"/>
      <c r="E9" s="99" t="s">
        <v>219</v>
      </c>
      <c r="F9" s="86"/>
      <c r="G9" s="86"/>
      <c r="H9" s="86"/>
    </row>
    <row r="10" spans="1:9" x14ac:dyDescent="0.3">
      <c r="A10" s="86" t="s">
        <v>170</v>
      </c>
      <c r="B10" s="86"/>
      <c r="C10" s="86"/>
      <c r="D10" s="86"/>
      <c r="E10" s="86" t="s">
        <v>231</v>
      </c>
      <c r="F10" s="86"/>
      <c r="G10" s="86"/>
      <c r="H10" s="86"/>
      <c r="I10" s="21"/>
    </row>
    <row r="11" spans="1:9" x14ac:dyDescent="0.3">
      <c r="A11" s="86" t="s">
        <v>6</v>
      </c>
      <c r="B11" s="86"/>
      <c r="C11" s="86"/>
      <c r="D11" s="86"/>
      <c r="E11" s="86" t="s">
        <v>123</v>
      </c>
      <c r="F11" s="86"/>
      <c r="G11" s="86"/>
      <c r="H11" s="86"/>
    </row>
    <row r="12" spans="1:9" hidden="1" x14ac:dyDescent="0.3">
      <c r="A12" s="86" t="s">
        <v>171</v>
      </c>
      <c r="B12" s="86"/>
      <c r="C12" s="86"/>
      <c r="D12" s="86"/>
      <c r="E12" s="86" t="s">
        <v>28</v>
      </c>
      <c r="F12" s="86"/>
      <c r="G12" s="86"/>
      <c r="H12" s="86"/>
    </row>
    <row r="13" spans="1:9" x14ac:dyDescent="0.3">
      <c r="A13" s="91" t="s">
        <v>7</v>
      </c>
      <c r="B13" s="91"/>
      <c r="C13" s="91"/>
      <c r="D13" s="91"/>
      <c r="E13" s="99" t="s">
        <v>216</v>
      </c>
      <c r="F13" s="99"/>
      <c r="G13" s="99"/>
      <c r="H13" s="99"/>
    </row>
    <row r="14" spans="1:9" x14ac:dyDescent="0.3">
      <c r="A14" s="91" t="s">
        <v>8</v>
      </c>
      <c r="B14" s="91"/>
      <c r="C14" s="91"/>
      <c r="D14" s="91"/>
      <c r="E14" s="99" t="s">
        <v>175</v>
      </c>
      <c r="F14" s="86"/>
      <c r="G14" s="86"/>
      <c r="H14" s="86"/>
    </row>
    <row r="15" spans="1:9" ht="33" customHeight="1" x14ac:dyDescent="0.3">
      <c r="A15" s="98" t="s">
        <v>9</v>
      </c>
      <c r="B15" s="98"/>
      <c r="C15" s="98" t="str">
        <f>CONCATENATE((IF(OR(E8="",E8="NA"),"",E8)),", ",(IF(OR(A16="",A16="NA"),"",A16)),".",(IF(OR(C16="",C16="NA"),"",C16)),", near ",(IF(OR(C21="",C21="NA"),"",C21)),", ",(IF(OR(C18="",C18="NA"),"",C18)),", ",(IF(OR(C17="",C17="NA"),"",C17)),", ",(IF(OR(G18="",G18="NA"),"",G18)),", ",(IF(OR(C19="",C19="NA"),"",C19)),", ",(IF(OR(C20="",C20="NA"),"",C20)),", ",(IF(OR(G19="",G19="NA"),"",G19))," - ",(IF(OR(G20="",G20="NA"),"",G20)),".")</f>
        <v>Meghna Bliss, Survey No.24A/12/2, near Mauli Apartment, Pisarve Road, Navin Vasahat, Rohinjan, Taloja, Panvel, Raigad - 410208.</v>
      </c>
      <c r="D15" s="98"/>
      <c r="E15" s="98"/>
      <c r="F15" s="98"/>
      <c r="G15" s="98"/>
      <c r="H15" s="98"/>
      <c r="I15" s="51"/>
    </row>
    <row r="16" spans="1:9" x14ac:dyDescent="0.3">
      <c r="A16" s="99" t="s">
        <v>179</v>
      </c>
      <c r="B16" s="99"/>
      <c r="C16" s="99" t="s">
        <v>180</v>
      </c>
      <c r="D16" s="99"/>
      <c r="E16" s="99"/>
      <c r="F16" s="99"/>
      <c r="G16" s="99"/>
      <c r="H16" s="99"/>
    </row>
    <row r="17" spans="1:8" ht="15.75" customHeight="1" x14ac:dyDescent="0.3">
      <c r="A17" s="99" t="s">
        <v>165</v>
      </c>
      <c r="B17" s="99"/>
      <c r="C17" s="99" t="s">
        <v>220</v>
      </c>
      <c r="D17" s="99"/>
      <c r="E17" s="99"/>
      <c r="F17" s="99"/>
      <c r="G17" s="99"/>
      <c r="H17" s="99"/>
    </row>
    <row r="18" spans="1:8" ht="15.75" customHeight="1" x14ac:dyDescent="0.3">
      <c r="A18" s="98" t="s">
        <v>10</v>
      </c>
      <c r="B18" s="98"/>
      <c r="C18" s="86" t="s">
        <v>201</v>
      </c>
      <c r="D18" s="86"/>
      <c r="E18" s="98" t="s">
        <v>71</v>
      </c>
      <c r="F18" s="98"/>
      <c r="G18" s="99" t="s">
        <v>202</v>
      </c>
      <c r="H18" s="99"/>
    </row>
    <row r="19" spans="1:8" x14ac:dyDescent="0.3">
      <c r="A19" s="91" t="s">
        <v>12</v>
      </c>
      <c r="B19" s="91"/>
      <c r="C19" s="99" t="s">
        <v>205</v>
      </c>
      <c r="D19" s="99"/>
      <c r="E19" s="98" t="s">
        <v>11</v>
      </c>
      <c r="F19" s="98"/>
      <c r="G19" s="150" t="s">
        <v>203</v>
      </c>
      <c r="H19" s="150"/>
    </row>
    <row r="20" spans="1:8" x14ac:dyDescent="0.3">
      <c r="A20" s="91" t="s">
        <v>72</v>
      </c>
      <c r="B20" s="91"/>
      <c r="C20" s="99" t="s">
        <v>204</v>
      </c>
      <c r="D20" s="99"/>
      <c r="E20" s="98" t="s">
        <v>13</v>
      </c>
      <c r="F20" s="98"/>
      <c r="G20" s="99">
        <v>410208</v>
      </c>
      <c r="H20" s="99"/>
    </row>
    <row r="21" spans="1:8" ht="45" customHeight="1" x14ac:dyDescent="0.3">
      <c r="A21" s="91" t="s">
        <v>124</v>
      </c>
      <c r="B21" s="91"/>
      <c r="C21" s="99" t="s">
        <v>215</v>
      </c>
      <c r="D21" s="99"/>
      <c r="E21" s="98" t="s">
        <v>14</v>
      </c>
      <c r="F21" s="98"/>
      <c r="G21" s="99" t="s">
        <v>199</v>
      </c>
      <c r="H21" s="99"/>
    </row>
    <row r="22" spans="1:8" ht="15" customHeight="1" x14ac:dyDescent="0.3">
      <c r="A22" s="98" t="s">
        <v>75</v>
      </c>
      <c r="B22" s="98"/>
      <c r="C22" s="98"/>
      <c r="D22" s="98"/>
      <c r="E22" s="86" t="s">
        <v>15</v>
      </c>
      <c r="F22" s="86"/>
      <c r="G22" s="86"/>
      <c r="H22" s="86"/>
    </row>
    <row r="23" spans="1:8" ht="18.75" customHeight="1" x14ac:dyDescent="0.3">
      <c r="A23" s="98"/>
      <c r="B23" s="98"/>
      <c r="C23" s="98"/>
      <c r="D23" s="98"/>
      <c r="E23" s="86"/>
      <c r="F23" s="86"/>
      <c r="G23" s="86"/>
      <c r="H23" s="86"/>
    </row>
    <row r="24" spans="1:8" ht="15" customHeight="1" x14ac:dyDescent="0.3">
      <c r="A24" s="98" t="s">
        <v>16</v>
      </c>
      <c r="B24" s="98"/>
      <c r="C24" s="98"/>
      <c r="D24" s="98"/>
      <c r="E24" s="99" t="s">
        <v>17</v>
      </c>
      <c r="F24" s="99"/>
      <c r="G24" s="99"/>
      <c r="H24" s="99"/>
    </row>
    <row r="25" spans="1:8" ht="15" customHeight="1" x14ac:dyDescent="0.3">
      <c r="A25" s="91" t="s">
        <v>18</v>
      </c>
      <c r="B25" s="91"/>
      <c r="C25" s="91"/>
      <c r="D25" s="91"/>
      <c r="E25" s="99" t="str">
        <f>IF(AND(G19="Mumbai"),"Upper Class","Middle Class")</f>
        <v>Middle Class</v>
      </c>
      <c r="F25" s="99"/>
      <c r="G25" s="99"/>
      <c r="H25" s="99"/>
    </row>
    <row r="26" spans="1:8" x14ac:dyDescent="0.3">
      <c r="A26" s="91" t="s">
        <v>19</v>
      </c>
      <c r="B26" s="91"/>
      <c r="C26" s="91"/>
      <c r="D26" s="91"/>
      <c r="E26" s="99" t="s">
        <v>20</v>
      </c>
      <c r="F26" s="99"/>
      <c r="G26" s="99"/>
      <c r="H26" s="99"/>
    </row>
    <row r="27" spans="1:8" ht="15.75" customHeight="1" x14ac:dyDescent="0.3">
      <c r="A27" s="91" t="s">
        <v>21</v>
      </c>
      <c r="B27" s="91"/>
      <c r="C27" s="91"/>
      <c r="D27" s="91"/>
      <c r="E27" s="99" t="str">
        <f>IF(AND(G19="Mumbai"),"Developed","Developing")</f>
        <v>Developing</v>
      </c>
      <c r="F27" s="99"/>
      <c r="G27" s="99"/>
      <c r="H27" s="99"/>
    </row>
    <row r="28" spans="1:8" x14ac:dyDescent="0.3">
      <c r="A28" s="91" t="s">
        <v>22</v>
      </c>
      <c r="B28" s="91"/>
      <c r="C28" s="91"/>
      <c r="D28" s="91"/>
      <c r="E28" s="99" t="s">
        <v>23</v>
      </c>
      <c r="F28" s="99"/>
      <c r="G28" s="99"/>
      <c r="H28" s="99"/>
    </row>
    <row r="29" spans="1:8" ht="15.75" customHeight="1" x14ac:dyDescent="0.3">
      <c r="A29" s="91" t="s">
        <v>80</v>
      </c>
      <c r="B29" s="91"/>
      <c r="C29" s="91"/>
      <c r="D29" s="91"/>
      <c r="E29" s="99" t="s">
        <v>81</v>
      </c>
      <c r="F29" s="99"/>
      <c r="G29" s="99"/>
      <c r="H29" s="99"/>
    </row>
    <row r="30" spans="1:8" ht="15" customHeight="1" x14ac:dyDescent="0.3">
      <c r="A30" s="91" t="s">
        <v>31</v>
      </c>
      <c r="B30" s="91"/>
      <c r="C30" s="91"/>
      <c r="D30" s="91"/>
      <c r="E30" s="99" t="str">
        <f>IF(AND(ISNUMBER(SEARCH("Flat",D56)),ISNUMBER(SEARCH("Shop",D56)),ISNUMBER(SEARCH("Office",D56))),"Residential + Commercial",IF(AND(ISNUMBER(SEARCH("Flat",D56)),ISNUMBER(SEARCH("Shop",D56))),"Residential + Commercial",IF(AND(ISNUMBER(SEARCH("Flat",D56)),ISNUMBER(SEARCH("Office",D56))),"Residential + Commercial",IF(AND(ISNUMBER(SEARCH("Shop",D56)),ISNUMBER(SEARCH("Office",D56))),"Commercial",IF(ISNUMBER(SEARCH("Shop",D56)),"Commercial",IF(ISNUMBER(SEARCH("Office",D56)),"Commercial",IF(ISNUMBER(SEARCH("Flat",D56)),"Residential")))))))</f>
        <v>Residential + Commercial</v>
      </c>
      <c r="F30" s="99"/>
      <c r="G30" s="99"/>
      <c r="H30" s="99"/>
    </row>
    <row r="31" spans="1:8" ht="15.75" customHeight="1" x14ac:dyDescent="0.3">
      <c r="A31" s="91" t="s">
        <v>92</v>
      </c>
      <c r="B31" s="91"/>
      <c r="C31" s="91"/>
      <c r="D31" s="91"/>
      <c r="E31" s="99" t="s">
        <v>32</v>
      </c>
      <c r="F31" s="99"/>
      <c r="G31" s="99"/>
      <c r="H31" s="99"/>
    </row>
    <row r="32" spans="1:8" s="21" customFormat="1" x14ac:dyDescent="0.3">
      <c r="A32" s="158" t="s">
        <v>93</v>
      </c>
      <c r="B32" s="158"/>
      <c r="C32" s="155" t="s">
        <v>172</v>
      </c>
      <c r="D32" s="156"/>
      <c r="E32" s="157"/>
      <c r="F32" s="155" t="s">
        <v>29</v>
      </c>
      <c r="G32" s="156"/>
      <c r="H32" s="157"/>
    </row>
    <row r="33" spans="1:10" s="21" customFormat="1" x14ac:dyDescent="0.3">
      <c r="A33" s="151" t="s">
        <v>24</v>
      </c>
      <c r="B33" s="151" t="s">
        <v>28</v>
      </c>
      <c r="C33" s="102" t="s">
        <v>207</v>
      </c>
      <c r="D33" s="103"/>
      <c r="E33" s="104"/>
      <c r="F33" s="102" t="s">
        <v>209</v>
      </c>
      <c r="G33" s="103"/>
      <c r="H33" s="104"/>
      <c r="I33" s="184"/>
    </row>
    <row r="34" spans="1:10" x14ac:dyDescent="0.3">
      <c r="A34" s="151" t="s">
        <v>25</v>
      </c>
      <c r="B34" s="151" t="s">
        <v>28</v>
      </c>
      <c r="C34" s="102" t="s">
        <v>212</v>
      </c>
      <c r="D34" s="103"/>
      <c r="E34" s="104"/>
      <c r="F34" s="102" t="s">
        <v>201</v>
      </c>
      <c r="G34" s="103"/>
      <c r="H34" s="104"/>
      <c r="I34" s="184"/>
    </row>
    <row r="35" spans="1:10" s="21" customFormat="1" x14ac:dyDescent="0.3">
      <c r="A35" s="151" t="s">
        <v>27</v>
      </c>
      <c r="B35" s="151" t="s">
        <v>28</v>
      </c>
      <c r="C35" s="152" t="s">
        <v>208</v>
      </c>
      <c r="D35" s="153"/>
      <c r="E35" s="154"/>
      <c r="F35" s="102" t="s">
        <v>218</v>
      </c>
      <c r="G35" s="103"/>
      <c r="H35" s="104"/>
      <c r="I35" s="184"/>
      <c r="J35" s="20"/>
    </row>
    <row r="36" spans="1:10" x14ac:dyDescent="0.3">
      <c r="A36" s="151" t="s">
        <v>26</v>
      </c>
      <c r="B36" s="151" t="s">
        <v>28</v>
      </c>
      <c r="C36" s="102" t="s">
        <v>206</v>
      </c>
      <c r="D36" s="103"/>
      <c r="E36" s="104"/>
      <c r="F36" s="102" t="s">
        <v>217</v>
      </c>
      <c r="G36" s="103"/>
      <c r="H36" s="104"/>
      <c r="I36" s="184"/>
    </row>
    <row r="37" spans="1:10" x14ac:dyDescent="0.3">
      <c r="A37" s="91" t="s">
        <v>30</v>
      </c>
      <c r="B37" s="91"/>
      <c r="C37" s="91"/>
      <c r="D37" s="91"/>
      <c r="E37" s="91"/>
      <c r="F37" s="91"/>
      <c r="G37" s="91"/>
      <c r="H37" s="91"/>
    </row>
    <row r="38" spans="1:10" ht="15.75" customHeight="1" x14ac:dyDescent="0.3">
      <c r="A38" s="129" t="s">
        <v>167</v>
      </c>
      <c r="B38" s="129"/>
      <c r="C38" s="91" t="s">
        <v>229</v>
      </c>
      <c r="D38" s="91"/>
      <c r="E38" s="91"/>
      <c r="F38" s="91"/>
      <c r="G38" s="91"/>
      <c r="H38" s="91"/>
    </row>
    <row r="39" spans="1:10" x14ac:dyDescent="0.3">
      <c r="A39" s="129" t="s">
        <v>164</v>
      </c>
      <c r="B39" s="129"/>
      <c r="C39" s="160" t="s">
        <v>198</v>
      </c>
      <c r="D39" s="99"/>
      <c r="E39" s="99"/>
      <c r="F39" s="99"/>
      <c r="G39" s="99"/>
      <c r="H39" s="99"/>
    </row>
    <row r="40" spans="1:10" x14ac:dyDescent="0.3">
      <c r="A40" s="129" t="s">
        <v>33</v>
      </c>
      <c r="B40" s="129"/>
      <c r="C40" s="129"/>
      <c r="D40" s="129"/>
      <c r="E40" s="129"/>
      <c r="F40" s="129"/>
      <c r="G40" s="129"/>
      <c r="H40" s="129"/>
    </row>
    <row r="41" spans="1:10" x14ac:dyDescent="0.3">
      <c r="A41" s="91" t="s">
        <v>34</v>
      </c>
      <c r="B41" s="91"/>
      <c r="C41" s="91"/>
      <c r="D41" s="91"/>
      <c r="E41" s="159">
        <v>1465.519</v>
      </c>
      <c r="F41" s="159"/>
      <c r="G41" s="159"/>
      <c r="H41" s="159"/>
    </row>
    <row r="42" spans="1:10" x14ac:dyDescent="0.3">
      <c r="A42" s="91" t="s">
        <v>35</v>
      </c>
      <c r="B42" s="91"/>
      <c r="C42" s="91"/>
      <c r="D42" s="91"/>
      <c r="E42" s="111">
        <v>1.1000000000000001</v>
      </c>
      <c r="F42" s="111"/>
      <c r="G42" s="111"/>
      <c r="H42" s="111"/>
    </row>
    <row r="43" spans="1:10" x14ac:dyDescent="0.3">
      <c r="A43" s="91" t="s">
        <v>36</v>
      </c>
      <c r="B43" s="91"/>
      <c r="C43" s="91"/>
      <c r="D43" s="91"/>
      <c r="E43" s="111">
        <f>E45/E41-E42</f>
        <v>2.7679368878874993</v>
      </c>
      <c r="F43" s="111"/>
      <c r="G43" s="111"/>
      <c r="H43" s="111"/>
    </row>
    <row r="44" spans="1:10" x14ac:dyDescent="0.3">
      <c r="A44" s="91" t="s">
        <v>37</v>
      </c>
      <c r="B44" s="91"/>
      <c r="C44" s="91"/>
      <c r="D44" s="91"/>
      <c r="E44" s="111">
        <f>E42+E43</f>
        <v>3.8679368878874993</v>
      </c>
      <c r="F44" s="111"/>
      <c r="G44" s="111"/>
      <c r="H44" s="111"/>
    </row>
    <row r="45" spans="1:10" x14ac:dyDescent="0.3">
      <c r="A45" s="91" t="s">
        <v>91</v>
      </c>
      <c r="B45" s="91"/>
      <c r="C45" s="91"/>
      <c r="D45" s="91"/>
      <c r="E45" s="167">
        <v>5668.5349999999999</v>
      </c>
      <c r="F45" s="167"/>
      <c r="G45" s="167"/>
      <c r="H45" s="167"/>
    </row>
    <row r="46" spans="1:10" x14ac:dyDescent="0.3">
      <c r="A46" s="86" t="s">
        <v>38</v>
      </c>
      <c r="B46" s="86"/>
      <c r="C46" s="86"/>
      <c r="D46" s="86"/>
      <c r="E46" s="86" t="s">
        <v>123</v>
      </c>
      <c r="F46" s="86"/>
      <c r="G46" s="86"/>
      <c r="H46" s="86"/>
    </row>
    <row r="47" spans="1:10" x14ac:dyDescent="0.3">
      <c r="A47" s="129" t="s">
        <v>39</v>
      </c>
      <c r="B47" s="129"/>
      <c r="C47" s="129"/>
      <c r="D47" s="129"/>
      <c r="E47" s="129"/>
      <c r="F47" s="129"/>
      <c r="G47" s="129"/>
      <c r="H47" s="129"/>
    </row>
    <row r="48" spans="1:10" ht="30.75" customHeight="1" x14ac:dyDescent="0.3">
      <c r="A48" s="114" t="s">
        <v>153</v>
      </c>
      <c r="B48" s="115"/>
      <c r="C48" s="185" t="s">
        <v>181</v>
      </c>
      <c r="D48" s="186"/>
      <c r="E48" s="186"/>
      <c r="F48" s="186"/>
      <c r="G48" s="186"/>
      <c r="H48" s="187"/>
    </row>
    <row r="49" spans="1:14" ht="15.75" customHeight="1" x14ac:dyDescent="0.3">
      <c r="A49" s="114" t="s">
        <v>40</v>
      </c>
      <c r="B49" s="115"/>
      <c r="C49" s="114" t="s">
        <v>200</v>
      </c>
      <c r="D49" s="116"/>
      <c r="E49" s="115"/>
      <c r="F49" s="17" t="s">
        <v>41</v>
      </c>
      <c r="G49" s="117">
        <v>45014</v>
      </c>
      <c r="H49" s="115"/>
    </row>
    <row r="50" spans="1:14" x14ac:dyDescent="0.3">
      <c r="A50" s="114" t="s">
        <v>42</v>
      </c>
      <c r="B50" s="115"/>
      <c r="C50" s="114" t="str">
        <f>C49</f>
        <v>PMC/NRV/16623/J.K.763/2022</v>
      </c>
      <c r="D50" s="116"/>
      <c r="E50" s="115"/>
      <c r="F50" s="17" t="s">
        <v>41</v>
      </c>
      <c r="G50" s="117">
        <f>G49</f>
        <v>45014</v>
      </c>
      <c r="H50" s="118"/>
    </row>
    <row r="51" spans="1:14" s="22" customFormat="1" ht="31.5" customHeight="1" x14ac:dyDescent="0.3">
      <c r="A51" s="61" t="s">
        <v>230</v>
      </c>
      <c r="B51" s="62"/>
      <c r="C51" s="114" t="s">
        <v>182</v>
      </c>
      <c r="D51" s="116"/>
      <c r="E51" s="115"/>
      <c r="F51" s="17" t="s">
        <v>41</v>
      </c>
      <c r="G51" s="117">
        <f>G50</f>
        <v>45014</v>
      </c>
      <c r="H51" s="118"/>
    </row>
    <row r="52" spans="1:14" s="22" customFormat="1" ht="17.25" customHeight="1" x14ac:dyDescent="0.3">
      <c r="A52" s="63"/>
      <c r="B52" s="64"/>
      <c r="C52" s="114" t="s">
        <v>183</v>
      </c>
      <c r="D52" s="116"/>
      <c r="E52" s="116"/>
      <c r="F52" s="116"/>
      <c r="G52" s="116"/>
      <c r="H52" s="115"/>
    </row>
    <row r="53" spans="1:14" x14ac:dyDescent="0.3">
      <c r="A53" s="163" t="s">
        <v>43</v>
      </c>
      <c r="B53" s="164"/>
      <c r="C53" s="163" t="s">
        <v>105</v>
      </c>
      <c r="D53" s="165"/>
      <c r="E53" s="164"/>
      <c r="F53" s="43" t="s">
        <v>41</v>
      </c>
      <c r="G53" s="100" t="s">
        <v>28</v>
      </c>
      <c r="H53" s="101"/>
    </row>
    <row r="54" spans="1:14" x14ac:dyDescent="0.3">
      <c r="A54" s="132" t="s">
        <v>45</v>
      </c>
      <c r="B54" s="132"/>
      <c r="C54" s="132"/>
      <c r="D54" s="132"/>
      <c r="E54" s="132"/>
      <c r="F54" s="132"/>
      <c r="G54" s="132"/>
      <c r="H54" s="132"/>
    </row>
    <row r="55" spans="1:14" x14ac:dyDescent="0.3">
      <c r="A55" s="98" t="s">
        <v>90</v>
      </c>
      <c r="B55" s="98"/>
      <c r="C55" s="98"/>
      <c r="D55" s="91">
        <f>E45</f>
        <v>5668.5349999999999</v>
      </c>
      <c r="E55" s="91"/>
      <c r="F55" s="91"/>
      <c r="G55" s="91"/>
      <c r="H55" s="91"/>
    </row>
    <row r="56" spans="1:14" x14ac:dyDescent="0.3">
      <c r="A56" s="99" t="s">
        <v>46</v>
      </c>
      <c r="B56" s="86"/>
      <c r="C56" s="86"/>
      <c r="D56" s="86" t="s">
        <v>211</v>
      </c>
      <c r="E56" s="86"/>
      <c r="F56" s="86"/>
      <c r="G56" s="86"/>
      <c r="H56" s="86"/>
      <c r="I56" s="23"/>
    </row>
    <row r="57" spans="1:14" x14ac:dyDescent="0.3">
      <c r="A57" s="84" t="s">
        <v>47</v>
      </c>
      <c r="B57" s="85"/>
      <c r="C57" s="162"/>
      <c r="D57" s="136" t="s">
        <v>185</v>
      </c>
      <c r="E57" s="161"/>
      <c r="F57" s="161"/>
      <c r="G57" s="161"/>
      <c r="H57" s="161"/>
    </row>
    <row r="58" spans="1:14" ht="15.75" customHeight="1" x14ac:dyDescent="0.3">
      <c r="A58" s="84" t="s">
        <v>88</v>
      </c>
      <c r="B58" s="85"/>
      <c r="C58" s="85"/>
      <c r="D58" s="86" t="s">
        <v>185</v>
      </c>
      <c r="E58" s="86"/>
      <c r="F58" s="86"/>
      <c r="G58" s="86"/>
      <c r="H58" s="86"/>
    </row>
    <row r="59" spans="1:14" ht="15.75" customHeight="1" x14ac:dyDescent="0.3">
      <c r="A59" s="91" t="s">
        <v>44</v>
      </c>
      <c r="B59" s="91"/>
      <c r="C59" s="91"/>
      <c r="D59" s="98" t="s">
        <v>184</v>
      </c>
      <c r="E59" s="98"/>
      <c r="F59" s="98"/>
      <c r="G59" s="98"/>
      <c r="H59" s="98"/>
      <c r="J59" s="24"/>
      <c r="K59" s="23"/>
      <c r="N59" s="23"/>
    </row>
    <row r="60" spans="1:14" ht="15.75" customHeight="1" x14ac:dyDescent="0.3">
      <c r="A60" s="91" t="s">
        <v>86</v>
      </c>
      <c r="B60" s="91"/>
      <c r="C60" s="91"/>
      <c r="D60" s="166" t="str">
        <f>(IF(G53="NA","60 Years After Completion",IF(G53&lt;&gt;"NA",""&amp;60-ROUNDDOWN((E3-G53)/360,0)&amp;" Years"," ")))</f>
        <v>60 Years After Completion</v>
      </c>
      <c r="E60" s="166"/>
      <c r="F60" s="166"/>
      <c r="G60" s="166"/>
      <c r="H60" s="166"/>
      <c r="N60" s="23"/>
    </row>
    <row r="61" spans="1:14" ht="15.75" customHeight="1" x14ac:dyDescent="0.3">
      <c r="A61" s="91" t="s">
        <v>87</v>
      </c>
      <c r="B61" s="91"/>
      <c r="C61" s="91"/>
      <c r="D61" s="98" t="s">
        <v>23</v>
      </c>
      <c r="E61" s="98"/>
      <c r="F61" s="98"/>
      <c r="G61" s="98"/>
      <c r="H61" s="98"/>
      <c r="J61" s="25"/>
      <c r="K61" s="25"/>
    </row>
    <row r="62" spans="1:14" ht="30.75" customHeight="1" x14ac:dyDescent="0.3">
      <c r="A62" s="91" t="s">
        <v>73</v>
      </c>
      <c r="B62" s="91"/>
      <c r="C62" s="91"/>
      <c r="D62" s="99" t="s">
        <v>186</v>
      </c>
      <c r="E62" s="98"/>
      <c r="F62" s="98"/>
      <c r="G62" s="98"/>
      <c r="H62" s="98"/>
    </row>
    <row r="63" spans="1:14" x14ac:dyDescent="0.3">
      <c r="A63" s="98" t="s">
        <v>150</v>
      </c>
      <c r="B63" s="98"/>
      <c r="C63" s="98"/>
      <c r="D63" s="98" t="s">
        <v>28</v>
      </c>
      <c r="E63" s="98"/>
      <c r="F63" s="98"/>
      <c r="G63" s="98"/>
      <c r="H63" s="98"/>
      <c r="I63" s="26"/>
      <c r="J63" s="26"/>
      <c r="K63" s="26"/>
      <c r="L63" s="26"/>
      <c r="M63" s="26"/>
      <c r="N63" s="26"/>
    </row>
    <row r="64" spans="1:14" ht="15.75" customHeight="1" x14ac:dyDescent="0.3">
      <c r="A64" s="143" t="s">
        <v>85</v>
      </c>
      <c r="B64" s="143"/>
      <c r="C64" s="143"/>
      <c r="D64" s="136" t="str">
        <f ca="1">(IF(G70&gt;95%,"Nothing",IF(G70&gt;0%,"Cement, Aggregate, Steel, etc",IF(G70=0%,"Work not yet Started"))))</f>
        <v>Cement, Aggregate, Steel, etc</v>
      </c>
      <c r="E64" s="136"/>
      <c r="F64" s="136"/>
      <c r="G64" s="136"/>
      <c r="H64" s="136"/>
      <c r="J64" s="25"/>
    </row>
    <row r="65" spans="1:10" ht="33.75" customHeight="1" thickBot="1" x14ac:dyDescent="0.35">
      <c r="A65" s="176" t="s">
        <v>118</v>
      </c>
      <c r="B65" s="176"/>
      <c r="C65" s="176"/>
      <c r="D65" s="136" t="str">
        <f ca="1">(IF(D64="Nothing","Yes",IF(D64="Cement, Aggregate, Steel, etc","Under Construction",IF(D64="Work not yet Started","Work not yet Started"))))</f>
        <v>Under Construction</v>
      </c>
      <c r="E65" s="136"/>
      <c r="F65" s="136" t="str">
        <f ca="1">(IF(D64="Nothing","Yes",IF(D64="Cement, Aggregate, Steel, etc","Under Construction",IF(D64="Work not yet Started","Work not yet Started"))))</f>
        <v>Under Construction</v>
      </c>
      <c r="G65" s="136"/>
      <c r="H65" s="136"/>
    </row>
    <row r="66" spans="1:10" ht="15.75" customHeight="1" x14ac:dyDescent="0.3">
      <c r="A66" s="169" t="s">
        <v>142</v>
      </c>
      <c r="B66" s="170"/>
      <c r="C66" s="171" t="str">
        <f>D58</f>
        <v>G + 1st to 12th Floor</v>
      </c>
      <c r="D66" s="172"/>
      <c r="E66" s="172"/>
      <c r="F66" s="172"/>
      <c r="G66" s="172"/>
      <c r="H66" s="173"/>
      <c r="I66" s="47" t="str">
        <f ca="1">IF(D79=100%,"All work Completed. Possession granted to the Building.",IF(D78=100%,"All work Completed, Waiting for OC",I67&amp;""&amp;I68&amp;""&amp;J67&amp;""&amp;J66&amp;" "&amp;J68))</f>
        <v>Excavation, Plinth, RCC Slab Completed, Brickwork upto 6 Floor Completed</v>
      </c>
      <c r="J66" s="48" t="str">
        <f ca="1">(IF(C72=(D67+F67+H67),"",IF(C72&gt;0,", RCC upto "&amp;C72&amp;" Slab","")))&amp;(IF(C73=H67,"",IF(C73&gt;0,", Brickwork upto "&amp;C73&amp;" Floor","")))&amp;(IF(C74=H67,"",IF(C74&gt;0,", Internal Plaster upto "&amp;C74&amp;" Floor","")))&amp;(IF(C75=H67,"",IF(C75&gt;0,", External Plaster upto "&amp;C75&amp;" Floor","")))&amp;(IF(C76=H67,"",IF(C76&gt;0,", Flooring upto "&amp;C76&amp;" Floor","")))&amp;(IF(C77=H67,"",IF(C77&gt;0,", Painting upto "&amp;C77&amp;" Floor","")))&amp;(IF(C78=H67,"",IF(C78&gt;0,", Finishing upto "&amp;C78&amp;" Floor","")))&amp;(IF(C79=H67,"",IF(C79&gt;0,", Possession upto "&amp;C79&amp;" Floor","")))</f>
        <v>, Brickwork upto 6 Floor</v>
      </c>
    </row>
    <row r="67" spans="1:10" x14ac:dyDescent="0.3">
      <c r="A67" s="15" t="s">
        <v>144</v>
      </c>
      <c r="B67" s="45">
        <v>0</v>
      </c>
      <c r="C67" s="45" t="s">
        <v>70</v>
      </c>
      <c r="D67" s="45">
        <v>1</v>
      </c>
      <c r="E67" s="45" t="s">
        <v>69</v>
      </c>
      <c r="F67" s="45">
        <v>0</v>
      </c>
      <c r="G67" s="46" t="s">
        <v>79</v>
      </c>
      <c r="H67" s="16">
        <f ca="1">--TRIM(RIGHT(SUBSTITUTE(LEFT(C66,_xlfn.AGGREGATE(16,6,FIND({0,1,2,3,4,5,6,7,8,9},C66,ROW(INDIRECT("1:"&amp;LEN(C66)))),1))," ",REPT(" ",LEN(C66))),LEN(C66)))</f>
        <v>12</v>
      </c>
      <c r="I67" s="49" t="str">
        <f ca="1">IF(D70=100%,"Excavation","")&amp;IF(D71=100%,", Plinth","")&amp;IF(D72=100%,", RCC Slab","")&amp;IF(D73=100%,", Brickwork","")&amp;IF(D74=100%,", Internal Plaster","")&amp;IF(D75=100%,", External Plaster","")&amp;IF(D76=100%,", Flooring","")&amp;IF(D77=100%,", Painting","")&amp;IF(D78=100%,", Building common Amenities","")</f>
        <v>Excavation, Plinth, RCC Slab</v>
      </c>
      <c r="J67" s="50" t="str">
        <f ca="1">(IF(C70=0,"Work not yet Started.",IF(D70=25%,"Piling work in process",IF(D70=50%,"Excavation work in process",IF(D70=100%,"","0")))))&amp;(IF(C71=0%,"",IF(C71=J72,", Footing work is process",IF(C71=J73,", Footing work Completed",IF(C71=J74,", 1st Basement Completed",IF(C71=J75,", 1st &amp; 2nd Basement Completed",IF(C71=J76,", 1st to 3rd Basement Completed",IF(C71=J77,", 1st to 4th Basement Completed",IF(C71=J78,", Plinth work is process",IF(C71=J79,"","0"))))))))))</f>
        <v/>
      </c>
    </row>
    <row r="68" spans="1:10" x14ac:dyDescent="0.3">
      <c r="A68" s="168" t="s">
        <v>89</v>
      </c>
      <c r="B68" s="148"/>
      <c r="C68" s="174" t="str">
        <f ca="1">I66</f>
        <v>Excavation, Plinth, RCC Slab Completed, Brickwork upto 6 Floor Completed</v>
      </c>
      <c r="D68" s="174"/>
      <c r="E68" s="174"/>
      <c r="F68" s="174"/>
      <c r="G68" s="174"/>
      <c r="H68" s="175"/>
      <c r="I68" s="49" t="str">
        <f ca="1">IF(I67&lt;&gt;""," Completed","")</f>
        <v xml:space="preserve"> Completed</v>
      </c>
      <c r="J68" s="50" t="str">
        <f ca="1">IF(J66&lt;&gt;"","Completed","")</f>
        <v>Completed</v>
      </c>
    </row>
    <row r="69" spans="1:10" ht="15.75" customHeight="1" x14ac:dyDescent="0.3">
      <c r="A69" s="112" t="s">
        <v>48</v>
      </c>
      <c r="B69" s="113"/>
      <c r="C69" s="41" t="s">
        <v>141</v>
      </c>
      <c r="D69" s="41" t="s">
        <v>82</v>
      </c>
      <c r="E69" s="113" t="s">
        <v>84</v>
      </c>
      <c r="F69" s="113"/>
      <c r="G69" s="113" t="s">
        <v>83</v>
      </c>
      <c r="H69" s="144"/>
      <c r="I69" s="13" t="s">
        <v>143</v>
      </c>
      <c r="J69" s="27">
        <f ca="1">H67*25%</f>
        <v>3</v>
      </c>
    </row>
    <row r="70" spans="1:10" x14ac:dyDescent="0.3">
      <c r="A70" s="112" t="s">
        <v>130</v>
      </c>
      <c r="B70" s="113"/>
      <c r="C70" s="55">
        <f ca="1">J71</f>
        <v>12</v>
      </c>
      <c r="D70" s="18">
        <f ca="1">((100/H67)*C70)/100</f>
        <v>1</v>
      </c>
      <c r="E70" s="137">
        <f ca="1">(((C71/H67*10)+(40/(D67+F67+H67)*C72)+(7.5/(H67)*C73)+(7.5/(H67)*C74)+(10/H67*C75)+(10/H67*C76)+(5/H67*C77)+(5/H67*C78)+(5/H67*C79))/100)</f>
        <v>0.53749999999999998</v>
      </c>
      <c r="F70" s="138"/>
      <c r="G70" s="137">
        <f ca="1">((((C70/H67)*20)+((C71/H67)*25)+(30/(H67+F67+D67)*C72)+(5/H67*C73)+(5/H67*C74)+(5/H67*C75)+(5/H67*C76)+(0/H67*C77)+(0/H67*C78)+(5/H67*C79))/100)</f>
        <v>0.77500000000000002</v>
      </c>
      <c r="H70" s="181"/>
      <c r="I70" s="13" t="s">
        <v>100</v>
      </c>
      <c r="J70" s="28">
        <f ca="1">H67*50%</f>
        <v>6</v>
      </c>
    </row>
    <row r="71" spans="1:10" x14ac:dyDescent="0.3">
      <c r="A71" s="112" t="s">
        <v>49</v>
      </c>
      <c r="B71" s="113"/>
      <c r="C71" s="56">
        <f ca="1">J79</f>
        <v>12</v>
      </c>
      <c r="D71" s="18">
        <f ca="1">((100/H67)*C71)/100</f>
        <v>1</v>
      </c>
      <c r="E71" s="139"/>
      <c r="F71" s="140"/>
      <c r="G71" s="139"/>
      <c r="H71" s="182"/>
      <c r="I71" s="13" t="s">
        <v>101</v>
      </c>
      <c r="J71" s="28">
        <f ca="1">H67</f>
        <v>12</v>
      </c>
    </row>
    <row r="72" spans="1:10" ht="15.75" customHeight="1" x14ac:dyDescent="0.3">
      <c r="A72" s="112" t="s">
        <v>131</v>
      </c>
      <c r="B72" s="113"/>
      <c r="C72" s="55">
        <v>13</v>
      </c>
      <c r="D72" s="18">
        <f ca="1">((100/(D67+F67+H67))*C72)/100</f>
        <v>1</v>
      </c>
      <c r="E72" s="139"/>
      <c r="F72" s="140"/>
      <c r="G72" s="139"/>
      <c r="H72" s="182"/>
      <c r="I72" s="13" t="s">
        <v>102</v>
      </c>
      <c r="J72" s="29">
        <f ca="1">(IF(B67&gt;1,(H67/(B67+2)),H67/4))</f>
        <v>3</v>
      </c>
    </row>
    <row r="73" spans="1:10" ht="15.75" customHeight="1" x14ac:dyDescent="0.3">
      <c r="A73" s="112" t="s">
        <v>138</v>
      </c>
      <c r="B73" s="113" t="s">
        <v>132</v>
      </c>
      <c r="C73" s="55">
        <v>6</v>
      </c>
      <c r="D73" s="18">
        <f ca="1">((100/H67)*C73)/100</f>
        <v>0.5</v>
      </c>
      <c r="E73" s="139"/>
      <c r="F73" s="140"/>
      <c r="G73" s="139"/>
      <c r="H73" s="182"/>
      <c r="I73" s="13" t="s">
        <v>103</v>
      </c>
      <c r="J73" s="29">
        <f ca="1">(IF(B67&gt;1,(H67/(B67+2)+J72),H67/4+J72))</f>
        <v>6</v>
      </c>
    </row>
    <row r="74" spans="1:10" ht="15.75" customHeight="1" x14ac:dyDescent="0.3">
      <c r="A74" s="112" t="s">
        <v>139</v>
      </c>
      <c r="B74" s="113" t="s">
        <v>132</v>
      </c>
      <c r="C74" s="55">
        <v>0</v>
      </c>
      <c r="D74" s="18">
        <f ca="1">((100/H67)*C74)/100</f>
        <v>0</v>
      </c>
      <c r="E74" s="139"/>
      <c r="F74" s="140"/>
      <c r="G74" s="139"/>
      <c r="H74" s="182"/>
      <c r="I74" s="13" t="s">
        <v>148</v>
      </c>
      <c r="J74" s="29">
        <f>(IF(B67&gt;1,(H67/(B67+2)+J73),0))</f>
        <v>0</v>
      </c>
    </row>
    <row r="75" spans="1:10" ht="15" customHeight="1" x14ac:dyDescent="0.3">
      <c r="A75" s="112" t="s">
        <v>137</v>
      </c>
      <c r="B75" s="113" t="s">
        <v>134</v>
      </c>
      <c r="C75" s="55">
        <v>0</v>
      </c>
      <c r="D75" s="18">
        <f ca="1">((100/(H67))*C75)/100</f>
        <v>0</v>
      </c>
      <c r="E75" s="139"/>
      <c r="F75" s="140"/>
      <c r="G75" s="139"/>
      <c r="H75" s="182"/>
      <c r="I75" s="13" t="s">
        <v>145</v>
      </c>
      <c r="J75" s="29">
        <f>(IF(B67&gt;2,(H67/(B67+2)+J74),0))</f>
        <v>0</v>
      </c>
    </row>
    <row r="76" spans="1:10" ht="15.75" customHeight="1" x14ac:dyDescent="0.3">
      <c r="A76" s="112" t="s">
        <v>133</v>
      </c>
      <c r="B76" s="113" t="s">
        <v>133</v>
      </c>
      <c r="C76" s="55">
        <v>0</v>
      </c>
      <c r="D76" s="18">
        <f ca="1">((100/H67)*C76)/100</f>
        <v>0</v>
      </c>
      <c r="E76" s="139"/>
      <c r="F76" s="140"/>
      <c r="G76" s="139"/>
      <c r="H76" s="182"/>
      <c r="I76" s="13" t="s">
        <v>146</v>
      </c>
      <c r="J76" s="30">
        <f>(IF(B67&gt;3,(H67/(B67+2)+J75),0))</f>
        <v>0</v>
      </c>
    </row>
    <row r="77" spans="1:10" ht="15.75" customHeight="1" x14ac:dyDescent="0.3">
      <c r="A77" s="112" t="s">
        <v>140</v>
      </c>
      <c r="B77" s="113"/>
      <c r="C77" s="41">
        <v>0</v>
      </c>
      <c r="D77" s="18">
        <f ca="1">((100/H67)*C77)/100</f>
        <v>0</v>
      </c>
      <c r="E77" s="139"/>
      <c r="F77" s="140"/>
      <c r="G77" s="139"/>
      <c r="H77" s="182"/>
      <c r="I77" s="13" t="s">
        <v>147</v>
      </c>
      <c r="J77" s="29">
        <f>(IF(B67&gt;4,(H67/(B67+2)+J76),0))</f>
        <v>0</v>
      </c>
    </row>
    <row r="78" spans="1:10" ht="15.75" customHeight="1" x14ac:dyDescent="0.3">
      <c r="A78" s="112" t="s">
        <v>135</v>
      </c>
      <c r="B78" s="113" t="s">
        <v>135</v>
      </c>
      <c r="C78" s="41">
        <v>0</v>
      </c>
      <c r="D78" s="18">
        <f ca="1">((100/(H67))*C78)/100</f>
        <v>0</v>
      </c>
      <c r="E78" s="139"/>
      <c r="F78" s="140"/>
      <c r="G78" s="139"/>
      <c r="H78" s="182"/>
      <c r="I78" s="13" t="s">
        <v>149</v>
      </c>
      <c r="J78" s="29">
        <f ca="1">(IF(B67=1,(H67/(B67+3)+J73),IF(B67=0,(H67/4+J73),IF(B67&gt;1,0))))</f>
        <v>9</v>
      </c>
    </row>
    <row r="79" spans="1:10" ht="16.2" thickBot="1" x14ac:dyDescent="0.35">
      <c r="A79" s="145" t="s">
        <v>136</v>
      </c>
      <c r="B79" s="146"/>
      <c r="C79" s="42">
        <v>0</v>
      </c>
      <c r="D79" s="19">
        <f ca="1">((100/(H67))*C79)/100</f>
        <v>0</v>
      </c>
      <c r="E79" s="141"/>
      <c r="F79" s="142"/>
      <c r="G79" s="141"/>
      <c r="H79" s="183"/>
      <c r="I79" s="14" t="s">
        <v>104</v>
      </c>
      <c r="J79" s="31">
        <f ca="1">(IF(B67&gt;1.5,(H67/(B67+2)+J73+MAX(0,J74-J73)+MAX(0,J75-J74)+MAX(0,J76-J75)+MAX(0,J77-J76)+MAX(0,J78-J77)),IF(B67=1,(H67/(B67+3)+J78),IF(B67=0,H67/4+J78))))</f>
        <v>12</v>
      </c>
    </row>
    <row r="80" spans="1:10" x14ac:dyDescent="0.3">
      <c r="A80" s="188" t="s">
        <v>158</v>
      </c>
      <c r="B80" s="188"/>
      <c r="C80" s="188"/>
      <c r="D80" s="188"/>
      <c r="E80" s="188"/>
      <c r="F80" s="123" t="s">
        <v>162</v>
      </c>
      <c r="G80" s="123"/>
      <c r="H80" s="123"/>
    </row>
    <row r="81" spans="1:11" x14ac:dyDescent="0.3">
      <c r="A81" s="91" t="s">
        <v>160</v>
      </c>
      <c r="B81" s="91"/>
      <c r="C81" s="91"/>
      <c r="D81" s="91"/>
      <c r="E81" s="91"/>
      <c r="F81" s="87">
        <v>7500</v>
      </c>
      <c r="G81" s="87"/>
      <c r="H81" s="87"/>
      <c r="I81" s="20" t="s">
        <v>226</v>
      </c>
      <c r="J81" s="20" t="s">
        <v>227</v>
      </c>
      <c r="K81" s="24">
        <v>45342</v>
      </c>
    </row>
    <row r="82" spans="1:11" x14ac:dyDescent="0.3">
      <c r="A82" s="91" t="s">
        <v>159</v>
      </c>
      <c r="B82" s="91"/>
      <c r="C82" s="91"/>
      <c r="D82" s="91"/>
      <c r="E82" s="91"/>
      <c r="F82" s="87">
        <v>11000</v>
      </c>
      <c r="G82" s="87"/>
      <c r="H82" s="87"/>
      <c r="J82" s="20" t="s">
        <v>223</v>
      </c>
    </row>
    <row r="83" spans="1:11" hidden="1" x14ac:dyDescent="0.3">
      <c r="A83" s="91" t="s">
        <v>161</v>
      </c>
      <c r="B83" s="91"/>
      <c r="C83" s="91"/>
      <c r="D83" s="91"/>
      <c r="E83" s="91"/>
      <c r="F83" s="87"/>
      <c r="G83" s="87"/>
      <c r="H83" s="87"/>
    </row>
    <row r="84" spans="1:11" s="32" customFormat="1" hidden="1" x14ac:dyDescent="0.25">
      <c r="A84" s="91" t="s">
        <v>173</v>
      </c>
      <c r="B84" s="91"/>
      <c r="C84" s="91"/>
      <c r="D84" s="91"/>
      <c r="E84" s="91"/>
      <c r="F84" s="87"/>
      <c r="G84" s="87"/>
      <c r="H84" s="87"/>
    </row>
    <row r="85" spans="1:11" s="32" customFormat="1" hidden="1" x14ac:dyDescent="0.25">
      <c r="A85" s="91" t="s">
        <v>94</v>
      </c>
      <c r="B85" s="91"/>
      <c r="C85" s="91"/>
      <c r="D85" s="91"/>
      <c r="E85" s="91"/>
      <c r="F85" s="87"/>
      <c r="G85" s="87"/>
      <c r="H85" s="87"/>
    </row>
    <row r="86" spans="1:11" s="32" customFormat="1" hidden="1" x14ac:dyDescent="0.25">
      <c r="A86" s="91" t="s">
        <v>95</v>
      </c>
      <c r="B86" s="91"/>
      <c r="C86" s="91"/>
      <c r="D86" s="91"/>
      <c r="E86" s="91"/>
      <c r="F86" s="87"/>
      <c r="G86" s="87"/>
      <c r="H86" s="87"/>
    </row>
    <row r="87" spans="1:11" s="32" customFormat="1" hidden="1" x14ac:dyDescent="0.25">
      <c r="A87" s="91" t="s">
        <v>163</v>
      </c>
      <c r="B87" s="91"/>
      <c r="C87" s="91"/>
      <c r="D87" s="91"/>
      <c r="E87" s="91"/>
      <c r="F87" s="87"/>
      <c r="G87" s="87"/>
      <c r="H87" s="87"/>
    </row>
    <row r="88" spans="1:11" s="32" customFormat="1" hidden="1" x14ac:dyDescent="0.25">
      <c r="A88" s="91" t="s">
        <v>96</v>
      </c>
      <c r="B88" s="91"/>
      <c r="C88" s="91"/>
      <c r="D88" s="91"/>
      <c r="E88" s="91"/>
      <c r="F88" s="87"/>
      <c r="G88" s="87"/>
      <c r="H88" s="87"/>
    </row>
    <row r="89" spans="1:11" s="32" customFormat="1" hidden="1" x14ac:dyDescent="0.25">
      <c r="A89" s="91" t="s">
        <v>97</v>
      </c>
      <c r="B89" s="91"/>
      <c r="C89" s="91"/>
      <c r="D89" s="91"/>
      <c r="E89" s="91"/>
      <c r="F89" s="87"/>
      <c r="G89" s="87"/>
      <c r="H89" s="87"/>
    </row>
    <row r="90" spans="1:11" s="32" customFormat="1" hidden="1" x14ac:dyDescent="0.25">
      <c r="A90" s="91" t="s">
        <v>98</v>
      </c>
      <c r="B90" s="91"/>
      <c r="C90" s="91"/>
      <c r="D90" s="91"/>
      <c r="E90" s="91"/>
      <c r="F90" s="87"/>
      <c r="G90" s="87"/>
      <c r="H90" s="87"/>
    </row>
    <row r="91" spans="1:11" s="32" customFormat="1" hidden="1" x14ac:dyDescent="0.25">
      <c r="A91" s="91" t="s">
        <v>99</v>
      </c>
      <c r="B91" s="91"/>
      <c r="C91" s="91"/>
      <c r="D91" s="91"/>
      <c r="E91" s="91"/>
      <c r="F91" s="87"/>
      <c r="G91" s="87"/>
      <c r="H91" s="87"/>
    </row>
    <row r="92" spans="1:11" x14ac:dyDescent="0.3">
      <c r="A92" s="91" t="s">
        <v>50</v>
      </c>
      <c r="B92" s="91"/>
      <c r="C92" s="91"/>
      <c r="D92" s="91"/>
      <c r="E92" s="91"/>
      <c r="F92" s="87">
        <v>250000</v>
      </c>
      <c r="G92" s="87"/>
      <c r="H92" s="87"/>
    </row>
    <row r="93" spans="1:11" s="33" customFormat="1" x14ac:dyDescent="0.3">
      <c r="A93" s="129" t="s">
        <v>51</v>
      </c>
      <c r="B93" s="129"/>
      <c r="C93" s="129"/>
      <c r="D93" s="129"/>
      <c r="E93" s="129"/>
      <c r="F93" s="87">
        <f>F81*0.8</f>
        <v>6000</v>
      </c>
      <c r="G93" s="87"/>
      <c r="H93" s="87"/>
    </row>
    <row r="94" spans="1:11" s="34" customFormat="1" ht="15.75" customHeight="1" x14ac:dyDescent="0.3">
      <c r="A94" s="128" t="s">
        <v>74</v>
      </c>
      <c r="B94" s="128"/>
      <c r="C94" s="128"/>
      <c r="D94" s="128"/>
      <c r="E94" s="128"/>
      <c r="F94" s="128"/>
      <c r="G94" s="128"/>
      <c r="H94" s="128"/>
    </row>
    <row r="95" spans="1:11" s="34" customFormat="1" ht="15.75" customHeight="1" x14ac:dyDescent="0.3">
      <c r="A95" s="90" t="s">
        <v>52</v>
      </c>
      <c r="B95" s="90"/>
      <c r="C95" s="88" t="s">
        <v>77</v>
      </c>
      <c r="D95" s="88"/>
      <c r="E95" s="119" t="s">
        <v>53</v>
      </c>
      <c r="F95" s="119"/>
      <c r="G95" s="90" t="s">
        <v>54</v>
      </c>
      <c r="H95" s="90"/>
    </row>
    <row r="96" spans="1:11" s="34" customFormat="1" x14ac:dyDescent="0.3">
      <c r="A96" s="131" t="s">
        <v>196</v>
      </c>
      <c r="B96" s="131"/>
      <c r="C96" s="92">
        <f>COUNT(D108:D111)</f>
        <v>4</v>
      </c>
      <c r="D96" s="92"/>
      <c r="E96" s="93">
        <f>SUM(D108:D111)</f>
        <v>1832.8831559999999</v>
      </c>
      <c r="F96" s="94"/>
      <c r="G96" s="93">
        <f>SUM(F108:F111)</f>
        <v>4262.1874425000005</v>
      </c>
      <c r="H96" s="94"/>
    </row>
    <row r="97" spans="1:14" s="34" customFormat="1" hidden="1" x14ac:dyDescent="0.3">
      <c r="A97" s="128" t="s">
        <v>152</v>
      </c>
      <c r="B97" s="128"/>
      <c r="C97" s="88">
        <f>C96</f>
        <v>4</v>
      </c>
      <c r="D97" s="88"/>
      <c r="E97" s="179">
        <f t="shared" ref="E97" si="0">E96</f>
        <v>1832.8831559999999</v>
      </c>
      <c r="F97" s="179"/>
      <c r="G97" s="179">
        <f t="shared" ref="G97" si="1">G96</f>
        <v>4262.1874425000005</v>
      </c>
      <c r="H97" s="179"/>
    </row>
    <row r="98" spans="1:14" s="34" customFormat="1" x14ac:dyDescent="0.3">
      <c r="A98" s="128" t="s">
        <v>68</v>
      </c>
      <c r="B98" s="128"/>
      <c r="C98" s="128"/>
      <c r="D98" s="128"/>
      <c r="E98" s="128"/>
      <c r="F98" s="128"/>
      <c r="G98" s="128"/>
      <c r="H98" s="128"/>
    </row>
    <row r="99" spans="1:14" s="34" customFormat="1" ht="15.75" customHeight="1" x14ac:dyDescent="0.3">
      <c r="A99" s="90" t="s">
        <v>52</v>
      </c>
      <c r="B99" s="90"/>
      <c r="C99" s="88" t="s">
        <v>77</v>
      </c>
      <c r="D99" s="88"/>
      <c r="E99" s="119" t="s">
        <v>53</v>
      </c>
      <c r="F99" s="119"/>
      <c r="G99" s="90" t="s">
        <v>54</v>
      </c>
      <c r="H99" s="90"/>
    </row>
    <row r="100" spans="1:14" s="34" customFormat="1" ht="16.2" thickBot="1" x14ac:dyDescent="0.35">
      <c r="A100" s="131" t="s">
        <v>197</v>
      </c>
      <c r="B100" s="131"/>
      <c r="C100" s="92">
        <f>COUNT(D116:D124)+COUNT(D126:D134)*9+COUNT(D137:D139,D141:D144)+COUNT(D147,D149,D151:D152,D154)</f>
        <v>102</v>
      </c>
      <c r="D100" s="92"/>
      <c r="E100" s="93">
        <f>SUM(D116:D124)+SUM(D126:D134)*9+SUM(D137:D139,D141:D144)+SUM(D147,D149,D151:D152,D154)</f>
        <v>40468.797252000004</v>
      </c>
      <c r="F100" s="93"/>
      <c r="G100" s="93">
        <f>SUM(F116:F124)+SUM(F126:F134)*9+SUM(F137:F139,F141:F144)+SUM(F147,F149,F151:F152,F154)</f>
        <v>60989.787378000001</v>
      </c>
      <c r="H100" s="93"/>
    </row>
    <row r="101" spans="1:14" s="34" customFormat="1" ht="16.2" hidden="1" thickBot="1" x14ac:dyDescent="0.35">
      <c r="A101" s="189" t="s">
        <v>152</v>
      </c>
      <c r="B101" s="189"/>
      <c r="C101" s="97">
        <f>C100</f>
        <v>102</v>
      </c>
      <c r="D101" s="97"/>
      <c r="E101" s="180">
        <f t="shared" ref="E101" si="2">E100</f>
        <v>40468.797252000004</v>
      </c>
      <c r="F101" s="180"/>
      <c r="G101" s="180">
        <f t="shared" ref="G101" si="3">G100</f>
        <v>60989.787378000001</v>
      </c>
      <c r="H101" s="180"/>
    </row>
    <row r="102" spans="1:14" s="34" customFormat="1" ht="16.2" thickBot="1" x14ac:dyDescent="0.35">
      <c r="A102" s="105" t="s">
        <v>168</v>
      </c>
      <c r="B102" s="106"/>
      <c r="C102" s="107">
        <f>C97+C101</f>
        <v>106</v>
      </c>
      <c r="D102" s="107"/>
      <c r="E102" s="108">
        <f>E97+E101</f>
        <v>42301.680408</v>
      </c>
      <c r="F102" s="108"/>
      <c r="G102" s="109">
        <f>G97+G101</f>
        <v>65251.9748205</v>
      </c>
      <c r="H102" s="110"/>
    </row>
    <row r="103" spans="1:14" s="33" customFormat="1" x14ac:dyDescent="0.3">
      <c r="A103" s="123" t="s">
        <v>55</v>
      </c>
      <c r="B103" s="123"/>
      <c r="C103" s="123"/>
      <c r="D103" s="123"/>
      <c r="E103" s="123"/>
      <c r="F103" s="123"/>
      <c r="G103" s="123"/>
      <c r="H103" s="123"/>
    </row>
    <row r="104" spans="1:14" x14ac:dyDescent="0.3">
      <c r="A104" s="89" t="s">
        <v>214</v>
      </c>
      <c r="B104" s="89"/>
      <c r="C104" s="89"/>
      <c r="D104" s="89"/>
      <c r="E104" s="89"/>
      <c r="F104" s="89"/>
      <c r="G104" s="89"/>
      <c r="H104" s="89"/>
    </row>
    <row r="105" spans="1:14" ht="47.25" customHeight="1" x14ac:dyDescent="0.3">
      <c r="A105" s="95" t="s">
        <v>120</v>
      </c>
      <c r="B105" s="95" t="s">
        <v>119</v>
      </c>
      <c r="C105" s="95" t="s">
        <v>56</v>
      </c>
      <c r="D105" s="95" t="s">
        <v>57</v>
      </c>
      <c r="E105" s="134" t="s">
        <v>157</v>
      </c>
      <c r="F105" s="52" t="s">
        <v>151</v>
      </c>
      <c r="G105" s="124" t="s">
        <v>59</v>
      </c>
      <c r="H105" s="177"/>
    </row>
    <row r="106" spans="1:14" s="36" customFormat="1" x14ac:dyDescent="0.3">
      <c r="A106" s="96"/>
      <c r="B106" s="96"/>
      <c r="C106" s="96"/>
      <c r="D106" s="96"/>
      <c r="E106" s="135"/>
      <c r="F106" s="53">
        <v>0.55000000000000004</v>
      </c>
      <c r="G106" s="125"/>
      <c r="H106" s="178"/>
    </row>
    <row r="107" spans="1:14" s="36" customFormat="1" x14ac:dyDescent="0.3">
      <c r="A107" s="77" t="s">
        <v>213</v>
      </c>
      <c r="B107" s="78"/>
      <c r="C107" s="78"/>
      <c r="D107" s="78"/>
      <c r="E107" s="78"/>
      <c r="F107" s="78"/>
      <c r="G107" s="78"/>
      <c r="H107" s="79"/>
      <c r="J107" s="35"/>
    </row>
    <row r="108" spans="1:14" s="36" customFormat="1" ht="15.75" customHeight="1" x14ac:dyDescent="0.3">
      <c r="A108" s="68">
        <v>1</v>
      </c>
      <c r="B108" s="69"/>
      <c r="C108" s="54" t="s">
        <v>187</v>
      </c>
      <c r="D108" s="54">
        <f>(10.83*3.65+0.92*2.35+0.9*1.2)*10.764</f>
        <v>460.39242599999994</v>
      </c>
      <c r="E108" s="54">
        <f>(5.835*3.65)*10.764</f>
        <v>229.24898099999999</v>
      </c>
      <c r="F108" s="54">
        <f>(D108+E108)*(($F$106)+1)</f>
        <v>1068.9441808500001</v>
      </c>
      <c r="G108" s="71" t="str">
        <f>A107</f>
        <v>Ground Floor For Commercial, Swimming pool, Meter Room &amp; Parking</v>
      </c>
      <c r="H108" s="72"/>
      <c r="I108" s="35"/>
      <c r="J108" s="58">
        <f>10.764</f>
        <v>10.763999999999999</v>
      </c>
      <c r="L108" s="83"/>
      <c r="M108" s="83"/>
      <c r="N108" s="35"/>
    </row>
    <row r="109" spans="1:14" s="36" customFormat="1" ht="15.75" customHeight="1" x14ac:dyDescent="0.3">
      <c r="A109" s="68">
        <f t="shared" ref="A109:A111" si="4">A108+1</f>
        <v>2</v>
      </c>
      <c r="B109" s="69"/>
      <c r="C109" s="54" t="s">
        <v>187</v>
      </c>
      <c r="D109" s="54">
        <f>(10.83*3.6+1*2.3+0.9*1.2)*10.764</f>
        <v>456.04915199999994</v>
      </c>
      <c r="E109" s="54">
        <f>(5.915*3.6)*10.764</f>
        <v>229.20861599999998</v>
      </c>
      <c r="F109" s="54">
        <f>(D109+E109)*(($F$106)+1)</f>
        <v>1062.1495404</v>
      </c>
      <c r="G109" s="73"/>
      <c r="H109" s="74"/>
      <c r="I109" s="35"/>
      <c r="L109" s="83"/>
      <c r="M109" s="83"/>
      <c r="N109" s="35"/>
    </row>
    <row r="110" spans="1:14" s="36" customFormat="1" ht="15.75" customHeight="1" x14ac:dyDescent="0.3">
      <c r="A110" s="68">
        <f t="shared" si="4"/>
        <v>3</v>
      </c>
      <c r="B110" s="69"/>
      <c r="C110" s="54" t="s">
        <v>187</v>
      </c>
      <c r="D110" s="54">
        <f>(10.83*3.6+1*2.3+0.9*1.2)*10.764</f>
        <v>456.04915199999994</v>
      </c>
      <c r="E110" s="54">
        <f>(5.915*3.6)*10.764</f>
        <v>229.20861599999998</v>
      </c>
      <c r="F110" s="54">
        <f t="shared" ref="F110:F111" si="5">(D110+E110)*(($F$106)+1)</f>
        <v>1062.1495404</v>
      </c>
      <c r="G110" s="73"/>
      <c r="H110" s="74"/>
      <c r="I110" s="35"/>
      <c r="L110" s="83"/>
      <c r="M110" s="83"/>
      <c r="N110" s="35"/>
    </row>
    <row r="111" spans="1:14" s="36" customFormat="1" ht="15.75" customHeight="1" x14ac:dyDescent="0.3">
      <c r="A111" s="68">
        <f t="shared" si="4"/>
        <v>4</v>
      </c>
      <c r="B111" s="69"/>
      <c r="C111" s="54" t="s">
        <v>187</v>
      </c>
      <c r="D111" s="54">
        <f>(10.83*3.65+0.92*2.35+0.9*1.2)*10.764</f>
        <v>460.39242599999994</v>
      </c>
      <c r="E111" s="54">
        <f>(5.835*3.65)*10.764</f>
        <v>229.24898099999999</v>
      </c>
      <c r="F111" s="54">
        <f t="shared" si="5"/>
        <v>1068.9441808500001</v>
      </c>
      <c r="G111" s="75"/>
      <c r="H111" s="76"/>
      <c r="I111" s="35"/>
      <c r="L111" s="83"/>
      <c r="M111" s="83"/>
      <c r="N111" s="35"/>
    </row>
    <row r="112" spans="1:14" s="36" customFormat="1" x14ac:dyDescent="0.3">
      <c r="A112" s="68"/>
      <c r="B112" s="70"/>
      <c r="C112" s="70"/>
      <c r="D112" s="70"/>
      <c r="E112" s="70"/>
      <c r="F112" s="70"/>
      <c r="G112" s="70"/>
      <c r="H112" s="69"/>
      <c r="I112" s="35"/>
      <c r="N112" s="35"/>
    </row>
    <row r="113" spans="1:14" ht="47.25" customHeight="1" x14ac:dyDescent="0.3">
      <c r="A113" s="124" t="s">
        <v>121</v>
      </c>
      <c r="B113" s="124" t="s">
        <v>122</v>
      </c>
      <c r="C113" s="95" t="s">
        <v>56</v>
      </c>
      <c r="D113" s="95" t="s">
        <v>57</v>
      </c>
      <c r="E113" s="134" t="s">
        <v>58</v>
      </c>
      <c r="F113" s="52" t="s">
        <v>151</v>
      </c>
      <c r="G113" s="124" t="s">
        <v>59</v>
      </c>
      <c r="H113" s="177"/>
      <c r="I113" s="35"/>
    </row>
    <row r="114" spans="1:14" s="36" customFormat="1" x14ac:dyDescent="0.3">
      <c r="A114" s="125"/>
      <c r="B114" s="125"/>
      <c r="C114" s="96"/>
      <c r="D114" s="96"/>
      <c r="E114" s="135"/>
      <c r="F114" s="53">
        <v>0.5</v>
      </c>
      <c r="G114" s="125"/>
      <c r="H114" s="178"/>
      <c r="I114" s="35"/>
    </row>
    <row r="115" spans="1:14" s="36" customFormat="1" x14ac:dyDescent="0.3">
      <c r="A115" s="77" t="s">
        <v>210</v>
      </c>
      <c r="B115" s="78"/>
      <c r="C115" s="78"/>
      <c r="D115" s="78"/>
      <c r="E115" s="78"/>
      <c r="F115" s="78"/>
      <c r="G115" s="78"/>
      <c r="H115" s="79"/>
      <c r="J115" s="35"/>
    </row>
    <row r="116" spans="1:14" s="36" customFormat="1" ht="15.75" customHeight="1" x14ac:dyDescent="0.3">
      <c r="A116" s="68">
        <v>101</v>
      </c>
      <c r="B116" s="69"/>
      <c r="C116" s="54" t="s">
        <v>188</v>
      </c>
      <c r="D116" s="54">
        <f>(4.2*2.75+2.1*1.85+2.75*2+0.9*1.17+1.1*1.65+1.65*1.17+2.05*1+3.05*1)*10.764</f>
        <v>331.891794</v>
      </c>
      <c r="E116" s="54">
        <v>0</v>
      </c>
      <c r="F116" s="54">
        <f t="shared" ref="F116:F124" si="6">D116*(($F$114)+1)+(IF(E116&lt;101,E116,IF(E116&lt;201,E116/2,IF(E116&lt;=301,E116/3,E116/4))))</f>
        <v>497.83769100000001</v>
      </c>
      <c r="G116" s="71" t="str">
        <f>A115</f>
        <v>1st Floor For Residential</v>
      </c>
      <c r="H116" s="72"/>
      <c r="I116" s="35"/>
      <c r="J116" s="57">
        <f>(4.2*2.75+2.1*1.85+2.75*2+0.9*1.17+1.1*1.65+1.65*1.17+2.05*1+3.05*1)</f>
        <v>30.833500000000004</v>
      </c>
      <c r="K116" s="36">
        <f>7500*F116</f>
        <v>3733782.6825000001</v>
      </c>
      <c r="L116" s="83"/>
      <c r="M116" s="83"/>
      <c r="N116" s="35"/>
    </row>
    <row r="117" spans="1:14" s="36" customFormat="1" ht="15.75" customHeight="1" x14ac:dyDescent="0.3">
      <c r="A117" s="68">
        <f>A116+1</f>
        <v>102</v>
      </c>
      <c r="B117" s="69"/>
      <c r="C117" s="54" t="s">
        <v>188</v>
      </c>
      <c r="D117" s="54">
        <f>(4.4*2.75+2.1*1.7+2.8*2.15+0.9*1+1.85*1.2+1.7*1+2.4*1+3.03*1)*10.764</f>
        <v>343.80215999999996</v>
      </c>
      <c r="E117" s="54">
        <v>0</v>
      </c>
      <c r="F117" s="54">
        <f t="shared" si="6"/>
        <v>515.70323999999994</v>
      </c>
      <c r="G117" s="73"/>
      <c r="H117" s="74"/>
      <c r="I117" s="35"/>
      <c r="J117" s="57">
        <f>(4.4*2.75+2.1*1.7+2.8*2.15+0.9*1+1.85*1.2+1.7*1+2.4*1+3.03*1)</f>
        <v>31.939999999999998</v>
      </c>
      <c r="K117" s="36">
        <f t="shared" ref="K117:K135" si="7">7500*F117</f>
        <v>3867774.2999999993</v>
      </c>
      <c r="L117" s="83"/>
      <c r="M117" s="83"/>
      <c r="N117" s="35"/>
    </row>
    <row r="118" spans="1:14" s="36" customFormat="1" ht="15.75" customHeight="1" x14ac:dyDescent="0.3">
      <c r="A118" s="68">
        <f t="shared" ref="A118:A123" si="8">A117+1</f>
        <v>103</v>
      </c>
      <c r="B118" s="69"/>
      <c r="C118" s="54" t="s">
        <v>188</v>
      </c>
      <c r="D118" s="54">
        <f>(4.65*2.75+2.1*1.75+3.25*2.2+1.2*0.9+1.2*2.2+2.28*1+3.43*1)*10.764</f>
        <v>355.66947000000005</v>
      </c>
      <c r="E118" s="54">
        <v>0</v>
      </c>
      <c r="F118" s="54">
        <f t="shared" si="6"/>
        <v>533.50420500000007</v>
      </c>
      <c r="G118" s="73"/>
      <c r="H118" s="74"/>
      <c r="I118" s="35"/>
      <c r="J118" s="57">
        <f>(4.65*2.75+2.1*1.75+3.25*2.2+1.3*0.9+1.2*2.2+2.28*1+3.43*1)</f>
        <v>33.132500000000007</v>
      </c>
      <c r="K118" s="36">
        <f t="shared" si="7"/>
        <v>4001281.5375000006</v>
      </c>
      <c r="L118" s="83"/>
      <c r="M118" s="83"/>
      <c r="N118" s="35"/>
    </row>
    <row r="119" spans="1:14" s="36" customFormat="1" ht="15.75" customHeight="1" x14ac:dyDescent="0.3">
      <c r="A119" s="68">
        <f t="shared" si="8"/>
        <v>104</v>
      </c>
      <c r="B119" s="69"/>
      <c r="C119" s="54" t="s">
        <v>188</v>
      </c>
      <c r="D119" s="54">
        <f>(2.8*3.95+2.1*1.65+2.65*2.75+2.1*0.9+1.2*1.77+1.25*1+2.7*1+2.4*1+2.865*1)*10.764</f>
        <v>377.18670599999996</v>
      </c>
      <c r="E119" s="54">
        <v>0</v>
      </c>
      <c r="F119" s="54">
        <f t="shared" si="6"/>
        <v>565.78005899999994</v>
      </c>
      <c r="G119" s="73"/>
      <c r="H119" s="74"/>
      <c r="I119" s="35"/>
      <c r="J119" s="57">
        <f>(2.8*3.95+2.1*1.65+2.65*2.75+2.1*0.9+1.2*1.77+1.25*1+2.7*1+2.4*1+2.865*1)</f>
        <v>35.041499999999999</v>
      </c>
      <c r="K119" s="36">
        <f t="shared" si="7"/>
        <v>4243350.4424999999</v>
      </c>
      <c r="L119" s="83"/>
      <c r="M119" s="83"/>
      <c r="N119" s="35"/>
    </row>
    <row r="120" spans="1:14" s="36" customFormat="1" x14ac:dyDescent="0.3">
      <c r="A120" s="68">
        <f t="shared" si="8"/>
        <v>105</v>
      </c>
      <c r="B120" s="69"/>
      <c r="C120" s="54" t="s">
        <v>188</v>
      </c>
      <c r="D120" s="54">
        <f>(2.8*3.95+2.1*1.65+2.65*2.75+2.1*0.9+1.2*1.77+1.25*1+2.4*1+2.865*1)*10.764</f>
        <v>348.12390599999992</v>
      </c>
      <c r="E120" s="58">
        <f>(2.8*2.6)*(10.764)</f>
        <v>78.361919999999984</v>
      </c>
      <c r="F120" s="54">
        <f t="shared" si="6"/>
        <v>600.54777899999988</v>
      </c>
      <c r="G120" s="73"/>
      <c r="H120" s="74"/>
      <c r="I120" s="35"/>
      <c r="J120" s="57">
        <f>(2.8*3.95+2.1*1.65+2.65*2.75+2.1*0.9+1.2*1.77+1.2*1+2.4*1+2.865*1)</f>
        <v>32.291499999999999</v>
      </c>
      <c r="K120" s="36">
        <f t="shared" si="7"/>
        <v>4504108.3424999993</v>
      </c>
      <c r="L120" s="83"/>
      <c r="M120" s="83"/>
      <c r="N120" s="35"/>
    </row>
    <row r="121" spans="1:14" s="36" customFormat="1" x14ac:dyDescent="0.3">
      <c r="A121" s="68">
        <f t="shared" si="8"/>
        <v>106</v>
      </c>
      <c r="B121" s="69"/>
      <c r="C121" s="54" t="s">
        <v>189</v>
      </c>
      <c r="D121" s="54">
        <f>(4.55*2.75+2.1*2.62+4.05*2.75+2.75*3.3+1.2*1.4+1.2*2.15+2.1*1.15)*10.764</f>
        <v>483.32512799999989</v>
      </c>
      <c r="E121" s="58">
        <f>(2.3*3.8+0.95*3.5)*(10.764)</f>
        <v>129.86765999999997</v>
      </c>
      <c r="F121" s="54">
        <f t="shared" si="6"/>
        <v>789.92152199999975</v>
      </c>
      <c r="G121" s="73"/>
      <c r="H121" s="74"/>
      <c r="I121" s="35"/>
      <c r="J121" s="57">
        <f>(4.55*2.75+2.1*2.62+4.05*2.75+2.75*3.3+1.2*1.4+1.2*2.15+2.1*1.15)</f>
        <v>44.901999999999994</v>
      </c>
      <c r="K121" s="36">
        <f t="shared" si="7"/>
        <v>5924411.4149999982</v>
      </c>
      <c r="L121" s="83"/>
      <c r="M121" s="83"/>
      <c r="N121" s="35"/>
    </row>
    <row r="122" spans="1:14" s="36" customFormat="1" x14ac:dyDescent="0.3">
      <c r="A122" s="68">
        <f t="shared" si="8"/>
        <v>107</v>
      </c>
      <c r="B122" s="69"/>
      <c r="C122" s="54" t="s">
        <v>189</v>
      </c>
      <c r="D122" s="54">
        <f>(4.55*2.75+2.1*2.62+4.05*2.75+2.75*3.3+1.2*1.4+1.2*2.15+2.1*1.15)*10.764</f>
        <v>483.32512799999989</v>
      </c>
      <c r="E122" s="58">
        <f>(2.3*3.8+0.95*3.5)*(10.764)</f>
        <v>129.86765999999997</v>
      </c>
      <c r="F122" s="54">
        <f>D122*(($F$114)+1)+(IF(E122&lt;101,E122,IF(E122&lt;201,E122/2,IF(E122&lt;=301,E122/3,E122/4))))</f>
        <v>789.92152199999975</v>
      </c>
      <c r="G122" s="73"/>
      <c r="H122" s="74"/>
      <c r="I122" s="35"/>
      <c r="J122" s="57">
        <f>(4.55*2.75+2.1*2.62+4.05*2.75+2.75*3.3+1.2*1.4+1.2*2.15+2.1*1.15)</f>
        <v>44.901999999999994</v>
      </c>
      <c r="K122" s="36">
        <f t="shared" si="7"/>
        <v>5924411.4149999982</v>
      </c>
      <c r="L122" s="83"/>
      <c r="M122" s="83"/>
      <c r="N122" s="35"/>
    </row>
    <row r="123" spans="1:14" s="36" customFormat="1" x14ac:dyDescent="0.3">
      <c r="A123" s="68">
        <f t="shared" si="8"/>
        <v>108</v>
      </c>
      <c r="B123" s="69"/>
      <c r="C123" s="54" t="s">
        <v>188</v>
      </c>
      <c r="D123" s="54">
        <f>(2.8*3.95+2.1*1.65+2.65*2.75+2.1*0.9+1.2*1.77+1.25*1+2.4*1+2.865*1)*10.764</f>
        <v>348.12390599999992</v>
      </c>
      <c r="E123" s="58">
        <f>(2.8*2.6)*(10.764)</f>
        <v>78.361919999999984</v>
      </c>
      <c r="F123" s="54">
        <f t="shared" si="6"/>
        <v>600.54777899999988</v>
      </c>
      <c r="G123" s="73"/>
      <c r="H123" s="74"/>
      <c r="I123" s="35"/>
      <c r="J123" s="57">
        <f>(2.8*3.95+2.1*1.65+2.65*2.75+2.1*0.9+1.2*1.77+1.2*1+2.4*1+2.865*1)</f>
        <v>32.291499999999999</v>
      </c>
      <c r="K123" s="36">
        <f t="shared" si="7"/>
        <v>4504108.3424999993</v>
      </c>
      <c r="L123" s="83"/>
      <c r="M123" s="83"/>
      <c r="N123" s="35"/>
    </row>
    <row r="124" spans="1:14" s="36" customFormat="1" x14ac:dyDescent="0.3">
      <c r="A124" s="68">
        <f t="shared" ref="A124" si="9">A123+1</f>
        <v>109</v>
      </c>
      <c r="B124" s="69"/>
      <c r="C124" s="54" t="s">
        <v>188</v>
      </c>
      <c r="D124" s="54">
        <f>(2.8*3.95+2.1*1.65+2.65*2.75+2.1*0.9+1.2*1.77+1.25*1+2.73*1+2.4*1+2.865*1)*10.764</f>
        <v>377.50962599999997</v>
      </c>
      <c r="E124" s="54">
        <v>0</v>
      </c>
      <c r="F124" s="54">
        <f t="shared" si="6"/>
        <v>566.26443899999992</v>
      </c>
      <c r="G124" s="75"/>
      <c r="H124" s="76"/>
      <c r="I124" s="35"/>
      <c r="J124" s="57">
        <f>(2.8*3.95+2.1*1.65+2.65*2.75+2.1*0.9+1.2*1.77+1.2*1+2.7*1+2.4*1+2.865*1)</f>
        <v>34.991500000000002</v>
      </c>
      <c r="K124" s="36">
        <f t="shared" si="7"/>
        <v>4246983.2924999995</v>
      </c>
      <c r="L124" s="83"/>
      <c r="M124" s="83"/>
      <c r="N124" s="35"/>
    </row>
    <row r="125" spans="1:14" s="36" customFormat="1" x14ac:dyDescent="0.3">
      <c r="A125" s="130" t="s">
        <v>190</v>
      </c>
      <c r="B125" s="130"/>
      <c r="C125" s="130"/>
      <c r="D125" s="130"/>
      <c r="E125" s="130"/>
      <c r="F125" s="130"/>
      <c r="G125" s="130"/>
      <c r="H125" s="130"/>
      <c r="I125" s="35"/>
      <c r="K125" s="36">
        <f t="shared" si="7"/>
        <v>0</v>
      </c>
      <c r="L125" s="83"/>
      <c r="M125" s="83"/>
    </row>
    <row r="126" spans="1:14" s="36" customFormat="1" ht="15.75" customHeight="1" x14ac:dyDescent="0.3">
      <c r="A126" s="68" t="str">
        <f ca="1">(SUMPRODUCT(MID(0&amp;(LEFT(A125,SUM(LEN(A125)-LEN(SUBSTITUTE(A125,{"0","1","2"},""))))), LARGE(INDEX(ISNUMBER(--MID((LEFT(A125,SUM(LEN(A125)-LEN(SUBSTITUTE(A125,{"0","1","2"},""))))), ROW(INDIRECT("1:"&amp;LEN((LEFT(A125,SUM(LEN(A125)-LEN(SUBSTITUTE(A125,{"0","1","2"},"")))))))), 1)) * ROW(INDIRECT("1:"&amp;LEN((LEFT(A125,SUM(LEN(A125)-LEN(SUBSTITUTE(A125,{"0","1","2"},"")))))))), 0), ROW(INDIRECT("1:"&amp;LEN((LEFT(A125,SUM(LEN(A125)-LEN(SUBSTITUTE(A125,{"0","1","2"},"")))))))))+1, 1) * 10^ROW(INDIRECT("1:"&amp;LEN((LEFT(A125,SUM(LEN(A125)-LEN(SUBSTITUTE(A125,{"0","1","2"},""))))))))/10))*100+1&amp;""&amp;" ,.., "&amp;""&amp;(SUMPRODUCT(MID(0&amp;(--TRIM(RIGHT(SUBSTITUTE(LEFT(A125,_xlfn.AGGREGATE(16,6,FIND({0,1,2,3,4,5,6,7,8,9},A125,ROW(INDIRECT("1:"&amp;LEN(A125)))),1))," ",REPT(" ",LEN(A125))),LEN(A125)))), LARGE(INDEX(ISNUMBER(--MID((--TRIM(RIGHT(SUBSTITUTE(LEFT(A125,_xlfn.AGGREGATE(16,6,FIND({0,1,2,3,4,5,6,7,8,9},A125,ROW(INDIRECT("1:"&amp;LEN(A125)))),1))," ",REPT(" ",LEN(A125))),LEN(A125)))), ROW(INDIRECT("1:"&amp;LEN((--TRIM(RIGHT(SUBSTITUTE(LEFT(A125,_xlfn.AGGREGATE(16,6,FIND({0,1,2,3,4,5,6,7,8,9},A125,ROW(INDIRECT("1:"&amp;LEN(A125)))),1))," ",REPT(" ",LEN(A125))),LEN(A125))))))), 1)) * ROW(INDIRECT("1:"&amp;LEN((--TRIM(RIGHT(SUBSTITUTE(LEFT(A125,_xlfn.AGGREGATE(16,6,FIND({0,1,2,3,4,5,6,7,8,9},A125,ROW(INDIRECT("1:"&amp;LEN(A125)))),1))," ",REPT(" ",LEN(A125))),LEN(A125))))))), 0), ROW(INDIRECT("1:"&amp;LEN((--TRIM(RIGHT(SUBSTITUTE(LEFT(A125,_xlfn.AGGREGATE(16,6,FIND({0,1,2,3,4,5,6,7,8,9},A125,ROW(INDIRECT("1:"&amp;LEN(A125)))),1))," ",REPT(" ",LEN(A125))),LEN(A125))))))))+1, 1) * 10^ROW(INDIRECT("1:"&amp;LEN((--TRIM(RIGHT(SUBSTITUTE(LEFT(A125,_xlfn.AGGREGATE(16,6,FIND({0,1,2,3,4,5,6,7,8,9},A125,ROW(INDIRECT("1:"&amp;LEN(A125)))),1))," ",REPT(" ",LEN(A125))),LEN(A125)))))))/10))*100+1</f>
        <v>201 ,.., 1101</v>
      </c>
      <c r="B126" s="69"/>
      <c r="C126" s="54" t="s">
        <v>188</v>
      </c>
      <c r="D126" s="54">
        <f>(4.2*2.75+2.1*1.85+2.75*2+0.9*1.17+1.1*1.65+1.65*1.17+2.05*1+3.05*1)*10.764</f>
        <v>331.891794</v>
      </c>
      <c r="E126" s="54">
        <v>0</v>
      </c>
      <c r="F126" s="54">
        <f t="shared" ref="F126:F127" si="10">D126*(($F$114)+1)+(IF(E126&lt;101,E126,IF(E126&lt;201,E126/2,IF(E126&lt;=301,E126/3,E126/4))))</f>
        <v>497.83769100000001</v>
      </c>
      <c r="G126" s="71" t="str">
        <f>A125</f>
        <v>2nd to 7th, 9th to 11th Floor</v>
      </c>
      <c r="H126" s="72"/>
      <c r="I126" s="35"/>
      <c r="K126" s="36">
        <f t="shared" si="7"/>
        <v>3733782.6825000001</v>
      </c>
      <c r="N126" s="35"/>
    </row>
    <row r="127" spans="1:14" s="36" customFormat="1" ht="15.75" customHeight="1" x14ac:dyDescent="0.3">
      <c r="A127" s="68" t="str">
        <f ca="1">(SUMPRODUCT(MID(0&amp;(LEFT(A126,SUM(LEN(A126)-LEN(SUBSTITUTE(A126,{"0","1","2"},""))))), LARGE(INDEX(ISNUMBER(--MID((LEFT(A126,SUM(LEN(A126)-LEN(SUBSTITUTE(A126,{"0","1","2"},""))))), ROW(INDIRECT("1:"&amp;LEN((LEFT(A126,SUM(LEN(A126)-LEN(SUBSTITUTE(A126,{"0","1","2"},"")))))))), 1)) * ROW(INDIRECT("1:"&amp;LEN((LEFT(A126,SUM(LEN(A126)-LEN(SUBSTITUTE(A126,{"0","1","2"},"")))))))), 0), ROW(INDIRECT("1:"&amp;LEN((LEFT(A126,SUM(LEN(A126)-LEN(SUBSTITUTE(A126,{"0","1","2"},"")))))))))+1, 1) * 10^ROW(INDIRECT("1:"&amp;LEN((LEFT(A126,SUM(LEN(A126)-LEN(SUBSTITUTE(A126,{"0","1","2"},""))))))))/10))*1+1&amp;""&amp;" ,.., "&amp;""&amp;(SUMPRODUCT(MID(0&amp;(--TRIM(RIGHT(SUBSTITUTE(LEFT(A126,_xlfn.AGGREGATE(16,6,FIND({0,1,2,3,4,5,6,7,8,9},A126,ROW(INDIRECT("1:"&amp;LEN(A126)))),1))," ",REPT(" ",LEN(A126))),LEN(A126)))), LARGE(INDEX(ISNUMBER(--MID((--TRIM(RIGHT(SUBSTITUTE(LEFT(A126,_xlfn.AGGREGATE(16,6,FIND({0,1,2,3,4,5,6,7,8,9},A126,ROW(INDIRECT("1:"&amp;LEN(A126)))),1))," ",REPT(" ",LEN(A126))),LEN(A126)))), ROW(INDIRECT("1:"&amp;LEN((--TRIM(RIGHT(SUBSTITUTE(LEFT(A126,_xlfn.AGGREGATE(16,6,FIND({0,1,2,3,4,5,6,7,8,9},A126,ROW(INDIRECT("1:"&amp;LEN(A126)))),1))," ",REPT(" ",LEN(A126))),LEN(A126))))))), 1)) * ROW(INDIRECT("1:"&amp;LEN((--TRIM(RIGHT(SUBSTITUTE(LEFT(A126,_xlfn.AGGREGATE(16,6,FIND({0,1,2,3,4,5,6,7,8,9},A126,ROW(INDIRECT("1:"&amp;LEN(A126)))),1))," ",REPT(" ",LEN(A126))),LEN(A126))))))), 0), ROW(INDIRECT("1:"&amp;LEN((--TRIM(RIGHT(SUBSTITUTE(LEFT(A126,_xlfn.AGGREGATE(16,6,FIND({0,1,2,3,4,5,6,7,8,9},A126,ROW(INDIRECT("1:"&amp;LEN(A126)))),1))," ",REPT(" ",LEN(A126))),LEN(A126))))))))+1, 1) * 10^ROW(INDIRECT("1:"&amp;LEN((--TRIM(RIGHT(SUBSTITUTE(LEFT(A126,_xlfn.AGGREGATE(16,6,FIND({0,1,2,3,4,5,6,7,8,9},A126,ROW(INDIRECT("1:"&amp;LEN(A126)))),1))," ",REPT(" ",LEN(A126))),LEN(A126)))))))/10))*1+1</f>
        <v>202 ,.., 1102</v>
      </c>
      <c r="B127" s="69"/>
      <c r="C127" s="54" t="s">
        <v>188</v>
      </c>
      <c r="D127" s="54">
        <f>(4.4*2.75+2.1*1.7+2.8*2.15+0.9*1+1.85*1.2+1.7*1+2.4*1+3.03*1)*10.764</f>
        <v>343.80215999999996</v>
      </c>
      <c r="E127" s="54">
        <v>0</v>
      </c>
      <c r="F127" s="54">
        <f t="shared" si="10"/>
        <v>515.70323999999994</v>
      </c>
      <c r="G127" s="73"/>
      <c r="H127" s="74"/>
      <c r="I127" s="35"/>
      <c r="K127" s="36">
        <f t="shared" si="7"/>
        <v>3867774.2999999993</v>
      </c>
      <c r="N127" s="35"/>
    </row>
    <row r="128" spans="1:14" s="36" customFormat="1" ht="15.75" customHeight="1" x14ac:dyDescent="0.3">
      <c r="A128" s="68" t="str">
        <f ca="1">(SUMPRODUCT(MID(0&amp;(LEFT(A127,SUM(LEN(A127)-LEN(SUBSTITUTE(A127,{"0","1","2"},""))))), LARGE(INDEX(ISNUMBER(--MID((LEFT(A127,SUM(LEN(A127)-LEN(SUBSTITUTE(A127,{"0","1","2"},""))))), ROW(INDIRECT("1:"&amp;LEN((LEFT(A127,SUM(LEN(A127)-LEN(SUBSTITUTE(A127,{"0","1","2"},"")))))))), 1)) * ROW(INDIRECT("1:"&amp;LEN((LEFT(A127,SUM(LEN(A127)-LEN(SUBSTITUTE(A127,{"0","1","2"},"")))))))), 0), ROW(INDIRECT("1:"&amp;LEN((LEFT(A127,SUM(LEN(A127)-LEN(SUBSTITUTE(A127,{"0","1","2"},"")))))))))+1, 1) * 10^ROW(INDIRECT("1:"&amp;LEN((LEFT(A127,SUM(LEN(A127)-LEN(SUBSTITUTE(A127,{"0","1","2"},""))))))))/10))*1+1&amp;""&amp;" ,.., "&amp;""&amp;(SUMPRODUCT(MID(0&amp;(--TRIM(RIGHT(SUBSTITUTE(LEFT(A127,_xlfn.AGGREGATE(16,6,FIND({0,1,2,3,4,5,6,7,8,9},A127,ROW(INDIRECT("1:"&amp;LEN(A127)))),1))," ",REPT(" ",LEN(A127))),LEN(A127)))), LARGE(INDEX(ISNUMBER(--MID((--TRIM(RIGHT(SUBSTITUTE(LEFT(A127,_xlfn.AGGREGATE(16,6,FIND({0,1,2,3,4,5,6,7,8,9},A127,ROW(INDIRECT("1:"&amp;LEN(A127)))),1))," ",REPT(" ",LEN(A127))),LEN(A127)))), ROW(INDIRECT("1:"&amp;LEN((--TRIM(RIGHT(SUBSTITUTE(LEFT(A127,_xlfn.AGGREGATE(16,6,FIND({0,1,2,3,4,5,6,7,8,9},A127,ROW(INDIRECT("1:"&amp;LEN(A127)))),1))," ",REPT(" ",LEN(A127))),LEN(A127))))))), 1)) * ROW(INDIRECT("1:"&amp;LEN((--TRIM(RIGHT(SUBSTITUTE(LEFT(A127,_xlfn.AGGREGATE(16,6,FIND({0,1,2,3,4,5,6,7,8,9},A127,ROW(INDIRECT("1:"&amp;LEN(A127)))),1))," ",REPT(" ",LEN(A127))),LEN(A127))))))), 0), ROW(INDIRECT("1:"&amp;LEN((--TRIM(RIGHT(SUBSTITUTE(LEFT(A127,_xlfn.AGGREGATE(16,6,FIND({0,1,2,3,4,5,6,7,8,9},A127,ROW(INDIRECT("1:"&amp;LEN(A127)))),1))," ",REPT(" ",LEN(A127))),LEN(A127))))))))+1, 1) * 10^ROW(INDIRECT("1:"&amp;LEN((--TRIM(RIGHT(SUBSTITUTE(LEFT(A127,_xlfn.AGGREGATE(16,6,FIND({0,1,2,3,4,5,6,7,8,9},A127,ROW(INDIRECT("1:"&amp;LEN(A127)))),1))," ",REPT(" ",LEN(A127))),LEN(A127)))))))/10))*1+1</f>
        <v>203 ,.., 1103</v>
      </c>
      <c r="B128" s="69"/>
      <c r="C128" s="54" t="s">
        <v>188</v>
      </c>
      <c r="D128" s="54">
        <f>(4.65*2.75+2.1*1.75+3.25*2.2+1.2*0.9+1.2*2.2+2.28*1+3.43*1)*10.764</f>
        <v>355.66947000000005</v>
      </c>
      <c r="E128" s="54">
        <v>0</v>
      </c>
      <c r="F128" s="54">
        <f>D128*(($F$114)+1)+(IF(E128&lt;101,E128,IF(E128&lt;201,E128/2,IF(E128&lt;=301,E128/3,E128/4))))</f>
        <v>533.50420500000007</v>
      </c>
      <c r="G128" s="73"/>
      <c r="H128" s="74"/>
      <c r="I128" s="35"/>
      <c r="J128" s="36">
        <f>5000000/F127</f>
        <v>9695.4985196525049</v>
      </c>
      <c r="K128" s="36">
        <f t="shared" si="7"/>
        <v>4001281.5375000006</v>
      </c>
      <c r="N128" s="35"/>
    </row>
    <row r="129" spans="1:14" s="36" customFormat="1" ht="15.75" customHeight="1" x14ac:dyDescent="0.3">
      <c r="A129" s="68" t="str">
        <f ca="1">(SUMPRODUCT(MID(0&amp;(LEFT(A128,SUM(LEN(A128)-LEN(SUBSTITUTE(A128,{"0","1","2"},""))))), LARGE(INDEX(ISNUMBER(--MID((LEFT(A128,SUM(LEN(A128)-LEN(SUBSTITUTE(A128,{"0","1","2"},""))))), ROW(INDIRECT("1:"&amp;LEN((LEFT(A128,SUM(LEN(A128)-LEN(SUBSTITUTE(A128,{"0","1","2"},"")))))))), 1)) * ROW(INDIRECT("1:"&amp;LEN((LEFT(A128,SUM(LEN(A128)-LEN(SUBSTITUTE(A128,{"0","1","2"},"")))))))), 0), ROW(INDIRECT("1:"&amp;LEN((LEFT(A128,SUM(LEN(A128)-LEN(SUBSTITUTE(A128,{"0","1","2"},"")))))))))+1, 1) * 10^ROW(INDIRECT("1:"&amp;LEN((LEFT(A128,SUM(LEN(A128)-LEN(SUBSTITUTE(A128,{"0","1","2"},""))))))))/10))*1+1&amp;""&amp;" ,.., "&amp;""&amp;(SUMPRODUCT(MID(0&amp;(--TRIM(RIGHT(SUBSTITUTE(LEFT(A128,_xlfn.AGGREGATE(16,6,FIND({0,1,2,3,4,5,6,7,8,9},A128,ROW(INDIRECT("1:"&amp;LEN(A128)))),1))," ",REPT(" ",LEN(A128))),LEN(A128)))), LARGE(INDEX(ISNUMBER(--MID((--TRIM(RIGHT(SUBSTITUTE(LEFT(A128,_xlfn.AGGREGATE(16,6,FIND({0,1,2,3,4,5,6,7,8,9},A128,ROW(INDIRECT("1:"&amp;LEN(A128)))),1))," ",REPT(" ",LEN(A128))),LEN(A128)))), ROW(INDIRECT("1:"&amp;LEN((--TRIM(RIGHT(SUBSTITUTE(LEFT(A128,_xlfn.AGGREGATE(16,6,FIND({0,1,2,3,4,5,6,7,8,9},A128,ROW(INDIRECT("1:"&amp;LEN(A128)))),1))," ",REPT(" ",LEN(A128))),LEN(A128))))))), 1)) * ROW(INDIRECT("1:"&amp;LEN((--TRIM(RIGHT(SUBSTITUTE(LEFT(A128,_xlfn.AGGREGATE(16,6,FIND({0,1,2,3,4,5,6,7,8,9},A128,ROW(INDIRECT("1:"&amp;LEN(A128)))),1))," ",REPT(" ",LEN(A128))),LEN(A128))))))), 0), ROW(INDIRECT("1:"&amp;LEN((--TRIM(RIGHT(SUBSTITUTE(LEFT(A128,_xlfn.AGGREGATE(16,6,FIND({0,1,2,3,4,5,6,7,8,9},A128,ROW(INDIRECT("1:"&amp;LEN(A128)))),1))," ",REPT(" ",LEN(A128))),LEN(A128))))))))+1, 1) * 10^ROW(INDIRECT("1:"&amp;LEN((--TRIM(RIGHT(SUBSTITUTE(LEFT(A128,_xlfn.AGGREGATE(16,6,FIND({0,1,2,3,4,5,6,7,8,9},A128,ROW(INDIRECT("1:"&amp;LEN(A128)))),1))," ",REPT(" ",LEN(A128))),LEN(A128)))))))/10))*1+1</f>
        <v>204 ,.., 1104</v>
      </c>
      <c r="B129" s="69"/>
      <c r="C129" s="54" t="s">
        <v>188</v>
      </c>
      <c r="D129" s="54">
        <f>(2.8*3.95+2.1*1.65+2.65*2.75+2.1*0.9+1.2*1.77+1.25*1+2.7*1+2.4*1+2.865*1)*10.764</f>
        <v>377.18670599999996</v>
      </c>
      <c r="E129" s="54">
        <v>0</v>
      </c>
      <c r="F129" s="54">
        <f>D129*(($F$114)+1)+(IF(E129&lt;101,E129,IF(E129&lt;201,E129/2,IF(E129&lt;=301,E129/3,E129/4))))</f>
        <v>565.78005899999994</v>
      </c>
      <c r="G129" s="73"/>
      <c r="H129" s="74"/>
      <c r="I129" s="35"/>
      <c r="K129" s="36">
        <f t="shared" si="7"/>
        <v>4243350.4424999999</v>
      </c>
      <c r="N129" s="35"/>
    </row>
    <row r="130" spans="1:14" s="36" customFormat="1" ht="15.75" customHeight="1" x14ac:dyDescent="0.3">
      <c r="A130" s="68" t="str">
        <f ca="1">(SUMPRODUCT(MID(0&amp;(LEFT(A129,SUM(LEN(A129)-LEN(SUBSTITUTE(A129,{"0","1","2"},""))))), LARGE(INDEX(ISNUMBER(--MID((LEFT(A129,SUM(LEN(A129)-LEN(SUBSTITUTE(A129,{"0","1","2"},""))))), ROW(INDIRECT("1:"&amp;LEN((LEFT(A129,SUM(LEN(A129)-LEN(SUBSTITUTE(A129,{"0","1","2"},"")))))))), 1)) * ROW(INDIRECT("1:"&amp;LEN((LEFT(A129,SUM(LEN(A129)-LEN(SUBSTITUTE(A129,{"0","1","2"},"")))))))), 0), ROW(INDIRECT("1:"&amp;LEN((LEFT(A129,SUM(LEN(A129)-LEN(SUBSTITUTE(A129,{"0","1","2"},"")))))))))+1, 1) * 10^ROW(INDIRECT("1:"&amp;LEN((LEFT(A129,SUM(LEN(A129)-LEN(SUBSTITUTE(A129,{"0","1","2"},""))))))))/10))*1+1&amp;""&amp;" ,.., "&amp;""&amp;(SUMPRODUCT(MID(0&amp;(--TRIM(RIGHT(SUBSTITUTE(LEFT(A129,_xlfn.AGGREGATE(16,6,FIND({0,1,2,3,4,5,6,7,8,9},A129,ROW(INDIRECT("1:"&amp;LEN(A129)))),1))," ",REPT(" ",LEN(A129))),LEN(A129)))), LARGE(INDEX(ISNUMBER(--MID((--TRIM(RIGHT(SUBSTITUTE(LEFT(A129,_xlfn.AGGREGATE(16,6,FIND({0,1,2,3,4,5,6,7,8,9},A129,ROW(INDIRECT("1:"&amp;LEN(A129)))),1))," ",REPT(" ",LEN(A129))),LEN(A129)))), ROW(INDIRECT("1:"&amp;LEN((--TRIM(RIGHT(SUBSTITUTE(LEFT(A129,_xlfn.AGGREGATE(16,6,FIND({0,1,2,3,4,5,6,7,8,9},A129,ROW(INDIRECT("1:"&amp;LEN(A129)))),1))," ",REPT(" ",LEN(A129))),LEN(A129))))))), 1)) * ROW(INDIRECT("1:"&amp;LEN((--TRIM(RIGHT(SUBSTITUTE(LEFT(A129,_xlfn.AGGREGATE(16,6,FIND({0,1,2,3,4,5,6,7,8,9},A129,ROW(INDIRECT("1:"&amp;LEN(A129)))),1))," ",REPT(" ",LEN(A129))),LEN(A129))))))), 0), ROW(INDIRECT("1:"&amp;LEN((--TRIM(RIGHT(SUBSTITUTE(LEFT(A129,_xlfn.AGGREGATE(16,6,FIND({0,1,2,3,4,5,6,7,8,9},A129,ROW(INDIRECT("1:"&amp;LEN(A129)))),1))," ",REPT(" ",LEN(A129))),LEN(A129))))))))+1, 1) * 10^ROW(INDIRECT("1:"&amp;LEN((--TRIM(RIGHT(SUBSTITUTE(LEFT(A129,_xlfn.AGGREGATE(16,6,FIND({0,1,2,3,4,5,6,7,8,9},A129,ROW(INDIRECT("1:"&amp;LEN(A129)))),1))," ",REPT(" ",LEN(A129))),LEN(A129)))))))/10))*1+1</f>
        <v>205 ,.., 1105</v>
      </c>
      <c r="B130" s="69"/>
      <c r="C130" s="54" t="s">
        <v>188</v>
      </c>
      <c r="D130" s="54">
        <f>(2.8*3.95+2.1*1.65+2.65*2.75+2.1*0.9+1.2*1.77+1.25*1+2.93*1+2.4*1+2.865*1)*10.764</f>
        <v>379.66242600000004</v>
      </c>
      <c r="E130" s="54">
        <v>0</v>
      </c>
      <c r="F130" s="54">
        <f>D130*(($F$114)+1)+(IF(E130&lt;101,E130,IF(E130&lt;201,E130/2,IF(E130&lt;=301,E130/3,E130/4))))</f>
        <v>569.49363900000003</v>
      </c>
      <c r="G130" s="73"/>
      <c r="H130" s="74"/>
      <c r="I130" s="35"/>
      <c r="K130" s="36">
        <f t="shared" si="7"/>
        <v>4271202.2925000004</v>
      </c>
      <c r="N130" s="35"/>
    </row>
    <row r="131" spans="1:14" s="36" customFormat="1" ht="15.75" customHeight="1" x14ac:dyDescent="0.3">
      <c r="A131" s="68" t="str">
        <f ca="1">(SUMPRODUCT(MID(0&amp;(LEFT(A130,SUM(LEN(A130)-LEN(SUBSTITUTE(A130,{"0","1","2"},""))))), LARGE(INDEX(ISNUMBER(--MID((LEFT(A130,SUM(LEN(A130)-LEN(SUBSTITUTE(A130,{"0","1","2"},""))))), ROW(INDIRECT("1:"&amp;LEN((LEFT(A130,SUM(LEN(A130)-LEN(SUBSTITUTE(A130,{"0","1","2"},"")))))))), 1)) * ROW(INDIRECT("1:"&amp;LEN((LEFT(A130,SUM(LEN(A130)-LEN(SUBSTITUTE(A130,{"0","1","2"},"")))))))), 0), ROW(INDIRECT("1:"&amp;LEN((LEFT(A130,SUM(LEN(A130)-LEN(SUBSTITUTE(A130,{"0","1","2"},"")))))))))+1, 1) * 10^ROW(INDIRECT("1:"&amp;LEN((LEFT(A130,SUM(LEN(A130)-LEN(SUBSTITUTE(A130,{"0","1","2"},""))))))))/10))*1+1&amp;""&amp;" ,.., "&amp;""&amp;(SUMPRODUCT(MID(0&amp;(--TRIM(RIGHT(SUBSTITUTE(LEFT(A130,_xlfn.AGGREGATE(16,6,FIND({0,1,2,3,4,5,6,7,8,9},A130,ROW(INDIRECT("1:"&amp;LEN(A130)))),1))," ",REPT(" ",LEN(A130))),LEN(A130)))), LARGE(INDEX(ISNUMBER(--MID((--TRIM(RIGHT(SUBSTITUTE(LEFT(A130,_xlfn.AGGREGATE(16,6,FIND({0,1,2,3,4,5,6,7,8,9},A130,ROW(INDIRECT("1:"&amp;LEN(A130)))),1))," ",REPT(" ",LEN(A130))),LEN(A130)))), ROW(INDIRECT("1:"&amp;LEN((--TRIM(RIGHT(SUBSTITUTE(LEFT(A130,_xlfn.AGGREGATE(16,6,FIND({0,1,2,3,4,5,6,7,8,9},A130,ROW(INDIRECT("1:"&amp;LEN(A130)))),1))," ",REPT(" ",LEN(A130))),LEN(A130))))))), 1)) * ROW(INDIRECT("1:"&amp;LEN((--TRIM(RIGHT(SUBSTITUTE(LEFT(A130,_xlfn.AGGREGATE(16,6,FIND({0,1,2,3,4,5,6,7,8,9},A130,ROW(INDIRECT("1:"&amp;LEN(A130)))),1))," ",REPT(" ",LEN(A130))),LEN(A130))))))), 0), ROW(INDIRECT("1:"&amp;LEN((--TRIM(RIGHT(SUBSTITUTE(LEFT(A130,_xlfn.AGGREGATE(16,6,FIND({0,1,2,3,4,5,6,7,8,9},A130,ROW(INDIRECT("1:"&amp;LEN(A130)))),1))," ",REPT(" ",LEN(A130))),LEN(A130))))))))+1, 1) * 10^ROW(INDIRECT("1:"&amp;LEN((--TRIM(RIGHT(SUBSTITUTE(LEFT(A130,_xlfn.AGGREGATE(16,6,FIND({0,1,2,3,4,5,6,7,8,9},A130,ROW(INDIRECT("1:"&amp;LEN(A130)))),1))," ",REPT(" ",LEN(A130))),LEN(A130)))))))/10))*1+1</f>
        <v>206 ,.., 1106</v>
      </c>
      <c r="B131" s="69"/>
      <c r="C131" s="54" t="s">
        <v>189</v>
      </c>
      <c r="D131" s="54">
        <f>(4.55*2.75+2.1*2.62+4.05*2.75+2.75*3.3+1.2*1.4+1.2*2.15+2.1*1.15+2.3)*10.764</f>
        <v>508.08232799999985</v>
      </c>
      <c r="E131" s="54">
        <v>0</v>
      </c>
      <c r="F131" s="54">
        <f t="shared" ref="F131" si="11">D131*(($F$114)+1)+(IF(E131&lt;101,E131,IF(E131&lt;201,E131/2,IF(E131&lt;=301,E131/3,E131/4))))</f>
        <v>762.12349199999971</v>
      </c>
      <c r="G131" s="73"/>
      <c r="H131" s="74"/>
      <c r="I131" s="35"/>
      <c r="K131" s="36">
        <f t="shared" si="7"/>
        <v>5715926.1899999976</v>
      </c>
      <c r="N131" s="35"/>
    </row>
    <row r="132" spans="1:14" s="36" customFormat="1" ht="15.75" customHeight="1" x14ac:dyDescent="0.3">
      <c r="A132" s="68" t="str">
        <f ca="1">(SUMPRODUCT(MID(0&amp;(LEFT(A131,SUM(LEN(A131)-LEN(SUBSTITUTE(A131,{"0","1","2"},""))))), LARGE(INDEX(ISNUMBER(--MID((LEFT(A131,SUM(LEN(A131)-LEN(SUBSTITUTE(A131,{"0","1","2"},""))))), ROW(INDIRECT("1:"&amp;LEN((LEFT(A131,SUM(LEN(A131)-LEN(SUBSTITUTE(A131,{"0","1","2"},"")))))))), 1)) * ROW(INDIRECT("1:"&amp;LEN((LEFT(A131,SUM(LEN(A131)-LEN(SUBSTITUTE(A131,{"0","1","2"},"")))))))), 0), ROW(INDIRECT("1:"&amp;LEN((LEFT(A131,SUM(LEN(A131)-LEN(SUBSTITUTE(A131,{"0","1","2"},"")))))))))+1, 1) * 10^ROW(INDIRECT("1:"&amp;LEN((LEFT(A131,SUM(LEN(A131)-LEN(SUBSTITUTE(A131,{"0","1","2"},""))))))))/10))*1+1&amp;""&amp;" ,.., "&amp;""&amp;(SUMPRODUCT(MID(0&amp;(--TRIM(RIGHT(SUBSTITUTE(LEFT(A131,_xlfn.AGGREGATE(16,6,FIND({0,1,2,3,4,5,6,7,8,9},A131,ROW(INDIRECT("1:"&amp;LEN(A131)))),1))," ",REPT(" ",LEN(A131))),LEN(A131)))), LARGE(INDEX(ISNUMBER(--MID((--TRIM(RIGHT(SUBSTITUTE(LEFT(A131,_xlfn.AGGREGATE(16,6,FIND({0,1,2,3,4,5,6,7,8,9},A131,ROW(INDIRECT("1:"&amp;LEN(A131)))),1))," ",REPT(" ",LEN(A131))),LEN(A131)))), ROW(INDIRECT("1:"&amp;LEN((--TRIM(RIGHT(SUBSTITUTE(LEFT(A131,_xlfn.AGGREGATE(16,6,FIND({0,1,2,3,4,5,6,7,8,9},A131,ROW(INDIRECT("1:"&amp;LEN(A131)))),1))," ",REPT(" ",LEN(A131))),LEN(A131))))))), 1)) * ROW(INDIRECT("1:"&amp;LEN((--TRIM(RIGHT(SUBSTITUTE(LEFT(A131,_xlfn.AGGREGATE(16,6,FIND({0,1,2,3,4,5,6,7,8,9},A131,ROW(INDIRECT("1:"&amp;LEN(A131)))),1))," ",REPT(" ",LEN(A131))),LEN(A131))))))), 0), ROW(INDIRECT("1:"&amp;LEN((--TRIM(RIGHT(SUBSTITUTE(LEFT(A131,_xlfn.AGGREGATE(16,6,FIND({0,1,2,3,4,5,6,7,8,9},A131,ROW(INDIRECT("1:"&amp;LEN(A131)))),1))," ",REPT(" ",LEN(A131))),LEN(A131))))))))+1, 1) * 10^ROW(INDIRECT("1:"&amp;LEN((--TRIM(RIGHT(SUBSTITUTE(LEFT(A131,_xlfn.AGGREGATE(16,6,FIND({0,1,2,3,4,5,6,7,8,9},A131,ROW(INDIRECT("1:"&amp;LEN(A131)))),1))," ",REPT(" ",LEN(A131))),LEN(A131)))))))/10))*1+1</f>
        <v>207 ,.., 1107</v>
      </c>
      <c r="B132" s="69"/>
      <c r="C132" s="54" t="s">
        <v>189</v>
      </c>
      <c r="D132" s="54">
        <f>(4.55*2.75+2.1*2.62+4.05*2.75+2.75*3.3+1.2*1.4+1.2*2.15+2.1*1.15+2.3)*10.764</f>
        <v>508.08232799999985</v>
      </c>
      <c r="E132" s="54">
        <v>0</v>
      </c>
      <c r="F132" s="54">
        <f>D132*(($F$114)+1)+(IF(E132&lt;101,E132,IF(E132&lt;201,E132/2,IF(E132&lt;=301,E132/3,E132/4))))</f>
        <v>762.12349199999971</v>
      </c>
      <c r="G132" s="73"/>
      <c r="H132" s="74"/>
      <c r="I132" s="35"/>
      <c r="K132" s="36">
        <f t="shared" si="7"/>
        <v>5715926.1899999976</v>
      </c>
      <c r="N132" s="35"/>
    </row>
    <row r="133" spans="1:14" s="36" customFormat="1" ht="15.75" customHeight="1" x14ac:dyDescent="0.3">
      <c r="A133" s="68" t="str">
        <f ca="1">(SUMPRODUCT(MID(0&amp;(LEFT(A132,SUM(LEN(A132)-LEN(SUBSTITUTE(A132,{"0","1","2"},""))))), LARGE(INDEX(ISNUMBER(--MID((LEFT(A132,SUM(LEN(A132)-LEN(SUBSTITUTE(A132,{"0","1","2"},""))))), ROW(INDIRECT("1:"&amp;LEN((LEFT(A132,SUM(LEN(A132)-LEN(SUBSTITUTE(A132,{"0","1","2"},"")))))))), 1)) * ROW(INDIRECT("1:"&amp;LEN((LEFT(A132,SUM(LEN(A132)-LEN(SUBSTITUTE(A132,{"0","1","2"},"")))))))), 0), ROW(INDIRECT("1:"&amp;LEN((LEFT(A132,SUM(LEN(A132)-LEN(SUBSTITUTE(A132,{"0","1","2"},"")))))))))+1, 1) * 10^ROW(INDIRECT("1:"&amp;LEN((LEFT(A132,SUM(LEN(A132)-LEN(SUBSTITUTE(A132,{"0","1","2"},""))))))))/10))*1+1&amp;""&amp;" ,.., "&amp;""&amp;(SUMPRODUCT(MID(0&amp;(--TRIM(RIGHT(SUBSTITUTE(LEFT(A132,_xlfn.AGGREGATE(16,6,FIND({0,1,2,3,4,5,6,7,8,9},A132,ROW(INDIRECT("1:"&amp;LEN(A132)))),1))," ",REPT(" ",LEN(A132))),LEN(A132)))), LARGE(INDEX(ISNUMBER(--MID((--TRIM(RIGHT(SUBSTITUTE(LEFT(A132,_xlfn.AGGREGATE(16,6,FIND({0,1,2,3,4,5,6,7,8,9},A132,ROW(INDIRECT("1:"&amp;LEN(A132)))),1))," ",REPT(" ",LEN(A132))),LEN(A132)))), ROW(INDIRECT("1:"&amp;LEN((--TRIM(RIGHT(SUBSTITUTE(LEFT(A132,_xlfn.AGGREGATE(16,6,FIND({0,1,2,3,4,5,6,7,8,9},A132,ROW(INDIRECT("1:"&amp;LEN(A132)))),1))," ",REPT(" ",LEN(A132))),LEN(A132))))))), 1)) * ROW(INDIRECT("1:"&amp;LEN((--TRIM(RIGHT(SUBSTITUTE(LEFT(A132,_xlfn.AGGREGATE(16,6,FIND({0,1,2,3,4,5,6,7,8,9},A132,ROW(INDIRECT("1:"&amp;LEN(A132)))),1))," ",REPT(" ",LEN(A132))),LEN(A132))))))), 0), ROW(INDIRECT("1:"&amp;LEN((--TRIM(RIGHT(SUBSTITUTE(LEFT(A132,_xlfn.AGGREGATE(16,6,FIND({0,1,2,3,4,5,6,7,8,9},A132,ROW(INDIRECT("1:"&amp;LEN(A132)))),1))," ",REPT(" ",LEN(A132))),LEN(A132))))))))+1, 1) * 10^ROW(INDIRECT("1:"&amp;LEN((--TRIM(RIGHT(SUBSTITUTE(LEFT(A132,_xlfn.AGGREGATE(16,6,FIND({0,1,2,3,4,5,6,7,8,9},A132,ROW(INDIRECT("1:"&amp;LEN(A132)))),1))," ",REPT(" ",LEN(A132))),LEN(A132)))))))/10))*1+1</f>
        <v>208 ,.., 1108</v>
      </c>
      <c r="B133" s="69"/>
      <c r="C133" s="54" t="s">
        <v>188</v>
      </c>
      <c r="D133" s="54">
        <f>(2.8*3.95+2.1*1.65+2.65*2.75+2.1*0.9+1.2*1.77+1.25*1+2.93*1+2.4*1+2.865*1)*10.764</f>
        <v>379.66242600000004</v>
      </c>
      <c r="E133" s="54">
        <v>0</v>
      </c>
      <c r="F133" s="54">
        <f>D133*(($F$114)+1)+(IF(E133&lt;101,E133,IF(E133&lt;201,E133/2,IF(E133&lt;=301,E133/3,E133/4))))</f>
        <v>569.49363900000003</v>
      </c>
      <c r="G133" s="73"/>
      <c r="H133" s="74"/>
      <c r="I133" s="35"/>
      <c r="K133" s="36">
        <f t="shared" si="7"/>
        <v>4271202.2925000004</v>
      </c>
      <c r="N133" s="35"/>
    </row>
    <row r="134" spans="1:14" s="36" customFormat="1" ht="15.75" customHeight="1" x14ac:dyDescent="0.3">
      <c r="A134" s="68" t="str">
        <f ca="1">(SUMPRODUCT(MID(0&amp;(LEFT(A133,SUM(LEN(A133)-LEN(SUBSTITUTE(A133,{"0","1","2"},""))))), LARGE(INDEX(ISNUMBER(--MID((LEFT(A133,SUM(LEN(A133)-LEN(SUBSTITUTE(A133,{"0","1","2"},""))))), ROW(INDIRECT("1:"&amp;LEN((LEFT(A133,SUM(LEN(A133)-LEN(SUBSTITUTE(A133,{"0","1","2"},"")))))))), 1)) * ROW(INDIRECT("1:"&amp;LEN((LEFT(A133,SUM(LEN(A133)-LEN(SUBSTITUTE(A133,{"0","1","2"},"")))))))), 0), ROW(INDIRECT("1:"&amp;LEN((LEFT(A133,SUM(LEN(A133)-LEN(SUBSTITUTE(A133,{"0","1","2"},"")))))))))+1, 1) * 10^ROW(INDIRECT("1:"&amp;LEN((LEFT(A133,SUM(LEN(A133)-LEN(SUBSTITUTE(A133,{"0","1","2"},""))))))))/10))*1+1&amp;""&amp;" ,.., "&amp;""&amp;(SUMPRODUCT(MID(0&amp;(--TRIM(RIGHT(SUBSTITUTE(LEFT(A133,_xlfn.AGGREGATE(16,6,FIND({0,1,2,3,4,5,6,7,8,9},A133,ROW(INDIRECT("1:"&amp;LEN(A133)))),1))," ",REPT(" ",LEN(A133))),LEN(A133)))), LARGE(INDEX(ISNUMBER(--MID((--TRIM(RIGHT(SUBSTITUTE(LEFT(A133,_xlfn.AGGREGATE(16,6,FIND({0,1,2,3,4,5,6,7,8,9},A133,ROW(INDIRECT("1:"&amp;LEN(A133)))),1))," ",REPT(" ",LEN(A133))),LEN(A133)))), ROW(INDIRECT("1:"&amp;LEN((--TRIM(RIGHT(SUBSTITUTE(LEFT(A133,_xlfn.AGGREGATE(16,6,FIND({0,1,2,3,4,5,6,7,8,9},A133,ROW(INDIRECT("1:"&amp;LEN(A133)))),1))," ",REPT(" ",LEN(A133))),LEN(A133))))))), 1)) * ROW(INDIRECT("1:"&amp;LEN((--TRIM(RIGHT(SUBSTITUTE(LEFT(A133,_xlfn.AGGREGATE(16,6,FIND({0,1,2,3,4,5,6,7,8,9},A133,ROW(INDIRECT("1:"&amp;LEN(A133)))),1))," ",REPT(" ",LEN(A133))),LEN(A133))))))), 0), ROW(INDIRECT("1:"&amp;LEN((--TRIM(RIGHT(SUBSTITUTE(LEFT(A133,_xlfn.AGGREGATE(16,6,FIND({0,1,2,3,4,5,6,7,8,9},A133,ROW(INDIRECT("1:"&amp;LEN(A133)))),1))," ",REPT(" ",LEN(A133))),LEN(A133))))))))+1, 1) * 10^ROW(INDIRECT("1:"&amp;LEN((--TRIM(RIGHT(SUBSTITUTE(LEFT(A133,_xlfn.AGGREGATE(16,6,FIND({0,1,2,3,4,5,6,7,8,9},A133,ROW(INDIRECT("1:"&amp;LEN(A133)))),1))," ",REPT(" ",LEN(A133))),LEN(A133)))))))/10))*1+1</f>
        <v>209 ,.., 1109</v>
      </c>
      <c r="B134" s="69"/>
      <c r="C134" s="54" t="s">
        <v>188</v>
      </c>
      <c r="D134" s="54">
        <f>(2.8*3.95+2.1*1.65+2.65*2.75+2.1*0.9+1.2*1.77+1.25*1+2.73*1+2.4*1+2.865*1)*10.764</f>
        <v>377.50962599999997</v>
      </c>
      <c r="E134" s="54">
        <v>0</v>
      </c>
      <c r="F134" s="54">
        <f>D134*(($F$114)+1)+(IF(E134&lt;101,E134,IF(E134&lt;201,E134/2,IF(E134&lt;=301,E134/3,E134/4))))</f>
        <v>566.26443899999992</v>
      </c>
      <c r="G134" s="75"/>
      <c r="H134" s="76"/>
      <c r="I134" s="35"/>
      <c r="K134" s="36">
        <f t="shared" si="7"/>
        <v>4246983.2924999995</v>
      </c>
      <c r="N134" s="35"/>
    </row>
    <row r="135" spans="1:14" s="36" customFormat="1" ht="15.75" customHeight="1" x14ac:dyDescent="0.3">
      <c r="A135" s="77" t="s">
        <v>191</v>
      </c>
      <c r="B135" s="78"/>
      <c r="C135" s="78"/>
      <c r="D135" s="78"/>
      <c r="E135" s="78"/>
      <c r="F135" s="78"/>
      <c r="G135" s="78"/>
      <c r="H135" s="79"/>
      <c r="I135" s="35"/>
      <c r="K135" s="36">
        <f t="shared" si="7"/>
        <v>0</v>
      </c>
    </row>
    <row r="136" spans="1:14" s="36" customFormat="1" ht="15.75" customHeight="1" x14ac:dyDescent="0.3">
      <c r="A136" s="68">
        <v>801</v>
      </c>
      <c r="B136" s="69"/>
      <c r="C136" s="68" t="s">
        <v>192</v>
      </c>
      <c r="D136" s="70"/>
      <c r="E136" s="70"/>
      <c r="F136" s="69"/>
      <c r="G136" s="71" t="str">
        <f>A135</f>
        <v>8th Floor (Part Refuge Area, Society Office &amp; Drivers Room)</v>
      </c>
      <c r="H136" s="72"/>
      <c r="I136" s="35"/>
      <c r="N136" s="35"/>
    </row>
    <row r="137" spans="1:14" s="36" customFormat="1" ht="15.75" customHeight="1" x14ac:dyDescent="0.3">
      <c r="A137" s="68">
        <f>A136+1</f>
        <v>802</v>
      </c>
      <c r="B137" s="69"/>
      <c r="C137" s="54" t="s">
        <v>188</v>
      </c>
      <c r="D137" s="54">
        <f>(4.4*2.75+2.1*1.7+2.8*2.15+0.9*1+1.85*1.2+1.7*1+2.4*1+3.03*1)*10.764</f>
        <v>343.80215999999996</v>
      </c>
      <c r="E137" s="54">
        <v>0</v>
      </c>
      <c r="F137" s="54">
        <f>D137*(($F$114)+1)+(IF(E137&lt;101,E137,IF(E137&lt;201,E137/2,IF(E137&lt;=301,E137/3,E137/4))))</f>
        <v>515.70323999999994</v>
      </c>
      <c r="G137" s="73"/>
      <c r="H137" s="74"/>
      <c r="I137" s="35"/>
      <c r="N137" s="35"/>
    </row>
    <row r="138" spans="1:14" s="36" customFormat="1" ht="15.75" customHeight="1" x14ac:dyDescent="0.3">
      <c r="A138" s="68">
        <f t="shared" ref="A138:A144" si="12">A137+1</f>
        <v>803</v>
      </c>
      <c r="B138" s="69"/>
      <c r="C138" s="54" t="s">
        <v>188</v>
      </c>
      <c r="D138" s="54">
        <f>(4.65*2.75+2.1*1.75+3.25*2.2+1.2*0.9+1.2*2.2+2.28*1+3.43*1)*10.764</f>
        <v>355.66947000000005</v>
      </c>
      <c r="E138" s="54">
        <v>0</v>
      </c>
      <c r="F138" s="54">
        <f>D138*(($F$114)+1)+(IF(E138&lt;101,E138,IF(E138&lt;201,E138/2,IF(E138&lt;=301,E138/3,E138/4))))</f>
        <v>533.50420500000007</v>
      </c>
      <c r="G138" s="73"/>
      <c r="H138" s="74"/>
      <c r="I138" s="35"/>
      <c r="N138" s="35"/>
    </row>
    <row r="139" spans="1:14" s="36" customFormat="1" ht="15.75" customHeight="1" x14ac:dyDescent="0.3">
      <c r="A139" s="68">
        <f t="shared" si="12"/>
        <v>804</v>
      </c>
      <c r="B139" s="69"/>
      <c r="C139" s="54" t="s">
        <v>188</v>
      </c>
      <c r="D139" s="54">
        <f>(2.8*3.95+2.1*1.65+2.65*2.75+2.1*0.9+1.2*1.77+1.25*1+2.7*1+2.4*1+2.865*1)*10.764</f>
        <v>377.18670599999996</v>
      </c>
      <c r="E139" s="54">
        <v>0</v>
      </c>
      <c r="F139" s="54">
        <f>D139*(($F$114)+1)+(IF(E139&lt;101,E139,IF(E139&lt;201,E139/2,IF(E139&lt;=301,E139/3,E139/4))))</f>
        <v>565.78005899999994</v>
      </c>
      <c r="G139" s="73"/>
      <c r="H139" s="74"/>
      <c r="I139" s="35"/>
      <c r="N139" s="35"/>
    </row>
    <row r="140" spans="1:14" s="36" customFormat="1" ht="15.75" customHeight="1" x14ac:dyDescent="0.3">
      <c r="A140" s="68">
        <f t="shared" si="12"/>
        <v>805</v>
      </c>
      <c r="B140" s="69"/>
      <c r="C140" s="68" t="s">
        <v>193</v>
      </c>
      <c r="D140" s="70"/>
      <c r="E140" s="70"/>
      <c r="F140" s="69"/>
      <c r="G140" s="73"/>
      <c r="H140" s="74"/>
      <c r="I140" s="35"/>
      <c r="N140" s="35"/>
    </row>
    <row r="141" spans="1:14" s="36" customFormat="1" ht="15.75" customHeight="1" x14ac:dyDescent="0.3">
      <c r="A141" s="68">
        <f t="shared" si="12"/>
        <v>806</v>
      </c>
      <c r="B141" s="69"/>
      <c r="C141" s="54" t="s">
        <v>189</v>
      </c>
      <c r="D141" s="54">
        <f>(4.55*2.75+2.1*2.62+4.05*2.75+2.75*3.3+1.2*1.4+1.2*2.15+2.1*1.15+2.3)*10.764</f>
        <v>508.08232799999985</v>
      </c>
      <c r="E141" s="54">
        <v>0</v>
      </c>
      <c r="F141" s="54">
        <f t="shared" ref="F141" si="13">D141*(($F$114)+1)+(IF(E141&lt;101,E141,IF(E141&lt;201,E141/2,IF(E141&lt;=301,E141/3,E141/4))))</f>
        <v>762.12349199999971</v>
      </c>
      <c r="G141" s="73"/>
      <c r="H141" s="74"/>
      <c r="I141" s="35"/>
      <c r="N141" s="35"/>
    </row>
    <row r="142" spans="1:14" s="36" customFormat="1" ht="15.75" customHeight="1" x14ac:dyDescent="0.3">
      <c r="A142" s="68">
        <f t="shared" si="12"/>
        <v>807</v>
      </c>
      <c r="B142" s="69"/>
      <c r="C142" s="54" t="s">
        <v>189</v>
      </c>
      <c r="D142" s="54">
        <f>(4.55*2.75+2.1*2.62+4.05*2.75+2.75*3.3+1.2*1.4+1.2*2.15+2.1*1.15+2.3)*10.764</f>
        <v>508.08232799999985</v>
      </c>
      <c r="E142" s="54">
        <v>0</v>
      </c>
      <c r="F142" s="54">
        <f>D142*(($F$114)+1)+(IF(E142&lt;101,E142,IF(E142&lt;201,E142/2,IF(E142&lt;=301,E142/3,E142/4))))</f>
        <v>762.12349199999971</v>
      </c>
      <c r="G142" s="73"/>
      <c r="H142" s="74"/>
      <c r="I142" s="35"/>
      <c r="N142" s="35"/>
    </row>
    <row r="143" spans="1:14" s="36" customFormat="1" ht="15.75" customHeight="1" x14ac:dyDescent="0.3">
      <c r="A143" s="68">
        <f t="shared" si="12"/>
        <v>808</v>
      </c>
      <c r="B143" s="69"/>
      <c r="C143" s="54" t="s">
        <v>188</v>
      </c>
      <c r="D143" s="54">
        <f>(2.8*3.95+2.1*1.65+2.65*2.75+2.1*0.9+1.2*1.77+1.25*1+2.93*1+2.4*1+2.865*1)*10.764</f>
        <v>379.66242600000004</v>
      </c>
      <c r="E143" s="54">
        <v>0</v>
      </c>
      <c r="F143" s="54">
        <f>D143*(($F$114)+1)+(IF(E143&lt;101,E143,IF(E143&lt;201,E143/2,IF(E143&lt;=301,E143/3,E143/4))))</f>
        <v>569.49363900000003</v>
      </c>
      <c r="G143" s="73"/>
      <c r="H143" s="74"/>
      <c r="I143" s="35"/>
      <c r="N143" s="35"/>
    </row>
    <row r="144" spans="1:14" s="36" customFormat="1" ht="15.75" customHeight="1" x14ac:dyDescent="0.3">
      <c r="A144" s="68">
        <f t="shared" si="12"/>
        <v>809</v>
      </c>
      <c r="B144" s="69"/>
      <c r="C144" s="54" t="s">
        <v>188</v>
      </c>
      <c r="D144" s="54">
        <f>(2.8*3.95+2.1*1.65+2.65*2.75+2.1*0.9+1.2*1.77+1.25*1+2.73*1+2.4*1+2.865*1)*10.764</f>
        <v>377.50962599999997</v>
      </c>
      <c r="E144" s="54">
        <v>0</v>
      </c>
      <c r="F144" s="54">
        <f>D144*(($F$114)+1)+(IF(E144&lt;101,E144,IF(E144&lt;201,E144/2,IF(E144&lt;=301,E144/3,E144/4))))</f>
        <v>566.26443899999992</v>
      </c>
      <c r="G144" s="75"/>
      <c r="H144" s="76"/>
      <c r="I144" s="35"/>
      <c r="N144" s="35"/>
    </row>
    <row r="145" spans="1:12" s="36" customFormat="1" x14ac:dyDescent="0.3">
      <c r="A145" s="77" t="s">
        <v>194</v>
      </c>
      <c r="B145" s="78"/>
      <c r="C145" s="78"/>
      <c r="D145" s="78"/>
      <c r="E145" s="78"/>
      <c r="F145" s="78"/>
      <c r="G145" s="78"/>
      <c r="H145" s="79"/>
      <c r="I145" s="35"/>
    </row>
    <row r="146" spans="1:12" s="36" customFormat="1" ht="15.75" customHeight="1" x14ac:dyDescent="0.3">
      <c r="A146" s="68">
        <v>1201</v>
      </c>
      <c r="B146" s="69"/>
      <c r="C146" s="68" t="s">
        <v>195</v>
      </c>
      <c r="D146" s="70"/>
      <c r="E146" s="70"/>
      <c r="F146" s="69"/>
      <c r="G146" s="71" t="str">
        <f>A145</f>
        <v>12th Floor (Part Terrace Area )</v>
      </c>
      <c r="H146" s="72"/>
      <c r="I146" s="35"/>
    </row>
    <row r="147" spans="1:12" s="36" customFormat="1" ht="15.75" customHeight="1" x14ac:dyDescent="0.3">
      <c r="A147" s="68">
        <f>A146+1</f>
        <v>1202</v>
      </c>
      <c r="B147" s="69"/>
      <c r="C147" s="54" t="s">
        <v>188</v>
      </c>
      <c r="D147" s="54">
        <f>(4.4*2.75+2.1*1.7+2.8*2.15+0.9*1+1.85*1.2+1.7*1+2.4*1+3.03*1)*10.764</f>
        <v>343.80215999999996</v>
      </c>
      <c r="E147" s="54">
        <v>0</v>
      </c>
      <c r="F147" s="54">
        <f>D147*(($F$114)+1)+(IF(E147&lt;101,E147,IF(E147&lt;201,E147/2,IF(E147&lt;=301,E147/3,E147/4))))</f>
        <v>515.70323999999994</v>
      </c>
      <c r="G147" s="73"/>
      <c r="H147" s="74"/>
      <c r="I147" s="35"/>
    </row>
    <row r="148" spans="1:12" s="36" customFormat="1" ht="15.75" customHeight="1" x14ac:dyDescent="0.3">
      <c r="A148" s="68">
        <f t="shared" ref="A148:A154" si="14">A147+1</f>
        <v>1203</v>
      </c>
      <c r="B148" s="69"/>
      <c r="C148" s="68" t="s">
        <v>195</v>
      </c>
      <c r="D148" s="70"/>
      <c r="E148" s="70"/>
      <c r="F148" s="69"/>
      <c r="G148" s="73"/>
      <c r="H148" s="74"/>
      <c r="I148" s="35"/>
    </row>
    <row r="149" spans="1:12" s="36" customFormat="1" ht="15.75" customHeight="1" x14ac:dyDescent="0.3">
      <c r="A149" s="68">
        <f t="shared" si="14"/>
        <v>1204</v>
      </c>
      <c r="B149" s="69"/>
      <c r="C149" s="54" t="s">
        <v>188</v>
      </c>
      <c r="D149" s="54">
        <f>(2.8*3.95+2.1*1.65+2.65*2.75+2.1*0.9+1.2*1.77+1.25*1+2.7*1+2.4*1+2.865*1)*10.764</f>
        <v>377.18670599999996</v>
      </c>
      <c r="E149" s="54">
        <v>0</v>
      </c>
      <c r="F149" s="54">
        <f>D149*(($F$114)+1)+(IF(E149&lt;101,E149,IF(E149&lt;201,E149/2,IF(E149&lt;=301,E149/3,E149/4))))</f>
        <v>565.78005899999994</v>
      </c>
      <c r="G149" s="73"/>
      <c r="H149" s="74"/>
      <c r="I149" s="35"/>
    </row>
    <row r="150" spans="1:12" s="36" customFormat="1" ht="15.75" customHeight="1" x14ac:dyDescent="0.3">
      <c r="A150" s="68">
        <f t="shared" si="14"/>
        <v>1205</v>
      </c>
      <c r="B150" s="69"/>
      <c r="C150" s="68" t="s">
        <v>195</v>
      </c>
      <c r="D150" s="70"/>
      <c r="E150" s="70"/>
      <c r="F150" s="69"/>
      <c r="G150" s="73"/>
      <c r="H150" s="74"/>
      <c r="I150" s="35"/>
    </row>
    <row r="151" spans="1:12" s="36" customFormat="1" ht="15.75" customHeight="1" x14ac:dyDescent="0.3">
      <c r="A151" s="68">
        <f t="shared" si="14"/>
        <v>1206</v>
      </c>
      <c r="B151" s="69"/>
      <c r="C151" s="54" t="s">
        <v>189</v>
      </c>
      <c r="D151" s="54">
        <f>(4.55*2.75+2.1*2.62+4.05*2.75+2.75*3.3+1.2*1.4+1.2*2.15+2.1*1.15+2.3*1)*10.764</f>
        <v>508.08232799999985</v>
      </c>
      <c r="E151" s="54">
        <v>0</v>
      </c>
      <c r="F151" s="54">
        <f t="shared" ref="F151" si="15">D151*(($F$114)+1)+(IF(E151&lt;101,E151,IF(E151&lt;201,E151/2,IF(E151&lt;=301,E151/3,E151/4))))</f>
        <v>762.12349199999971</v>
      </c>
      <c r="G151" s="73"/>
      <c r="H151" s="74"/>
      <c r="I151" s="35"/>
    </row>
    <row r="152" spans="1:12" s="36" customFormat="1" ht="15.75" customHeight="1" x14ac:dyDescent="0.3">
      <c r="A152" s="68">
        <f t="shared" si="14"/>
        <v>1207</v>
      </c>
      <c r="B152" s="69"/>
      <c r="C152" s="54" t="s">
        <v>189</v>
      </c>
      <c r="D152" s="54">
        <f>(4.55*2.75+2.1*2.62+4.05*2.75+2.75*3.3+1.2*1.4+1.2*2.15+2.1*1.15+2.3*1)*10.764</f>
        <v>508.08232799999985</v>
      </c>
      <c r="E152" s="54">
        <v>0</v>
      </c>
      <c r="F152" s="54">
        <f>D152*(($F$114)+1)+(IF(E152&lt;101,E152,IF(E152&lt;201,E152/2,IF(E152&lt;=301,E152/3,E152/4))))</f>
        <v>762.12349199999971</v>
      </c>
      <c r="G152" s="73"/>
      <c r="H152" s="74"/>
      <c r="I152" s="35"/>
    </row>
    <row r="153" spans="1:12" s="36" customFormat="1" ht="15.75" customHeight="1" x14ac:dyDescent="0.3">
      <c r="A153" s="68">
        <f t="shared" si="14"/>
        <v>1208</v>
      </c>
      <c r="B153" s="69"/>
      <c r="C153" s="68" t="s">
        <v>195</v>
      </c>
      <c r="D153" s="70"/>
      <c r="E153" s="70"/>
      <c r="F153" s="69"/>
      <c r="G153" s="73"/>
      <c r="H153" s="74"/>
      <c r="I153" s="35"/>
    </row>
    <row r="154" spans="1:12" s="36" customFormat="1" ht="15.75" customHeight="1" x14ac:dyDescent="0.3">
      <c r="A154" s="68">
        <f t="shared" si="14"/>
        <v>1209</v>
      </c>
      <c r="B154" s="69"/>
      <c r="C154" s="54" t="s">
        <v>188</v>
      </c>
      <c r="D154" s="54">
        <f>(2.8*3.95+2.1*1.65+2.65*2.75+2.1*0.9+1.2*1.77+1.25*1+2.73*1+2.4*1+2.98*1)*10.764</f>
        <v>378.74748599999992</v>
      </c>
      <c r="E154" s="54">
        <v>0</v>
      </c>
      <c r="F154" s="54">
        <f>D154*(($F$114)+1)+(IF(E154&lt;101,E154,IF(E154&lt;201,E154/2,IF(E154&lt;=301,E154/3,E154/4))))</f>
        <v>568.12122899999986</v>
      </c>
      <c r="G154" s="75"/>
      <c r="H154" s="76"/>
      <c r="I154" s="35"/>
    </row>
    <row r="155" spans="1:12" s="34" customFormat="1" x14ac:dyDescent="0.3">
      <c r="A155" s="80" t="s">
        <v>221</v>
      </c>
      <c r="B155" s="81"/>
      <c r="C155" s="81"/>
      <c r="D155" s="81"/>
      <c r="E155" s="81"/>
      <c r="F155" s="81"/>
      <c r="G155" s="81"/>
      <c r="H155" s="82"/>
    </row>
    <row r="156" spans="1:12" s="34" customFormat="1" x14ac:dyDescent="0.3">
      <c r="A156" s="44" t="s">
        <v>155</v>
      </c>
      <c r="B156" s="120" t="s">
        <v>234</v>
      </c>
      <c r="C156" s="121"/>
      <c r="D156" s="121"/>
      <c r="E156" s="121"/>
      <c r="F156" s="121"/>
      <c r="G156" s="121"/>
      <c r="H156" s="122"/>
      <c r="J156" s="59" t="s">
        <v>225</v>
      </c>
      <c r="K156" s="60"/>
      <c r="L156" s="60"/>
    </row>
    <row r="157" spans="1:12" s="34" customFormat="1" x14ac:dyDescent="0.3">
      <c r="A157" s="44" t="s">
        <v>155</v>
      </c>
      <c r="B157" s="120" t="str">
        <f>(IF(F113="Saleable area Loading :","We have considered Saleable area of Flats as per our Calculation.","We considered Saleable area of Flat as per Builder area Sheet."))</f>
        <v>We have considered Saleable area of Flats as per our Calculation.</v>
      </c>
      <c r="C157" s="121"/>
      <c r="D157" s="121"/>
      <c r="E157" s="121"/>
      <c r="F157" s="121"/>
      <c r="G157" s="121"/>
      <c r="H157" s="122"/>
    </row>
    <row r="158" spans="1:12" s="34" customFormat="1" x14ac:dyDescent="0.3">
      <c r="A158" s="44" t="s">
        <v>155</v>
      </c>
      <c r="B158" s="120" t="str">
        <f>(IF(F105="Saleable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58" s="121"/>
      <c r="D158" s="121"/>
      <c r="E158" s="121"/>
      <c r="F158" s="121"/>
      <c r="G158" s="121"/>
      <c r="H158" s="122"/>
    </row>
    <row r="159" spans="1:12" s="34" customFormat="1" x14ac:dyDescent="0.3">
      <c r="A159" s="44" t="s">
        <v>155</v>
      </c>
      <c r="B159" s="65" t="s">
        <v>125</v>
      </c>
      <c r="C159" s="66"/>
      <c r="D159" s="66"/>
      <c r="E159" s="66"/>
      <c r="F159" s="66"/>
      <c r="G159" s="66"/>
      <c r="H159" s="67"/>
    </row>
    <row r="160" spans="1:12" s="34" customFormat="1" x14ac:dyDescent="0.3">
      <c r="A160" s="44" t="s">
        <v>155</v>
      </c>
      <c r="B160" s="65" t="s">
        <v>222</v>
      </c>
      <c r="C160" s="66"/>
      <c r="D160" s="66"/>
      <c r="E160" s="66"/>
      <c r="F160" s="66"/>
      <c r="G160" s="66"/>
      <c r="H160" s="67"/>
    </row>
    <row r="161" spans="1:8" s="34" customFormat="1" x14ac:dyDescent="0.3">
      <c r="A161" s="44" t="s">
        <v>155</v>
      </c>
      <c r="B161" s="65" t="s">
        <v>154</v>
      </c>
      <c r="C161" s="66"/>
      <c r="D161" s="66"/>
      <c r="E161" s="66"/>
      <c r="F161" s="66"/>
      <c r="G161" s="66"/>
      <c r="H161" s="67"/>
    </row>
    <row r="162" spans="1:8" s="34" customFormat="1" x14ac:dyDescent="0.3">
      <c r="A162" s="44" t="s">
        <v>155</v>
      </c>
      <c r="B162" s="65" t="s">
        <v>126</v>
      </c>
      <c r="C162" s="66"/>
      <c r="D162" s="66"/>
      <c r="E162" s="66"/>
      <c r="F162" s="66"/>
      <c r="G162" s="66"/>
      <c r="H162" s="67"/>
    </row>
    <row r="163" spans="1:8" s="34" customFormat="1" ht="34.5" customHeight="1" x14ac:dyDescent="0.3">
      <c r="A163" s="44" t="s">
        <v>155</v>
      </c>
      <c r="B163" s="65" t="s">
        <v>156</v>
      </c>
      <c r="C163" s="66"/>
      <c r="D163" s="66"/>
      <c r="E163" s="66"/>
      <c r="F163" s="66"/>
      <c r="G163" s="66"/>
      <c r="H163" s="67"/>
    </row>
    <row r="164" spans="1:8" s="34" customFormat="1" x14ac:dyDescent="0.3">
      <c r="A164" s="44" t="s">
        <v>155</v>
      </c>
      <c r="B164" s="65" t="s">
        <v>127</v>
      </c>
      <c r="C164" s="66"/>
      <c r="D164" s="66"/>
      <c r="E164" s="66"/>
      <c r="F164" s="66"/>
      <c r="G164" s="66"/>
      <c r="H164" s="67"/>
    </row>
    <row r="165" spans="1:8" s="34" customFormat="1" x14ac:dyDescent="0.3">
      <c r="A165" s="44" t="s">
        <v>155</v>
      </c>
      <c r="B165" s="65" t="s">
        <v>228</v>
      </c>
      <c r="C165" s="66"/>
      <c r="D165" s="66"/>
      <c r="E165" s="66"/>
      <c r="F165" s="66"/>
      <c r="G165" s="66"/>
      <c r="H165" s="67"/>
    </row>
    <row r="166" spans="1:8" x14ac:dyDescent="0.3">
      <c r="A166" s="132" t="s">
        <v>60</v>
      </c>
      <c r="B166" s="132"/>
      <c r="C166" s="132"/>
      <c r="D166" s="132"/>
      <c r="E166" s="132"/>
      <c r="F166" s="132"/>
      <c r="G166" s="132"/>
      <c r="H166" s="132"/>
    </row>
    <row r="167" spans="1:8" x14ac:dyDescent="0.3">
      <c r="A167" s="91" t="s">
        <v>61</v>
      </c>
      <c r="B167" s="91"/>
      <c r="C167" s="91"/>
      <c r="D167" s="91"/>
      <c r="E167" s="91"/>
      <c r="F167" s="91"/>
      <c r="G167" s="91"/>
      <c r="H167" s="91"/>
    </row>
    <row r="168" spans="1:8" ht="15.75" customHeight="1" x14ac:dyDescent="0.3">
      <c r="A168" s="133" t="s">
        <v>62</v>
      </c>
      <c r="B168" s="133"/>
      <c r="C168" s="133"/>
      <c r="D168" s="133"/>
      <c r="E168" s="133"/>
      <c r="F168" s="133"/>
      <c r="G168" s="133"/>
      <c r="H168" s="133"/>
    </row>
    <row r="169" spans="1:8" x14ac:dyDescent="0.3">
      <c r="A169" s="91" t="s">
        <v>63</v>
      </c>
      <c r="B169" s="91"/>
      <c r="C169" s="91"/>
      <c r="D169" s="91"/>
      <c r="E169" s="91"/>
      <c r="F169" s="91"/>
      <c r="G169" s="91"/>
      <c r="H169" s="91"/>
    </row>
    <row r="170" spans="1:8" x14ac:dyDescent="0.3">
      <c r="A170" s="91" t="s">
        <v>64</v>
      </c>
      <c r="B170" s="91"/>
      <c r="C170" s="91"/>
      <c r="D170" s="91"/>
      <c r="E170" s="91"/>
      <c r="F170" s="91"/>
      <c r="G170" s="91"/>
      <c r="H170" s="91"/>
    </row>
    <row r="171" spans="1:8" x14ac:dyDescent="0.3">
      <c r="A171" s="91" t="s">
        <v>128</v>
      </c>
      <c r="B171" s="91"/>
      <c r="C171" s="91"/>
      <c r="D171" s="91"/>
      <c r="E171" s="91"/>
      <c r="F171" s="91"/>
      <c r="G171" s="91"/>
      <c r="H171" s="91"/>
    </row>
    <row r="172" spans="1:8" ht="34.5" customHeight="1" x14ac:dyDescent="0.3">
      <c r="A172" s="98" t="s">
        <v>129</v>
      </c>
      <c r="B172" s="98"/>
      <c r="C172" s="98"/>
      <c r="D172" s="98"/>
      <c r="E172" s="98"/>
      <c r="F172" s="98"/>
      <c r="G172" s="98"/>
      <c r="H172" s="98"/>
    </row>
    <row r="173" spans="1:8" ht="15.75" customHeight="1" x14ac:dyDescent="0.3">
      <c r="A173" s="127" t="s">
        <v>76</v>
      </c>
      <c r="B173" s="127"/>
      <c r="C173" s="127" t="s">
        <v>233</v>
      </c>
      <c r="D173" s="127"/>
      <c r="E173" s="127" t="s">
        <v>106</v>
      </c>
      <c r="F173" s="127"/>
      <c r="G173" s="127" t="s">
        <v>232</v>
      </c>
      <c r="H173" s="127"/>
    </row>
    <row r="174" spans="1:8" x14ac:dyDescent="0.3">
      <c r="A174" s="126" t="s">
        <v>78</v>
      </c>
      <c r="B174" s="126"/>
      <c r="C174" s="126"/>
      <c r="D174" s="126"/>
      <c r="E174" s="126"/>
      <c r="F174" s="126"/>
      <c r="G174" s="126"/>
      <c r="H174" s="126"/>
    </row>
    <row r="175" spans="1:8" x14ac:dyDescent="0.3">
      <c r="A175" s="126"/>
      <c r="B175" s="126"/>
      <c r="C175" s="126"/>
      <c r="D175" s="126"/>
      <c r="E175" s="126"/>
      <c r="F175" s="126"/>
      <c r="G175" s="126"/>
      <c r="H175" s="126"/>
    </row>
    <row r="176" spans="1:8" x14ac:dyDescent="0.3">
      <c r="A176" s="126"/>
      <c r="B176" s="126"/>
      <c r="C176" s="126"/>
      <c r="D176" s="126"/>
      <c r="E176" s="126"/>
      <c r="F176" s="126"/>
      <c r="G176" s="126"/>
      <c r="H176" s="126"/>
    </row>
    <row r="177" spans="1:8" x14ac:dyDescent="0.3">
      <c r="A177" s="126"/>
      <c r="B177" s="126"/>
      <c r="C177" s="126"/>
      <c r="D177" s="126"/>
      <c r="E177" s="126"/>
      <c r="F177" s="126"/>
      <c r="G177" s="126"/>
      <c r="H177" s="126"/>
    </row>
    <row r="178" spans="1:8" x14ac:dyDescent="0.3">
      <c r="A178" s="37" t="s">
        <v>65</v>
      </c>
      <c r="B178" s="38"/>
      <c r="C178" s="38"/>
      <c r="D178" s="37" t="str">
        <f>E8</f>
        <v>Meghna Bliss</v>
      </c>
      <c r="F178" s="38"/>
      <c r="G178" s="38"/>
      <c r="H178" s="38"/>
    </row>
    <row r="179" spans="1:8" x14ac:dyDescent="0.3">
      <c r="A179" s="38"/>
      <c r="B179" s="38"/>
      <c r="C179" s="38"/>
      <c r="D179" s="38"/>
      <c r="E179" s="38"/>
      <c r="F179" s="38"/>
      <c r="G179" s="38"/>
      <c r="H179" s="38"/>
    </row>
    <row r="180" spans="1:8" x14ac:dyDescent="0.3">
      <c r="A180" s="38"/>
      <c r="B180" s="38"/>
      <c r="C180" s="38"/>
      <c r="D180" s="38"/>
      <c r="E180" s="38"/>
      <c r="F180" s="38"/>
      <c r="G180" s="38"/>
      <c r="H180" s="38"/>
    </row>
    <row r="181" spans="1:8" ht="15" customHeight="1" x14ac:dyDescent="0.3"/>
    <row r="220" spans="1:1" x14ac:dyDescent="0.3">
      <c r="A220" s="40" t="s">
        <v>166</v>
      </c>
    </row>
    <row r="252" spans="1:1" x14ac:dyDescent="0.3">
      <c r="A252" s="40" t="s">
        <v>66</v>
      </c>
    </row>
  </sheetData>
  <mergeCells count="324">
    <mergeCell ref="I33:I36"/>
    <mergeCell ref="B163:H163"/>
    <mergeCell ref="A48:B48"/>
    <mergeCell ref="C48:H48"/>
    <mergeCell ref="B161:H161"/>
    <mergeCell ref="F82:H82"/>
    <mergeCell ref="A82:E82"/>
    <mergeCell ref="D105:D106"/>
    <mergeCell ref="A84:E84"/>
    <mergeCell ref="A108:B108"/>
    <mergeCell ref="A109:B109"/>
    <mergeCell ref="A87:E87"/>
    <mergeCell ref="A89:E89"/>
    <mergeCell ref="F83:H83"/>
    <mergeCell ref="A88:E88"/>
    <mergeCell ref="A83:E83"/>
    <mergeCell ref="A80:E80"/>
    <mergeCell ref="F84:H84"/>
    <mergeCell ref="A85:E85"/>
    <mergeCell ref="A101:B101"/>
    <mergeCell ref="E101:F101"/>
    <mergeCell ref="B113:B114"/>
    <mergeCell ref="A145:H145"/>
    <mergeCell ref="A116:B116"/>
    <mergeCell ref="A148:B148"/>
    <mergeCell ref="A129:B129"/>
    <mergeCell ref="A110:B110"/>
    <mergeCell ref="L111:M111"/>
    <mergeCell ref="L110:M110"/>
    <mergeCell ref="G113:H114"/>
    <mergeCell ref="A131:B131"/>
    <mergeCell ref="A132:B132"/>
    <mergeCell ref="A133:B133"/>
    <mergeCell ref="A134:B134"/>
    <mergeCell ref="A136:B136"/>
    <mergeCell ref="G126:H134"/>
    <mergeCell ref="A122:B122"/>
    <mergeCell ref="L122:M122"/>
    <mergeCell ref="A123:B123"/>
    <mergeCell ref="L123:M123"/>
    <mergeCell ref="A124:B124"/>
    <mergeCell ref="L124:M124"/>
    <mergeCell ref="L125:M125"/>
    <mergeCell ref="L116:M116"/>
    <mergeCell ref="C148:F148"/>
    <mergeCell ref="L118:M118"/>
    <mergeCell ref="L109:M109"/>
    <mergeCell ref="L108:M108"/>
    <mergeCell ref="A77:B77"/>
    <mergeCell ref="C100:D100"/>
    <mergeCell ref="E100:F100"/>
    <mergeCell ref="G100:H100"/>
    <mergeCell ref="F87:H87"/>
    <mergeCell ref="A81:E81"/>
    <mergeCell ref="A107:H107"/>
    <mergeCell ref="E105:E106"/>
    <mergeCell ref="G105:H106"/>
    <mergeCell ref="E97:F97"/>
    <mergeCell ref="F80:H80"/>
    <mergeCell ref="F85:H85"/>
    <mergeCell ref="A91:E91"/>
    <mergeCell ref="G101:H101"/>
    <mergeCell ref="G97:H97"/>
    <mergeCell ref="A97:B97"/>
    <mergeCell ref="C97:D97"/>
    <mergeCell ref="C105:C106"/>
    <mergeCell ref="A86:E86"/>
    <mergeCell ref="F86:H86"/>
    <mergeCell ref="G70:H79"/>
    <mergeCell ref="F90:H90"/>
    <mergeCell ref="D60:H60"/>
    <mergeCell ref="A43:D43"/>
    <mergeCell ref="E43:H43"/>
    <mergeCell ref="E44:H44"/>
    <mergeCell ref="E45:H45"/>
    <mergeCell ref="E46:H46"/>
    <mergeCell ref="A44:D44"/>
    <mergeCell ref="A45:D45"/>
    <mergeCell ref="A76:B76"/>
    <mergeCell ref="A69:B69"/>
    <mergeCell ref="A72:B72"/>
    <mergeCell ref="A68:B68"/>
    <mergeCell ref="A66:B66"/>
    <mergeCell ref="C66:H66"/>
    <mergeCell ref="A74:B74"/>
    <mergeCell ref="A61:C61"/>
    <mergeCell ref="D61:H61"/>
    <mergeCell ref="C68:H68"/>
    <mergeCell ref="A71:B71"/>
    <mergeCell ref="A73:B73"/>
    <mergeCell ref="E69:F69"/>
    <mergeCell ref="A62:C62"/>
    <mergeCell ref="D62:H62"/>
    <mergeCell ref="A65:C65"/>
    <mergeCell ref="A37:H37"/>
    <mergeCell ref="A36:B36"/>
    <mergeCell ref="A41:D41"/>
    <mergeCell ref="E41:H41"/>
    <mergeCell ref="A40:H40"/>
    <mergeCell ref="A59:C59"/>
    <mergeCell ref="A60:C60"/>
    <mergeCell ref="D59:H59"/>
    <mergeCell ref="F36:H36"/>
    <mergeCell ref="A38:B38"/>
    <mergeCell ref="C38:H38"/>
    <mergeCell ref="A39:B39"/>
    <mergeCell ref="C39:H39"/>
    <mergeCell ref="C36:E36"/>
    <mergeCell ref="A46:D46"/>
    <mergeCell ref="A47:H47"/>
    <mergeCell ref="D57:H57"/>
    <mergeCell ref="A57:C57"/>
    <mergeCell ref="G50:H50"/>
    <mergeCell ref="C50:E50"/>
    <mergeCell ref="A53:B53"/>
    <mergeCell ref="C53:E53"/>
    <mergeCell ref="A50:B50"/>
    <mergeCell ref="A54:H54"/>
    <mergeCell ref="E26:H26"/>
    <mergeCell ref="A28:D28"/>
    <mergeCell ref="E28:H28"/>
    <mergeCell ref="A25:D25"/>
    <mergeCell ref="E25:H25"/>
    <mergeCell ref="A29:D29"/>
    <mergeCell ref="E29:H29"/>
    <mergeCell ref="A26:D26"/>
    <mergeCell ref="A35:B35"/>
    <mergeCell ref="C35:E35"/>
    <mergeCell ref="A30:D30"/>
    <mergeCell ref="E30:H30"/>
    <mergeCell ref="A31:D31"/>
    <mergeCell ref="E31:H31"/>
    <mergeCell ref="A27:D27"/>
    <mergeCell ref="E27:H27"/>
    <mergeCell ref="C32:E32"/>
    <mergeCell ref="F35:H35"/>
    <mergeCell ref="F32:H32"/>
    <mergeCell ref="A33:B33"/>
    <mergeCell ref="A32:B32"/>
    <mergeCell ref="A34:B34"/>
    <mergeCell ref="C34:E34"/>
    <mergeCell ref="C33:E33"/>
    <mergeCell ref="A24:D24"/>
    <mergeCell ref="E24:H24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A21:B21"/>
    <mergeCell ref="C21:D21"/>
    <mergeCell ref="E21:F21"/>
    <mergeCell ref="G21:H21"/>
    <mergeCell ref="E13:H13"/>
    <mergeCell ref="A14:D14"/>
    <mergeCell ref="A10:D10"/>
    <mergeCell ref="E10:H10"/>
    <mergeCell ref="A22:D23"/>
    <mergeCell ref="E22:H23"/>
    <mergeCell ref="E14:H14"/>
    <mergeCell ref="A15:B15"/>
    <mergeCell ref="C15:H15"/>
    <mergeCell ref="C16:H16"/>
    <mergeCell ref="A17:B17"/>
    <mergeCell ref="C17:H17"/>
    <mergeCell ref="A12:D12"/>
    <mergeCell ref="E12:H12"/>
    <mergeCell ref="A11:D11"/>
    <mergeCell ref="E11:H11"/>
    <mergeCell ref="A16:B16"/>
    <mergeCell ref="A13:D13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5:D5"/>
    <mergeCell ref="E5:H5"/>
    <mergeCell ref="A6:D6"/>
    <mergeCell ref="E6:H6"/>
    <mergeCell ref="A7:D7"/>
    <mergeCell ref="E7:H7"/>
    <mergeCell ref="D65:H65"/>
    <mergeCell ref="A63:C63"/>
    <mergeCell ref="E70:F79"/>
    <mergeCell ref="D63:H63"/>
    <mergeCell ref="A64:C64"/>
    <mergeCell ref="D64:H64"/>
    <mergeCell ref="A70:B70"/>
    <mergeCell ref="G69:H69"/>
    <mergeCell ref="A79:B79"/>
    <mergeCell ref="A78:B78"/>
    <mergeCell ref="A174:H177"/>
    <mergeCell ref="A173:B173"/>
    <mergeCell ref="E173:F173"/>
    <mergeCell ref="C173:D173"/>
    <mergeCell ref="G173:H173"/>
    <mergeCell ref="A94:H94"/>
    <mergeCell ref="A92:E92"/>
    <mergeCell ref="F92:H92"/>
    <mergeCell ref="A93:E93"/>
    <mergeCell ref="F93:H93"/>
    <mergeCell ref="A125:H125"/>
    <mergeCell ref="A100:B100"/>
    <mergeCell ref="A147:B147"/>
    <mergeCell ref="A96:B96"/>
    <mergeCell ref="A169:H169"/>
    <mergeCell ref="A98:H98"/>
    <mergeCell ref="A172:H172"/>
    <mergeCell ref="A170:H170"/>
    <mergeCell ref="A166:H166"/>
    <mergeCell ref="A115:H115"/>
    <mergeCell ref="A171:H171"/>
    <mergeCell ref="A168:H168"/>
    <mergeCell ref="D113:D114"/>
    <mergeCell ref="E113:E114"/>
    <mergeCell ref="A95:B95"/>
    <mergeCell ref="C99:D99"/>
    <mergeCell ref="A167:H167"/>
    <mergeCell ref="E99:F99"/>
    <mergeCell ref="B165:H165"/>
    <mergeCell ref="B162:H162"/>
    <mergeCell ref="B158:H158"/>
    <mergeCell ref="A103:H103"/>
    <mergeCell ref="B156:H156"/>
    <mergeCell ref="B157:H157"/>
    <mergeCell ref="G99:H99"/>
    <mergeCell ref="A112:H112"/>
    <mergeCell ref="A113:A114"/>
    <mergeCell ref="A130:B130"/>
    <mergeCell ref="A127:B127"/>
    <mergeCell ref="A128:B128"/>
    <mergeCell ref="A117:B117"/>
    <mergeCell ref="A118:B118"/>
    <mergeCell ref="B159:H159"/>
    <mergeCell ref="B160:H160"/>
    <mergeCell ref="A149:B149"/>
    <mergeCell ref="A126:B126"/>
    <mergeCell ref="A142:B142"/>
    <mergeCell ref="A111:B111"/>
    <mergeCell ref="A55:C55"/>
    <mergeCell ref="A56:C56"/>
    <mergeCell ref="D56:H56"/>
    <mergeCell ref="G53:H53"/>
    <mergeCell ref="F34:H34"/>
    <mergeCell ref="F33:H33"/>
    <mergeCell ref="A102:B102"/>
    <mergeCell ref="C102:D102"/>
    <mergeCell ref="E102:F102"/>
    <mergeCell ref="G102:H102"/>
    <mergeCell ref="E42:H42"/>
    <mergeCell ref="A42:D42"/>
    <mergeCell ref="A99:B99"/>
    <mergeCell ref="A75:B75"/>
    <mergeCell ref="F81:H81"/>
    <mergeCell ref="G96:H96"/>
    <mergeCell ref="A49:B49"/>
    <mergeCell ref="C49:E49"/>
    <mergeCell ref="G49:H49"/>
    <mergeCell ref="G51:H51"/>
    <mergeCell ref="D55:H55"/>
    <mergeCell ref="C51:E51"/>
    <mergeCell ref="C52:H52"/>
    <mergeCell ref="E95:F95"/>
    <mergeCell ref="A155:H155"/>
    <mergeCell ref="A120:B120"/>
    <mergeCell ref="L120:M120"/>
    <mergeCell ref="A121:B121"/>
    <mergeCell ref="L121:M121"/>
    <mergeCell ref="G108:H111"/>
    <mergeCell ref="A58:C58"/>
    <mergeCell ref="D58:H58"/>
    <mergeCell ref="F88:H88"/>
    <mergeCell ref="C95:D95"/>
    <mergeCell ref="F91:H91"/>
    <mergeCell ref="F89:H89"/>
    <mergeCell ref="A104:H104"/>
    <mergeCell ref="G95:H95"/>
    <mergeCell ref="A90:E90"/>
    <mergeCell ref="C96:D96"/>
    <mergeCell ref="E96:F96"/>
    <mergeCell ref="B105:B106"/>
    <mergeCell ref="A105:A106"/>
    <mergeCell ref="C113:C114"/>
    <mergeCell ref="C101:D101"/>
    <mergeCell ref="G116:H124"/>
    <mergeCell ref="L119:M119"/>
    <mergeCell ref="L117:M117"/>
    <mergeCell ref="A51:B52"/>
    <mergeCell ref="B164:H164"/>
    <mergeCell ref="A119:B119"/>
    <mergeCell ref="C140:F140"/>
    <mergeCell ref="C136:F136"/>
    <mergeCell ref="A151:B151"/>
    <mergeCell ref="A152:B152"/>
    <mergeCell ref="A153:B153"/>
    <mergeCell ref="A154:B154"/>
    <mergeCell ref="G146:H154"/>
    <mergeCell ref="A146:B146"/>
    <mergeCell ref="A150:B150"/>
    <mergeCell ref="C150:F150"/>
    <mergeCell ref="C153:F153"/>
    <mergeCell ref="C146:F146"/>
    <mergeCell ref="A143:B143"/>
    <mergeCell ref="A144:B144"/>
    <mergeCell ref="G136:H144"/>
    <mergeCell ref="A137:B137"/>
    <mergeCell ref="A138:B138"/>
    <mergeCell ref="A139:B139"/>
    <mergeCell ref="A140:B140"/>
    <mergeCell ref="A141:B141"/>
    <mergeCell ref="A135:H135"/>
  </mergeCells>
  <dataValidations count="7">
    <dataValidation type="list" allowBlank="1" showInputMessage="1" showErrorMessage="1" sqref="E4:H4" xr:uid="{00000000-0002-0000-0000-000000000000}">
      <formula1>"Axis Goregaon,Axis Thane,Axis Badlapur,Axis Sanpada, PNB Thane"</formula1>
    </dataValidation>
    <dataValidation type="list" allowBlank="1" showInputMessage="1" showErrorMessage="1" sqref="A16:B16" xr:uid="{00000000-0002-0000-0000-000001000000}">
      <formula1>"CTS No,Survey No,Plot No,Gut No,FP No,"</formula1>
    </dataValidation>
    <dataValidation type="list" allowBlank="1" showInputMessage="1" showErrorMessage="1" sqref="G19:H19" xr:uid="{00000000-0002-0000-0000-000002000000}">
      <formula1>"Mumbai,Thane,Palghar,Raigad,Pune"</formula1>
    </dataValidation>
    <dataValidation type="list" allowBlank="1" showInputMessage="1" showErrorMessage="1" sqref="E105:E106" xr:uid="{00000000-0002-0000-0000-000003000000}">
      <formula1>"Attached Loft area,Attached Terrace area,Attached Mezzanine area"</formula1>
    </dataValidation>
    <dataValidation type="list" allowBlank="1" showInputMessage="1" showErrorMessage="1" sqref="F106 F114" xr:uid="{00000000-0002-0000-0000-000004000000}">
      <formula1>"45%,50%,55%,60%"</formula1>
    </dataValidation>
    <dataValidation type="list" allowBlank="1" showInputMessage="1" showErrorMessage="1" sqref="F80:H80" xr:uid="{00000000-0002-0000-0000-000005000000}">
      <formula1>"On Saleable Area,On Builtup Area,On Carpet Area,On Plot Area"</formula1>
    </dataValidation>
    <dataValidation type="list" allowBlank="1" showInputMessage="1" showErrorMessage="1" sqref="F92:H92" xr:uid="{00000000-0002-0000-0000-000006000000}">
      <formula1>"100000,150000,200000,250000,300000,350000,400000,500000,600000,700000,800000,900000,1000000,1200000,1400000,1500000"</formula1>
    </dataValidation>
  </dataValidations>
  <hyperlinks>
    <hyperlink ref="C39" r:id="rId1" xr:uid="{00000000-0004-0000-0000-000000000000}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5" manualBreakCount="5">
    <brk id="65" max="7" man="1"/>
    <brk id="154" max="7" man="1"/>
    <brk id="177" max="16383" man="1"/>
    <brk id="219" max="16383" man="1"/>
    <brk id="251" max="16383" man="1"/>
  </rowBreaks>
  <drawing r:id="rId3"/>
  <legacyDrawing r:id="rId4"/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topLeftCell="A76" zoomScale="85" zoomScaleNormal="85" workbookViewId="0">
      <selection activeCell="A93" sqref="A93:XFD93"/>
    </sheetView>
  </sheetViews>
  <sheetFormatPr defaultColWidth="8.6640625" defaultRowHeight="14.4" x14ac:dyDescent="0.3"/>
  <cols>
    <col min="1" max="1" width="8.6640625" style="1"/>
    <col min="2" max="2" width="22.109375" style="1" customWidth="1"/>
    <col min="3" max="3" width="37" style="1" customWidth="1"/>
    <col min="4" max="5" width="11.44140625" style="1" customWidth="1"/>
    <col min="6" max="6" width="14" style="1" customWidth="1"/>
    <col min="7" max="7" width="20" style="1" customWidth="1"/>
    <col min="8" max="8" width="16.44140625" style="1" customWidth="1"/>
    <col min="9" max="16384" width="8.6640625" style="1"/>
  </cols>
  <sheetData>
    <row r="1" spans="1:9" ht="15" customHeight="1" x14ac:dyDescent="0.3"/>
    <row r="2" spans="1:9" ht="15" customHeight="1" x14ac:dyDescent="0.3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">
      <c r="A3" s="2"/>
      <c r="B3" s="190" t="s">
        <v>107</v>
      </c>
      <c r="C3" s="190"/>
      <c r="D3" s="190"/>
      <c r="E3" s="190"/>
      <c r="F3" s="190"/>
      <c r="G3" s="190"/>
      <c r="H3" s="190"/>
    </row>
    <row r="4" spans="1:9" x14ac:dyDescent="0.3">
      <c r="A4" s="2"/>
      <c r="B4" s="3" t="s">
        <v>108</v>
      </c>
      <c r="C4" s="3" t="s">
        <v>109</v>
      </c>
      <c r="D4" s="3" t="s">
        <v>67</v>
      </c>
      <c r="E4" s="3" t="s">
        <v>110</v>
      </c>
      <c r="F4" s="3" t="s">
        <v>116</v>
      </c>
      <c r="G4" s="3" t="s">
        <v>117</v>
      </c>
      <c r="H4" s="3" t="s">
        <v>111</v>
      </c>
    </row>
    <row r="5" spans="1:9" ht="15" customHeight="1" x14ac:dyDescent="0.3">
      <c r="A5" s="2"/>
      <c r="B5" s="5" t="s">
        <v>112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">
      <c r="A6" s="2"/>
      <c r="B6" s="5" t="s">
        <v>112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">
      <c r="A7" s="2"/>
      <c r="B7" s="5" t="s">
        <v>112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">
      <c r="A8" s="2"/>
      <c r="B8" s="5" t="s">
        <v>112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">
      <c r="A9" s="2"/>
      <c r="B9" s="5" t="s">
        <v>112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">
      <c r="A10" s="2"/>
      <c r="B10" s="5" t="s">
        <v>113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">
      <c r="A11" s="2"/>
      <c r="B11" s="5" t="s">
        <v>113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">
      <c r="A12" s="2"/>
      <c r="B12" s="10" t="s">
        <v>114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">
      <c r="B13" s="10" t="s">
        <v>115</v>
      </c>
      <c r="C13" s="5"/>
      <c r="D13" s="5"/>
      <c r="E13" s="5"/>
      <c r="F13" s="12"/>
      <c r="G13" s="10"/>
      <c r="H13" s="10"/>
      <c r="I13" s="4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zoomScale="70" zoomScaleNormal="70" workbookViewId="0">
      <selection activeCell="E24" sqref="E24"/>
    </sheetView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pranitam503@gmail.com</cp:lastModifiedBy>
  <cp:lastPrinted>2025-09-12T10:31:53Z</cp:lastPrinted>
  <dcterms:created xsi:type="dcterms:W3CDTF">2019-07-16T09:29:46Z</dcterms:created>
  <dcterms:modified xsi:type="dcterms:W3CDTF">2025-09-12T10:48:57Z</dcterms:modified>
</cp:coreProperties>
</file>