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Report!$A$1:$H$1243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09" i="1" l="1"/>
  <c r="J192" i="1"/>
  <c r="J191" i="1"/>
  <c r="J190" i="1"/>
  <c r="J189" i="1"/>
  <c r="J122" i="1" l="1"/>
  <c r="J121" i="1"/>
  <c r="J120" i="1"/>
  <c r="J119" i="1"/>
  <c r="J150" i="1" l="1"/>
  <c r="J149" i="1"/>
  <c r="J148" i="1"/>
  <c r="J147" i="1"/>
  <c r="H140" i="1"/>
  <c r="J144" i="1" l="1"/>
  <c r="C143" i="1" s="1"/>
  <c r="J142" i="1"/>
  <c r="D152" i="1"/>
  <c r="D148" i="1"/>
  <c r="D146" i="1"/>
  <c r="D149" i="1"/>
  <c r="D145" i="1"/>
  <c r="D151" i="1"/>
  <c r="D147" i="1"/>
  <c r="J143" i="1"/>
  <c r="J145" i="1"/>
  <c r="J146" i="1" s="1"/>
  <c r="J151" i="1" s="1"/>
  <c r="J152" i="1" s="1"/>
  <c r="C144" i="1" s="1"/>
  <c r="J139" i="1"/>
  <c r="J141" i="1" s="1"/>
  <c r="D150" i="1"/>
  <c r="D1031" i="1"/>
  <c r="F1031" i="1" s="1"/>
  <c r="D1030" i="1"/>
  <c r="F1030" i="1" s="1"/>
  <c r="D1029" i="1"/>
  <c r="F1029" i="1" s="1"/>
  <c r="A1029" i="1"/>
  <c r="D1028" i="1"/>
  <c r="F1028" i="1" s="1"/>
  <c r="A1027" i="1"/>
  <c r="G1026" i="1"/>
  <c r="D1026" i="1"/>
  <c r="F1026" i="1" s="1"/>
  <c r="D1024" i="1"/>
  <c r="F1024" i="1" s="1"/>
  <c r="D1023" i="1"/>
  <c r="F1023" i="1" s="1"/>
  <c r="D1022" i="1"/>
  <c r="F1022" i="1" s="1"/>
  <c r="A1022" i="1"/>
  <c r="D1021" i="1"/>
  <c r="F1021" i="1" s="1"/>
  <c r="A1020" i="1"/>
  <c r="G1019" i="1"/>
  <c r="D1019" i="1"/>
  <c r="F1019" i="1" s="1"/>
  <c r="D1017" i="1"/>
  <c r="F1017" i="1" s="1"/>
  <c r="D1016" i="1"/>
  <c r="F1016" i="1" s="1"/>
  <c r="D1015" i="1"/>
  <c r="F1015" i="1" s="1"/>
  <c r="D1014" i="1"/>
  <c r="F1014" i="1" s="1"/>
  <c r="A1013" i="1"/>
  <c r="A1014" i="1" s="1"/>
  <c r="A1015" i="1" s="1"/>
  <c r="A1016" i="1" s="1"/>
  <c r="G1012" i="1"/>
  <c r="D1012" i="1"/>
  <c r="F1012" i="1" s="1"/>
  <c r="D728" i="1"/>
  <c r="F728" i="1" s="1"/>
  <c r="D727" i="1"/>
  <c r="F727" i="1" s="1"/>
  <c r="D726" i="1"/>
  <c r="F726" i="1" s="1"/>
  <c r="A726" i="1"/>
  <c r="D725" i="1"/>
  <c r="F725" i="1" s="1"/>
  <c r="A724" i="1"/>
  <c r="G723" i="1"/>
  <c r="D723" i="1"/>
  <c r="F723" i="1" s="1"/>
  <c r="D720" i="1"/>
  <c r="F720" i="1" s="1"/>
  <c r="A717" i="1"/>
  <c r="D713" i="1"/>
  <c r="F713" i="1" s="1"/>
  <c r="E143" i="1" l="1"/>
  <c r="D144" i="1"/>
  <c r="G143" i="1"/>
  <c r="D143" i="1"/>
  <c r="J164" i="1"/>
  <c r="J163" i="1"/>
  <c r="J162" i="1"/>
  <c r="J161" i="1"/>
  <c r="I140" i="1" l="1"/>
  <c r="I141" i="1" s="1"/>
  <c r="J140" i="1"/>
  <c r="K56" i="1"/>
  <c r="L56" i="1"/>
  <c r="D958" i="1"/>
  <c r="F958" i="1" s="1"/>
  <c r="D957" i="1"/>
  <c r="F957" i="1" s="1"/>
  <c r="D956" i="1"/>
  <c r="F956" i="1" s="1"/>
  <c r="D955" i="1"/>
  <c r="F955" i="1" s="1"/>
  <c r="A954" i="1"/>
  <c r="A955" i="1" s="1"/>
  <c r="A956" i="1" s="1"/>
  <c r="A957" i="1" s="1"/>
  <c r="A958" i="1" s="1"/>
  <c r="G953" i="1"/>
  <c r="D953" i="1"/>
  <c r="F953" i="1" s="1"/>
  <c r="D951" i="1"/>
  <c r="F951" i="1" s="1"/>
  <c r="D950" i="1"/>
  <c r="F950" i="1" s="1"/>
  <c r="D949" i="1"/>
  <c r="F949" i="1" s="1"/>
  <c r="D948" i="1"/>
  <c r="F948" i="1" s="1"/>
  <c r="A947" i="1"/>
  <c r="A948" i="1" s="1"/>
  <c r="A949" i="1" s="1"/>
  <c r="A950" i="1" s="1"/>
  <c r="A951" i="1" s="1"/>
  <c r="G946" i="1"/>
  <c r="D946" i="1"/>
  <c r="F946" i="1" s="1"/>
  <c r="D944" i="1"/>
  <c r="F944" i="1" s="1"/>
  <c r="D943" i="1"/>
  <c r="F943" i="1" s="1"/>
  <c r="D942" i="1"/>
  <c r="F942" i="1" s="1"/>
  <c r="D941" i="1"/>
  <c r="F941" i="1" s="1"/>
  <c r="A940" i="1"/>
  <c r="A941" i="1" s="1"/>
  <c r="A942" i="1" s="1"/>
  <c r="A943" i="1" s="1"/>
  <c r="A944" i="1" s="1"/>
  <c r="G939" i="1"/>
  <c r="D939" i="1"/>
  <c r="F939" i="1" s="1"/>
  <c r="D937" i="1"/>
  <c r="F937" i="1" s="1"/>
  <c r="D936" i="1"/>
  <c r="F936" i="1" s="1"/>
  <c r="D935" i="1"/>
  <c r="F935" i="1" s="1"/>
  <c r="D934" i="1"/>
  <c r="F934" i="1" s="1"/>
  <c r="D933" i="1"/>
  <c r="F933" i="1" s="1"/>
  <c r="A933" i="1"/>
  <c r="A934" i="1" s="1"/>
  <c r="A935" i="1" s="1"/>
  <c r="A936" i="1" s="1"/>
  <c r="A937" i="1" s="1"/>
  <c r="G932" i="1"/>
  <c r="D932" i="1"/>
  <c r="F932" i="1" s="1"/>
  <c r="D930" i="1"/>
  <c r="F930" i="1" s="1"/>
  <c r="D929" i="1"/>
  <c r="F929" i="1" s="1"/>
  <c r="D928" i="1"/>
  <c r="F928" i="1" s="1"/>
  <c r="D927" i="1"/>
  <c r="F927" i="1" s="1"/>
  <c r="D926" i="1"/>
  <c r="F926" i="1" s="1"/>
  <c r="A926" i="1"/>
  <c r="A927" i="1" s="1"/>
  <c r="A928" i="1" s="1"/>
  <c r="A929" i="1" s="1"/>
  <c r="A930" i="1" s="1"/>
  <c r="G925" i="1"/>
  <c r="D925" i="1"/>
  <c r="F925" i="1" s="1"/>
  <c r="D923" i="1"/>
  <c r="F923" i="1" s="1"/>
  <c r="D921" i="1"/>
  <c r="F921" i="1" s="1"/>
  <c r="D920" i="1"/>
  <c r="F920" i="1" s="1"/>
  <c r="D919" i="1"/>
  <c r="F919" i="1" s="1"/>
  <c r="A919" i="1"/>
  <c r="A920" i="1" s="1"/>
  <c r="A921" i="1" s="1"/>
  <c r="A922" i="1" s="1"/>
  <c r="A923" i="1" s="1"/>
  <c r="G918" i="1"/>
  <c r="D918" i="1"/>
  <c r="F918" i="1" s="1"/>
  <c r="D916" i="1"/>
  <c r="F916" i="1" s="1"/>
  <c r="D914" i="1"/>
  <c r="F914" i="1" s="1"/>
  <c r="D913" i="1"/>
  <c r="F913" i="1" s="1"/>
  <c r="D912" i="1"/>
  <c r="F912" i="1" s="1"/>
  <c r="A912" i="1"/>
  <c r="A913" i="1" s="1"/>
  <c r="A914" i="1" s="1"/>
  <c r="A915" i="1" s="1"/>
  <c r="A916" i="1" s="1"/>
  <c r="G911" i="1"/>
  <c r="D911" i="1"/>
  <c r="F911" i="1" s="1"/>
  <c r="D909" i="1"/>
  <c r="F909" i="1" s="1"/>
  <c r="D907" i="1"/>
  <c r="F907" i="1" s="1"/>
  <c r="D906" i="1"/>
  <c r="F906" i="1" s="1"/>
  <c r="D905" i="1"/>
  <c r="F905" i="1" s="1"/>
  <c r="A905" i="1"/>
  <c r="A906" i="1" s="1"/>
  <c r="A907" i="1" s="1"/>
  <c r="A908" i="1" s="1"/>
  <c r="A909" i="1" s="1"/>
  <c r="G904" i="1"/>
  <c r="D904" i="1"/>
  <c r="F904" i="1" s="1"/>
  <c r="D902" i="1"/>
  <c r="F902" i="1" s="1"/>
  <c r="D901" i="1"/>
  <c r="F901" i="1" s="1"/>
  <c r="D900" i="1"/>
  <c r="F900" i="1" s="1"/>
  <c r="D899" i="1"/>
  <c r="F899" i="1" s="1"/>
  <c r="D898" i="1"/>
  <c r="F898" i="1" s="1"/>
  <c r="A898" i="1"/>
  <c r="A899" i="1" s="1"/>
  <c r="A900" i="1" s="1"/>
  <c r="A901" i="1" s="1"/>
  <c r="A902" i="1" s="1"/>
  <c r="G897" i="1"/>
  <c r="D897" i="1"/>
  <c r="F897" i="1" s="1"/>
  <c r="D895" i="1"/>
  <c r="F895" i="1" s="1"/>
  <c r="D894" i="1"/>
  <c r="F894" i="1" s="1"/>
  <c r="D893" i="1"/>
  <c r="F893" i="1" s="1"/>
  <c r="D892" i="1"/>
  <c r="F892" i="1" s="1"/>
  <c r="D891" i="1"/>
  <c r="F891" i="1" s="1"/>
  <c r="A891" i="1"/>
  <c r="A892" i="1" s="1"/>
  <c r="A893" i="1" s="1"/>
  <c r="A894" i="1" s="1"/>
  <c r="A895" i="1" s="1"/>
  <c r="G890" i="1"/>
  <c r="D890" i="1"/>
  <c r="F890" i="1" s="1"/>
  <c r="E888" i="1"/>
  <c r="D888" i="1"/>
  <c r="D887" i="1"/>
  <c r="F887" i="1" s="1"/>
  <c r="K886" i="1"/>
  <c r="J886" i="1"/>
  <c r="D886" i="1"/>
  <c r="F886" i="1" s="1"/>
  <c r="J885" i="1"/>
  <c r="D885" i="1"/>
  <c r="F885" i="1" s="1"/>
  <c r="D884" i="1"/>
  <c r="F884" i="1" s="1"/>
  <c r="A884" i="1"/>
  <c r="A885" i="1" s="1"/>
  <c r="A886" i="1" s="1"/>
  <c r="A887" i="1" s="1"/>
  <c r="A888" i="1" s="1"/>
  <c r="K883" i="1"/>
  <c r="J883" i="1"/>
  <c r="G883" i="1"/>
  <c r="E883" i="1"/>
  <c r="D883" i="1"/>
  <c r="J882" i="1"/>
  <c r="D879" i="1"/>
  <c r="F879" i="1" s="1"/>
  <c r="D878" i="1"/>
  <c r="F878" i="1" s="1"/>
  <c r="D877" i="1"/>
  <c r="F877" i="1" s="1"/>
  <c r="D876" i="1"/>
  <c r="F876" i="1" s="1"/>
  <c r="D875" i="1"/>
  <c r="F875" i="1" s="1"/>
  <c r="A875" i="1"/>
  <c r="A876" i="1" s="1"/>
  <c r="A877" i="1" s="1"/>
  <c r="A878" i="1" s="1"/>
  <c r="A879" i="1" s="1"/>
  <c r="G874" i="1"/>
  <c r="D874" i="1"/>
  <c r="F874" i="1" s="1"/>
  <c r="D872" i="1"/>
  <c r="F872" i="1" s="1"/>
  <c r="D871" i="1"/>
  <c r="F871" i="1" s="1"/>
  <c r="D870" i="1"/>
  <c r="F870" i="1" s="1"/>
  <c r="D869" i="1"/>
  <c r="F869" i="1" s="1"/>
  <c r="A868" i="1"/>
  <c r="A869" i="1" s="1"/>
  <c r="A870" i="1" s="1"/>
  <c r="A871" i="1" s="1"/>
  <c r="A872" i="1" s="1"/>
  <c r="G867" i="1"/>
  <c r="D867" i="1"/>
  <c r="F867" i="1" s="1"/>
  <c r="D865" i="1"/>
  <c r="F865" i="1" s="1"/>
  <c r="D864" i="1"/>
  <c r="F864" i="1" s="1"/>
  <c r="D863" i="1"/>
  <c r="F863" i="1" s="1"/>
  <c r="D862" i="1"/>
  <c r="F862" i="1" s="1"/>
  <c r="A861" i="1"/>
  <c r="A862" i="1" s="1"/>
  <c r="A863" i="1" s="1"/>
  <c r="A864" i="1" s="1"/>
  <c r="A865" i="1" s="1"/>
  <c r="G860" i="1"/>
  <c r="D860" i="1"/>
  <c r="F860" i="1" s="1"/>
  <c r="D858" i="1"/>
  <c r="F858" i="1" s="1"/>
  <c r="D857" i="1"/>
  <c r="F857" i="1" s="1"/>
  <c r="D856" i="1"/>
  <c r="F856" i="1" s="1"/>
  <c r="D855" i="1"/>
  <c r="F855" i="1" s="1"/>
  <c r="A854" i="1"/>
  <c r="A855" i="1" s="1"/>
  <c r="A856" i="1" s="1"/>
  <c r="A857" i="1" s="1"/>
  <c r="A858" i="1" s="1"/>
  <c r="G853" i="1"/>
  <c r="D853" i="1"/>
  <c r="F853" i="1" s="1"/>
  <c r="D851" i="1"/>
  <c r="F851" i="1" s="1"/>
  <c r="D849" i="1"/>
  <c r="F849" i="1" s="1"/>
  <c r="D848" i="1"/>
  <c r="F848" i="1" s="1"/>
  <c r="D847" i="1"/>
  <c r="F847" i="1" s="1"/>
  <c r="A847" i="1"/>
  <c r="A848" i="1" s="1"/>
  <c r="A849" i="1" s="1"/>
  <c r="A850" i="1" s="1"/>
  <c r="A851" i="1" s="1"/>
  <c r="G846" i="1"/>
  <c r="D846" i="1"/>
  <c r="F846" i="1" s="1"/>
  <c r="D844" i="1"/>
  <c r="F844" i="1" s="1"/>
  <c r="D842" i="1"/>
  <c r="F842" i="1" s="1"/>
  <c r="D841" i="1"/>
  <c r="F841" i="1" s="1"/>
  <c r="D840" i="1"/>
  <c r="F840" i="1" s="1"/>
  <c r="A840" i="1"/>
  <c r="A841" i="1" s="1"/>
  <c r="A842" i="1" s="1"/>
  <c r="A843" i="1" s="1"/>
  <c r="A844" i="1" s="1"/>
  <c r="G839" i="1"/>
  <c r="D839" i="1"/>
  <c r="F839" i="1" s="1"/>
  <c r="D837" i="1"/>
  <c r="F837" i="1" s="1"/>
  <c r="D835" i="1"/>
  <c r="F835" i="1" s="1"/>
  <c r="D834" i="1"/>
  <c r="F834" i="1" s="1"/>
  <c r="D833" i="1"/>
  <c r="F833" i="1" s="1"/>
  <c r="A833" i="1"/>
  <c r="A834" i="1" s="1"/>
  <c r="A835" i="1" s="1"/>
  <c r="A836" i="1" s="1"/>
  <c r="A837" i="1" s="1"/>
  <c r="G832" i="1"/>
  <c r="D832" i="1"/>
  <c r="F832" i="1" s="1"/>
  <c r="D830" i="1"/>
  <c r="F830" i="1" s="1"/>
  <c r="D829" i="1"/>
  <c r="F829" i="1" s="1"/>
  <c r="D828" i="1"/>
  <c r="F828" i="1" s="1"/>
  <c r="D827" i="1"/>
  <c r="F827" i="1" s="1"/>
  <c r="D826" i="1"/>
  <c r="F826" i="1" s="1"/>
  <c r="A826" i="1"/>
  <c r="A827" i="1" s="1"/>
  <c r="A828" i="1" s="1"/>
  <c r="A829" i="1" s="1"/>
  <c r="A830" i="1" s="1"/>
  <c r="G825" i="1"/>
  <c r="D825" i="1"/>
  <c r="F825" i="1" s="1"/>
  <c r="D823" i="1"/>
  <c r="F823" i="1" s="1"/>
  <c r="D822" i="1"/>
  <c r="F822" i="1" s="1"/>
  <c r="D821" i="1"/>
  <c r="F821" i="1" s="1"/>
  <c r="D820" i="1"/>
  <c r="F820" i="1" s="1"/>
  <c r="D819" i="1"/>
  <c r="F819" i="1" s="1"/>
  <c r="A819" i="1"/>
  <c r="A820" i="1" s="1"/>
  <c r="A821" i="1" s="1"/>
  <c r="A822" i="1" s="1"/>
  <c r="A823" i="1" s="1"/>
  <c r="G818" i="1"/>
  <c r="D818" i="1"/>
  <c r="F818" i="1" s="1"/>
  <c r="E816" i="1"/>
  <c r="D816" i="1"/>
  <c r="D815" i="1"/>
  <c r="F815" i="1" s="1"/>
  <c r="D814" i="1"/>
  <c r="F814" i="1" s="1"/>
  <c r="D813" i="1"/>
  <c r="D812" i="1"/>
  <c r="F812" i="1" s="1"/>
  <c r="A812" i="1"/>
  <c r="A813" i="1" s="1"/>
  <c r="A814" i="1" s="1"/>
  <c r="A815" i="1" s="1"/>
  <c r="A816" i="1" s="1"/>
  <c r="G811" i="1"/>
  <c r="G812" i="1" s="1"/>
  <c r="G813" i="1" s="1"/>
  <c r="G814" i="1" s="1"/>
  <c r="G815" i="1" s="1"/>
  <c r="G816" i="1" s="1"/>
  <c r="E811" i="1"/>
  <c r="D811" i="1"/>
  <c r="D807" i="1"/>
  <c r="F807" i="1" s="1"/>
  <c r="D806" i="1"/>
  <c r="F806" i="1" s="1"/>
  <c r="D805" i="1"/>
  <c r="F805" i="1" s="1"/>
  <c r="D804" i="1"/>
  <c r="F804" i="1" s="1"/>
  <c r="A803" i="1"/>
  <c r="A804" i="1" s="1"/>
  <c r="A805" i="1" s="1"/>
  <c r="A806" i="1" s="1"/>
  <c r="A807" i="1" s="1"/>
  <c r="G802" i="1"/>
  <c r="G803" i="1" s="1"/>
  <c r="G804" i="1" s="1"/>
  <c r="G805" i="1" s="1"/>
  <c r="G806" i="1" s="1"/>
  <c r="G807" i="1" s="1"/>
  <c r="D802" i="1"/>
  <c r="F802" i="1" s="1"/>
  <c r="D800" i="1"/>
  <c r="F800" i="1" s="1"/>
  <c r="D799" i="1"/>
  <c r="F799" i="1" s="1"/>
  <c r="D798" i="1"/>
  <c r="F798" i="1" s="1"/>
  <c r="D797" i="1"/>
  <c r="F797" i="1" s="1"/>
  <c r="A796" i="1"/>
  <c r="A797" i="1" s="1"/>
  <c r="A798" i="1" s="1"/>
  <c r="A799" i="1" s="1"/>
  <c r="A800" i="1" s="1"/>
  <c r="G795" i="1"/>
  <c r="G796" i="1" s="1"/>
  <c r="G797" i="1" s="1"/>
  <c r="G798" i="1" s="1"/>
  <c r="G799" i="1" s="1"/>
  <c r="G800" i="1" s="1"/>
  <c r="D795" i="1"/>
  <c r="F795" i="1" s="1"/>
  <c r="D793" i="1"/>
  <c r="F793" i="1" s="1"/>
  <c r="D792" i="1"/>
  <c r="F792" i="1" s="1"/>
  <c r="D791" i="1"/>
  <c r="F791" i="1" s="1"/>
  <c r="D790" i="1"/>
  <c r="F790" i="1" s="1"/>
  <c r="A789" i="1"/>
  <c r="A790" i="1" s="1"/>
  <c r="A791" i="1" s="1"/>
  <c r="A792" i="1" s="1"/>
  <c r="A793" i="1" s="1"/>
  <c r="G788" i="1"/>
  <c r="G789" i="1" s="1"/>
  <c r="G790" i="1" s="1"/>
  <c r="G791" i="1" s="1"/>
  <c r="G792" i="1" s="1"/>
  <c r="G793" i="1" s="1"/>
  <c r="D788" i="1"/>
  <c r="F788" i="1" s="1"/>
  <c r="D786" i="1"/>
  <c r="F786" i="1" s="1"/>
  <c r="D785" i="1"/>
  <c r="F785" i="1" s="1"/>
  <c r="D784" i="1"/>
  <c r="F784" i="1" s="1"/>
  <c r="D783" i="1"/>
  <c r="F783" i="1" s="1"/>
  <c r="D782" i="1"/>
  <c r="F782" i="1" s="1"/>
  <c r="A782" i="1"/>
  <c r="A783" i="1" s="1"/>
  <c r="A784" i="1" s="1"/>
  <c r="A785" i="1" s="1"/>
  <c r="A786" i="1" s="1"/>
  <c r="G781" i="1"/>
  <c r="G782" i="1" s="1"/>
  <c r="G783" i="1" s="1"/>
  <c r="G784" i="1" s="1"/>
  <c r="G785" i="1" s="1"/>
  <c r="G786" i="1" s="1"/>
  <c r="D781" i="1"/>
  <c r="F781" i="1" s="1"/>
  <c r="D779" i="1"/>
  <c r="F779" i="1" s="1"/>
  <c r="D778" i="1"/>
  <c r="F778" i="1" s="1"/>
  <c r="D777" i="1"/>
  <c r="F777" i="1" s="1"/>
  <c r="D776" i="1"/>
  <c r="F776" i="1" s="1"/>
  <c r="D775" i="1"/>
  <c r="F775" i="1" s="1"/>
  <c r="A775" i="1"/>
  <c r="A776" i="1" s="1"/>
  <c r="A777" i="1" s="1"/>
  <c r="A778" i="1" s="1"/>
  <c r="A779" i="1" s="1"/>
  <c r="G774" i="1"/>
  <c r="G775" i="1" s="1"/>
  <c r="G776" i="1" s="1"/>
  <c r="G777" i="1" s="1"/>
  <c r="G778" i="1" s="1"/>
  <c r="G779" i="1" s="1"/>
  <c r="D774" i="1"/>
  <c r="F774" i="1" s="1"/>
  <c r="D772" i="1"/>
  <c r="F772" i="1" s="1"/>
  <c r="D770" i="1"/>
  <c r="F770" i="1" s="1"/>
  <c r="D769" i="1"/>
  <c r="F769" i="1" s="1"/>
  <c r="D768" i="1"/>
  <c r="F768" i="1" s="1"/>
  <c r="A768" i="1"/>
  <c r="A769" i="1" s="1"/>
  <c r="A770" i="1" s="1"/>
  <c r="A771" i="1" s="1"/>
  <c r="A772" i="1" s="1"/>
  <c r="G767" i="1"/>
  <c r="G768" i="1" s="1"/>
  <c r="G769" i="1" s="1"/>
  <c r="G770" i="1" s="1"/>
  <c r="G771" i="1" s="1"/>
  <c r="G772" i="1" s="1"/>
  <c r="D767" i="1"/>
  <c r="F767" i="1" s="1"/>
  <c r="D765" i="1"/>
  <c r="F765" i="1" s="1"/>
  <c r="D763" i="1"/>
  <c r="F763" i="1" s="1"/>
  <c r="D762" i="1"/>
  <c r="F762" i="1" s="1"/>
  <c r="D761" i="1"/>
  <c r="F761" i="1" s="1"/>
  <c r="A761" i="1"/>
  <c r="A762" i="1" s="1"/>
  <c r="A763" i="1" s="1"/>
  <c r="A764" i="1" s="1"/>
  <c r="A765" i="1" s="1"/>
  <c r="G760" i="1"/>
  <c r="G761" i="1" s="1"/>
  <c r="G762" i="1" s="1"/>
  <c r="G763" i="1" s="1"/>
  <c r="G764" i="1" s="1"/>
  <c r="G765" i="1" s="1"/>
  <c r="D760" i="1"/>
  <c r="F760" i="1" s="1"/>
  <c r="D758" i="1"/>
  <c r="F758" i="1" s="1"/>
  <c r="D756" i="1"/>
  <c r="F756" i="1" s="1"/>
  <c r="D755" i="1"/>
  <c r="F755" i="1" s="1"/>
  <c r="D754" i="1"/>
  <c r="F754" i="1" s="1"/>
  <c r="A754" i="1"/>
  <c r="A755" i="1" s="1"/>
  <c r="A756" i="1" s="1"/>
  <c r="A757" i="1" s="1"/>
  <c r="A758" i="1" s="1"/>
  <c r="G753" i="1"/>
  <c r="G754" i="1" s="1"/>
  <c r="G755" i="1" s="1"/>
  <c r="G756" i="1" s="1"/>
  <c r="G757" i="1" s="1"/>
  <c r="G758" i="1" s="1"/>
  <c r="D753" i="1"/>
  <c r="F753" i="1" s="1"/>
  <c r="D751" i="1"/>
  <c r="F751" i="1" s="1"/>
  <c r="D750" i="1"/>
  <c r="F750" i="1" s="1"/>
  <c r="D749" i="1"/>
  <c r="F749" i="1" s="1"/>
  <c r="D748" i="1"/>
  <c r="F748" i="1" s="1"/>
  <c r="D747" i="1"/>
  <c r="F747" i="1" s="1"/>
  <c r="A747" i="1"/>
  <c r="A748" i="1" s="1"/>
  <c r="A749" i="1" s="1"/>
  <c r="A750" i="1" s="1"/>
  <c r="A751" i="1" s="1"/>
  <c r="G746" i="1"/>
  <c r="G747" i="1" s="1"/>
  <c r="G748" i="1" s="1"/>
  <c r="G749" i="1" s="1"/>
  <c r="G750" i="1" s="1"/>
  <c r="G751" i="1" s="1"/>
  <c r="D746" i="1"/>
  <c r="F746" i="1" s="1"/>
  <c r="D744" i="1"/>
  <c r="F744" i="1" s="1"/>
  <c r="D743" i="1"/>
  <c r="F743" i="1" s="1"/>
  <c r="D742" i="1"/>
  <c r="F742" i="1" s="1"/>
  <c r="D741" i="1"/>
  <c r="F741" i="1" s="1"/>
  <c r="I741" i="1" s="1"/>
  <c r="D740" i="1"/>
  <c r="F740" i="1" s="1"/>
  <c r="A740" i="1"/>
  <c r="A741" i="1" s="1"/>
  <c r="A742" i="1" s="1"/>
  <c r="A743" i="1" s="1"/>
  <c r="A744" i="1" s="1"/>
  <c r="G739" i="1"/>
  <c r="G740" i="1" s="1"/>
  <c r="G741" i="1" s="1"/>
  <c r="G742" i="1" s="1"/>
  <c r="G743" i="1" s="1"/>
  <c r="G744" i="1" s="1"/>
  <c r="D739" i="1"/>
  <c r="F739" i="1" s="1"/>
  <c r="E737" i="1"/>
  <c r="D737" i="1"/>
  <c r="D736" i="1"/>
  <c r="F736" i="1" s="1"/>
  <c r="K735" i="1"/>
  <c r="J735" i="1"/>
  <c r="D735" i="1"/>
  <c r="F735" i="1" s="1"/>
  <c r="J734" i="1"/>
  <c r="D734" i="1"/>
  <c r="F734" i="1" s="1"/>
  <c r="D733" i="1"/>
  <c r="F733" i="1" s="1"/>
  <c r="A733" i="1"/>
  <c r="A734" i="1" s="1"/>
  <c r="A735" i="1" s="1"/>
  <c r="A736" i="1" s="1"/>
  <c r="A737" i="1" s="1"/>
  <c r="K732" i="1"/>
  <c r="J732" i="1"/>
  <c r="G732" i="1"/>
  <c r="E732" i="1"/>
  <c r="D732" i="1"/>
  <c r="J731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A338" i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J337" i="1"/>
  <c r="G337" i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E337" i="1"/>
  <c r="D337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E325" i="1"/>
  <c r="D325" i="1"/>
  <c r="E324" i="1"/>
  <c r="D324" i="1"/>
  <c r="E323" i="1"/>
  <c r="D323" i="1"/>
  <c r="A323" i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G322" i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E322" i="1"/>
  <c r="D322" i="1"/>
  <c r="E318" i="1"/>
  <c r="D318" i="1"/>
  <c r="E317" i="1"/>
  <c r="D317" i="1"/>
  <c r="E316" i="1"/>
  <c r="D316" i="1"/>
  <c r="E315" i="1"/>
  <c r="D315" i="1"/>
  <c r="E314" i="1"/>
  <c r="D314" i="1"/>
  <c r="E313" i="1"/>
  <c r="D313" i="1"/>
  <c r="E312" i="1"/>
  <c r="D312" i="1"/>
  <c r="E311" i="1"/>
  <c r="D311" i="1"/>
  <c r="E310" i="1"/>
  <c r="D310" i="1"/>
  <c r="E309" i="1"/>
  <c r="D309" i="1"/>
  <c r="E308" i="1"/>
  <c r="D308" i="1"/>
  <c r="A308" i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J307" i="1"/>
  <c r="G307" i="1"/>
  <c r="E307" i="1"/>
  <c r="D307" i="1"/>
  <c r="D1010" i="1"/>
  <c r="F1010" i="1" s="1"/>
  <c r="D1008" i="1"/>
  <c r="F1008" i="1" s="1"/>
  <c r="D1007" i="1"/>
  <c r="F1007" i="1" s="1"/>
  <c r="D1006" i="1"/>
  <c r="F1006" i="1" s="1"/>
  <c r="A1006" i="1"/>
  <c r="A1007" i="1" s="1"/>
  <c r="A1008" i="1" s="1"/>
  <c r="A1009" i="1" s="1"/>
  <c r="A1010" i="1" s="1"/>
  <c r="G1005" i="1"/>
  <c r="D1005" i="1"/>
  <c r="F1005" i="1" s="1"/>
  <c r="D1003" i="1"/>
  <c r="F1003" i="1" s="1"/>
  <c r="D1001" i="1"/>
  <c r="F1001" i="1" s="1"/>
  <c r="D1000" i="1"/>
  <c r="F1000" i="1" s="1"/>
  <c r="D999" i="1"/>
  <c r="F999" i="1" s="1"/>
  <c r="A999" i="1"/>
  <c r="A1000" i="1" s="1"/>
  <c r="A1001" i="1" s="1"/>
  <c r="A1002" i="1" s="1"/>
  <c r="A1003" i="1" s="1"/>
  <c r="G998" i="1"/>
  <c r="D998" i="1"/>
  <c r="F998" i="1" s="1"/>
  <c r="D996" i="1"/>
  <c r="F996" i="1" s="1"/>
  <c r="D994" i="1"/>
  <c r="F994" i="1" s="1"/>
  <c r="D993" i="1"/>
  <c r="F993" i="1" s="1"/>
  <c r="D992" i="1"/>
  <c r="F992" i="1" s="1"/>
  <c r="A992" i="1"/>
  <c r="A993" i="1" s="1"/>
  <c r="A994" i="1" s="1"/>
  <c r="A995" i="1" s="1"/>
  <c r="A996" i="1" s="1"/>
  <c r="G991" i="1"/>
  <c r="D991" i="1"/>
  <c r="F991" i="1" s="1"/>
  <c r="D989" i="1"/>
  <c r="F989" i="1" s="1"/>
  <c r="D988" i="1"/>
  <c r="F988" i="1" s="1"/>
  <c r="D987" i="1"/>
  <c r="F987" i="1" s="1"/>
  <c r="D986" i="1"/>
  <c r="F986" i="1" s="1"/>
  <c r="D985" i="1"/>
  <c r="F985" i="1" s="1"/>
  <c r="A985" i="1"/>
  <c r="A986" i="1" s="1"/>
  <c r="A987" i="1" s="1"/>
  <c r="A988" i="1" s="1"/>
  <c r="A989" i="1" s="1"/>
  <c r="G984" i="1"/>
  <c r="D984" i="1"/>
  <c r="F984" i="1" s="1"/>
  <c r="D982" i="1"/>
  <c r="F982" i="1" s="1"/>
  <c r="D981" i="1"/>
  <c r="F981" i="1" s="1"/>
  <c r="D980" i="1"/>
  <c r="F980" i="1" s="1"/>
  <c r="D979" i="1"/>
  <c r="F979" i="1" s="1"/>
  <c r="D978" i="1"/>
  <c r="F978" i="1" s="1"/>
  <c r="A978" i="1"/>
  <c r="A979" i="1" s="1"/>
  <c r="A980" i="1" s="1"/>
  <c r="A981" i="1" s="1"/>
  <c r="A982" i="1" s="1"/>
  <c r="G977" i="1"/>
  <c r="D977" i="1"/>
  <c r="F977" i="1" s="1"/>
  <c r="D975" i="1"/>
  <c r="F975" i="1" s="1"/>
  <c r="D974" i="1"/>
  <c r="F974" i="1" s="1"/>
  <c r="D973" i="1"/>
  <c r="F973" i="1" s="1"/>
  <c r="D972" i="1"/>
  <c r="F972" i="1" s="1"/>
  <c r="D971" i="1"/>
  <c r="F971" i="1" s="1"/>
  <c r="A971" i="1"/>
  <c r="A972" i="1" s="1"/>
  <c r="A973" i="1" s="1"/>
  <c r="A974" i="1" s="1"/>
  <c r="A975" i="1" s="1"/>
  <c r="G970" i="1"/>
  <c r="D970" i="1"/>
  <c r="F970" i="1" s="1"/>
  <c r="D968" i="1"/>
  <c r="F968" i="1" s="1"/>
  <c r="D967" i="1"/>
  <c r="F967" i="1" s="1"/>
  <c r="D966" i="1"/>
  <c r="F966" i="1" s="1"/>
  <c r="K965" i="1"/>
  <c r="J965" i="1"/>
  <c r="D965" i="1"/>
  <c r="F965" i="1" s="1"/>
  <c r="D964" i="1"/>
  <c r="F964" i="1" s="1"/>
  <c r="A964" i="1"/>
  <c r="A965" i="1" s="1"/>
  <c r="A966" i="1" s="1"/>
  <c r="A967" i="1" s="1"/>
  <c r="A968" i="1" s="1"/>
  <c r="K963" i="1"/>
  <c r="J963" i="1"/>
  <c r="G963" i="1"/>
  <c r="D963" i="1"/>
  <c r="J136" i="1"/>
  <c r="J135" i="1"/>
  <c r="J134" i="1"/>
  <c r="J133" i="1"/>
  <c r="F963" i="1" l="1"/>
  <c r="G235" i="1" s="1"/>
  <c r="C235" i="1"/>
  <c r="E235" i="1"/>
  <c r="I139" i="1"/>
  <c r="C141" i="1" s="1"/>
  <c r="F737" i="1"/>
  <c r="F816" i="1"/>
  <c r="C233" i="1"/>
  <c r="F315" i="1"/>
  <c r="F326" i="1"/>
  <c r="F330" i="1"/>
  <c r="C220" i="1"/>
  <c r="F339" i="1"/>
  <c r="F347" i="1"/>
  <c r="C232" i="1"/>
  <c r="E233" i="1"/>
  <c r="E234" i="1"/>
  <c r="F323" i="1"/>
  <c r="F338" i="1"/>
  <c r="C234" i="1"/>
  <c r="F311" i="1"/>
  <c r="F313" i="1"/>
  <c r="F318" i="1"/>
  <c r="F813" i="1"/>
  <c r="F883" i="1"/>
  <c r="E232" i="1"/>
  <c r="E219" i="1"/>
  <c r="F732" i="1"/>
  <c r="F811" i="1"/>
  <c r="F888" i="1"/>
  <c r="F310" i="1"/>
  <c r="F314" i="1"/>
  <c r="F316" i="1"/>
  <c r="F331" i="1"/>
  <c r="J884" i="1"/>
  <c r="E218" i="1"/>
  <c r="F308" i="1"/>
  <c r="F344" i="1"/>
  <c r="F346" i="1"/>
  <c r="J733" i="1"/>
  <c r="F342" i="1"/>
  <c r="E220" i="1"/>
  <c r="C219" i="1"/>
  <c r="C218" i="1"/>
  <c r="F322" i="1"/>
  <c r="F345" i="1"/>
  <c r="F309" i="1"/>
  <c r="F312" i="1"/>
  <c r="F317" i="1"/>
  <c r="F327" i="1"/>
  <c r="F324" i="1"/>
  <c r="F329" i="1"/>
  <c r="F332" i="1"/>
  <c r="F337" i="1"/>
  <c r="F341" i="1"/>
  <c r="F348" i="1"/>
  <c r="F307" i="1"/>
  <c r="F325" i="1"/>
  <c r="F328" i="1"/>
  <c r="F333" i="1"/>
  <c r="F340" i="1"/>
  <c r="F343" i="1"/>
  <c r="G232" i="1" l="1"/>
  <c r="G233" i="1"/>
  <c r="G234" i="1"/>
  <c r="C221" i="1"/>
  <c r="G220" i="1"/>
  <c r="G218" i="1"/>
  <c r="G219" i="1"/>
  <c r="J236" i="1"/>
  <c r="K236" i="1" s="1"/>
  <c r="G221" i="1" l="1"/>
  <c r="D721" i="1"/>
  <c r="F721" i="1" s="1"/>
  <c r="D719" i="1"/>
  <c r="F719" i="1" s="1"/>
  <c r="D718" i="1"/>
  <c r="F718" i="1" s="1"/>
  <c r="G716" i="1"/>
  <c r="D716" i="1"/>
  <c r="F716" i="1" s="1"/>
  <c r="D714" i="1"/>
  <c r="F714" i="1" s="1"/>
  <c r="D712" i="1"/>
  <c r="F712" i="1" s="1"/>
  <c r="D711" i="1"/>
  <c r="F711" i="1" s="1"/>
  <c r="A710" i="1"/>
  <c r="A711" i="1" s="1"/>
  <c r="A712" i="1" s="1"/>
  <c r="G709" i="1"/>
  <c r="D709" i="1"/>
  <c r="F709" i="1" s="1"/>
  <c r="D707" i="1"/>
  <c r="F707" i="1" s="1"/>
  <c r="D705" i="1"/>
  <c r="F705" i="1" s="1"/>
  <c r="D704" i="1"/>
  <c r="F704" i="1" s="1"/>
  <c r="D703" i="1"/>
  <c r="F703" i="1" s="1"/>
  <c r="A703" i="1"/>
  <c r="A704" i="1" s="1"/>
  <c r="A705" i="1" s="1"/>
  <c r="A706" i="1" s="1"/>
  <c r="A707" i="1" s="1"/>
  <c r="G702" i="1"/>
  <c r="D702" i="1"/>
  <c r="F702" i="1" s="1"/>
  <c r="D686" i="1"/>
  <c r="F686" i="1" s="1"/>
  <c r="D685" i="1"/>
  <c r="F685" i="1" s="1"/>
  <c r="D684" i="1"/>
  <c r="F684" i="1" s="1"/>
  <c r="D683" i="1"/>
  <c r="F683" i="1" s="1"/>
  <c r="D682" i="1"/>
  <c r="F682" i="1" s="1"/>
  <c r="A682" i="1"/>
  <c r="A683" i="1" s="1"/>
  <c r="A684" i="1" s="1"/>
  <c r="A685" i="1" s="1"/>
  <c r="A686" i="1" s="1"/>
  <c r="G681" i="1"/>
  <c r="D681" i="1"/>
  <c r="F681" i="1" s="1"/>
  <c r="D700" i="1"/>
  <c r="F700" i="1" s="1"/>
  <c r="D698" i="1"/>
  <c r="F698" i="1" s="1"/>
  <c r="D697" i="1"/>
  <c r="F697" i="1" s="1"/>
  <c r="D696" i="1"/>
  <c r="F696" i="1" s="1"/>
  <c r="A696" i="1"/>
  <c r="A697" i="1" s="1"/>
  <c r="A698" i="1" s="1"/>
  <c r="A699" i="1" s="1"/>
  <c r="A700" i="1" s="1"/>
  <c r="G695" i="1"/>
  <c r="D695" i="1"/>
  <c r="F695" i="1" s="1"/>
  <c r="D693" i="1"/>
  <c r="F693" i="1" s="1"/>
  <c r="D691" i="1"/>
  <c r="F691" i="1" s="1"/>
  <c r="D690" i="1"/>
  <c r="F690" i="1" s="1"/>
  <c r="D689" i="1"/>
  <c r="F689" i="1" s="1"/>
  <c r="A689" i="1"/>
  <c r="A690" i="1" s="1"/>
  <c r="A691" i="1" s="1"/>
  <c r="A692" i="1" s="1"/>
  <c r="A693" i="1" s="1"/>
  <c r="G688" i="1"/>
  <c r="D688" i="1"/>
  <c r="F688" i="1" s="1"/>
  <c r="D679" i="1"/>
  <c r="F679" i="1" s="1"/>
  <c r="D678" i="1"/>
  <c r="F678" i="1" s="1"/>
  <c r="D677" i="1"/>
  <c r="F677" i="1" s="1"/>
  <c r="D676" i="1"/>
  <c r="F676" i="1" s="1"/>
  <c r="D675" i="1"/>
  <c r="F675" i="1" s="1"/>
  <c r="A675" i="1"/>
  <c r="A676" i="1" s="1"/>
  <c r="A677" i="1" s="1"/>
  <c r="A678" i="1" s="1"/>
  <c r="A679" i="1" s="1"/>
  <c r="G674" i="1"/>
  <c r="D674" i="1"/>
  <c r="F674" i="1" s="1"/>
  <c r="D672" i="1"/>
  <c r="F672" i="1" s="1"/>
  <c r="D671" i="1"/>
  <c r="F671" i="1" s="1"/>
  <c r="D670" i="1"/>
  <c r="F670" i="1" s="1"/>
  <c r="D669" i="1"/>
  <c r="F669" i="1" s="1"/>
  <c r="D668" i="1"/>
  <c r="F668" i="1" s="1"/>
  <c r="A668" i="1"/>
  <c r="A669" i="1" s="1"/>
  <c r="A670" i="1" s="1"/>
  <c r="A671" i="1" s="1"/>
  <c r="A672" i="1" s="1"/>
  <c r="G667" i="1"/>
  <c r="D667" i="1"/>
  <c r="F667" i="1" s="1"/>
  <c r="D662" i="1"/>
  <c r="F662" i="1" s="1"/>
  <c r="J662" i="1"/>
  <c r="K662" i="1"/>
  <c r="D665" i="1"/>
  <c r="F665" i="1" s="1"/>
  <c r="D664" i="1"/>
  <c r="F664" i="1" s="1"/>
  <c r="D661" i="1"/>
  <c r="F661" i="1" s="1"/>
  <c r="D660" i="1"/>
  <c r="K660" i="1"/>
  <c r="J660" i="1"/>
  <c r="D663" i="1"/>
  <c r="F663" i="1" s="1"/>
  <c r="A661" i="1"/>
  <c r="A662" i="1" s="1"/>
  <c r="A663" i="1" s="1"/>
  <c r="A664" i="1" s="1"/>
  <c r="A665" i="1" s="1"/>
  <c r="G660" i="1"/>
  <c r="J178" i="1"/>
  <c r="J177" i="1"/>
  <c r="J176" i="1"/>
  <c r="J175" i="1"/>
  <c r="C231" i="1" l="1"/>
  <c r="C236" i="1" s="1"/>
  <c r="E231" i="1"/>
  <c r="E236" i="1" s="1"/>
  <c r="A719" i="1"/>
  <c r="A713" i="1"/>
  <c r="F660" i="1"/>
  <c r="J94" i="1"/>
  <c r="J93" i="1"/>
  <c r="J92" i="1"/>
  <c r="J91" i="1"/>
  <c r="H84" i="1"/>
  <c r="G231" i="1" l="1"/>
  <c r="G236" i="1" s="1"/>
  <c r="J88" i="1"/>
  <c r="C87" i="1" s="1"/>
  <c r="D87" i="1" s="1"/>
  <c r="D96" i="1"/>
  <c r="D94" i="1"/>
  <c r="D92" i="1"/>
  <c r="D90" i="1"/>
  <c r="J86" i="1"/>
  <c r="J89" i="1"/>
  <c r="J90" i="1" s="1"/>
  <c r="J95" i="1" s="1"/>
  <c r="J96" i="1" s="1"/>
  <c r="C88" i="1" s="1"/>
  <c r="D95" i="1"/>
  <c r="D93" i="1"/>
  <c r="D91" i="1"/>
  <c r="D89" i="1"/>
  <c r="J87" i="1"/>
  <c r="J83" i="1"/>
  <c r="J85" i="1" s="1"/>
  <c r="E87" i="1" l="1"/>
  <c r="D88" i="1"/>
  <c r="I84" i="1" s="1"/>
  <c r="J84" i="1"/>
  <c r="G87" i="1"/>
  <c r="D654" i="1"/>
  <c r="F654" i="1" s="1"/>
  <c r="D653" i="1"/>
  <c r="F653" i="1" s="1"/>
  <c r="D652" i="1"/>
  <c r="F652" i="1" s="1"/>
  <c r="D651" i="1"/>
  <c r="F651" i="1" s="1"/>
  <c r="D650" i="1"/>
  <c r="F650" i="1" s="1"/>
  <c r="A650" i="1"/>
  <c r="A651" i="1" s="1"/>
  <c r="A652" i="1" s="1"/>
  <c r="A653" i="1" s="1"/>
  <c r="A654" i="1" s="1"/>
  <c r="G649" i="1"/>
  <c r="D649" i="1"/>
  <c r="F649" i="1" s="1"/>
  <c r="D647" i="1"/>
  <c r="F647" i="1" s="1"/>
  <c r="D646" i="1"/>
  <c r="F646" i="1" s="1"/>
  <c r="D645" i="1"/>
  <c r="F645" i="1" s="1"/>
  <c r="D644" i="1"/>
  <c r="F644" i="1" s="1"/>
  <c r="A643" i="1"/>
  <c r="A644" i="1" s="1"/>
  <c r="A645" i="1" s="1"/>
  <c r="A646" i="1" s="1"/>
  <c r="A647" i="1" s="1"/>
  <c r="G642" i="1"/>
  <c r="D642" i="1"/>
  <c r="F642" i="1" s="1"/>
  <c r="D640" i="1"/>
  <c r="F640" i="1" s="1"/>
  <c r="D639" i="1"/>
  <c r="F639" i="1" s="1"/>
  <c r="D638" i="1"/>
  <c r="F638" i="1" s="1"/>
  <c r="D637" i="1"/>
  <c r="F637" i="1" s="1"/>
  <c r="A636" i="1"/>
  <c r="A637" i="1" s="1"/>
  <c r="A638" i="1" s="1"/>
  <c r="A639" i="1" s="1"/>
  <c r="A640" i="1" s="1"/>
  <c r="G635" i="1"/>
  <c r="D635" i="1"/>
  <c r="F635" i="1" s="1"/>
  <c r="D633" i="1"/>
  <c r="F633" i="1" s="1"/>
  <c r="D632" i="1"/>
  <c r="F632" i="1" s="1"/>
  <c r="D631" i="1"/>
  <c r="F631" i="1" s="1"/>
  <c r="D630" i="1"/>
  <c r="F630" i="1" s="1"/>
  <c r="A629" i="1"/>
  <c r="A630" i="1" s="1"/>
  <c r="A631" i="1" s="1"/>
  <c r="A632" i="1" s="1"/>
  <c r="A633" i="1" s="1"/>
  <c r="G628" i="1"/>
  <c r="D628" i="1"/>
  <c r="F628" i="1" s="1"/>
  <c r="D626" i="1"/>
  <c r="F626" i="1" s="1"/>
  <c r="D624" i="1"/>
  <c r="F624" i="1" s="1"/>
  <c r="D623" i="1"/>
  <c r="F623" i="1" s="1"/>
  <c r="D622" i="1"/>
  <c r="F622" i="1" s="1"/>
  <c r="A622" i="1"/>
  <c r="A623" i="1" s="1"/>
  <c r="A624" i="1" s="1"/>
  <c r="A625" i="1" s="1"/>
  <c r="A626" i="1" s="1"/>
  <c r="G621" i="1"/>
  <c r="D621" i="1"/>
  <c r="F621" i="1" s="1"/>
  <c r="D619" i="1"/>
  <c r="F619" i="1" s="1"/>
  <c r="D617" i="1"/>
  <c r="F617" i="1" s="1"/>
  <c r="D616" i="1"/>
  <c r="F616" i="1" s="1"/>
  <c r="D615" i="1"/>
  <c r="F615" i="1" s="1"/>
  <c r="A615" i="1"/>
  <c r="A616" i="1" s="1"/>
  <c r="A617" i="1" s="1"/>
  <c r="A618" i="1" s="1"/>
  <c r="A619" i="1" s="1"/>
  <c r="G614" i="1"/>
  <c r="D614" i="1"/>
  <c r="F614" i="1" s="1"/>
  <c r="D612" i="1"/>
  <c r="F612" i="1" s="1"/>
  <c r="D610" i="1"/>
  <c r="F610" i="1" s="1"/>
  <c r="D609" i="1"/>
  <c r="F609" i="1" s="1"/>
  <c r="D608" i="1"/>
  <c r="F608" i="1" s="1"/>
  <c r="A608" i="1"/>
  <c r="A609" i="1" s="1"/>
  <c r="A610" i="1" s="1"/>
  <c r="A611" i="1" s="1"/>
  <c r="A612" i="1" s="1"/>
  <c r="G607" i="1"/>
  <c r="D607" i="1"/>
  <c r="F607" i="1" s="1"/>
  <c r="D605" i="1"/>
  <c r="F605" i="1" s="1"/>
  <c r="D604" i="1"/>
  <c r="F604" i="1" s="1"/>
  <c r="D603" i="1"/>
  <c r="F603" i="1" s="1"/>
  <c r="D602" i="1"/>
  <c r="F602" i="1" s="1"/>
  <c r="D601" i="1"/>
  <c r="F601" i="1" s="1"/>
  <c r="A601" i="1"/>
  <c r="A602" i="1" s="1"/>
  <c r="A603" i="1" s="1"/>
  <c r="A604" i="1" s="1"/>
  <c r="A605" i="1" s="1"/>
  <c r="G600" i="1"/>
  <c r="D600" i="1"/>
  <c r="F600" i="1" s="1"/>
  <c r="D598" i="1"/>
  <c r="F598" i="1" s="1"/>
  <c r="D597" i="1"/>
  <c r="F597" i="1" s="1"/>
  <c r="D596" i="1"/>
  <c r="F596" i="1" s="1"/>
  <c r="D595" i="1"/>
  <c r="F595" i="1" s="1"/>
  <c r="D594" i="1"/>
  <c r="F594" i="1" s="1"/>
  <c r="A594" i="1"/>
  <c r="A595" i="1" s="1"/>
  <c r="A596" i="1" s="1"/>
  <c r="A597" i="1" s="1"/>
  <c r="A598" i="1" s="1"/>
  <c r="G593" i="1"/>
  <c r="D593" i="1"/>
  <c r="F593" i="1" s="1"/>
  <c r="E591" i="1"/>
  <c r="D591" i="1"/>
  <c r="D590" i="1"/>
  <c r="F590" i="1" s="1"/>
  <c r="D589" i="1"/>
  <c r="F589" i="1" s="1"/>
  <c r="D588" i="1"/>
  <c r="F588" i="1" s="1"/>
  <c r="D587" i="1"/>
  <c r="F587" i="1" s="1"/>
  <c r="A587" i="1"/>
  <c r="A588" i="1" s="1"/>
  <c r="A589" i="1" s="1"/>
  <c r="A590" i="1" s="1"/>
  <c r="A591" i="1" s="1"/>
  <c r="G586" i="1"/>
  <c r="E586" i="1"/>
  <c r="D586" i="1"/>
  <c r="D582" i="1"/>
  <c r="F582" i="1" s="1"/>
  <c r="D581" i="1"/>
  <c r="F581" i="1" s="1"/>
  <c r="D580" i="1"/>
  <c r="F580" i="1" s="1"/>
  <c r="D579" i="1"/>
  <c r="F579" i="1" s="1"/>
  <c r="A578" i="1"/>
  <c r="A579" i="1" s="1"/>
  <c r="A580" i="1" s="1"/>
  <c r="A581" i="1" s="1"/>
  <c r="A582" i="1" s="1"/>
  <c r="G577" i="1"/>
  <c r="D577" i="1"/>
  <c r="F577" i="1" s="1"/>
  <c r="D575" i="1"/>
  <c r="F575" i="1" s="1"/>
  <c r="D574" i="1"/>
  <c r="F574" i="1" s="1"/>
  <c r="D573" i="1"/>
  <c r="F573" i="1" s="1"/>
  <c r="D572" i="1"/>
  <c r="F572" i="1" s="1"/>
  <c r="A571" i="1"/>
  <c r="A572" i="1" s="1"/>
  <c r="A573" i="1" s="1"/>
  <c r="A574" i="1" s="1"/>
  <c r="A575" i="1" s="1"/>
  <c r="G570" i="1"/>
  <c r="D570" i="1"/>
  <c r="F570" i="1" s="1"/>
  <c r="D568" i="1"/>
  <c r="F568" i="1" s="1"/>
  <c r="D567" i="1"/>
  <c r="F567" i="1" s="1"/>
  <c r="D566" i="1"/>
  <c r="F566" i="1" s="1"/>
  <c r="D565" i="1"/>
  <c r="F565" i="1" s="1"/>
  <c r="A564" i="1"/>
  <c r="A565" i="1" s="1"/>
  <c r="A566" i="1" s="1"/>
  <c r="A567" i="1" s="1"/>
  <c r="A568" i="1" s="1"/>
  <c r="G563" i="1"/>
  <c r="D563" i="1"/>
  <c r="F563" i="1" s="1"/>
  <c r="D561" i="1"/>
  <c r="F561" i="1" s="1"/>
  <c r="D560" i="1"/>
  <c r="F560" i="1" s="1"/>
  <c r="D559" i="1"/>
  <c r="F559" i="1" s="1"/>
  <c r="D558" i="1"/>
  <c r="F558" i="1" s="1"/>
  <c r="D557" i="1"/>
  <c r="F557" i="1" s="1"/>
  <c r="A557" i="1"/>
  <c r="A558" i="1" s="1"/>
  <c r="A559" i="1" s="1"/>
  <c r="A560" i="1" s="1"/>
  <c r="A561" i="1" s="1"/>
  <c r="G556" i="1"/>
  <c r="D556" i="1"/>
  <c r="F556" i="1" s="1"/>
  <c r="D554" i="1"/>
  <c r="F554" i="1" s="1"/>
  <c r="D553" i="1"/>
  <c r="F553" i="1" s="1"/>
  <c r="D552" i="1"/>
  <c r="F552" i="1" s="1"/>
  <c r="D551" i="1"/>
  <c r="F551" i="1" s="1"/>
  <c r="D550" i="1"/>
  <c r="F550" i="1" s="1"/>
  <c r="A550" i="1"/>
  <c r="A551" i="1" s="1"/>
  <c r="A552" i="1" s="1"/>
  <c r="A553" i="1" s="1"/>
  <c r="A554" i="1" s="1"/>
  <c r="G549" i="1"/>
  <c r="D549" i="1"/>
  <c r="F549" i="1" s="1"/>
  <c r="D547" i="1"/>
  <c r="F547" i="1" s="1"/>
  <c r="D545" i="1"/>
  <c r="F545" i="1" s="1"/>
  <c r="D544" i="1"/>
  <c r="F544" i="1" s="1"/>
  <c r="D543" i="1"/>
  <c r="F543" i="1" s="1"/>
  <c r="A543" i="1"/>
  <c r="A544" i="1" s="1"/>
  <c r="A545" i="1" s="1"/>
  <c r="A546" i="1" s="1"/>
  <c r="A547" i="1" s="1"/>
  <c r="G542" i="1"/>
  <c r="D542" i="1"/>
  <c r="F542" i="1" s="1"/>
  <c r="D540" i="1"/>
  <c r="F540" i="1" s="1"/>
  <c r="D538" i="1"/>
  <c r="F538" i="1" s="1"/>
  <c r="D537" i="1"/>
  <c r="F537" i="1" s="1"/>
  <c r="D536" i="1"/>
  <c r="F536" i="1" s="1"/>
  <c r="A536" i="1"/>
  <c r="A537" i="1" s="1"/>
  <c r="A538" i="1" s="1"/>
  <c r="A539" i="1" s="1"/>
  <c r="A540" i="1" s="1"/>
  <c r="G535" i="1"/>
  <c r="D535" i="1"/>
  <c r="F535" i="1" s="1"/>
  <c r="D533" i="1"/>
  <c r="F533" i="1" s="1"/>
  <c r="D531" i="1"/>
  <c r="F531" i="1" s="1"/>
  <c r="D530" i="1"/>
  <c r="F530" i="1" s="1"/>
  <c r="D529" i="1"/>
  <c r="F529" i="1" s="1"/>
  <c r="A529" i="1"/>
  <c r="A530" i="1" s="1"/>
  <c r="A531" i="1" s="1"/>
  <c r="A532" i="1" s="1"/>
  <c r="A533" i="1" s="1"/>
  <c r="G528" i="1"/>
  <c r="D528" i="1"/>
  <c r="F528" i="1" s="1"/>
  <c r="D526" i="1"/>
  <c r="F526" i="1" s="1"/>
  <c r="D525" i="1"/>
  <c r="F525" i="1" s="1"/>
  <c r="D524" i="1"/>
  <c r="F524" i="1" s="1"/>
  <c r="D523" i="1"/>
  <c r="F523" i="1" s="1"/>
  <c r="D522" i="1"/>
  <c r="F522" i="1" s="1"/>
  <c r="A522" i="1"/>
  <c r="A523" i="1" s="1"/>
  <c r="A524" i="1" s="1"/>
  <c r="A525" i="1" s="1"/>
  <c r="A526" i="1" s="1"/>
  <c r="G521" i="1"/>
  <c r="D521" i="1"/>
  <c r="F521" i="1" s="1"/>
  <c r="D519" i="1"/>
  <c r="F519" i="1" s="1"/>
  <c r="D518" i="1"/>
  <c r="F518" i="1" s="1"/>
  <c r="D517" i="1"/>
  <c r="F517" i="1" s="1"/>
  <c r="D516" i="1"/>
  <c r="F516" i="1" s="1"/>
  <c r="D515" i="1"/>
  <c r="F515" i="1" s="1"/>
  <c r="A515" i="1"/>
  <c r="A516" i="1" s="1"/>
  <c r="A517" i="1" s="1"/>
  <c r="A518" i="1" s="1"/>
  <c r="A519" i="1" s="1"/>
  <c r="G514" i="1"/>
  <c r="D514" i="1"/>
  <c r="F514" i="1" s="1"/>
  <c r="E512" i="1"/>
  <c r="D512" i="1"/>
  <c r="D511" i="1"/>
  <c r="F511" i="1" s="1"/>
  <c r="K510" i="1"/>
  <c r="J510" i="1"/>
  <c r="D510" i="1"/>
  <c r="F510" i="1" s="1"/>
  <c r="J509" i="1"/>
  <c r="D509" i="1"/>
  <c r="F509" i="1" s="1"/>
  <c r="D508" i="1"/>
  <c r="F508" i="1" s="1"/>
  <c r="A508" i="1"/>
  <c r="A509" i="1" s="1"/>
  <c r="A510" i="1" s="1"/>
  <c r="A511" i="1" s="1"/>
  <c r="A512" i="1" s="1"/>
  <c r="K507" i="1"/>
  <c r="J507" i="1"/>
  <c r="G507" i="1"/>
  <c r="E507" i="1"/>
  <c r="D507" i="1"/>
  <c r="J506" i="1"/>
  <c r="I85" i="1" l="1"/>
  <c r="I83" i="1" s="1"/>
  <c r="C85" i="1" s="1"/>
  <c r="F512" i="1"/>
  <c r="C226" i="1"/>
  <c r="F586" i="1"/>
  <c r="E226" i="1"/>
  <c r="E227" i="1"/>
  <c r="F507" i="1"/>
  <c r="C227" i="1"/>
  <c r="F591" i="1"/>
  <c r="J508" i="1"/>
  <c r="D489" i="1"/>
  <c r="F489" i="1" s="1"/>
  <c r="D488" i="1"/>
  <c r="F488" i="1" s="1"/>
  <c r="D487" i="1"/>
  <c r="F487" i="1" s="1"/>
  <c r="D486" i="1"/>
  <c r="F486" i="1" s="1"/>
  <c r="A485" i="1"/>
  <c r="A486" i="1" s="1"/>
  <c r="A487" i="1" s="1"/>
  <c r="A488" i="1" s="1"/>
  <c r="A489" i="1" s="1"/>
  <c r="G484" i="1"/>
  <c r="D484" i="1"/>
  <c r="F484" i="1" s="1"/>
  <c r="D482" i="1"/>
  <c r="F482" i="1" s="1"/>
  <c r="D481" i="1"/>
  <c r="F481" i="1" s="1"/>
  <c r="D480" i="1"/>
  <c r="F480" i="1" s="1"/>
  <c r="D479" i="1"/>
  <c r="F479" i="1" s="1"/>
  <c r="A478" i="1"/>
  <c r="A479" i="1" s="1"/>
  <c r="A480" i="1" s="1"/>
  <c r="A481" i="1" s="1"/>
  <c r="A482" i="1" s="1"/>
  <c r="G477" i="1"/>
  <c r="D477" i="1"/>
  <c r="F477" i="1" s="1"/>
  <c r="D495" i="1"/>
  <c r="F495" i="1" s="1"/>
  <c r="D468" i="1"/>
  <c r="F468" i="1" s="1"/>
  <c r="D466" i="1"/>
  <c r="F466" i="1" s="1"/>
  <c r="D465" i="1"/>
  <c r="F465" i="1" s="1"/>
  <c r="D464" i="1"/>
  <c r="F464" i="1" s="1"/>
  <c r="D463" i="1"/>
  <c r="F463" i="1" s="1"/>
  <c r="A464" i="1"/>
  <c r="A465" i="1" s="1"/>
  <c r="A466" i="1" s="1"/>
  <c r="A467" i="1" s="1"/>
  <c r="A468" i="1" s="1"/>
  <c r="G463" i="1"/>
  <c r="D475" i="1"/>
  <c r="F475" i="1" s="1"/>
  <c r="D473" i="1"/>
  <c r="F473" i="1" s="1"/>
  <c r="D472" i="1"/>
  <c r="F472" i="1" s="1"/>
  <c r="D471" i="1"/>
  <c r="F471" i="1" s="1"/>
  <c r="A471" i="1"/>
  <c r="A472" i="1" s="1"/>
  <c r="A473" i="1" s="1"/>
  <c r="A474" i="1" s="1"/>
  <c r="A475" i="1" s="1"/>
  <c r="G470" i="1"/>
  <c r="D470" i="1"/>
  <c r="F470" i="1" s="1"/>
  <c r="D461" i="1"/>
  <c r="F461" i="1" s="1"/>
  <c r="D459" i="1"/>
  <c r="F459" i="1" s="1"/>
  <c r="D458" i="1"/>
  <c r="F458" i="1" s="1"/>
  <c r="D457" i="1"/>
  <c r="F457" i="1" s="1"/>
  <c r="A457" i="1"/>
  <c r="A458" i="1" s="1"/>
  <c r="A459" i="1" s="1"/>
  <c r="A460" i="1" s="1"/>
  <c r="A461" i="1" s="1"/>
  <c r="G456" i="1"/>
  <c r="D456" i="1"/>
  <c r="F456" i="1" s="1"/>
  <c r="D503" i="1"/>
  <c r="F503" i="1" s="1"/>
  <c r="D502" i="1"/>
  <c r="F502" i="1" s="1"/>
  <c r="D501" i="1"/>
  <c r="F501" i="1" s="1"/>
  <c r="D500" i="1"/>
  <c r="F500" i="1" s="1"/>
  <c r="D499" i="1"/>
  <c r="F499" i="1" s="1"/>
  <c r="A499" i="1"/>
  <c r="A500" i="1" s="1"/>
  <c r="A501" i="1" s="1"/>
  <c r="A502" i="1" s="1"/>
  <c r="A503" i="1" s="1"/>
  <c r="G498" i="1"/>
  <c r="D498" i="1"/>
  <c r="F498" i="1" s="1"/>
  <c r="D454" i="1"/>
  <c r="F454" i="1" s="1"/>
  <c r="D453" i="1"/>
  <c r="F453" i="1" s="1"/>
  <c r="D452" i="1"/>
  <c r="F452" i="1" s="1"/>
  <c r="D451" i="1"/>
  <c r="F451" i="1" s="1"/>
  <c r="D450" i="1"/>
  <c r="F450" i="1" s="1"/>
  <c r="D449" i="1"/>
  <c r="F449" i="1" s="1"/>
  <c r="A450" i="1"/>
  <c r="A451" i="1" s="1"/>
  <c r="A452" i="1" s="1"/>
  <c r="A453" i="1" s="1"/>
  <c r="A454" i="1" s="1"/>
  <c r="G449" i="1"/>
  <c r="D496" i="1"/>
  <c r="F496" i="1" s="1"/>
  <c r="D494" i="1"/>
  <c r="F494" i="1" s="1"/>
  <c r="D493" i="1"/>
  <c r="F493" i="1" s="1"/>
  <c r="A492" i="1"/>
  <c r="A493" i="1" s="1"/>
  <c r="A494" i="1" s="1"/>
  <c r="A495" i="1" s="1"/>
  <c r="A496" i="1" s="1"/>
  <c r="G491" i="1"/>
  <c r="D491" i="1"/>
  <c r="F491" i="1" s="1"/>
  <c r="D447" i="1"/>
  <c r="F447" i="1" s="1"/>
  <c r="D446" i="1"/>
  <c r="F446" i="1" s="1"/>
  <c r="D445" i="1"/>
  <c r="F445" i="1" s="1"/>
  <c r="D444" i="1"/>
  <c r="F444" i="1" s="1"/>
  <c r="D443" i="1"/>
  <c r="D442" i="1"/>
  <c r="F442" i="1" s="1"/>
  <c r="A443" i="1"/>
  <c r="A444" i="1" s="1"/>
  <c r="A445" i="1" s="1"/>
  <c r="A446" i="1" s="1"/>
  <c r="A447" i="1" s="1"/>
  <c r="G442" i="1"/>
  <c r="E440" i="1"/>
  <c r="D440" i="1"/>
  <c r="D439" i="1"/>
  <c r="F439" i="1" s="1"/>
  <c r="D438" i="1"/>
  <c r="F438" i="1" s="1"/>
  <c r="D437" i="1"/>
  <c r="F437" i="1" s="1"/>
  <c r="D436" i="1"/>
  <c r="F436" i="1" s="1"/>
  <c r="E435" i="1"/>
  <c r="D435" i="1"/>
  <c r="A436" i="1"/>
  <c r="A437" i="1" s="1"/>
  <c r="A438" i="1" s="1"/>
  <c r="A439" i="1" s="1"/>
  <c r="A440" i="1" s="1"/>
  <c r="G435" i="1"/>
  <c r="G436" i="1" s="1"/>
  <c r="G437" i="1" s="1"/>
  <c r="G438" i="1" s="1"/>
  <c r="G439" i="1" s="1"/>
  <c r="G440" i="1" s="1"/>
  <c r="E302" i="1"/>
  <c r="D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2" i="1"/>
  <c r="D272" i="1"/>
  <c r="E271" i="1"/>
  <c r="D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431" i="1"/>
  <c r="F431" i="1" s="1"/>
  <c r="D430" i="1"/>
  <c r="F430" i="1" s="1"/>
  <c r="D429" i="1"/>
  <c r="F429" i="1" s="1"/>
  <c r="D428" i="1"/>
  <c r="F428" i="1" s="1"/>
  <c r="D426" i="1"/>
  <c r="F426" i="1" s="1"/>
  <c r="D424" i="1"/>
  <c r="F424" i="1" s="1"/>
  <c r="D423" i="1"/>
  <c r="F423" i="1" s="1"/>
  <c r="D422" i="1"/>
  <c r="F422" i="1" s="1"/>
  <c r="D421" i="1"/>
  <c r="F421" i="1" s="1"/>
  <c r="D419" i="1"/>
  <c r="F419" i="1" s="1"/>
  <c r="D417" i="1"/>
  <c r="F417" i="1" s="1"/>
  <c r="D416" i="1"/>
  <c r="F416" i="1" s="1"/>
  <c r="D415" i="1"/>
  <c r="F415" i="1" s="1"/>
  <c r="D414" i="1"/>
  <c r="F414" i="1" s="1"/>
  <c r="D412" i="1"/>
  <c r="F412" i="1" s="1"/>
  <c r="D410" i="1"/>
  <c r="F410" i="1" s="1"/>
  <c r="D409" i="1"/>
  <c r="F409" i="1" s="1"/>
  <c r="D408" i="1"/>
  <c r="F408" i="1" s="1"/>
  <c r="D407" i="1"/>
  <c r="F407" i="1" s="1"/>
  <c r="D406" i="1"/>
  <c r="F406" i="1" s="1"/>
  <c r="D405" i="1"/>
  <c r="F405" i="1" s="1"/>
  <c r="D403" i="1"/>
  <c r="F403" i="1" s="1"/>
  <c r="D402" i="1"/>
  <c r="F402" i="1" s="1"/>
  <c r="D401" i="1"/>
  <c r="F401" i="1" s="1"/>
  <c r="D400" i="1"/>
  <c r="F400" i="1" s="1"/>
  <c r="D399" i="1"/>
  <c r="F399" i="1" s="1"/>
  <c r="D398" i="1"/>
  <c r="F398" i="1" s="1"/>
  <c r="D396" i="1"/>
  <c r="F396" i="1" s="1"/>
  <c r="D394" i="1"/>
  <c r="F394" i="1" s="1"/>
  <c r="D393" i="1"/>
  <c r="F393" i="1" s="1"/>
  <c r="D392" i="1"/>
  <c r="F392" i="1" s="1"/>
  <c r="D391" i="1"/>
  <c r="F391" i="1" s="1"/>
  <c r="D389" i="1"/>
  <c r="F389" i="1" s="1"/>
  <c r="D387" i="1"/>
  <c r="F387" i="1" s="1"/>
  <c r="D386" i="1"/>
  <c r="F386" i="1" s="1"/>
  <c r="D385" i="1"/>
  <c r="F385" i="1" s="1"/>
  <c r="D384" i="1"/>
  <c r="F384" i="1" s="1"/>
  <c r="D382" i="1"/>
  <c r="F382" i="1" s="1"/>
  <c r="D380" i="1"/>
  <c r="F380" i="1" s="1"/>
  <c r="D379" i="1"/>
  <c r="F379" i="1" s="1"/>
  <c r="D378" i="1"/>
  <c r="F378" i="1" s="1"/>
  <c r="D377" i="1"/>
  <c r="F377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8" i="1"/>
  <c r="F368" i="1" s="1"/>
  <c r="D367" i="1"/>
  <c r="F367" i="1" s="1"/>
  <c r="D366" i="1"/>
  <c r="F366" i="1" s="1"/>
  <c r="D365" i="1"/>
  <c r="F365" i="1" s="1"/>
  <c r="I365" i="1" s="1"/>
  <c r="D364" i="1"/>
  <c r="F364" i="1" s="1"/>
  <c r="D363" i="1"/>
  <c r="F363" i="1" s="1"/>
  <c r="E361" i="1"/>
  <c r="E356" i="1"/>
  <c r="D361" i="1"/>
  <c r="D360" i="1"/>
  <c r="D359" i="1"/>
  <c r="D358" i="1"/>
  <c r="D357" i="1"/>
  <c r="D356" i="1"/>
  <c r="J355" i="1"/>
  <c r="A427" i="1"/>
  <c r="A428" i="1" s="1"/>
  <c r="A429" i="1" s="1"/>
  <c r="A430" i="1" s="1"/>
  <c r="A431" i="1" s="1"/>
  <c r="G426" i="1"/>
  <c r="G427" i="1" s="1"/>
  <c r="G428" i="1" s="1"/>
  <c r="G429" i="1" s="1"/>
  <c r="G430" i="1" s="1"/>
  <c r="G431" i="1" s="1"/>
  <c r="A420" i="1"/>
  <c r="A421" i="1" s="1"/>
  <c r="A422" i="1" s="1"/>
  <c r="A423" i="1" s="1"/>
  <c r="A424" i="1" s="1"/>
  <c r="G419" i="1"/>
  <c r="G420" i="1" s="1"/>
  <c r="G421" i="1" s="1"/>
  <c r="G422" i="1" s="1"/>
  <c r="G423" i="1" s="1"/>
  <c r="G424" i="1" s="1"/>
  <c r="A413" i="1"/>
  <c r="A414" i="1" s="1"/>
  <c r="A415" i="1" s="1"/>
  <c r="A416" i="1" s="1"/>
  <c r="A417" i="1" s="1"/>
  <c r="G412" i="1"/>
  <c r="G413" i="1" s="1"/>
  <c r="G414" i="1" s="1"/>
  <c r="G415" i="1" s="1"/>
  <c r="G416" i="1" s="1"/>
  <c r="G417" i="1" s="1"/>
  <c r="A385" i="1"/>
  <c r="A386" i="1" s="1"/>
  <c r="A387" i="1" s="1"/>
  <c r="A388" i="1" s="1"/>
  <c r="A389" i="1" s="1"/>
  <c r="G384" i="1"/>
  <c r="G385" i="1" s="1"/>
  <c r="G386" i="1" s="1"/>
  <c r="G387" i="1" s="1"/>
  <c r="G388" i="1" s="1"/>
  <c r="G389" i="1" s="1"/>
  <c r="A406" i="1"/>
  <c r="A407" i="1" s="1"/>
  <c r="A408" i="1" s="1"/>
  <c r="A409" i="1" s="1"/>
  <c r="A410" i="1" s="1"/>
  <c r="G405" i="1"/>
  <c r="G406" i="1" s="1"/>
  <c r="G407" i="1" s="1"/>
  <c r="G408" i="1" s="1"/>
  <c r="G409" i="1" s="1"/>
  <c r="G410" i="1" s="1"/>
  <c r="A399" i="1"/>
  <c r="A400" i="1" s="1"/>
  <c r="A401" i="1" s="1"/>
  <c r="A402" i="1" s="1"/>
  <c r="A403" i="1" s="1"/>
  <c r="G398" i="1"/>
  <c r="G399" i="1" s="1"/>
  <c r="G400" i="1" s="1"/>
  <c r="G401" i="1" s="1"/>
  <c r="G402" i="1" s="1"/>
  <c r="G403" i="1" s="1"/>
  <c r="A392" i="1"/>
  <c r="A393" i="1" s="1"/>
  <c r="A394" i="1" s="1"/>
  <c r="A395" i="1" s="1"/>
  <c r="A396" i="1" s="1"/>
  <c r="G391" i="1"/>
  <c r="G392" i="1" s="1"/>
  <c r="G393" i="1" s="1"/>
  <c r="G394" i="1" s="1"/>
  <c r="G395" i="1" s="1"/>
  <c r="G396" i="1" s="1"/>
  <c r="A378" i="1"/>
  <c r="A379" i="1" s="1"/>
  <c r="A380" i="1" s="1"/>
  <c r="A381" i="1" s="1"/>
  <c r="A382" i="1" s="1"/>
  <c r="G377" i="1"/>
  <c r="G378" i="1" s="1"/>
  <c r="G379" i="1" s="1"/>
  <c r="G380" i="1" s="1"/>
  <c r="G381" i="1" s="1"/>
  <c r="G382" i="1" s="1"/>
  <c r="A371" i="1"/>
  <c r="A372" i="1" s="1"/>
  <c r="A373" i="1" s="1"/>
  <c r="A374" i="1" s="1"/>
  <c r="A375" i="1" s="1"/>
  <c r="G370" i="1"/>
  <c r="G371" i="1" s="1"/>
  <c r="G372" i="1" s="1"/>
  <c r="G373" i="1" s="1"/>
  <c r="G374" i="1" s="1"/>
  <c r="G375" i="1" s="1"/>
  <c r="A364" i="1"/>
  <c r="A365" i="1" s="1"/>
  <c r="A366" i="1" s="1"/>
  <c r="A367" i="1" s="1"/>
  <c r="A368" i="1" s="1"/>
  <c r="G363" i="1"/>
  <c r="G364" i="1" s="1"/>
  <c r="G365" i="1" s="1"/>
  <c r="G366" i="1" s="1"/>
  <c r="G367" i="1" s="1"/>
  <c r="G368" i="1" s="1"/>
  <c r="J356" i="1"/>
  <c r="K359" i="1"/>
  <c r="J359" i="1"/>
  <c r="J358" i="1"/>
  <c r="F443" i="1" l="1"/>
  <c r="J233" i="1"/>
  <c r="E221" i="1"/>
  <c r="K221" i="1" s="1"/>
  <c r="G226" i="1"/>
  <c r="G227" i="1"/>
  <c r="C212" i="1"/>
  <c r="E212" i="1"/>
  <c r="C213" i="1"/>
  <c r="E213" i="1"/>
  <c r="C214" i="1"/>
  <c r="E214" i="1"/>
  <c r="C211" i="1"/>
  <c r="E211" i="1"/>
  <c r="E224" i="1"/>
  <c r="C224" i="1"/>
  <c r="E225" i="1"/>
  <c r="C225" i="1"/>
  <c r="J225" i="1"/>
  <c r="F440" i="1"/>
  <c r="F435" i="1"/>
  <c r="K356" i="1"/>
  <c r="J357" i="1" s="1"/>
  <c r="F361" i="1"/>
  <c r="F360" i="1"/>
  <c r="F359" i="1"/>
  <c r="F358" i="1"/>
  <c r="F357" i="1"/>
  <c r="A357" i="1"/>
  <c r="A358" i="1" s="1"/>
  <c r="A359" i="1" s="1"/>
  <c r="A360" i="1" s="1"/>
  <c r="A361" i="1" s="1"/>
  <c r="G356" i="1"/>
  <c r="F356" i="1"/>
  <c r="F302" i="1"/>
  <c r="F300" i="1"/>
  <c r="F296" i="1"/>
  <c r="F295" i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G291" i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F291" i="1"/>
  <c r="F286" i="1"/>
  <c r="F284" i="1"/>
  <c r="F283" i="1"/>
  <c r="F280" i="1"/>
  <c r="F279" i="1"/>
  <c r="A277" i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J276" i="1"/>
  <c r="G276" i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F276" i="1"/>
  <c r="F269" i="1"/>
  <c r="F270" i="1"/>
  <c r="F266" i="1"/>
  <c r="F262" i="1"/>
  <c r="A262" i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G261" i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J246" i="1"/>
  <c r="A247" i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G246" i="1"/>
  <c r="E228" i="1" l="1"/>
  <c r="C228" i="1"/>
  <c r="C215" i="1"/>
  <c r="G225" i="1"/>
  <c r="G224" i="1"/>
  <c r="E215" i="1"/>
  <c r="F254" i="1"/>
  <c r="F264" i="1"/>
  <c r="F268" i="1"/>
  <c r="F253" i="1"/>
  <c r="F250" i="1"/>
  <c r="F267" i="1"/>
  <c r="F265" i="1"/>
  <c r="F261" i="1"/>
  <c r="F281" i="1"/>
  <c r="F292" i="1"/>
  <c r="F294" i="1"/>
  <c r="F297" i="1"/>
  <c r="F299" i="1"/>
  <c r="F278" i="1"/>
  <c r="F287" i="1"/>
  <c r="F271" i="1"/>
  <c r="F272" i="1"/>
  <c r="F263" i="1"/>
  <c r="F293" i="1"/>
  <c r="F298" i="1"/>
  <c r="F301" i="1"/>
  <c r="F277" i="1"/>
  <c r="F282" i="1"/>
  <c r="F285" i="1"/>
  <c r="F256" i="1"/>
  <c r="F249" i="1"/>
  <c r="F247" i="1"/>
  <c r="F257" i="1"/>
  <c r="F248" i="1"/>
  <c r="F251" i="1"/>
  <c r="F255" i="1"/>
  <c r="F246" i="1"/>
  <c r="F252" i="1"/>
  <c r="C14" i="1"/>
  <c r="E237" i="1" l="1"/>
  <c r="C237" i="1"/>
  <c r="J221" i="1"/>
  <c r="K215" i="1"/>
  <c r="G228" i="1"/>
  <c r="G212" i="1"/>
  <c r="G211" i="1"/>
  <c r="G213" i="1"/>
  <c r="G214" i="1"/>
  <c r="E29" i="1"/>
  <c r="G215" i="1" l="1"/>
  <c r="G237" i="1" s="1"/>
  <c r="J215" i="1" l="1"/>
  <c r="F208" i="1"/>
  <c r="B1036" i="1" l="1"/>
  <c r="B103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063" i="1"/>
  <c r="J108" i="1"/>
  <c r="J107" i="1"/>
  <c r="J106" i="1"/>
  <c r="J105" i="1"/>
  <c r="J80" i="1"/>
  <c r="J79" i="1"/>
  <c r="J78" i="1"/>
  <c r="J77" i="1"/>
  <c r="D55" i="1"/>
  <c r="G49" i="1"/>
  <c r="C49" i="1"/>
  <c r="E42" i="1"/>
  <c r="E43" i="1" s="1"/>
  <c r="E26" i="1"/>
  <c r="E24" i="1"/>
  <c r="E7" i="1"/>
  <c r="E3" i="1"/>
  <c r="H98" i="1"/>
  <c r="H70" i="1"/>
  <c r="D63" i="1" l="1"/>
  <c r="D108" i="1"/>
  <c r="D109" i="1"/>
  <c r="D110" i="1"/>
  <c r="D104" i="1"/>
  <c r="D105" i="1"/>
  <c r="D106" i="1"/>
  <c r="D107" i="1"/>
  <c r="J97" i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J76" i="1" s="1"/>
  <c r="J103" i="1"/>
  <c r="J101" i="1"/>
  <c r="J102" i="1"/>
  <c r="C101" i="1" s="1"/>
  <c r="J100" i="1"/>
  <c r="J104" i="1" l="1"/>
  <c r="J109" i="1" s="1"/>
  <c r="J110" i="1" s="1"/>
  <c r="C102" i="1" s="1"/>
  <c r="G101" i="1" s="1"/>
  <c r="J81" i="1"/>
  <c r="J82" i="1" s="1"/>
  <c r="C74" i="1" s="1"/>
  <c r="G73" i="1" s="1"/>
  <c r="D67" i="1" s="1"/>
  <c r="D103" i="1"/>
  <c r="J99" i="1"/>
  <c r="D75" i="1"/>
  <c r="J71" i="1"/>
  <c r="D73" i="1"/>
  <c r="D101" i="1"/>
  <c r="D102" i="1" l="1"/>
  <c r="I98" i="1" s="1"/>
  <c r="I99" i="1" s="1"/>
  <c r="E101" i="1"/>
  <c r="E73" i="1"/>
  <c r="J70" i="1"/>
  <c r="D74" i="1"/>
  <c r="J98" i="1"/>
  <c r="F68" i="1"/>
  <c r="D68" i="1"/>
  <c r="H112" i="1"/>
  <c r="H182" i="1"/>
  <c r="H126" i="1"/>
  <c r="D193" i="1" l="1"/>
  <c r="D189" i="1"/>
  <c r="J185" i="1"/>
  <c r="D190" i="1"/>
  <c r="D192" i="1"/>
  <c r="D188" i="1"/>
  <c r="J187" i="1"/>
  <c r="J188" i="1" s="1"/>
  <c r="J193" i="1" s="1"/>
  <c r="J194" i="1" s="1"/>
  <c r="C186" i="1" s="1"/>
  <c r="D194" i="1"/>
  <c r="D191" i="1"/>
  <c r="D187" i="1"/>
  <c r="J181" i="1"/>
  <c r="J183" i="1" s="1"/>
  <c r="J186" i="1"/>
  <c r="C185" i="1" s="1"/>
  <c r="D185" i="1" s="1"/>
  <c r="J184" i="1"/>
  <c r="D124" i="1"/>
  <c r="D120" i="1"/>
  <c r="D118" i="1"/>
  <c r="D117" i="1"/>
  <c r="D123" i="1"/>
  <c r="D119" i="1"/>
  <c r="J115" i="1"/>
  <c r="D121" i="1"/>
  <c r="J111" i="1"/>
  <c r="J113" i="1" s="1"/>
  <c r="J114" i="1"/>
  <c r="D122" i="1"/>
  <c r="J116" i="1"/>
  <c r="C115" i="1" s="1"/>
  <c r="J117" i="1"/>
  <c r="J118" i="1" s="1"/>
  <c r="J123" i="1" s="1"/>
  <c r="J124" i="1" s="1"/>
  <c r="C116" i="1" s="1"/>
  <c r="J131" i="1"/>
  <c r="J132" i="1" s="1"/>
  <c r="J137" i="1" s="1"/>
  <c r="J138" i="1" s="1"/>
  <c r="C130" i="1" s="1"/>
  <c r="D137" i="1"/>
  <c r="D135" i="1"/>
  <c r="D133" i="1"/>
  <c r="D131" i="1"/>
  <c r="J129" i="1"/>
  <c r="J125" i="1"/>
  <c r="J127" i="1" s="1"/>
  <c r="J130" i="1"/>
  <c r="C129" i="1" s="1"/>
  <c r="D129" i="1" s="1"/>
  <c r="J128" i="1"/>
  <c r="D138" i="1"/>
  <c r="D136" i="1"/>
  <c r="D134" i="1"/>
  <c r="D132" i="1"/>
  <c r="I70" i="1"/>
  <c r="I71" i="1" s="1"/>
  <c r="I69" i="1" s="1"/>
  <c r="C71" i="1" s="1"/>
  <c r="I97" i="1"/>
  <c r="C99" i="1" s="1"/>
  <c r="H154" i="1"/>
  <c r="H168" i="1"/>
  <c r="E185" i="1" l="1"/>
  <c r="D186" i="1"/>
  <c r="I182" i="1" s="1"/>
  <c r="I183" i="1" s="1"/>
  <c r="G185" i="1"/>
  <c r="J182" i="1"/>
  <c r="E115" i="1"/>
  <c r="D116" i="1"/>
  <c r="G115" i="1"/>
  <c r="D115" i="1"/>
  <c r="J159" i="1"/>
  <c r="J160" i="1" s="1"/>
  <c r="J165" i="1" s="1"/>
  <c r="J166" i="1" s="1"/>
  <c r="C158" i="1" s="1"/>
  <c r="D165" i="1"/>
  <c r="D163" i="1"/>
  <c r="D161" i="1"/>
  <c r="D159" i="1"/>
  <c r="J157" i="1"/>
  <c r="J153" i="1"/>
  <c r="J155" i="1" s="1"/>
  <c r="J158" i="1"/>
  <c r="C157" i="1" s="1"/>
  <c r="J156" i="1"/>
  <c r="D166" i="1"/>
  <c r="D164" i="1"/>
  <c r="D162" i="1"/>
  <c r="D160" i="1"/>
  <c r="E129" i="1"/>
  <c r="D130" i="1"/>
  <c r="I126" i="1" s="1"/>
  <c r="I127" i="1" s="1"/>
  <c r="G129" i="1"/>
  <c r="J126" i="1"/>
  <c r="J172" i="1"/>
  <c r="C171" i="1" s="1"/>
  <c r="D171" i="1" s="1"/>
  <c r="J170" i="1"/>
  <c r="D178" i="1"/>
  <c r="D180" i="1"/>
  <c r="D176" i="1"/>
  <c r="D173" i="1"/>
  <c r="D179" i="1"/>
  <c r="D175" i="1"/>
  <c r="J171" i="1"/>
  <c r="D177" i="1"/>
  <c r="D174" i="1"/>
  <c r="J167" i="1"/>
  <c r="J169" i="1" s="1"/>
  <c r="J173" i="1"/>
  <c r="J174" i="1" s="1"/>
  <c r="J179" i="1" s="1"/>
  <c r="I181" i="1" l="1"/>
  <c r="C183" i="1" s="1"/>
  <c r="I112" i="1"/>
  <c r="I113" i="1" s="1"/>
  <c r="J112" i="1"/>
  <c r="E157" i="1"/>
  <c r="D158" i="1"/>
  <c r="G157" i="1"/>
  <c r="D157" i="1"/>
  <c r="J154" i="1" s="1"/>
  <c r="I125" i="1"/>
  <c r="C127" i="1" s="1"/>
  <c r="J180" i="1"/>
  <c r="C172" i="1" s="1"/>
  <c r="E171" i="1" s="1"/>
  <c r="I111" i="1" l="1"/>
  <c r="C113" i="1" s="1"/>
  <c r="I154" i="1"/>
  <c r="I155" i="1" s="1"/>
  <c r="G171" i="1"/>
  <c r="J168" i="1"/>
  <c r="D172" i="1"/>
  <c r="I168" i="1" s="1"/>
  <c r="I169" i="1" s="1"/>
  <c r="I153" i="1" l="1"/>
  <c r="C155" i="1" s="1"/>
  <c r="I167" i="1"/>
  <c r="C169" i="1" s="1"/>
</calcChain>
</file>

<file path=xl/sharedStrings.xml><?xml version="1.0" encoding="utf-8"?>
<sst xmlns="http://schemas.openxmlformats.org/spreadsheetml/2006/main" count="1212" uniqueCount="290">
  <si>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</si>
  <si>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</si>
  <si>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</si>
  <si>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</si>
  <si>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</si>
  <si>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</si>
  <si>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</si>
  <si>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</si>
  <si>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</si>
  <si>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</si>
  <si>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</si>
  <si>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</si>
  <si>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</si>
  <si>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</si>
  <si>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</si>
  <si>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</si>
  <si>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</si>
  <si>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</si>
  <si>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</si>
  <si>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</si>
  <si>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</si>
  <si>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</si>
  <si>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</si>
  <si>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</si>
  <si>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</si>
  <si>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</si>
  <si>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</si>
  <si>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</si>
  <si>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</si>
  <si>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</si>
  <si>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</si>
  <si>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</si>
  <si>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</si>
  <si>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</si>
  <si>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</si>
  <si>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</si>
  <si>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</si>
  <si>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</si>
  <si>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</si>
  <si>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</si>
  <si>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</si>
  <si>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</si>
  <si>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</si>
  <si>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</si>
  <si>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</si>
  <si>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</si>
  <si>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</si>
  <si>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</si>
  <si>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</si>
  <si>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</si>
  <si>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</si>
  <si>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</si>
  <si>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</si>
  <si>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</si>
  <si>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</si>
  <si>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</si>
  <si>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</si>
  <si>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</si>
  <si>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</si>
  <si>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</si>
  <si>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</si>
  <si>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</si>
  <si>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</si>
  <si>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</si>
  <si>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</si>
  <si>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</si>
  <si>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</si>
  <si>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</si>
  <si>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</si>
  <si>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</si>
  <si>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</si>
  <si>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</si>
  <si>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</si>
  <si>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</si>
  <si>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</si>
  <si>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</si>
  <si>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</si>
  <si>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</si>
  <si>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</si>
  <si>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</si>
  <si>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</si>
  <si>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</si>
  <si>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</si>
  <si>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</si>
  <si>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</si>
  <si>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</si>
  <si>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</si>
  <si>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</si>
  <si>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</si>
  <si>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</si>
  <si>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</si>
  <si>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</si>
  <si>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</si>
  <si>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</si>
  <si>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</si>
  <si>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</si>
  <si>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</si>
  <si>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</si>
  <si>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</si>
  <si>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</si>
  <si>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</si>
  <si>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</si>
  <si>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</si>
  <si>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</si>
  <si>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</si>
  <si>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</si>
  <si>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</si>
  <si>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</si>
  <si>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</si>
  <si>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</si>
  <si>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</si>
  <si>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</si>
  <si>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</si>
  <si>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</si>
  <si>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</si>
  <si>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</si>
  <si>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</si>
  <si>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</si>
  <si>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</si>
  <si>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</si>
  <si>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</si>
  <si>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</si>
  <si>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</si>
  <si>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</si>
  <si>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</si>
  <si>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</si>
  <si>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</si>
  <si>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</si>
  <si>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</si>
  <si>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</si>
  <si>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</si>
  <si>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</si>
  <si>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</si>
  <si>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</si>
  <si>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</si>
  <si>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</si>
  <si>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</si>
  <si>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</si>
  <si>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</si>
  <si>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</si>
  <si>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</si>
  <si>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</si>
  <si>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</si>
  <si>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</si>
  <si>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</si>
  <si>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</si>
  <si>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</si>
  <si>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</si>
  <si>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</si>
  <si>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</si>
  <si>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</si>
  <si>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</si>
  <si>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</si>
  <si>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</si>
  <si>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</si>
  <si>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</si>
  <si>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</si>
  <si>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</si>
  <si>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</si>
  <si>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</si>
  <si>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</si>
  <si>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</si>
  <si>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</si>
  <si>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</si>
  <si>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</si>
  <si>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</si>
  <si>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</si>
  <si>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</si>
  <si>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Axis Badlapur</t>
  </si>
  <si>
    <t>Manisha Mulik 9769582166</t>
  </si>
  <si>
    <t>Approved Plans, CC, Sale Plans</t>
  </si>
  <si>
    <t>https://goo.gl/maps/fySG6FAcSJPfefMG8</t>
  </si>
  <si>
    <t>B Cabin Road</t>
  </si>
  <si>
    <t>Nisarg Greens Phase II</t>
  </si>
  <si>
    <t>Sadashiv Puram Society</t>
  </si>
  <si>
    <t>Telange Heights</t>
  </si>
  <si>
    <t>Thane</t>
  </si>
  <si>
    <t>Ambarnath</t>
  </si>
  <si>
    <t>Ambarnath West</t>
  </si>
  <si>
    <t>Navare Nagar</t>
  </si>
  <si>
    <t>Plot No</t>
  </si>
  <si>
    <t>RH-1</t>
  </si>
  <si>
    <t>2.1 KM from Ambarnath Railway Station</t>
  </si>
  <si>
    <t>BLURR</t>
  </si>
  <si>
    <t>B-53136</t>
  </si>
  <si>
    <t>EE/AMB/RH-1/D-20357/of 2021</t>
  </si>
  <si>
    <t>Ground Floor For Commercial</t>
  </si>
  <si>
    <t>Building No. 17 (Wing A)</t>
  </si>
  <si>
    <t>Shop</t>
  </si>
  <si>
    <t>Building No. 18 (Wing B)</t>
  </si>
  <si>
    <t>Building No. 19 (Wing C)</t>
  </si>
  <si>
    <t>Building No. 20 (Wing D)</t>
  </si>
  <si>
    <t>1.5BHK</t>
  </si>
  <si>
    <t>1st Floor For Residential</t>
  </si>
  <si>
    <t>12th Floor (Part Refuge Area)</t>
  </si>
  <si>
    <t>2nd, 8th, 10th, 16th &amp; 18th Floor</t>
  </si>
  <si>
    <t>7th, 17th Floor (Part Refuge Area)</t>
  </si>
  <si>
    <t>Terrace Area</t>
  </si>
  <si>
    <t>4th Floor (Part Terrace Area)</t>
  </si>
  <si>
    <t>6th Floor</t>
  </si>
  <si>
    <t>Void</t>
  </si>
  <si>
    <t>5th Floor</t>
  </si>
  <si>
    <t>3rd,  9th, 11th Floor</t>
  </si>
  <si>
    <t>13th Floor (Part Terrace Area)</t>
  </si>
  <si>
    <t>14th Floor</t>
  </si>
  <si>
    <t>15th Floor</t>
  </si>
  <si>
    <t>3rd, 5th, 13th, 15th Floor</t>
  </si>
  <si>
    <t>17th Floor (Part Refuge Area)</t>
  </si>
  <si>
    <t>7th Floor (Part Refuge &amp; Terrace Area)</t>
  </si>
  <si>
    <t>9th Floor</t>
  </si>
  <si>
    <t>8th Floor</t>
  </si>
  <si>
    <t>10th Floor (Part Refuge &amp; Terrace Area)</t>
  </si>
  <si>
    <t>11th Floor</t>
  </si>
  <si>
    <t>Type C4</t>
  </si>
  <si>
    <t>2nd, 4th, 6th, 16th &amp; 18th Floor</t>
  </si>
  <si>
    <t>Type C3</t>
  </si>
  <si>
    <t>14th not given</t>
  </si>
  <si>
    <t>10th Floor (Terrace Area)</t>
  </si>
  <si>
    <t>We considered Gross carpet area = Net carpet + Open balcony + F.B Area + O.P Area.</t>
  </si>
  <si>
    <t>Site Person - Contact Details ( Name &amp; Contact No.)</t>
  </si>
  <si>
    <t>Mr.Mishra 9920399016</t>
  </si>
  <si>
    <t>Nisarg Greens 1</t>
  </si>
  <si>
    <t>Mohan Developers LLP</t>
  </si>
  <si>
    <t>Remark :</t>
  </si>
  <si>
    <t>flat no reduced</t>
  </si>
  <si>
    <t>Other Charges</t>
  </si>
  <si>
    <t>Approved plans are of dated 2014 &amp; CC is of 2021, So please provide latest Approved Plans of Building No. 17 to 20.</t>
  </si>
  <si>
    <t>According to the MIDC letter, M/s.NND Ambernath LLP and M/s.Mohan Developers LLP now have the ability to proceed with a development agreement because they have got joint development rights.</t>
  </si>
  <si>
    <t>The 14th Floor is missing from the Approved Floor Plans of (Type-C3) Building No. 18 and 20, so please provide Approved Floor Plans of 14th Floor.</t>
  </si>
  <si>
    <t xml:space="preserve">Office No. 1031, Wing J, Akshar Business Park, Plot No. 03 Sector 25, Near APMC Market, 
Vashi, Navi Mumbai, Maharashtra 400703 TEL: 022-46090378/79/8
E mail : vsjcapf@gmail.com. Web site : www.vsjadon.com </t>
  </si>
  <si>
    <t>Mohan Precious Greens Phase I &amp; II</t>
  </si>
  <si>
    <t>Latitude, Longitude</t>
  </si>
  <si>
    <t>Maharashtra Industrial Development Corporation (MIDC)</t>
  </si>
  <si>
    <t>P51700046171 = Mohan Precious Greens Phase I
P51700049292 = Mohan Precious Greens Phase II</t>
  </si>
  <si>
    <t xml:space="preserve">As per RERA - 31/12/2026 = Mohan Precious Greens Phase I
                       31/12/2027 = Mohan Precious Greens Phase II
</t>
  </si>
  <si>
    <t>Residential Area Details (Phase I) :</t>
  </si>
  <si>
    <t>Commercial Area Details (Phase I) :</t>
  </si>
  <si>
    <t>Building No. 17 
(Wing A)</t>
  </si>
  <si>
    <t>Building No. 18 
(Wing B)</t>
  </si>
  <si>
    <t>Building No. 19 
(Wing C)</t>
  </si>
  <si>
    <t>Building No. 20 
(Wing D)</t>
  </si>
  <si>
    <t xml:space="preserve">Building No. 26 
(Wing J) </t>
  </si>
  <si>
    <t>Type A2</t>
  </si>
  <si>
    <t>Phase II</t>
  </si>
  <si>
    <t>Building No. 26 (Wing J)</t>
  </si>
  <si>
    <t>Phase I</t>
  </si>
  <si>
    <t>Ground Floor For Parking, Meter Room &amp; Letter Box</t>
  </si>
  <si>
    <t>1st, 3rd, 9th &amp; 11th Floor For Residential</t>
  </si>
  <si>
    <t>12th Floor (Part Refuge Balcony Area @ Staircase)</t>
  </si>
  <si>
    <t>7th &amp; 17th Floor (Part Refuge Balcony Area @ Staircase)</t>
  </si>
  <si>
    <t>Grand Total</t>
  </si>
  <si>
    <t>In approved floor plan 14th floor for wing B &amp; D is not mentioned so it is not drafted.</t>
  </si>
  <si>
    <t>Residential Area Details (Phase II) :</t>
  </si>
  <si>
    <t>We have updated Approved floor plan &amp; CC of Building 26 (Wing J)
(on 07/06/2023).</t>
  </si>
  <si>
    <t>Phase I - Building No.17 (Wing A) &amp; Building No.18 (Wing B) = Gr + 1st to 18th Floor</t>
  </si>
  <si>
    <t>Phase I - Building No.19 (Wing C) &amp; Building No.20 (Wing D) = Gr + 1st to 18th Floor</t>
  </si>
  <si>
    <t>Phase I - Building No.18 (Wing B) = Gr + 1st to 18th Floor</t>
  </si>
  <si>
    <t>Phase I - Building No.17 (Wing A) = Gr + 1st to 18th Floor</t>
  </si>
  <si>
    <t xml:space="preserve">Phase I
Wing A &amp; C = Type C4 (Building 17 &amp; 19)
Wing B &amp; D = Type C3 (Building 18 &amp; 20)
Phase II
Wing G &amp; I = Type C4 (Building 23 &amp; 25)
Wing J &amp; K = Type A2 (Building 26 &amp; 28)
Wing H = Type C3 (Building 24)
</t>
  </si>
  <si>
    <t>9 Buildings</t>
  </si>
  <si>
    <t>Phase I - Wing A to D (Building No. 17, 18, 19 &amp; 20) = Gr + 1st to 18th Floor
Phase II - Wing G to K (Building No. 26) = Gr + 1st to 18th Floor</t>
  </si>
  <si>
    <t>Phase II - Building No. 26 (Wing J)  &amp; Building No. 28 (Wing K) = Gr + 1st to 18th Floor</t>
  </si>
  <si>
    <t>Phase II - Building No. 23 (Wing G), Building No. 24 (Wing H)  &amp; Building No. 25 (Wing I) = Gr + 1st to 18th Floor</t>
  </si>
  <si>
    <t>Building No. 28 (Wing K)</t>
  </si>
  <si>
    <t>Building No. 23 (Wing G)</t>
  </si>
  <si>
    <t>Building No. 24 (Wing H)</t>
  </si>
  <si>
    <t>Building No. 25 (Wing I)</t>
  </si>
  <si>
    <t>Commercial Area Details (Phase II) :</t>
  </si>
  <si>
    <t>Building No. 23 
(Wing G)</t>
  </si>
  <si>
    <t>Building No. 24 
(Wing H)</t>
  </si>
  <si>
    <t>Building No. 25 
(Wing I)</t>
  </si>
  <si>
    <t xml:space="preserve">Building No. 28
(Wing K) </t>
  </si>
  <si>
    <t>Flats - 900, Shops - 84</t>
  </si>
  <si>
    <t>We have updated Approved floor plan &amp; CC of (Wing G, H, I &amp; K)(on 27/06/2023).</t>
  </si>
  <si>
    <t>Wing A to D (Building No. 17, 18, 19 &amp; 20) = Gr + 1st to 18th Floor
Wing G to K (Building No. 26) = Gr + 1st to 18th Floor</t>
  </si>
  <si>
    <t>In approved floor plan 14th floor for wing H is not mentioned so it is not drafted.</t>
  </si>
  <si>
    <t>Building No. 25(Wing I) = Gr + 1st to 18th Floor</t>
  </si>
  <si>
    <t xml:space="preserve">1. Vitrified tiles flooring 2. Granite Kitchen Platform 3. Decorative
Enternace etc.
</t>
  </si>
  <si>
    <t>Phase II - Building No. 23 (Wing G) = Gr + 1st to 18th Floor</t>
  </si>
  <si>
    <t>Phase II - Building No. 24 (Wing H) = Gr + 1st to 18th Floor</t>
  </si>
  <si>
    <t>Phase I - Building No.19 (Wing C) = Gr + 1st to 18th Floor</t>
  </si>
  <si>
    <t>Phase I - Building No.20 (Wing D) = Gr + 1st to 18th Floor</t>
  </si>
  <si>
    <t>Phase II - Building No. 26 (Wing J)  = Gr + 1st to 18th Floor</t>
  </si>
  <si>
    <t>Phase II - Building No. 28 (Wing K) = Gr + 1st to 18th Floor</t>
  </si>
  <si>
    <t>19.1980593,73.2013286</t>
  </si>
  <si>
    <t>Wing C &amp; D = Ground Floor work RCC Slab, Brickwork, Internal Plaster, External Plaster Construction work is completed &amp; its Progress % = 75% &amp; Disbursement % = 90%.</t>
  </si>
  <si>
    <t>External Plaster Extra given only one side is completed</t>
  </si>
  <si>
    <t>Sudhir Bhosale</t>
  </si>
  <si>
    <t>Pranita Mhatre</t>
  </si>
  <si>
    <t>Wing A, B &amp; I = We were unable to determine building progress from an external visit; so, we are maintaining the same progress as in the previous report. (Please allowed internal visit in all wings).
Wing  C, D &amp; G, H, J &amp; K = Construction work is in process at the time of Visit. (Internal visit was not allowed.)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</si>
</sst>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27" fillId="0" borderId="0" xfId="1" applyFont="1"/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68" fontId="6" fillId="0" borderId="20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0" xfId="0" applyNumberFormat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/>
      <protection locked="0"/>
    </xf>
    <xf numFmtId="0" fontId="7" fillId="0" borderId="0" xfId="1" applyFont="1" applyAlignment="1">
      <alignment horizontal="center" vertical="center"/>
    </xf>
    <xf numFmtId="1" fontId="13" fillId="0" borderId="7" xfId="1" applyNumberFormat="1" applyFont="1" applyBorder="1" applyAlignment="1" applyProtection="1">
      <alignment horizontal="center" vertical="center" wrapText="1"/>
      <protection locked="0"/>
    </xf>
    <xf numFmtId="1" fontId="13" fillId="0" borderId="20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vertical="top"/>
      <protection locked="0"/>
    </xf>
    <xf numFmtId="1" fontId="8" fillId="0" borderId="7" xfId="0" applyNumberFormat="1" applyFont="1" applyBorder="1" applyAlignment="1" applyProtection="1">
      <alignment vertical="top"/>
      <protection locked="0"/>
    </xf>
    <xf numFmtId="1" fontId="8" fillId="0" borderId="20" xfId="0" applyNumberFormat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1157</xdr:row>
      <xdr:rowOff>9525</xdr:rowOff>
    </xdr:from>
    <xdr:to>
      <xdr:col>6</xdr:col>
      <xdr:colOff>260053</xdr:colOff>
      <xdr:row>1193</xdr:row>
      <xdr:rowOff>8624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175" y="114242850"/>
          <a:ext cx="4136728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781050</xdr:colOff>
      <xdr:row>1176</xdr:row>
      <xdr:rowOff>152400</xdr:rowOff>
    </xdr:from>
    <xdr:to>
      <xdr:col>6</xdr:col>
      <xdr:colOff>76200</xdr:colOff>
      <xdr:row>1181</xdr:row>
      <xdr:rowOff>57150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00200" y="118186200"/>
          <a:ext cx="3752850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85725</xdr:colOff>
      <xdr:row>1221</xdr:row>
      <xdr:rowOff>82125</xdr:rowOff>
    </xdr:from>
    <xdr:to>
      <xdr:col>7</xdr:col>
      <xdr:colOff>1503</xdr:colOff>
      <xdr:row>1241</xdr:row>
      <xdr:rowOff>41628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875" y="126697950"/>
          <a:ext cx="5168136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104775</xdr:colOff>
      <xdr:row>1201</xdr:row>
      <xdr:rowOff>47625</xdr:rowOff>
    </xdr:from>
    <xdr:to>
      <xdr:col>7</xdr:col>
      <xdr:colOff>1503</xdr:colOff>
      <xdr:row>1221</xdr:row>
      <xdr:rowOff>7124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3925" y="122662950"/>
          <a:ext cx="5168136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258041</xdr:colOff>
      <xdr:row>1062</xdr:row>
      <xdr:rowOff>0</xdr:rowOff>
    </xdr:from>
    <xdr:ext cx="714298" cy="31149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944716" y="209702400"/>
          <a:ext cx="714298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B</a:t>
          </a:r>
        </a:p>
      </xdr:txBody>
    </xdr:sp>
    <xdr:clientData/>
  </xdr:oneCellAnchor>
  <xdr:oneCellAnchor>
    <xdr:from>
      <xdr:col>12</xdr:col>
      <xdr:colOff>252599</xdr:colOff>
      <xdr:row>1062</xdr:row>
      <xdr:rowOff>20782</xdr:rowOff>
    </xdr:from>
    <xdr:ext cx="1029513" cy="31149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110974" y="209723182"/>
          <a:ext cx="1029513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C &amp; D</a:t>
          </a:r>
        </a:p>
      </xdr:txBody>
    </xdr:sp>
    <xdr:clientData/>
  </xdr:oneCellAnchor>
  <xdr:oneCellAnchor>
    <xdr:from>
      <xdr:col>12</xdr:col>
      <xdr:colOff>469076</xdr:colOff>
      <xdr:row>1072</xdr:row>
      <xdr:rowOff>177473</xdr:rowOff>
    </xdr:from>
    <xdr:ext cx="742639" cy="342786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327451" y="211870598"/>
          <a:ext cx="742639" cy="34278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 J</a:t>
          </a:r>
        </a:p>
      </xdr:txBody>
    </xdr:sp>
    <xdr:clientData/>
  </xdr:oneCellAnchor>
  <xdr:oneCellAnchor>
    <xdr:from>
      <xdr:col>8</xdr:col>
      <xdr:colOff>586316</xdr:colOff>
      <xdr:row>1068</xdr:row>
      <xdr:rowOff>161925</xdr:rowOff>
    </xdr:from>
    <xdr:ext cx="293478" cy="31149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110941" y="214464900"/>
          <a:ext cx="293478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A</a:t>
          </a:r>
        </a:p>
      </xdr:txBody>
    </xdr:sp>
    <xdr:clientData/>
  </xdr:oneCellAnchor>
  <xdr:oneCellAnchor>
    <xdr:from>
      <xdr:col>8</xdr:col>
      <xdr:colOff>1123508</xdr:colOff>
      <xdr:row>1068</xdr:row>
      <xdr:rowOff>47625</xdr:rowOff>
    </xdr:from>
    <xdr:ext cx="293478" cy="311496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7648133" y="214350600"/>
          <a:ext cx="293478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B</a:t>
          </a:r>
        </a:p>
      </xdr:txBody>
    </xdr:sp>
    <xdr:clientData/>
  </xdr:oneCellAnchor>
  <xdr:oneCellAnchor>
    <xdr:from>
      <xdr:col>8</xdr:col>
      <xdr:colOff>1043634</xdr:colOff>
      <xdr:row>1073</xdr:row>
      <xdr:rowOff>159559</xdr:rowOff>
    </xdr:from>
    <xdr:ext cx="244106" cy="311496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7568259" y="215462659"/>
          <a:ext cx="244106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J</a:t>
          </a:r>
        </a:p>
      </xdr:txBody>
    </xdr:sp>
    <xdr:clientData/>
  </xdr:oneCellAnchor>
  <xdr:oneCellAnchor>
    <xdr:from>
      <xdr:col>9</xdr:col>
      <xdr:colOff>253059</xdr:colOff>
      <xdr:row>1073</xdr:row>
      <xdr:rowOff>102409</xdr:rowOff>
    </xdr:from>
    <xdr:ext cx="293478" cy="31149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7939734" y="215405509"/>
          <a:ext cx="293478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K</a:t>
          </a:r>
        </a:p>
      </xdr:txBody>
    </xdr:sp>
    <xdr:clientData/>
  </xdr:oneCellAnchor>
  <xdr:oneCellAnchor>
    <xdr:from>
      <xdr:col>9</xdr:col>
      <xdr:colOff>422450</xdr:colOff>
      <xdr:row>1067</xdr:row>
      <xdr:rowOff>95250</xdr:rowOff>
    </xdr:from>
    <xdr:ext cx="279692" cy="311496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109125" y="214198200"/>
          <a:ext cx="279692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C</a:t>
          </a:r>
        </a:p>
      </xdr:txBody>
    </xdr:sp>
    <xdr:clientData/>
  </xdr:oneCellAnchor>
  <xdr:oneCellAnchor>
    <xdr:from>
      <xdr:col>8</xdr:col>
      <xdr:colOff>752476</xdr:colOff>
      <xdr:row>1070</xdr:row>
      <xdr:rowOff>192617</xdr:rowOff>
    </xdr:from>
    <xdr:ext cx="297838" cy="31149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277101" y="214895642"/>
          <a:ext cx="297838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D</a:t>
          </a:r>
        </a:p>
      </xdr:txBody>
    </xdr:sp>
    <xdr:clientData/>
  </xdr:oneCellAnchor>
  <xdr:oneCellAnchor>
    <xdr:from>
      <xdr:col>8</xdr:col>
      <xdr:colOff>1100784</xdr:colOff>
      <xdr:row>1070</xdr:row>
      <xdr:rowOff>192617</xdr:rowOff>
    </xdr:from>
    <xdr:ext cx="299056" cy="311496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625409" y="214895642"/>
          <a:ext cx="299056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G</a:t>
          </a:r>
        </a:p>
      </xdr:txBody>
    </xdr:sp>
    <xdr:clientData/>
  </xdr:oneCellAnchor>
  <xdr:oneCellAnchor>
    <xdr:from>
      <xdr:col>9</xdr:col>
      <xdr:colOff>525168</xdr:colOff>
      <xdr:row>1070</xdr:row>
      <xdr:rowOff>125942</xdr:rowOff>
    </xdr:from>
    <xdr:ext cx="297902" cy="311496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211843" y="214828967"/>
          <a:ext cx="297902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H</a:t>
          </a:r>
        </a:p>
      </xdr:txBody>
    </xdr:sp>
    <xdr:clientData/>
  </xdr:oneCellAnchor>
  <xdr:oneCellAnchor>
    <xdr:from>
      <xdr:col>8</xdr:col>
      <xdr:colOff>638176</xdr:colOff>
      <xdr:row>1073</xdr:row>
      <xdr:rowOff>159559</xdr:rowOff>
    </xdr:from>
    <xdr:ext cx="232500" cy="311496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7162801" y="215462659"/>
          <a:ext cx="232500" cy="31149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I</a:t>
          </a:r>
        </a:p>
      </xdr:txBody>
    </xdr:sp>
    <xdr:clientData/>
  </xdr:oneCellAnchor>
  <xdr:twoCellAnchor>
    <xdr:from>
      <xdr:col>8</xdr:col>
      <xdr:colOff>556450</xdr:colOff>
      <xdr:row>1064</xdr:row>
      <xdr:rowOff>99652</xdr:rowOff>
    </xdr:from>
    <xdr:to>
      <xdr:col>16</xdr:col>
      <xdr:colOff>500900</xdr:colOff>
      <xdr:row>1108</xdr:row>
      <xdr:rowOff>0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7633525" y="222546502"/>
          <a:ext cx="6345250" cy="8672873"/>
          <a:chOff x="354719" y="388109"/>
          <a:chExt cx="6856164" cy="8803642"/>
        </a:xfrm>
      </xdr:grpSpPr>
      <xdr:pic>
        <xdr:nvPicPr>
          <xdr:cNvPr id="56" name="Picture 55" descr="https://vsjcllp.vsjadon.com/upload/insp-236783-1525.jpg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43764" y="7620452"/>
            <a:ext cx="2069682" cy="15601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36783-843.jpg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7224" y="388109"/>
            <a:ext cx="2041658" cy="27146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57" descr="https://vsjcllp.vsjadon.com/upload/insp-236783-845.jpg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4719" y="322102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Picture 58" descr="https://vsjcllp.vsjadon.com/upload/insp-236783-844.jpg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48378" y="322102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0" name="Picture 59" descr="https://vsjcllp.vsjadon.com/upload/insp-236783-847.jpg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10392" y="322102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0" descr="https://vsjcllp.vsjadon.com/upload/insp-236783-849.jpg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18823" y="409911"/>
            <a:ext cx="2041658" cy="27146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2" name="Picture 61" descr="https://vsjcllp.vsjadon.com/upload/insp-236783-851.jpg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5681" y="411321"/>
            <a:ext cx="2041658" cy="271463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3" name="Picture 62" descr="https://vsjcllp.vsjadon.com/upload/insp-236783-861.jpg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6364" y="322102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5" name="Picture 64" descr="https://vsjcllp.vsjadon.com/upload/insp-236783-883.jpg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48739" y="7631574"/>
            <a:ext cx="1168508" cy="156017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66" name="Group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GrpSpPr/>
        </xdr:nvGrpSpPr>
        <xdr:grpSpPr>
          <a:xfrm>
            <a:off x="2056895" y="5477057"/>
            <a:ext cx="2888405" cy="2050241"/>
            <a:chOff x="1685926" y="4984272"/>
            <a:chExt cx="4114142" cy="2808986"/>
          </a:xfrm>
        </xdr:grpSpPr>
        <xdr:pic>
          <xdr:nvPicPr>
            <xdr:cNvPr id="67" name="Picture 66" descr="https://vsjcllp.vsjadon.com/upload/insp-236783-874.jpg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73758" y="4984272"/>
              <a:ext cx="3726310" cy="280898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68" name="Straight Arrow Connector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CxnSpPr/>
          </xdr:nvCxnSpPr>
          <xdr:spPr>
            <a:xfrm flipV="1">
              <a:off x="1685926" y="6324601"/>
              <a:ext cx="76201" cy="314326"/>
            </a:xfrm>
            <a:prstGeom prst="straightConnector1">
              <a:avLst/>
            </a:prstGeom>
            <a:ln w="38100">
              <a:solidFill>
                <a:schemeClr val="bg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" name="Straight Arrow Connector 69">
              <a:extLs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CxnSpPr/>
          </xdr:nvCxnSpPr>
          <xdr:spPr>
            <a:xfrm flipV="1">
              <a:off x="3169695" y="6675056"/>
              <a:ext cx="0" cy="471488"/>
            </a:xfrm>
            <a:prstGeom prst="straightConnector1">
              <a:avLst/>
            </a:prstGeom>
            <a:ln w="38100">
              <a:solidFill>
                <a:schemeClr val="bg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" name="Straight Arrow Connector 71">
              <a:extLs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CxnSpPr/>
          </xdr:nvCxnSpPr>
          <xdr:spPr>
            <a:xfrm flipV="1">
              <a:off x="4573492" y="6720768"/>
              <a:ext cx="0" cy="471488"/>
            </a:xfrm>
            <a:prstGeom prst="straightConnector1">
              <a:avLst/>
            </a:prstGeom>
            <a:ln w="38100">
              <a:solidFill>
                <a:schemeClr val="bg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123264</xdr:colOff>
      <xdr:row>1064</xdr:row>
      <xdr:rowOff>26895</xdr:rowOff>
    </xdr:from>
    <xdr:to>
      <xdr:col>7</xdr:col>
      <xdr:colOff>1232647</xdr:colOff>
      <xdr:row>1100</xdr:row>
      <xdr:rowOff>78442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C193DB56-B3CD-411E-314E-7ACF9BEFD8C2}"/>
            </a:ext>
          </a:extLst>
        </xdr:cNvPr>
        <xdr:cNvGrpSpPr/>
      </xdr:nvGrpSpPr>
      <xdr:grpSpPr>
        <a:xfrm>
          <a:off x="123264" y="222473745"/>
          <a:ext cx="6805333" cy="7242922"/>
          <a:chOff x="0" y="-33947"/>
          <a:chExt cx="6858000" cy="6641948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21E8CE9-5FA5-24B3-DA68-C2FD35899B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68151" y="4869406"/>
            <a:ext cx="2304972" cy="17375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9635394-6247-9252-8257-3D4F3239B0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33481" y="260336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1B23B08-6F50-60D2-56C0-24D6E05D20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49419" y="-21804"/>
            <a:ext cx="1898015" cy="25236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20694226-FC8F-23AE-77F9-A178002C85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4075" y="-21804"/>
            <a:ext cx="1898015" cy="25236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8F490C2D-AF11-59F3-5A46-F9B444EDF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60336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FC3BB707-98C2-C604-A641-ECB4978A9F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43428" y="260336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BE51C983-3B58-9AEE-517D-F39F72216B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6856" y="2603365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2AE0958-175F-B175-7E60-A3C8F96317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85553" y="4870456"/>
            <a:ext cx="2313509" cy="17375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453007A0-FFE6-2243-C4FB-4086606173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037" y="-33947"/>
            <a:ext cx="1898015" cy="2523647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58EFD891-C601-6AFF-E993-141BEAADE6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3380" y="4869406"/>
            <a:ext cx="1306794" cy="173754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ySG6FAcSJPfefMG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1200"/>
  <sheetViews>
    <sheetView tabSelected="1" view="pageBreakPreview" topLeftCell="A188" zoomScaleNormal="100" zoomScaleSheetLayoutView="100" workbookViewId="0">
      <selection activeCell="K211" sqref="K211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20.7109375" style="39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92" t="s">
        <v>229</v>
      </c>
      <c r="B1" s="192"/>
      <c r="C1" s="192"/>
      <c r="D1" s="192"/>
      <c r="E1" s="192"/>
      <c r="F1" s="192"/>
      <c r="G1" s="192"/>
      <c r="H1" s="192"/>
    </row>
    <row r="2" spans="1:8" ht="16.5" customHeight="1" x14ac:dyDescent="0.25">
      <c r="A2" s="146" t="s">
        <v>0</v>
      </c>
      <c r="B2" s="146"/>
      <c r="C2" s="146"/>
      <c r="D2" s="146"/>
      <c r="E2" s="146"/>
      <c r="F2" s="146"/>
      <c r="G2" s="146"/>
      <c r="H2" s="146"/>
    </row>
    <row r="3" spans="1:8" x14ac:dyDescent="0.25">
      <c r="A3" s="154" t="s">
        <v>1</v>
      </c>
      <c r="B3" s="154"/>
      <c r="C3" s="154"/>
      <c r="D3" s="154"/>
      <c r="E3" s="154" t="str">
        <f ca="1">TEXT(TODAY(),"DD/MM/YYYY")</f>
        <v>15/09/2025</v>
      </c>
      <c r="F3" s="154"/>
      <c r="G3" s="154"/>
      <c r="H3" s="154"/>
    </row>
    <row r="4" spans="1:8" ht="15" customHeight="1" x14ac:dyDescent="0.25">
      <c r="A4" s="154" t="s">
        <v>2</v>
      </c>
      <c r="B4" s="154"/>
      <c r="C4" s="154"/>
      <c r="D4" s="154"/>
      <c r="E4" s="154" t="s">
        <v>168</v>
      </c>
      <c r="F4" s="154"/>
      <c r="G4" s="154"/>
      <c r="H4" s="154"/>
    </row>
    <row r="5" spans="1:8" x14ac:dyDescent="0.25">
      <c r="A5" s="154" t="s">
        <v>3</v>
      </c>
      <c r="B5" s="154"/>
      <c r="C5" s="154"/>
      <c r="D5" s="154"/>
      <c r="E5" s="191">
        <v>45908</v>
      </c>
      <c r="F5" s="154"/>
      <c r="G5" s="154"/>
      <c r="H5" s="154"/>
    </row>
    <row r="6" spans="1:8" ht="16.5" customHeight="1" x14ac:dyDescent="0.25">
      <c r="A6" s="154" t="s">
        <v>4</v>
      </c>
      <c r="B6" s="154"/>
      <c r="C6" s="154"/>
      <c r="D6" s="154"/>
      <c r="E6" s="154" t="s">
        <v>222</v>
      </c>
      <c r="F6" s="154"/>
      <c r="G6" s="154"/>
      <c r="H6" s="154"/>
    </row>
    <row r="7" spans="1:8" ht="15" customHeight="1" x14ac:dyDescent="0.25">
      <c r="A7" s="154" t="s">
        <v>5</v>
      </c>
      <c r="B7" s="154"/>
      <c r="C7" s="154"/>
      <c r="D7" s="154"/>
      <c r="E7" s="154" t="str">
        <f>E6</f>
        <v>Mohan Developers LLP</v>
      </c>
      <c r="F7" s="154"/>
      <c r="G7" s="154"/>
      <c r="H7" s="154"/>
    </row>
    <row r="8" spans="1:8" x14ac:dyDescent="0.25">
      <c r="A8" s="154" t="s">
        <v>6</v>
      </c>
      <c r="B8" s="154"/>
      <c r="C8" s="154"/>
      <c r="D8" s="154"/>
      <c r="E8" s="72" t="s">
        <v>230</v>
      </c>
      <c r="F8" s="71"/>
      <c r="G8" s="71"/>
      <c r="H8" s="71"/>
    </row>
    <row r="9" spans="1:8" x14ac:dyDescent="0.25">
      <c r="A9" s="154" t="s">
        <v>121</v>
      </c>
      <c r="B9" s="154"/>
      <c r="C9" s="154"/>
      <c r="D9" s="154"/>
      <c r="E9" s="154" t="s">
        <v>169</v>
      </c>
      <c r="F9" s="154"/>
      <c r="G9" s="154"/>
      <c r="H9" s="154"/>
    </row>
    <row r="10" spans="1:8" hidden="1" x14ac:dyDescent="0.25">
      <c r="A10" s="154" t="s">
        <v>219</v>
      </c>
      <c r="B10" s="154"/>
      <c r="C10" s="154"/>
      <c r="D10" s="154"/>
      <c r="E10" s="154" t="s">
        <v>220</v>
      </c>
      <c r="F10" s="154"/>
      <c r="G10" s="154"/>
      <c r="H10" s="154"/>
    </row>
    <row r="11" spans="1:8" ht="114" customHeight="1" x14ac:dyDescent="0.25">
      <c r="A11" s="154" t="s">
        <v>7</v>
      </c>
      <c r="B11" s="154"/>
      <c r="C11" s="154"/>
      <c r="D11" s="154"/>
      <c r="E11" s="122" t="s">
        <v>258</v>
      </c>
      <c r="F11" s="154"/>
      <c r="G11" s="154"/>
      <c r="H11" s="154"/>
    </row>
    <row r="12" spans="1:8" ht="16.5" customHeight="1" x14ac:dyDescent="0.25">
      <c r="A12" s="121" t="s">
        <v>8</v>
      </c>
      <c r="B12" s="121"/>
      <c r="C12" s="121"/>
      <c r="D12" s="121"/>
      <c r="E12" s="122" t="s">
        <v>170</v>
      </c>
      <c r="F12" s="122"/>
      <c r="G12" s="122"/>
      <c r="H12" s="122"/>
    </row>
    <row r="13" spans="1:8" ht="34.5" customHeight="1" x14ac:dyDescent="0.25">
      <c r="A13" s="121" t="s">
        <v>9</v>
      </c>
      <c r="B13" s="121"/>
      <c r="C13" s="121"/>
      <c r="D13" s="121"/>
      <c r="E13" s="122" t="s">
        <v>233</v>
      </c>
      <c r="F13" s="154"/>
      <c r="G13" s="154"/>
      <c r="H13" s="154"/>
    </row>
    <row r="14" spans="1:8" ht="32.450000000000003" customHeight="1" x14ac:dyDescent="0.25">
      <c r="A14" s="122" t="s">
        <v>10</v>
      </c>
      <c r="B14" s="122"/>
      <c r="C14" s="122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Mohan Precious Greens Phase I &amp; II, Plot No.RH-1, near Nisarg Greens 1, B Cabin Road, Navare Nagar, Ambarnath, Ambarnath West, Ambarnath, Thane - 421501.</v>
      </c>
      <c r="D14" s="122"/>
      <c r="E14" s="122"/>
      <c r="F14" s="122"/>
      <c r="G14" s="122"/>
      <c r="H14" s="122"/>
    </row>
    <row r="15" spans="1:8" x14ac:dyDescent="0.25">
      <c r="A15" s="122" t="s">
        <v>180</v>
      </c>
      <c r="B15" s="122"/>
      <c r="C15" s="122" t="s">
        <v>181</v>
      </c>
      <c r="D15" s="122"/>
      <c r="E15" s="122"/>
      <c r="F15" s="122"/>
      <c r="G15" s="122"/>
      <c r="H15" s="122"/>
    </row>
    <row r="16" spans="1:8" ht="15.75" customHeight="1" x14ac:dyDescent="0.25">
      <c r="A16" s="170" t="s">
        <v>165</v>
      </c>
      <c r="B16" s="172"/>
      <c r="C16" s="170" t="s">
        <v>179</v>
      </c>
      <c r="D16" s="171"/>
      <c r="E16" s="171"/>
      <c r="F16" s="171"/>
      <c r="G16" s="171"/>
      <c r="H16" s="172"/>
    </row>
    <row r="17" spans="1:8" ht="15.75" customHeight="1" x14ac:dyDescent="0.25">
      <c r="A17" s="123" t="s">
        <v>11</v>
      </c>
      <c r="B17" s="123"/>
      <c r="C17" s="154" t="s">
        <v>172</v>
      </c>
      <c r="D17" s="154"/>
      <c r="E17" s="123" t="s">
        <v>166</v>
      </c>
      <c r="F17" s="123"/>
      <c r="G17" s="122" t="s">
        <v>177</v>
      </c>
      <c r="H17" s="122"/>
    </row>
    <row r="18" spans="1:8" x14ac:dyDescent="0.25">
      <c r="A18" s="121" t="s">
        <v>13</v>
      </c>
      <c r="B18" s="121"/>
      <c r="C18" s="122" t="s">
        <v>178</v>
      </c>
      <c r="D18" s="122"/>
      <c r="E18" s="123" t="s">
        <v>12</v>
      </c>
      <c r="F18" s="123"/>
      <c r="G18" s="190" t="s">
        <v>176</v>
      </c>
      <c r="H18" s="190"/>
    </row>
    <row r="19" spans="1:8" x14ac:dyDescent="0.25">
      <c r="A19" s="121" t="s">
        <v>73</v>
      </c>
      <c r="B19" s="121"/>
      <c r="C19" s="122" t="s">
        <v>177</v>
      </c>
      <c r="D19" s="122"/>
      <c r="E19" s="123" t="s">
        <v>14</v>
      </c>
      <c r="F19" s="123"/>
      <c r="G19" s="122">
        <v>421501</v>
      </c>
      <c r="H19" s="122"/>
    </row>
    <row r="20" spans="1:8" ht="32.25" customHeight="1" x14ac:dyDescent="0.25">
      <c r="A20" s="121" t="s">
        <v>122</v>
      </c>
      <c r="B20" s="121"/>
      <c r="C20" s="122" t="s">
        <v>221</v>
      </c>
      <c r="D20" s="122"/>
      <c r="E20" s="123" t="s">
        <v>15</v>
      </c>
      <c r="F20" s="123"/>
      <c r="G20" s="122" t="s">
        <v>182</v>
      </c>
      <c r="H20" s="122"/>
    </row>
    <row r="21" spans="1:8" ht="15" customHeight="1" x14ac:dyDescent="0.25">
      <c r="A21" s="123" t="s">
        <v>75</v>
      </c>
      <c r="B21" s="123"/>
      <c r="C21" s="123"/>
      <c r="D21" s="123"/>
      <c r="E21" s="154" t="s">
        <v>16</v>
      </c>
      <c r="F21" s="154"/>
      <c r="G21" s="154"/>
      <c r="H21" s="154"/>
    </row>
    <row r="22" spans="1:8" ht="18.75" customHeight="1" x14ac:dyDescent="0.25">
      <c r="A22" s="123"/>
      <c r="B22" s="123"/>
      <c r="C22" s="123"/>
      <c r="D22" s="123"/>
      <c r="E22" s="154"/>
      <c r="F22" s="154"/>
      <c r="G22" s="154"/>
      <c r="H22" s="154"/>
    </row>
    <row r="23" spans="1:8" ht="15" customHeight="1" x14ac:dyDescent="0.25">
      <c r="A23" s="123" t="s">
        <v>17</v>
      </c>
      <c r="B23" s="123"/>
      <c r="C23" s="123"/>
      <c r="D23" s="123"/>
      <c r="E23" s="122" t="s">
        <v>18</v>
      </c>
      <c r="F23" s="122"/>
      <c r="G23" s="122"/>
      <c r="H23" s="122"/>
    </row>
    <row r="24" spans="1:8" ht="15" customHeight="1" x14ac:dyDescent="0.25">
      <c r="A24" s="121" t="s">
        <v>19</v>
      </c>
      <c r="B24" s="121"/>
      <c r="C24" s="121"/>
      <c r="D24" s="121"/>
      <c r="E24" s="122" t="str">
        <f>IF(AND(G18="Mumbai"),"Upper Class","Middle Class")</f>
        <v>Middle Class</v>
      </c>
      <c r="F24" s="122"/>
      <c r="G24" s="122"/>
      <c r="H24" s="122"/>
    </row>
    <row r="25" spans="1:8" x14ac:dyDescent="0.25">
      <c r="A25" s="121" t="s">
        <v>20</v>
      </c>
      <c r="B25" s="121"/>
      <c r="C25" s="121"/>
      <c r="D25" s="121"/>
      <c r="E25" s="122" t="s">
        <v>21</v>
      </c>
      <c r="F25" s="122"/>
      <c r="G25" s="122"/>
      <c r="H25" s="122"/>
    </row>
    <row r="26" spans="1:8" ht="15.75" customHeight="1" x14ac:dyDescent="0.25">
      <c r="A26" s="121" t="s">
        <v>22</v>
      </c>
      <c r="B26" s="121"/>
      <c r="C26" s="121"/>
      <c r="D26" s="121"/>
      <c r="E26" s="122" t="str">
        <f>IF(AND(G18="Mumbai"),"Developed","Developing")</f>
        <v>Developing</v>
      </c>
      <c r="F26" s="122"/>
      <c r="G26" s="122"/>
      <c r="H26" s="122"/>
    </row>
    <row r="27" spans="1:8" x14ac:dyDescent="0.25">
      <c r="A27" s="121" t="s">
        <v>23</v>
      </c>
      <c r="B27" s="121"/>
      <c r="C27" s="121"/>
      <c r="D27" s="121"/>
      <c r="E27" s="122" t="s">
        <v>24</v>
      </c>
      <c r="F27" s="122"/>
      <c r="G27" s="122"/>
      <c r="H27" s="122"/>
    </row>
    <row r="28" spans="1:8" ht="15.75" customHeight="1" x14ac:dyDescent="0.25">
      <c r="A28" s="121" t="s">
        <v>80</v>
      </c>
      <c r="B28" s="121"/>
      <c r="C28" s="121"/>
      <c r="D28" s="121"/>
      <c r="E28" s="122" t="s">
        <v>81</v>
      </c>
      <c r="F28" s="122"/>
      <c r="G28" s="122"/>
      <c r="H28" s="122"/>
    </row>
    <row r="29" spans="1:8" ht="15" customHeight="1" x14ac:dyDescent="0.25">
      <c r="A29" s="121" t="s">
        <v>33</v>
      </c>
      <c r="B29" s="121"/>
      <c r="C29" s="121"/>
      <c r="D29" s="121"/>
      <c r="E29" s="122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22"/>
      <c r="G29" s="122"/>
      <c r="H29" s="122"/>
    </row>
    <row r="30" spans="1:8" ht="15.75" customHeight="1" x14ac:dyDescent="0.25">
      <c r="A30" s="121" t="s">
        <v>92</v>
      </c>
      <c r="B30" s="121"/>
      <c r="C30" s="121"/>
      <c r="D30" s="121"/>
      <c r="E30" s="122" t="s">
        <v>34</v>
      </c>
      <c r="F30" s="122"/>
      <c r="G30" s="122"/>
      <c r="H30" s="122"/>
    </row>
    <row r="31" spans="1:8" s="22" customFormat="1" x14ac:dyDescent="0.25">
      <c r="A31" s="189" t="s">
        <v>93</v>
      </c>
      <c r="B31" s="189"/>
      <c r="C31" s="188" t="s">
        <v>29</v>
      </c>
      <c r="D31" s="188"/>
      <c r="E31" s="188"/>
      <c r="F31" s="188" t="s">
        <v>31</v>
      </c>
      <c r="G31" s="188"/>
      <c r="H31" s="188"/>
    </row>
    <row r="32" spans="1:8" s="22" customFormat="1" x14ac:dyDescent="0.25">
      <c r="A32" s="173" t="s">
        <v>25</v>
      </c>
      <c r="B32" s="173" t="s">
        <v>30</v>
      </c>
      <c r="C32" s="148" t="s">
        <v>30</v>
      </c>
      <c r="D32" s="148"/>
      <c r="E32" s="148"/>
      <c r="F32" s="148" t="s">
        <v>172</v>
      </c>
      <c r="G32" s="148"/>
      <c r="H32" s="148"/>
    </row>
    <row r="33" spans="1:9" x14ac:dyDescent="0.25">
      <c r="A33" s="173" t="s">
        <v>26</v>
      </c>
      <c r="B33" s="173" t="s">
        <v>30</v>
      </c>
      <c r="C33" s="148" t="s">
        <v>30</v>
      </c>
      <c r="D33" s="148"/>
      <c r="E33" s="148"/>
      <c r="F33" s="148" t="s">
        <v>174</v>
      </c>
      <c r="G33" s="148"/>
      <c r="H33" s="148"/>
    </row>
    <row r="34" spans="1:9" s="22" customFormat="1" x14ac:dyDescent="0.25">
      <c r="A34" s="173" t="s">
        <v>28</v>
      </c>
      <c r="B34" s="173" t="s">
        <v>30</v>
      </c>
      <c r="C34" s="148" t="s">
        <v>30</v>
      </c>
      <c r="D34" s="148"/>
      <c r="E34" s="148"/>
      <c r="F34" s="148" t="s">
        <v>173</v>
      </c>
      <c r="G34" s="148"/>
      <c r="H34" s="148"/>
    </row>
    <row r="35" spans="1:9" x14ac:dyDescent="0.25">
      <c r="A35" s="173" t="s">
        <v>27</v>
      </c>
      <c r="B35" s="173" t="s">
        <v>30</v>
      </c>
      <c r="C35" s="148" t="s">
        <v>30</v>
      </c>
      <c r="D35" s="148"/>
      <c r="E35" s="148"/>
      <c r="F35" s="148" t="s">
        <v>175</v>
      </c>
      <c r="G35" s="148"/>
      <c r="H35" s="148"/>
    </row>
    <row r="36" spans="1:9" x14ac:dyDescent="0.25">
      <c r="A36" s="121" t="s">
        <v>32</v>
      </c>
      <c r="B36" s="121"/>
      <c r="C36" s="121"/>
      <c r="D36" s="121"/>
      <c r="E36" s="121"/>
      <c r="F36" s="121"/>
      <c r="G36" s="121"/>
      <c r="H36" s="121"/>
    </row>
    <row r="37" spans="1:9" ht="15.75" customHeight="1" x14ac:dyDescent="0.25">
      <c r="A37" s="121" t="s">
        <v>231</v>
      </c>
      <c r="B37" s="121"/>
      <c r="C37" s="175" t="s">
        <v>284</v>
      </c>
      <c r="D37" s="176"/>
      <c r="E37" s="176"/>
      <c r="F37" s="176"/>
      <c r="G37" s="176"/>
      <c r="H37" s="177"/>
    </row>
    <row r="38" spans="1:9" x14ac:dyDescent="0.25">
      <c r="A38" s="121" t="s">
        <v>164</v>
      </c>
      <c r="B38" s="121"/>
      <c r="C38" s="174" t="s">
        <v>171</v>
      </c>
      <c r="D38" s="122"/>
      <c r="E38" s="122"/>
      <c r="F38" s="122"/>
      <c r="G38" s="122"/>
      <c r="H38" s="122"/>
    </row>
    <row r="39" spans="1:9" x14ac:dyDescent="0.25">
      <c r="A39" s="149" t="s">
        <v>35</v>
      </c>
      <c r="B39" s="149"/>
      <c r="C39" s="149"/>
      <c r="D39" s="149"/>
      <c r="E39" s="149"/>
      <c r="F39" s="149"/>
      <c r="G39" s="149"/>
      <c r="H39" s="149"/>
    </row>
    <row r="40" spans="1:9" x14ac:dyDescent="0.25">
      <c r="A40" s="121" t="s">
        <v>36</v>
      </c>
      <c r="B40" s="121"/>
      <c r="C40" s="121"/>
      <c r="D40" s="121"/>
      <c r="E40" s="147">
        <v>91863.9</v>
      </c>
      <c r="F40" s="147"/>
      <c r="G40" s="147"/>
      <c r="H40" s="147"/>
      <c r="I40" s="56" t="s">
        <v>183</v>
      </c>
    </row>
    <row r="41" spans="1:9" x14ac:dyDescent="0.25">
      <c r="A41" s="121" t="s">
        <v>37</v>
      </c>
      <c r="B41" s="121"/>
      <c r="C41" s="121"/>
      <c r="D41" s="121"/>
      <c r="E41" s="152">
        <v>1.5</v>
      </c>
      <c r="F41" s="152"/>
      <c r="G41" s="152"/>
      <c r="H41" s="152"/>
    </row>
    <row r="42" spans="1:9" x14ac:dyDescent="0.25">
      <c r="A42" s="121" t="s">
        <v>38</v>
      </c>
      <c r="B42" s="121"/>
      <c r="C42" s="121"/>
      <c r="D42" s="121"/>
      <c r="E42" s="152">
        <f>E44/E40-E41</f>
        <v>-2.6834588995241715E-2</v>
      </c>
      <c r="F42" s="152"/>
      <c r="G42" s="152"/>
      <c r="H42" s="152"/>
    </row>
    <row r="43" spans="1:9" x14ac:dyDescent="0.25">
      <c r="A43" s="121" t="s">
        <v>39</v>
      </c>
      <c r="B43" s="121"/>
      <c r="C43" s="121"/>
      <c r="D43" s="121"/>
      <c r="E43" s="152">
        <f>E41+E42</f>
        <v>1.4731654110047583</v>
      </c>
      <c r="F43" s="152"/>
      <c r="G43" s="152"/>
      <c r="H43" s="152"/>
    </row>
    <row r="44" spans="1:9" x14ac:dyDescent="0.25">
      <c r="A44" s="121" t="s">
        <v>91</v>
      </c>
      <c r="B44" s="121"/>
      <c r="C44" s="121"/>
      <c r="D44" s="121"/>
      <c r="E44" s="153">
        <v>135330.72</v>
      </c>
      <c r="F44" s="153"/>
      <c r="G44" s="153"/>
      <c r="H44" s="153"/>
    </row>
    <row r="45" spans="1:9" x14ac:dyDescent="0.25">
      <c r="A45" s="154" t="s">
        <v>40</v>
      </c>
      <c r="B45" s="154"/>
      <c r="C45" s="154"/>
      <c r="D45" s="154"/>
      <c r="E45" s="154" t="s">
        <v>259</v>
      </c>
      <c r="F45" s="154"/>
      <c r="G45" s="154"/>
      <c r="H45" s="154"/>
    </row>
    <row r="46" spans="1:9" x14ac:dyDescent="0.25">
      <c r="A46" s="149" t="s">
        <v>41</v>
      </c>
      <c r="B46" s="149"/>
      <c r="C46" s="149"/>
      <c r="D46" s="149"/>
      <c r="E46" s="149"/>
      <c r="F46" s="149"/>
      <c r="G46" s="149"/>
      <c r="H46" s="149"/>
    </row>
    <row r="47" spans="1:9" ht="30.75" customHeight="1" x14ac:dyDescent="0.25">
      <c r="A47" s="166" t="s">
        <v>151</v>
      </c>
      <c r="B47" s="168"/>
      <c r="C47" s="178" t="s">
        <v>232</v>
      </c>
      <c r="D47" s="179"/>
      <c r="E47" s="179"/>
      <c r="F47" s="179"/>
      <c r="G47" s="179"/>
      <c r="H47" s="180"/>
    </row>
    <row r="48" spans="1:9" x14ac:dyDescent="0.25">
      <c r="A48" s="166" t="s">
        <v>42</v>
      </c>
      <c r="B48" s="168"/>
      <c r="C48" s="166" t="s">
        <v>184</v>
      </c>
      <c r="D48" s="167"/>
      <c r="E48" s="168"/>
      <c r="F48" s="18" t="s">
        <v>43</v>
      </c>
      <c r="G48" s="160">
        <v>41785</v>
      </c>
      <c r="H48" s="168"/>
    </row>
    <row r="49" spans="1:14" x14ac:dyDescent="0.25">
      <c r="A49" s="166" t="s">
        <v>44</v>
      </c>
      <c r="B49" s="168"/>
      <c r="C49" s="166" t="str">
        <f>C48</f>
        <v>B-53136</v>
      </c>
      <c r="D49" s="167"/>
      <c r="E49" s="168"/>
      <c r="F49" s="18" t="s">
        <v>43</v>
      </c>
      <c r="G49" s="160">
        <f>G48</f>
        <v>41785</v>
      </c>
      <c r="H49" s="161"/>
    </row>
    <row r="50" spans="1:14" s="23" customFormat="1" ht="16.5" customHeight="1" x14ac:dyDescent="0.25">
      <c r="A50" s="162" t="s">
        <v>155</v>
      </c>
      <c r="B50" s="163"/>
      <c r="C50" s="166" t="s">
        <v>185</v>
      </c>
      <c r="D50" s="167"/>
      <c r="E50" s="168"/>
      <c r="F50" s="18" t="s">
        <v>43</v>
      </c>
      <c r="G50" s="160">
        <v>44407</v>
      </c>
      <c r="H50" s="161"/>
    </row>
    <row r="51" spans="1:14" s="23" customFormat="1" ht="32.450000000000003" customHeight="1" x14ac:dyDescent="0.25">
      <c r="A51" s="164"/>
      <c r="B51" s="165"/>
      <c r="C51" s="166" t="s">
        <v>274</v>
      </c>
      <c r="D51" s="167"/>
      <c r="E51" s="167"/>
      <c r="F51" s="167"/>
      <c r="G51" s="167"/>
      <c r="H51" s="168"/>
    </row>
    <row r="52" spans="1:14" x14ac:dyDescent="0.25">
      <c r="A52" s="201" t="s">
        <v>167</v>
      </c>
      <c r="B52" s="202"/>
      <c r="C52" s="196" t="s">
        <v>30</v>
      </c>
      <c r="D52" s="197"/>
      <c r="E52" s="198"/>
      <c r="F52" s="50" t="s">
        <v>43</v>
      </c>
      <c r="G52" s="199" t="s">
        <v>30</v>
      </c>
      <c r="H52" s="200"/>
    </row>
    <row r="53" spans="1:14" hidden="1" x14ac:dyDescent="0.25">
      <c r="A53" s="203"/>
      <c r="B53" s="204"/>
      <c r="C53" s="196" t="s">
        <v>30</v>
      </c>
      <c r="D53" s="197"/>
      <c r="E53" s="197"/>
      <c r="F53" s="197"/>
      <c r="G53" s="197"/>
      <c r="H53" s="198"/>
    </row>
    <row r="54" spans="1:14" x14ac:dyDescent="0.25">
      <c r="A54" s="195" t="s">
        <v>46</v>
      </c>
      <c r="B54" s="195"/>
      <c r="C54" s="195"/>
      <c r="D54" s="195"/>
      <c r="E54" s="195"/>
      <c r="F54" s="195"/>
      <c r="G54" s="195"/>
      <c r="H54" s="195"/>
    </row>
    <row r="55" spans="1:14" x14ac:dyDescent="0.25">
      <c r="A55" s="123" t="s">
        <v>90</v>
      </c>
      <c r="B55" s="123"/>
      <c r="C55" s="123"/>
      <c r="D55" s="121">
        <f>E44</f>
        <v>135330.72</v>
      </c>
      <c r="E55" s="121"/>
      <c r="F55" s="121"/>
      <c r="G55" s="121"/>
      <c r="H55" s="121"/>
    </row>
    <row r="56" spans="1:14" x14ac:dyDescent="0.25">
      <c r="A56" s="122" t="s">
        <v>47</v>
      </c>
      <c r="B56" s="154"/>
      <c r="C56" s="154"/>
      <c r="D56" s="154" t="s">
        <v>272</v>
      </c>
      <c r="E56" s="154"/>
      <c r="F56" s="154"/>
      <c r="G56" s="154"/>
      <c r="H56" s="154"/>
      <c r="I56" s="24" t="s">
        <v>224</v>
      </c>
      <c r="K56" s="21">
        <f>48+36</f>
        <v>84</v>
      </c>
      <c r="L56" s="21">
        <f>504+396</f>
        <v>900</v>
      </c>
    </row>
    <row r="57" spans="1:14" ht="32.450000000000003" customHeight="1" x14ac:dyDescent="0.25">
      <c r="A57" s="157" t="s">
        <v>48</v>
      </c>
      <c r="B57" s="158"/>
      <c r="C57" s="159"/>
      <c r="D57" s="155" t="s">
        <v>260</v>
      </c>
      <c r="E57" s="156"/>
      <c r="F57" s="156"/>
      <c r="G57" s="156"/>
      <c r="H57" s="156"/>
    </row>
    <row r="58" spans="1:14" ht="32.25" customHeight="1" x14ac:dyDescent="0.25">
      <c r="A58" s="157" t="s">
        <v>88</v>
      </c>
      <c r="B58" s="158"/>
      <c r="C58" s="159"/>
      <c r="D58" s="170" t="s">
        <v>254</v>
      </c>
      <c r="E58" s="171"/>
      <c r="F58" s="171"/>
      <c r="G58" s="171"/>
      <c r="H58" s="172"/>
    </row>
    <row r="59" spans="1:14" ht="31.5" customHeight="1" x14ac:dyDescent="0.25">
      <c r="A59" s="182"/>
      <c r="B59" s="183"/>
      <c r="C59" s="184"/>
      <c r="D59" s="170" t="s">
        <v>255</v>
      </c>
      <c r="E59" s="171"/>
      <c r="F59" s="171"/>
      <c r="G59" s="171"/>
      <c r="H59" s="172"/>
    </row>
    <row r="60" spans="1:14" ht="32.25" customHeight="1" x14ac:dyDescent="0.25">
      <c r="A60" s="182"/>
      <c r="B60" s="183"/>
      <c r="C60" s="184"/>
      <c r="D60" s="170" t="s">
        <v>262</v>
      </c>
      <c r="E60" s="171"/>
      <c r="F60" s="171"/>
      <c r="G60" s="171"/>
      <c r="H60" s="172"/>
    </row>
    <row r="61" spans="1:14" ht="32.25" customHeight="1" x14ac:dyDescent="0.25">
      <c r="A61" s="185"/>
      <c r="B61" s="186"/>
      <c r="C61" s="187"/>
      <c r="D61" s="170" t="s">
        <v>261</v>
      </c>
      <c r="E61" s="171"/>
      <c r="F61" s="171"/>
      <c r="G61" s="171"/>
      <c r="H61" s="172"/>
    </row>
    <row r="62" spans="1:14" ht="32.25" customHeight="1" x14ac:dyDescent="0.25">
      <c r="A62" s="121" t="s">
        <v>45</v>
      </c>
      <c r="B62" s="121"/>
      <c r="C62" s="121"/>
      <c r="D62" s="150" t="s">
        <v>234</v>
      </c>
      <c r="E62" s="150"/>
      <c r="F62" s="150"/>
      <c r="G62" s="150"/>
      <c r="H62" s="150"/>
      <c r="J62" s="25"/>
      <c r="K62" s="24"/>
      <c r="N62" s="24"/>
    </row>
    <row r="63" spans="1:14" ht="15.75" customHeight="1" x14ac:dyDescent="0.25">
      <c r="A63" s="121" t="s">
        <v>86</v>
      </c>
      <c r="B63" s="121"/>
      <c r="C63" s="121"/>
      <c r="D63" s="151" t="str">
        <f>(IF(G52="NA","60 Years After Completion",IF(G52&lt;&gt;"NA",""&amp;60-ROUNDDOWN((E3-G52)/360,0)&amp;" Years"," ")))</f>
        <v>60 Years After Completion</v>
      </c>
      <c r="E63" s="151"/>
      <c r="F63" s="151"/>
      <c r="G63" s="151"/>
      <c r="H63" s="151"/>
      <c r="N63" s="24"/>
    </row>
    <row r="64" spans="1:14" ht="15.75" customHeight="1" x14ac:dyDescent="0.25">
      <c r="A64" s="121" t="s">
        <v>87</v>
      </c>
      <c r="B64" s="121"/>
      <c r="C64" s="121"/>
      <c r="D64" s="123" t="s">
        <v>24</v>
      </c>
      <c r="E64" s="123"/>
      <c r="F64" s="123"/>
      <c r="G64" s="123"/>
      <c r="H64" s="123"/>
      <c r="J64" s="26"/>
      <c r="K64" s="26"/>
    </row>
    <row r="65" spans="1:14" ht="31.5" customHeight="1" x14ac:dyDescent="0.25">
      <c r="A65" s="121" t="s">
        <v>74</v>
      </c>
      <c r="B65" s="121"/>
      <c r="C65" s="121"/>
      <c r="D65" s="122" t="s">
        <v>277</v>
      </c>
      <c r="E65" s="123"/>
      <c r="F65" s="123"/>
      <c r="G65" s="123"/>
      <c r="H65" s="123"/>
    </row>
    <row r="66" spans="1:14" x14ac:dyDescent="0.25">
      <c r="A66" s="123" t="s">
        <v>148</v>
      </c>
      <c r="B66" s="123"/>
      <c r="C66" s="123"/>
      <c r="D66" s="123" t="s">
        <v>30</v>
      </c>
      <c r="E66" s="123"/>
      <c r="F66" s="123"/>
      <c r="G66" s="123"/>
      <c r="H66" s="123"/>
      <c r="I66" s="27"/>
      <c r="J66" s="27"/>
      <c r="K66" s="27"/>
      <c r="L66" s="27"/>
      <c r="M66" s="27"/>
      <c r="N66" s="27"/>
    </row>
    <row r="67" spans="1:14" ht="15.75" customHeight="1" x14ac:dyDescent="0.25">
      <c r="A67" s="181" t="s">
        <v>85</v>
      </c>
      <c r="B67" s="181"/>
      <c r="C67" s="181"/>
      <c r="D67" s="155" t="str">
        <f ca="1">(IF(G73&gt;95%,"Nothing",IF(G73&gt;0%,"Cement, Aggregate, Steel, etc",IF(G73=0%,"Work not yet Started"))))</f>
        <v>Cement, Aggregate, Steel, etc</v>
      </c>
      <c r="E67" s="155"/>
      <c r="F67" s="155"/>
      <c r="G67" s="155"/>
      <c r="H67" s="155"/>
      <c r="J67" s="26"/>
    </row>
    <row r="68" spans="1:14" ht="33.75" customHeight="1" thickBot="1" x14ac:dyDescent="0.3">
      <c r="A68" s="124" t="s">
        <v>116</v>
      </c>
      <c r="B68" s="124"/>
      <c r="C68" s="124"/>
      <c r="D68" s="155" t="str">
        <f ca="1">(IF(D67="Nothing","Yes",IF(D67="Cement, Aggregate, Steel, etc","Under Construction",IF(D67="Work not yet Started","Work not yet Started"))))</f>
        <v>Under Construction</v>
      </c>
      <c r="E68" s="155"/>
      <c r="F68" s="155" t="str">
        <f ca="1">(IF(D67="Nothing","Yes",IF(D67="Cement, Aggregate, Steel, etc","Under Construction",IF(D67="Work not yet Started","Work not yet Started"))))</f>
        <v>Under Construction</v>
      </c>
      <c r="G68" s="155"/>
      <c r="H68" s="155"/>
    </row>
    <row r="69" spans="1:14" ht="15.75" customHeight="1" x14ac:dyDescent="0.25">
      <c r="A69" s="65" t="s">
        <v>140</v>
      </c>
      <c r="B69" s="66"/>
      <c r="C69" s="67" t="s">
        <v>257</v>
      </c>
      <c r="D69" s="68"/>
      <c r="E69" s="68"/>
      <c r="F69" s="68"/>
      <c r="G69" s="68"/>
      <c r="H69" s="69"/>
      <c r="I69" s="46" t="str">
        <f ca="1">IF(D82=100%,"All work Completed. Possession granted to the Building.",IF(D81=100%,"All work Completed, Waiting for OC",I70&amp;""&amp;I71&amp;""&amp;J70&amp;""&amp;J69&amp;" "&amp;J71))</f>
        <v>Excavation, Plinth, RCC Slab, Brickwork, Internal Plaster, External Plaster Completed, Flooring upto 8 Floor, Painting upto 3 Floor Completed</v>
      </c>
      <c r="J69" s="47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Flooring upto 8 Floor, Painting upto 3 Floor</v>
      </c>
    </row>
    <row r="70" spans="1:14" x14ac:dyDescent="0.25">
      <c r="A70" s="16" t="s">
        <v>142</v>
      </c>
      <c r="B70" s="54">
        <v>0</v>
      </c>
      <c r="C70" s="54" t="s">
        <v>72</v>
      </c>
      <c r="D70" s="54">
        <v>1</v>
      </c>
      <c r="E70" s="54" t="s">
        <v>71</v>
      </c>
      <c r="F70" s="54">
        <v>0</v>
      </c>
      <c r="G70" s="54" t="s">
        <v>79</v>
      </c>
      <c r="H70" s="17">
        <f ca="1">--TRIM(RIGHT(SUBSTITUTE(LEFT(C69,_xlfn.AGGREGATE(16,6,FIND({0,1,2,3,4,5,6,7,8,9},C69,ROW(INDIRECT("1:"&amp;LEN(C69)))),1))," ",REPT(" ",LEN(C69))),LEN(C69)))</f>
        <v>18</v>
      </c>
      <c r="I70" s="48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Brickwork, Internal Plaster, External Plaster</v>
      </c>
      <c r="J70" s="49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31.5" customHeight="1" x14ac:dyDescent="0.25">
      <c r="A71" s="70" t="s">
        <v>89</v>
      </c>
      <c r="B71" s="71"/>
      <c r="C71" s="72" t="str">
        <f ca="1">(IF($C$53=C69,"All work Completed. OC Received.",I69))</f>
        <v>Excavation, Plinth, RCC Slab, Brickwork, Internal Plaster, External Plaster Completed, Flooring upto 8 Floor, Painting upto 3 Floor Completed</v>
      </c>
      <c r="D71" s="72"/>
      <c r="E71" s="72"/>
      <c r="F71" s="72"/>
      <c r="G71" s="72"/>
      <c r="H71" s="73"/>
      <c r="I71" s="48" t="str">
        <f ca="1">IF(I70&lt;&gt;""," Completed","")</f>
        <v xml:space="preserve"> Completed</v>
      </c>
      <c r="J71" s="49" t="str">
        <f ca="1">IF(J69&lt;&gt;"","Completed","")</f>
        <v>Completed</v>
      </c>
      <c r="K71" s="61" t="s">
        <v>286</v>
      </c>
    </row>
    <row r="72" spans="1:14" ht="15.75" customHeight="1" x14ac:dyDescent="0.25">
      <c r="A72" s="74" t="s">
        <v>49</v>
      </c>
      <c r="B72" s="75"/>
      <c r="C72" s="42" t="s">
        <v>139</v>
      </c>
      <c r="D72" s="42" t="s">
        <v>82</v>
      </c>
      <c r="E72" s="75" t="s">
        <v>84</v>
      </c>
      <c r="F72" s="75"/>
      <c r="G72" s="75" t="s">
        <v>83</v>
      </c>
      <c r="H72" s="76"/>
      <c r="I72" s="14" t="s">
        <v>141</v>
      </c>
      <c r="J72" s="28">
        <f ca="1">H70*25%</f>
        <v>4.5</v>
      </c>
    </row>
    <row r="73" spans="1:14" x14ac:dyDescent="0.25">
      <c r="A73" s="74" t="s">
        <v>128</v>
      </c>
      <c r="B73" s="75"/>
      <c r="C73" s="57">
        <f ca="1">J74</f>
        <v>18</v>
      </c>
      <c r="D73" s="19">
        <f ca="1">((100/H70)*C73)/100</f>
        <v>1</v>
      </c>
      <c r="E73" s="77">
        <f ca="1">(((C74/H70*10)+(40/(D70+F70+H70)*C75)+(7.5/(H70)*C76)+(7.5/(H70)*C77)+(10/H70*C78)+(10/H70*C79)+(5/H70*C80)+(5/H70*C81)+(5/H70*C82))/100)</f>
        <v>0.8027777777777777</v>
      </c>
      <c r="F73" s="78"/>
      <c r="G73" s="77">
        <f ca="1">((((C73/H70)*20)+((C74/H70)*25)+(30/(H70+F70+D70)*C75)+(5/H70*C76)+(5/H70*C77)+(5/H70*C78)+(5/H70*C79)+(0/H70*C80)+(0/H70*C81)+(5/H70*C82))/100)</f>
        <v>0.92222222222222228</v>
      </c>
      <c r="H73" s="83"/>
      <c r="I73" s="14" t="s">
        <v>99</v>
      </c>
      <c r="J73" s="29">
        <f ca="1">H70*50%</f>
        <v>9</v>
      </c>
    </row>
    <row r="74" spans="1:14" x14ac:dyDescent="0.25">
      <c r="A74" s="74" t="s">
        <v>50</v>
      </c>
      <c r="B74" s="75"/>
      <c r="C74" s="57">
        <f ca="1">J82</f>
        <v>18</v>
      </c>
      <c r="D74" s="19">
        <f ca="1">((100/H70)*C74)/100</f>
        <v>1</v>
      </c>
      <c r="E74" s="79"/>
      <c r="F74" s="80"/>
      <c r="G74" s="79"/>
      <c r="H74" s="84"/>
      <c r="I74" s="14" t="s">
        <v>100</v>
      </c>
      <c r="J74" s="29">
        <f ca="1">H70</f>
        <v>18</v>
      </c>
    </row>
    <row r="75" spans="1:14" ht="15.75" customHeight="1" x14ac:dyDescent="0.25">
      <c r="A75" s="74" t="s">
        <v>129</v>
      </c>
      <c r="B75" s="75"/>
      <c r="C75" s="42">
        <v>19</v>
      </c>
      <c r="D75" s="19">
        <f ca="1">((100/(D70+F70+H70))*C75)/100</f>
        <v>1</v>
      </c>
      <c r="E75" s="79"/>
      <c r="F75" s="80"/>
      <c r="G75" s="79"/>
      <c r="H75" s="84"/>
      <c r="I75" s="14" t="s">
        <v>101</v>
      </c>
      <c r="J75" s="30">
        <f ca="1">(IF(B70&gt;1,(H70/(B70+2)),H70/4))</f>
        <v>4.5</v>
      </c>
    </row>
    <row r="76" spans="1:14" ht="15.75" customHeight="1" x14ac:dyDescent="0.25">
      <c r="A76" s="74" t="s">
        <v>136</v>
      </c>
      <c r="B76" s="75" t="s">
        <v>130</v>
      </c>
      <c r="C76" s="42">
        <v>18</v>
      </c>
      <c r="D76" s="19">
        <f ca="1">((100/H70)*C76)/100</f>
        <v>1</v>
      </c>
      <c r="E76" s="79"/>
      <c r="F76" s="80"/>
      <c r="G76" s="79"/>
      <c r="H76" s="84"/>
      <c r="I76" s="14" t="s">
        <v>102</v>
      </c>
      <c r="J76" s="30">
        <f ca="1">(IF(B70&gt;1,(H70/(B70+2)+J75),H70/4+J75))</f>
        <v>9</v>
      </c>
    </row>
    <row r="77" spans="1:14" ht="15.75" customHeight="1" x14ac:dyDescent="0.25">
      <c r="A77" s="74" t="s">
        <v>137</v>
      </c>
      <c r="B77" s="75" t="s">
        <v>130</v>
      </c>
      <c r="C77" s="42">
        <v>18</v>
      </c>
      <c r="D77" s="19">
        <f ca="1">((100/H70)*C77)/100</f>
        <v>1</v>
      </c>
      <c r="E77" s="79"/>
      <c r="F77" s="80"/>
      <c r="G77" s="79"/>
      <c r="H77" s="84"/>
      <c r="I77" s="14" t="s">
        <v>146</v>
      </c>
      <c r="J77" s="30">
        <f>(IF(B70&gt;1,(H70/(B70+2)+J76),0))</f>
        <v>0</v>
      </c>
    </row>
    <row r="78" spans="1:14" ht="15" customHeight="1" x14ac:dyDescent="0.25">
      <c r="A78" s="74" t="s">
        <v>135</v>
      </c>
      <c r="B78" s="75" t="s">
        <v>132</v>
      </c>
      <c r="C78" s="42">
        <v>18</v>
      </c>
      <c r="D78" s="19">
        <f ca="1">((100/(H70))*C78)/100</f>
        <v>1</v>
      </c>
      <c r="E78" s="79"/>
      <c r="F78" s="80"/>
      <c r="G78" s="79"/>
      <c r="H78" s="84"/>
      <c r="I78" s="14" t="s">
        <v>143</v>
      </c>
      <c r="J78" s="30">
        <f>(IF(B70&gt;2,(H70/(B70+2)+J77),0))</f>
        <v>0</v>
      </c>
    </row>
    <row r="79" spans="1:14" ht="15.75" customHeight="1" x14ac:dyDescent="0.25">
      <c r="A79" s="74" t="s">
        <v>131</v>
      </c>
      <c r="B79" s="75" t="s">
        <v>131</v>
      </c>
      <c r="C79" s="42">
        <v>8</v>
      </c>
      <c r="D79" s="19">
        <f ca="1">((100/H70)*C79)/100</f>
        <v>0.44444444444444442</v>
      </c>
      <c r="E79" s="79"/>
      <c r="F79" s="80"/>
      <c r="G79" s="79"/>
      <c r="H79" s="84"/>
      <c r="I79" s="14" t="s">
        <v>144</v>
      </c>
      <c r="J79" s="31">
        <f>(IF(B70&gt;3,(H70/(B70+2)+J78),0))</f>
        <v>0</v>
      </c>
    </row>
    <row r="80" spans="1:14" ht="15.75" customHeight="1" x14ac:dyDescent="0.25">
      <c r="A80" s="74" t="s">
        <v>138</v>
      </c>
      <c r="B80" s="75"/>
      <c r="C80" s="42">
        <v>3</v>
      </c>
      <c r="D80" s="19">
        <f ca="1">((100/H70)*C80)/100</f>
        <v>0.16666666666666663</v>
      </c>
      <c r="E80" s="79"/>
      <c r="F80" s="80"/>
      <c r="G80" s="79"/>
      <c r="H80" s="84"/>
      <c r="I80" s="14" t="s">
        <v>145</v>
      </c>
      <c r="J80" s="30">
        <f>(IF(B70&gt;4,(H70/(B70+2)+J79),0))</f>
        <v>0</v>
      </c>
    </row>
    <row r="81" spans="1:10" ht="15.75" customHeight="1" x14ac:dyDescent="0.25">
      <c r="A81" s="74" t="s">
        <v>133</v>
      </c>
      <c r="B81" s="75" t="s">
        <v>133</v>
      </c>
      <c r="C81" s="42">
        <v>0</v>
      </c>
      <c r="D81" s="19">
        <f ca="1">((100/(H70))*C81)/100</f>
        <v>0</v>
      </c>
      <c r="E81" s="79"/>
      <c r="F81" s="80"/>
      <c r="G81" s="79"/>
      <c r="H81" s="84"/>
      <c r="I81" s="14" t="s">
        <v>147</v>
      </c>
      <c r="J81" s="30">
        <f ca="1">(IF(B70=1,(H70/(B70+3)+J76),IF(B70=0,(H70/4+J76),IF(B70&gt;1,0))))</f>
        <v>13.5</v>
      </c>
    </row>
    <row r="82" spans="1:10" ht="16.5" thickBot="1" x14ac:dyDescent="0.3">
      <c r="A82" s="86" t="s">
        <v>134</v>
      </c>
      <c r="B82" s="87"/>
      <c r="C82" s="43">
        <v>0</v>
      </c>
      <c r="D82" s="20">
        <f ca="1">((100/(H70))*C82)/100</f>
        <v>0</v>
      </c>
      <c r="E82" s="81"/>
      <c r="F82" s="82"/>
      <c r="G82" s="81"/>
      <c r="H82" s="85"/>
      <c r="I82" s="15" t="s">
        <v>103</v>
      </c>
      <c r="J82" s="32">
        <f ca="1">(IF(B70&gt;1.5,(H70/(B70+2)+J76+MAX(0,J77-J76)+MAX(0,J78-J77)+MAX(0,J79-J78)+MAX(0,J80-J79)+MAX(0,J81-J80)),IF(B70=1,(H70/(B70+3)+J81),IF(B70=0,H70/4+J81))))</f>
        <v>18</v>
      </c>
    </row>
    <row r="83" spans="1:10" ht="15.75" customHeight="1" x14ac:dyDescent="0.25">
      <c r="A83" s="65" t="s">
        <v>140</v>
      </c>
      <c r="B83" s="66"/>
      <c r="C83" s="67" t="s">
        <v>256</v>
      </c>
      <c r="D83" s="68"/>
      <c r="E83" s="68"/>
      <c r="F83" s="68"/>
      <c r="G83" s="68"/>
      <c r="H83" s="69"/>
      <c r="I83" s="46" t="str">
        <f ca="1">IF(D96=100%,"All work Completed. Possession granted to the Building.",IF(D95=100%,"All work Completed, Waiting for OC",I84&amp;""&amp;I85&amp;""&amp;J84&amp;""&amp;J83&amp;" "&amp;J85))</f>
        <v>Excavation, Plinth, RCC Slab, Brickwork, Internal Plaster, External Plaster Completed, Flooring upto 8 Floor Completed</v>
      </c>
      <c r="J83" s="47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Flooring upto 8 Floor</v>
      </c>
    </row>
    <row r="84" spans="1:10" x14ac:dyDescent="0.25">
      <c r="A84" s="16" t="s">
        <v>142</v>
      </c>
      <c r="B84" s="54">
        <v>0</v>
      </c>
      <c r="C84" s="54" t="s">
        <v>72</v>
      </c>
      <c r="D84" s="54">
        <v>1</v>
      </c>
      <c r="E84" s="54" t="s">
        <v>71</v>
      </c>
      <c r="F84" s="54">
        <v>0</v>
      </c>
      <c r="G84" s="54" t="s">
        <v>79</v>
      </c>
      <c r="H84" s="17">
        <f ca="1">--TRIM(RIGHT(SUBSTITUTE(LEFT(C83,_xlfn.AGGREGATE(16,6,FIND({0,1,2,3,4,5,6,7,8,9},C83,ROW(INDIRECT("1:"&amp;LEN(C83)))),1))," ",REPT(" ",LEN(C83))),LEN(C83)))</f>
        <v>18</v>
      </c>
      <c r="I84" s="48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Plinth, RCC Slab, Brickwork, Internal Plaster, External Plaster</v>
      </c>
      <c r="J84" s="49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ht="30.75" customHeight="1" x14ac:dyDescent="0.25">
      <c r="A85" s="70" t="s">
        <v>89</v>
      </c>
      <c r="B85" s="71"/>
      <c r="C85" s="72" t="str">
        <f ca="1">(IF($C$53=C83,"All work Completed. OC Received.",I83))</f>
        <v>Excavation, Plinth, RCC Slab, Brickwork, Internal Plaster, External Plaster Completed, Flooring upto 8 Floor Completed</v>
      </c>
      <c r="D85" s="72"/>
      <c r="E85" s="72"/>
      <c r="F85" s="72"/>
      <c r="G85" s="72"/>
      <c r="H85" s="73"/>
      <c r="I85" s="48" t="str">
        <f ca="1">IF(I84&lt;&gt;""," Completed","")</f>
        <v xml:space="preserve"> Completed</v>
      </c>
      <c r="J85" s="49" t="str">
        <f ca="1">IF(J83&lt;&gt;"","Completed","")</f>
        <v>Completed</v>
      </c>
    </row>
    <row r="86" spans="1:10" ht="15.75" customHeight="1" x14ac:dyDescent="0.25">
      <c r="A86" s="74" t="s">
        <v>49</v>
      </c>
      <c r="B86" s="75"/>
      <c r="C86" s="42" t="s">
        <v>139</v>
      </c>
      <c r="D86" s="42" t="s">
        <v>82</v>
      </c>
      <c r="E86" s="75" t="s">
        <v>84</v>
      </c>
      <c r="F86" s="75"/>
      <c r="G86" s="75" t="s">
        <v>83</v>
      </c>
      <c r="H86" s="76"/>
      <c r="I86" s="14" t="s">
        <v>141</v>
      </c>
      <c r="J86" s="28">
        <f ca="1">H84*25%</f>
        <v>4.5</v>
      </c>
    </row>
    <row r="87" spans="1:10" x14ac:dyDescent="0.25">
      <c r="A87" s="74" t="s">
        <v>128</v>
      </c>
      <c r="B87" s="75"/>
      <c r="C87" s="57">
        <f ca="1">J88</f>
        <v>18</v>
      </c>
      <c r="D87" s="19">
        <f ca="1">((100/H84)*C87)/100</f>
        <v>1</v>
      </c>
      <c r="E87" s="77">
        <f ca="1">(((C88/H84*10)+(40/(D84+F84+H84)*C89)+(7.5/(H84)*C90)+(7.5/(H84)*C91)+(10/H84*C92)+(10/H84*C93)+(5/H84*C94)+(5/H84*C95)+(5/H84*C96))/100)</f>
        <v>0.7944444444444444</v>
      </c>
      <c r="F87" s="78"/>
      <c r="G87" s="77">
        <f ca="1">((((C87/H84)*20)+((C88/H84)*25)+(30/(H84+F84+D84)*C89)+(5/H84*C90)+(5/H84*C91)+(5/H84*C92)+(5/H84*C93)+(0/H84*C94)+(0/H84*C95)+(5/H84*C96))/100)</f>
        <v>0.92222222222222228</v>
      </c>
      <c r="H87" s="83"/>
      <c r="I87" s="14" t="s">
        <v>99</v>
      </c>
      <c r="J87" s="29">
        <f ca="1">H84*50%</f>
        <v>9</v>
      </c>
    </row>
    <row r="88" spans="1:10" x14ac:dyDescent="0.25">
      <c r="A88" s="74" t="s">
        <v>50</v>
      </c>
      <c r="B88" s="75"/>
      <c r="C88" s="57">
        <f ca="1">J96</f>
        <v>18</v>
      </c>
      <c r="D88" s="19">
        <f ca="1">((100/H84)*C88)/100</f>
        <v>1</v>
      </c>
      <c r="E88" s="79"/>
      <c r="F88" s="80"/>
      <c r="G88" s="79"/>
      <c r="H88" s="84"/>
      <c r="I88" s="14" t="s">
        <v>100</v>
      </c>
      <c r="J88" s="29">
        <f ca="1">H84</f>
        <v>18</v>
      </c>
    </row>
    <row r="89" spans="1:10" ht="15.75" customHeight="1" x14ac:dyDescent="0.25">
      <c r="A89" s="74" t="s">
        <v>129</v>
      </c>
      <c r="B89" s="75"/>
      <c r="C89" s="42">
        <v>19</v>
      </c>
      <c r="D89" s="19">
        <f ca="1">((100/(D84+F84+H84))*C89)/100</f>
        <v>1</v>
      </c>
      <c r="E89" s="79"/>
      <c r="F89" s="80"/>
      <c r="G89" s="79"/>
      <c r="H89" s="84"/>
      <c r="I89" s="14" t="s">
        <v>101</v>
      </c>
      <c r="J89" s="30">
        <f ca="1">(IF(B84&gt;1,(H84/(B84+2)),H84/4))</f>
        <v>4.5</v>
      </c>
    </row>
    <row r="90" spans="1:10" ht="15.75" customHeight="1" x14ac:dyDescent="0.25">
      <c r="A90" s="74" t="s">
        <v>136</v>
      </c>
      <c r="B90" s="75" t="s">
        <v>130</v>
      </c>
      <c r="C90" s="42">
        <v>18</v>
      </c>
      <c r="D90" s="19">
        <f ca="1">((100/H84)*C90)/100</f>
        <v>1</v>
      </c>
      <c r="E90" s="79"/>
      <c r="F90" s="80"/>
      <c r="G90" s="79"/>
      <c r="H90" s="84"/>
      <c r="I90" s="14" t="s">
        <v>102</v>
      </c>
      <c r="J90" s="30">
        <f ca="1">(IF(B84&gt;1,(H84/(B84+2)+J89),H84/4+J89))</f>
        <v>9</v>
      </c>
    </row>
    <row r="91" spans="1:10" ht="15.75" customHeight="1" x14ac:dyDescent="0.25">
      <c r="A91" s="74" t="s">
        <v>137</v>
      </c>
      <c r="B91" s="75" t="s">
        <v>130</v>
      </c>
      <c r="C91" s="42">
        <v>18</v>
      </c>
      <c r="D91" s="19">
        <f ca="1">((100/H84)*C91)/100</f>
        <v>1</v>
      </c>
      <c r="E91" s="79"/>
      <c r="F91" s="80"/>
      <c r="G91" s="79"/>
      <c r="H91" s="84"/>
      <c r="I91" s="14" t="s">
        <v>146</v>
      </c>
      <c r="J91" s="30">
        <f>(IF(B84&gt;1,(H84/(B84+2)+J90),0))</f>
        <v>0</v>
      </c>
    </row>
    <row r="92" spans="1:10" ht="15" customHeight="1" x14ac:dyDescent="0.25">
      <c r="A92" s="74" t="s">
        <v>135</v>
      </c>
      <c r="B92" s="75" t="s">
        <v>132</v>
      </c>
      <c r="C92" s="42">
        <v>18</v>
      </c>
      <c r="D92" s="19">
        <f ca="1">((100/(H84))*C92)/100</f>
        <v>1</v>
      </c>
      <c r="E92" s="79"/>
      <c r="F92" s="80"/>
      <c r="G92" s="79"/>
      <c r="H92" s="84"/>
      <c r="I92" s="14" t="s">
        <v>143</v>
      </c>
      <c r="J92" s="30">
        <f>(IF(B84&gt;2,(H84/(B84+2)+J91),0))</f>
        <v>0</v>
      </c>
    </row>
    <row r="93" spans="1:10" ht="15.75" customHeight="1" x14ac:dyDescent="0.25">
      <c r="A93" s="74" t="s">
        <v>131</v>
      </c>
      <c r="B93" s="75" t="s">
        <v>131</v>
      </c>
      <c r="C93" s="42">
        <v>8</v>
      </c>
      <c r="D93" s="19">
        <f ca="1">((100/H84)*C93)/100</f>
        <v>0.44444444444444442</v>
      </c>
      <c r="E93" s="79"/>
      <c r="F93" s="80"/>
      <c r="G93" s="79"/>
      <c r="H93" s="84"/>
      <c r="I93" s="14" t="s">
        <v>144</v>
      </c>
      <c r="J93" s="31">
        <f>(IF(B84&gt;3,(H84/(B84+2)+J92),0))</f>
        <v>0</v>
      </c>
    </row>
    <row r="94" spans="1:10" ht="15.75" customHeight="1" x14ac:dyDescent="0.25">
      <c r="A94" s="74" t="s">
        <v>138</v>
      </c>
      <c r="B94" s="75"/>
      <c r="C94" s="42">
        <v>0</v>
      </c>
      <c r="D94" s="19">
        <f ca="1">((100/H84)*C94)/100</f>
        <v>0</v>
      </c>
      <c r="E94" s="79"/>
      <c r="F94" s="80"/>
      <c r="G94" s="79"/>
      <c r="H94" s="84"/>
      <c r="I94" s="14" t="s">
        <v>145</v>
      </c>
      <c r="J94" s="30">
        <f>(IF(B84&gt;4,(H84/(B84+2)+J93),0))</f>
        <v>0</v>
      </c>
    </row>
    <row r="95" spans="1:10" ht="15.75" customHeight="1" x14ac:dyDescent="0.25">
      <c r="A95" s="74" t="s">
        <v>133</v>
      </c>
      <c r="B95" s="75" t="s">
        <v>133</v>
      </c>
      <c r="C95" s="42">
        <v>0</v>
      </c>
      <c r="D95" s="19">
        <f ca="1">((100/(H84))*C95)/100</f>
        <v>0</v>
      </c>
      <c r="E95" s="79"/>
      <c r="F95" s="80"/>
      <c r="G95" s="79"/>
      <c r="H95" s="84"/>
      <c r="I95" s="14" t="s">
        <v>147</v>
      </c>
      <c r="J95" s="30">
        <f ca="1">(IF(B84=1,(H84/(B84+3)+J90),IF(B84=0,(H84/4+J90),IF(B84&gt;1,0))))</f>
        <v>13.5</v>
      </c>
    </row>
    <row r="96" spans="1:10" ht="16.5" thickBot="1" x14ac:dyDescent="0.3">
      <c r="A96" s="86" t="s">
        <v>134</v>
      </c>
      <c r="B96" s="87"/>
      <c r="C96" s="43">
        <v>0</v>
      </c>
      <c r="D96" s="20">
        <f ca="1">((100/(H84))*C96)/100</f>
        <v>0</v>
      </c>
      <c r="E96" s="81"/>
      <c r="F96" s="82"/>
      <c r="G96" s="81"/>
      <c r="H96" s="85"/>
      <c r="I96" s="15" t="s">
        <v>103</v>
      </c>
      <c r="J96" s="32">
        <f ca="1">(IF(B84&gt;1.5,(H84/(B84+2)+J90+MAX(0,J91-J90)+MAX(0,J92-J91)+MAX(0,J93-J92)+MAX(0,J94-J93)+MAX(0,J95-J94)),IF(B84=1,(H84/(B84+3)+J95),IF(B84=0,H84/4+J95))))</f>
        <v>18</v>
      </c>
    </row>
    <row r="97" spans="1:10" x14ac:dyDescent="0.25">
      <c r="A97" s="65" t="s">
        <v>140</v>
      </c>
      <c r="B97" s="66"/>
      <c r="C97" s="67" t="s">
        <v>280</v>
      </c>
      <c r="D97" s="68"/>
      <c r="E97" s="68"/>
      <c r="F97" s="68"/>
      <c r="G97" s="68"/>
      <c r="H97" s="69"/>
      <c r="I97" s="46" t="str">
        <f ca="1">IF(D110=100%,"All work Completed. Possession granted to the Building.",IF(D109=100%,"All work Completed, Waiting for OC",I98&amp;""&amp;I99&amp;""&amp;J98&amp;""&amp;J97&amp;" "&amp;J99))</f>
        <v>Excavation, Plinth, RCC Slab, Brickwork Completed, Internal Plaster upto 16 Floor, External Plaster upto 15 Floor Completed</v>
      </c>
      <c r="J97" s="47" t="str">
        <f ca="1">(IF(C103=(D98+F98+H98),"",IF(C103&gt;0,", RCC upto "&amp;C103&amp;" Slab","")))&amp;(IF(C104=H98,"",IF(C104&gt;0,", Brickwork upto "&amp;C104&amp;" Floor","")))&amp;(IF(C105=H98,"",IF(C105&gt;0,", Internal Plaster upto "&amp;C105&amp;" Floor","")))&amp;(IF(C106=H98,"",IF(C106&gt;0,", External Plaster upto "&amp;C106&amp;" Floor","")))&amp;(IF(C107=H98,"",IF(C107&gt;0,", Flooring upto "&amp;C107&amp;" Floor","")))&amp;(IF(C108=H98,"",IF(C108&gt;0,", Painting upto "&amp;C108&amp;" Floor","")))&amp;(IF(C109=H98,"",IF(C109&gt;0,", Finishing upto "&amp;C109&amp;" Floor","")))&amp;(IF(C110=H98,"",IF(C110&gt;0,", Possession upto "&amp;C110&amp;" Floor","")))</f>
        <v>, Internal Plaster upto 16 Floor, External Plaster upto 15 Floor</v>
      </c>
    </row>
    <row r="98" spans="1:10" x14ac:dyDescent="0.25">
      <c r="A98" s="16" t="s">
        <v>142</v>
      </c>
      <c r="B98" s="54">
        <v>0</v>
      </c>
      <c r="C98" s="54" t="s">
        <v>72</v>
      </c>
      <c r="D98" s="54">
        <v>1</v>
      </c>
      <c r="E98" s="54" t="s">
        <v>71</v>
      </c>
      <c r="F98" s="54">
        <v>0</v>
      </c>
      <c r="G98" s="54" t="s">
        <v>79</v>
      </c>
      <c r="H98" s="17">
        <f ca="1">--TRIM(RIGHT(SUBSTITUTE(LEFT(C97,_xlfn.AGGREGATE(16,6,FIND({0,1,2,3,4,5,6,7,8,9},C97,ROW(INDIRECT("1:"&amp;LEN(C97)))),1))," ",REPT(" ",LEN(C97))),LEN(C97)))</f>
        <v>18</v>
      </c>
      <c r="I98" s="48" t="str">
        <f ca="1">IF(D101=100%,"Excavation","")&amp;IF(D102=100%,", Plinth","")&amp;IF(D103=100%,", RCC Slab","")&amp;IF(D104=100%,", Brickwork","")&amp;IF(D105=100%,", Internal Plaster","")&amp;IF(D106=100%,", External Plaster","")&amp;IF(D107=100%,", Flooring","")&amp;IF(D108=100%,", Painting","")&amp;IF(D109=100%,", Building common Amenities","")</f>
        <v>Excavation, Plinth, RCC Slab, Brickwork</v>
      </c>
      <c r="J98" s="49" t="str">
        <f ca="1">(IF(C101=0,"Work not yet Started.",IF(D101=25%,"Piling work in process",IF(D101=50%,"Excavation work in process",IF(D101=100%,"","0")))))&amp;(IF(C102=0%,"",IF(C102=J103,", Footing work is process",IF(C102=J104,", Footing work Completed",IF(C102=J105,", 1st Basement Completed",IF(C102=J106,", 1st &amp; 2nd Basement Completed",IF(C102=J107,", 1st to 3rd Basement Completed",IF(C102=J108,", 1st to 4th Basement Completed",IF(C102=J109,", Plinth work is process",IF(C102=J110,"","0"))))))))))</f>
        <v/>
      </c>
    </row>
    <row r="99" spans="1:10" ht="34.5" customHeight="1" x14ac:dyDescent="0.25">
      <c r="A99" s="70" t="s">
        <v>89</v>
      </c>
      <c r="B99" s="71"/>
      <c r="C99" s="72" t="str">
        <f ca="1">(IF($C$53=C97,"All work Completed. OC Received.",I97))</f>
        <v>Excavation, Plinth, RCC Slab, Brickwork Completed, Internal Plaster upto 16 Floor, External Plaster upto 15 Floor Completed</v>
      </c>
      <c r="D99" s="72"/>
      <c r="E99" s="72"/>
      <c r="F99" s="72"/>
      <c r="G99" s="72"/>
      <c r="H99" s="73"/>
      <c r="I99" s="48" t="str">
        <f ca="1">IF(I98&lt;&gt;""," Completed","")</f>
        <v xml:space="preserve"> Completed</v>
      </c>
      <c r="J99" s="49" t="str">
        <f ca="1">IF(J97&lt;&gt;"","Completed","")</f>
        <v>Completed</v>
      </c>
    </row>
    <row r="100" spans="1:10" ht="15.75" customHeight="1" x14ac:dyDescent="0.25">
      <c r="A100" s="74" t="s">
        <v>49</v>
      </c>
      <c r="B100" s="75"/>
      <c r="C100" s="42" t="s">
        <v>139</v>
      </c>
      <c r="D100" s="42" t="s">
        <v>82</v>
      </c>
      <c r="E100" s="75" t="s">
        <v>84</v>
      </c>
      <c r="F100" s="75"/>
      <c r="G100" s="75" t="s">
        <v>83</v>
      </c>
      <c r="H100" s="76"/>
      <c r="I100" s="14" t="s">
        <v>141</v>
      </c>
      <c r="J100" s="28">
        <f ca="1">H98*25%</f>
        <v>4.5</v>
      </c>
    </row>
    <row r="101" spans="1:10" x14ac:dyDescent="0.25">
      <c r="A101" s="74" t="s">
        <v>128</v>
      </c>
      <c r="B101" s="75"/>
      <c r="C101" s="42">
        <f ca="1">J102</f>
        <v>18</v>
      </c>
      <c r="D101" s="19">
        <f ca="1">((100/H98)*C101)/100</f>
        <v>1</v>
      </c>
      <c r="E101" s="77">
        <f ca="1">(((C102/H98*10)+(40/(D98+F98+H98)*C103)+(7.5/(H98)*C104)+(7.5/(H98)*C105)+(10/H98*C106)+(10/H98*C107)+(5/H98*C108)+(5/H98*C109)+(5/H98*C110))/100)</f>
        <v>0.72499999999999998</v>
      </c>
      <c r="F101" s="78"/>
      <c r="G101" s="77">
        <f ca="1">((((C101/H98)*20)+((C102/H98)*25)+(30/(H98+F98+D98)*C103)+(5/H98*C104)+(5/H98*C105)+(5/H98*C106)+(5/H98*C107)+(0/H98*C108)+(0/H98*C109)+(5/H98*C110))/100)</f>
        <v>0.88611111111111118</v>
      </c>
      <c r="H101" s="83"/>
      <c r="I101" s="14" t="s">
        <v>99</v>
      </c>
      <c r="J101" s="29">
        <f ca="1">H98*50%</f>
        <v>9</v>
      </c>
    </row>
    <row r="102" spans="1:10" x14ac:dyDescent="0.25">
      <c r="A102" s="74" t="s">
        <v>50</v>
      </c>
      <c r="B102" s="75"/>
      <c r="C102" s="57">
        <f ca="1">J110</f>
        <v>18</v>
      </c>
      <c r="D102" s="19">
        <f ca="1">((100/H98)*C102)/100</f>
        <v>1</v>
      </c>
      <c r="E102" s="79"/>
      <c r="F102" s="80"/>
      <c r="G102" s="79"/>
      <c r="H102" s="84"/>
      <c r="I102" s="14" t="s">
        <v>100</v>
      </c>
      <c r="J102" s="29">
        <f ca="1">H98</f>
        <v>18</v>
      </c>
    </row>
    <row r="103" spans="1:10" ht="15.75" customHeight="1" x14ac:dyDescent="0.25">
      <c r="A103" s="74" t="s">
        <v>129</v>
      </c>
      <c r="B103" s="75"/>
      <c r="C103" s="42">
        <v>19</v>
      </c>
      <c r="D103" s="19">
        <f ca="1">((100/(D98+F98+H98))*C103)/100</f>
        <v>1</v>
      </c>
      <c r="E103" s="79"/>
      <c r="F103" s="80"/>
      <c r="G103" s="79"/>
      <c r="H103" s="84"/>
      <c r="I103" s="14" t="s">
        <v>101</v>
      </c>
      <c r="J103" s="30">
        <f ca="1">(IF(B98&gt;1,(H98/(B98+2)),H98/4))</f>
        <v>4.5</v>
      </c>
    </row>
    <row r="104" spans="1:10" ht="15.75" customHeight="1" x14ac:dyDescent="0.25">
      <c r="A104" s="74" t="s">
        <v>136</v>
      </c>
      <c r="B104" s="75" t="s">
        <v>130</v>
      </c>
      <c r="C104" s="42">
        <v>18</v>
      </c>
      <c r="D104" s="19">
        <f ca="1">((100/H98)*C104)/100</f>
        <v>1</v>
      </c>
      <c r="E104" s="79"/>
      <c r="F104" s="80"/>
      <c r="G104" s="79"/>
      <c r="H104" s="84"/>
      <c r="I104" s="14" t="s">
        <v>102</v>
      </c>
      <c r="J104" s="30">
        <f ca="1">(IF(B98&gt;1,(H98/(B98+2)+J103),H98/4+J103))</f>
        <v>9</v>
      </c>
    </row>
    <row r="105" spans="1:10" ht="15.75" customHeight="1" x14ac:dyDescent="0.25">
      <c r="A105" s="74" t="s">
        <v>137</v>
      </c>
      <c r="B105" s="75" t="s">
        <v>130</v>
      </c>
      <c r="C105" s="42">
        <v>16</v>
      </c>
      <c r="D105" s="19">
        <f ca="1">((100/H98)*C105)/100</f>
        <v>0.88888888888888884</v>
      </c>
      <c r="E105" s="79"/>
      <c r="F105" s="80"/>
      <c r="G105" s="79"/>
      <c r="H105" s="84"/>
      <c r="I105" s="14" t="s">
        <v>146</v>
      </c>
      <c r="J105" s="30">
        <f>(IF(B98&gt;1,(H98/(B98+2)+J104),0))</f>
        <v>0</v>
      </c>
    </row>
    <row r="106" spans="1:10" ht="15" customHeight="1" x14ac:dyDescent="0.25">
      <c r="A106" s="74" t="s">
        <v>135</v>
      </c>
      <c r="B106" s="75" t="s">
        <v>132</v>
      </c>
      <c r="C106" s="42">
        <v>15</v>
      </c>
      <c r="D106" s="19">
        <f ca="1">((100/(H98))*C106)/100</f>
        <v>0.83333333333333326</v>
      </c>
      <c r="E106" s="79"/>
      <c r="F106" s="80"/>
      <c r="G106" s="79"/>
      <c r="H106" s="84"/>
      <c r="I106" s="14" t="s">
        <v>143</v>
      </c>
      <c r="J106" s="30">
        <f>(IF(B98&gt;2,(H98/(B98+2)+J105),0))</f>
        <v>0</v>
      </c>
    </row>
    <row r="107" spans="1:10" ht="15.75" customHeight="1" x14ac:dyDescent="0.25">
      <c r="A107" s="74" t="s">
        <v>131</v>
      </c>
      <c r="B107" s="75" t="s">
        <v>131</v>
      </c>
      <c r="C107" s="42">
        <v>0</v>
      </c>
      <c r="D107" s="19">
        <f ca="1">((100/H98)*C107)/100</f>
        <v>0</v>
      </c>
      <c r="E107" s="79"/>
      <c r="F107" s="80"/>
      <c r="G107" s="79"/>
      <c r="H107" s="84"/>
      <c r="I107" s="14" t="s">
        <v>144</v>
      </c>
      <c r="J107" s="31">
        <f>(IF(B98&gt;3,(H98/(B98+2)+J106),0))</f>
        <v>0</v>
      </c>
    </row>
    <row r="108" spans="1:10" ht="15.75" customHeight="1" x14ac:dyDescent="0.25">
      <c r="A108" s="74" t="s">
        <v>138</v>
      </c>
      <c r="B108" s="75"/>
      <c r="C108" s="42">
        <v>0</v>
      </c>
      <c r="D108" s="19">
        <f ca="1">((100/H98)*C108)/100</f>
        <v>0</v>
      </c>
      <c r="E108" s="79"/>
      <c r="F108" s="80"/>
      <c r="G108" s="79"/>
      <c r="H108" s="84"/>
      <c r="I108" s="14" t="s">
        <v>145</v>
      </c>
      <c r="J108" s="30">
        <f>(IF(B98&gt;4,(H98/(B98+2)+J107),0))</f>
        <v>0</v>
      </c>
    </row>
    <row r="109" spans="1:10" ht="15.75" customHeight="1" x14ac:dyDescent="0.25">
      <c r="A109" s="74" t="s">
        <v>133</v>
      </c>
      <c r="B109" s="75" t="s">
        <v>133</v>
      </c>
      <c r="C109" s="42">
        <v>0</v>
      </c>
      <c r="D109" s="19">
        <f ca="1">((100/(H98))*C109)/100</f>
        <v>0</v>
      </c>
      <c r="E109" s="79"/>
      <c r="F109" s="80"/>
      <c r="G109" s="79"/>
      <c r="H109" s="84"/>
      <c r="I109" s="14" t="s">
        <v>147</v>
      </c>
      <c r="J109" s="30">
        <f ca="1">(IF(B98=1,(H98/(B98+3)+J104),IF(B98=0,(H98/4+J104),IF(B98&gt;1,0))))</f>
        <v>13.5</v>
      </c>
    </row>
    <row r="110" spans="1:10" ht="16.5" thickBot="1" x14ac:dyDescent="0.3">
      <c r="A110" s="86" t="s">
        <v>134</v>
      </c>
      <c r="B110" s="87"/>
      <c r="C110" s="43">
        <v>0</v>
      </c>
      <c r="D110" s="20">
        <f ca="1">((100/(H98))*C110)/100</f>
        <v>0</v>
      </c>
      <c r="E110" s="81"/>
      <c r="F110" s="82"/>
      <c r="G110" s="81"/>
      <c r="H110" s="85"/>
      <c r="I110" s="15" t="s">
        <v>103</v>
      </c>
      <c r="J110" s="32">
        <f ca="1">(IF(B98&gt;1.5,(H98/(B98+2)+J104+MAX(0,J105-J104)+MAX(0,J106-J105)+MAX(0,J107-J106)+MAX(0,J108-J107)+MAX(0,J109-J108)),IF(B98=1,(H98/(B98+3)+J109),IF(B98=0,H98/4+J109))))</f>
        <v>18</v>
      </c>
    </row>
    <row r="111" spans="1:10" x14ac:dyDescent="0.25">
      <c r="A111" s="65" t="s">
        <v>140</v>
      </c>
      <c r="B111" s="66"/>
      <c r="C111" s="67" t="s">
        <v>281</v>
      </c>
      <c r="D111" s="68"/>
      <c r="E111" s="68"/>
      <c r="F111" s="68"/>
      <c r="G111" s="68"/>
      <c r="H111" s="69"/>
      <c r="I111" s="46" t="str">
        <f ca="1">IF(D124=100%,"All work Completed. Possession granted to the Building.",IF(D123=100%,"All work Completed, Waiting for OC",I112&amp;""&amp;I113&amp;""&amp;J112&amp;""&amp;J111&amp;" "&amp;J113))</f>
        <v>Excavation, Plinth, RCC Slab, Brickwork Completed, Internal Plaster upto 17 Floor, External Plaster upto 15 Floor Completed</v>
      </c>
      <c r="J111" s="47" t="str">
        <f ca="1">(IF(C117=(D112+F112+H112),"",IF(C117&gt;0,", RCC upto "&amp;C117&amp;" Slab","")))&amp;(IF(C118=H112,"",IF(C118&gt;0,", Brickwork upto "&amp;C118&amp;" Floor","")))&amp;(IF(C119=H112,"",IF(C119&gt;0,", Internal Plaster upto "&amp;C119&amp;" Floor","")))&amp;(IF(C120=H112,"",IF(C120&gt;0,", External Plaster upto "&amp;C120&amp;" Floor","")))&amp;(IF(C121=H112,"",IF(C121&gt;0,", Flooring upto "&amp;C121&amp;" Floor","")))&amp;(IF(C122=H112,"",IF(C122&gt;0,", Painting upto "&amp;C122&amp;" Floor","")))&amp;(IF(C123=H112,"",IF(C123&gt;0,", Finishing upto "&amp;C123&amp;" Floor","")))&amp;(IF(C124=H112,"",IF(C124&gt;0,", Possession upto "&amp;C124&amp;" Floor","")))</f>
        <v>, Internal Plaster upto 17 Floor, External Plaster upto 15 Floor</v>
      </c>
    </row>
    <row r="112" spans="1:10" x14ac:dyDescent="0.25">
      <c r="A112" s="16" t="s">
        <v>142</v>
      </c>
      <c r="B112" s="54">
        <v>0</v>
      </c>
      <c r="C112" s="54" t="s">
        <v>72</v>
      </c>
      <c r="D112" s="54">
        <v>1</v>
      </c>
      <c r="E112" s="54" t="s">
        <v>71</v>
      </c>
      <c r="F112" s="54">
        <v>0</v>
      </c>
      <c r="G112" s="54" t="s">
        <v>79</v>
      </c>
      <c r="H112" s="17">
        <f ca="1">--TRIM(RIGHT(SUBSTITUTE(LEFT(C111,_xlfn.AGGREGATE(16,6,FIND({0,1,2,3,4,5,6,7,8,9},C111,ROW(INDIRECT("1:"&amp;LEN(C111)))),1))," ",REPT(" ",LEN(C111))),LEN(C111)))</f>
        <v>18</v>
      </c>
      <c r="I112" s="48" t="str">
        <f ca="1">IF(D115=100%,"Excavation","")&amp;IF(D116=100%,", Plinth","")&amp;IF(D117=100%,", RCC Slab","")&amp;IF(D118=100%,", Brickwork","")&amp;IF(D119=100%,", Internal Plaster","")&amp;IF(D120=100%,", External Plaster","")&amp;IF(D121=100%,", Flooring","")&amp;IF(D122=100%,", Painting","")&amp;IF(D123=100%,", Building common Amenities","")</f>
        <v>Excavation, Plinth, RCC Slab, Brickwork</v>
      </c>
      <c r="J112" s="49" t="str">
        <f ca="1">(IF(C115=0,"Work not yet Started.",IF(D115=25%,"Piling work in process",IF(D115=50%,"Excavation work in process",IF(D115=100%,"","0")))))&amp;(IF(C116=0%,"",IF(C116=J117,", Footing work is process",IF(C116=J118,", Footing work Completed",IF(C116=J119,", 1st Basement Completed",IF(C116=J120,", 1st &amp; 2nd Basement Completed",IF(C116=J121,", 1st to 3rd Basement Completed",IF(C116=J122,", 1st to 4th Basement Completed",IF(C116=J123,", Plinth work is process",IF(C116=J124,"","0"))))))))))</f>
        <v/>
      </c>
    </row>
    <row r="113" spans="1:10" ht="33.75" customHeight="1" x14ac:dyDescent="0.25">
      <c r="A113" s="70" t="s">
        <v>89</v>
      </c>
      <c r="B113" s="71"/>
      <c r="C113" s="72" t="str">
        <f ca="1">(IF($C$53=C111,"All work Completed. OC Received.",I111))</f>
        <v>Excavation, Plinth, RCC Slab, Brickwork Completed, Internal Plaster upto 17 Floor, External Plaster upto 15 Floor Completed</v>
      </c>
      <c r="D113" s="72"/>
      <c r="E113" s="72"/>
      <c r="F113" s="72"/>
      <c r="G113" s="72"/>
      <c r="H113" s="73"/>
      <c r="I113" s="48" t="str">
        <f ca="1">IF(I112&lt;&gt;""," Completed","")</f>
        <v xml:space="preserve"> Completed</v>
      </c>
      <c r="J113" s="49" t="str">
        <f ca="1">IF(J111&lt;&gt;"","Completed","")</f>
        <v>Completed</v>
      </c>
    </row>
    <row r="114" spans="1:10" ht="15.75" customHeight="1" x14ac:dyDescent="0.25">
      <c r="A114" s="74" t="s">
        <v>49</v>
      </c>
      <c r="B114" s="75"/>
      <c r="C114" s="42" t="s">
        <v>139</v>
      </c>
      <c r="D114" s="42" t="s">
        <v>82</v>
      </c>
      <c r="E114" s="75" t="s">
        <v>84</v>
      </c>
      <c r="F114" s="75"/>
      <c r="G114" s="75" t="s">
        <v>83</v>
      </c>
      <c r="H114" s="76"/>
      <c r="I114" s="14" t="s">
        <v>141</v>
      </c>
      <c r="J114" s="28">
        <f ca="1">H112*25%</f>
        <v>4.5</v>
      </c>
    </row>
    <row r="115" spans="1:10" x14ac:dyDescent="0.25">
      <c r="A115" s="74" t="s">
        <v>128</v>
      </c>
      <c r="B115" s="75"/>
      <c r="C115" s="42">
        <f ca="1">J116</f>
        <v>18</v>
      </c>
      <c r="D115" s="19">
        <f ca="1">((100/H112)*C115)/100</f>
        <v>1</v>
      </c>
      <c r="E115" s="77">
        <f ca="1">(((C116/H112*10)+(40/(D112+F112+H112)*C117)+(7.5/(H112)*C118)+(7.5/(H112)*C119)+(10/H112*C120)+(10/H112*C121)+(5/H112*C122)+(5/H112*C123)+(5/H112*C124))/100)</f>
        <v>0.72916666666666652</v>
      </c>
      <c r="F115" s="78"/>
      <c r="G115" s="77">
        <f ca="1">((((C115/H112)*20)+((C116/H112)*25)+(30/(H112+F112+D112)*C117)+(5/H112*C118)+(5/H112*C119)+(5/H112*C120)+(5/H112*C121)+(0/H112*C122)+(0/H112*C123)+(5/H112*C124))/100)</f>
        <v>0.88888888888888895</v>
      </c>
      <c r="H115" s="83"/>
      <c r="I115" s="14" t="s">
        <v>99</v>
      </c>
      <c r="J115" s="29">
        <f ca="1">H112*50%</f>
        <v>9</v>
      </c>
    </row>
    <row r="116" spans="1:10" x14ac:dyDescent="0.25">
      <c r="A116" s="74" t="s">
        <v>50</v>
      </c>
      <c r="B116" s="75"/>
      <c r="C116" s="57">
        <f ca="1">J124</f>
        <v>18</v>
      </c>
      <c r="D116" s="19">
        <f ca="1">((100/H112)*C116)/100</f>
        <v>1</v>
      </c>
      <c r="E116" s="79"/>
      <c r="F116" s="80"/>
      <c r="G116" s="79"/>
      <c r="H116" s="84"/>
      <c r="I116" s="14" t="s">
        <v>100</v>
      </c>
      <c r="J116" s="29">
        <f ca="1">H112</f>
        <v>18</v>
      </c>
    </row>
    <row r="117" spans="1:10" ht="15.75" customHeight="1" x14ac:dyDescent="0.25">
      <c r="A117" s="74" t="s">
        <v>129</v>
      </c>
      <c r="B117" s="75"/>
      <c r="C117" s="42">
        <v>19</v>
      </c>
      <c r="D117" s="19">
        <f ca="1">((100/(D112+F112+H112))*C117)/100</f>
        <v>1</v>
      </c>
      <c r="E117" s="79"/>
      <c r="F117" s="80"/>
      <c r="G117" s="79"/>
      <c r="H117" s="84"/>
      <c r="I117" s="14" t="s">
        <v>101</v>
      </c>
      <c r="J117" s="30">
        <f ca="1">(IF(B112&gt;1,(H112/(B112+2)),H112/4))</f>
        <v>4.5</v>
      </c>
    </row>
    <row r="118" spans="1:10" ht="15.75" customHeight="1" x14ac:dyDescent="0.25">
      <c r="A118" s="74" t="s">
        <v>136</v>
      </c>
      <c r="B118" s="75" t="s">
        <v>130</v>
      </c>
      <c r="C118" s="42">
        <v>18</v>
      </c>
      <c r="D118" s="19">
        <f ca="1">((100/H112)*C118)/100</f>
        <v>1</v>
      </c>
      <c r="E118" s="79"/>
      <c r="F118" s="80"/>
      <c r="G118" s="79"/>
      <c r="H118" s="84"/>
      <c r="I118" s="14" t="s">
        <v>102</v>
      </c>
      <c r="J118" s="30">
        <f ca="1">(IF(B112&gt;1,(H112/(B112+2)+J117),H112/4+J117))</f>
        <v>9</v>
      </c>
    </row>
    <row r="119" spans="1:10" ht="15.75" customHeight="1" x14ac:dyDescent="0.25">
      <c r="A119" s="74" t="s">
        <v>137</v>
      </c>
      <c r="B119" s="75" t="s">
        <v>130</v>
      </c>
      <c r="C119" s="42">
        <v>17</v>
      </c>
      <c r="D119" s="19">
        <f ca="1">((100/H112)*C119)/100</f>
        <v>0.94444444444444442</v>
      </c>
      <c r="E119" s="79"/>
      <c r="F119" s="80"/>
      <c r="G119" s="79"/>
      <c r="H119" s="84"/>
      <c r="I119" s="14" t="s">
        <v>146</v>
      </c>
      <c r="J119" s="30">
        <f>(IF(B112&gt;1,(H112/(B112+2)+J118),0))</f>
        <v>0</v>
      </c>
    </row>
    <row r="120" spans="1:10" ht="15" customHeight="1" x14ac:dyDescent="0.25">
      <c r="A120" s="74" t="s">
        <v>135</v>
      </c>
      <c r="B120" s="75" t="s">
        <v>132</v>
      </c>
      <c r="C120" s="42">
        <v>15</v>
      </c>
      <c r="D120" s="19">
        <f ca="1">((100/(H112))*C120)/100</f>
        <v>0.83333333333333326</v>
      </c>
      <c r="E120" s="79"/>
      <c r="F120" s="80"/>
      <c r="G120" s="79"/>
      <c r="H120" s="84"/>
      <c r="I120" s="14" t="s">
        <v>143</v>
      </c>
      <c r="J120" s="30">
        <f>(IF(B112&gt;2,(H112/(B112+2)+J119),0))</f>
        <v>0</v>
      </c>
    </row>
    <row r="121" spans="1:10" ht="15.75" customHeight="1" x14ac:dyDescent="0.25">
      <c r="A121" s="74" t="s">
        <v>131</v>
      </c>
      <c r="B121" s="75" t="s">
        <v>131</v>
      </c>
      <c r="C121" s="42">
        <v>0</v>
      </c>
      <c r="D121" s="19">
        <f ca="1">((100/H112)*C121)/100</f>
        <v>0</v>
      </c>
      <c r="E121" s="79"/>
      <c r="F121" s="80"/>
      <c r="G121" s="79"/>
      <c r="H121" s="84"/>
      <c r="I121" s="14" t="s">
        <v>144</v>
      </c>
      <c r="J121" s="31">
        <f>(IF(B112&gt;3,(H112/(B112+2)+J120),0))</f>
        <v>0</v>
      </c>
    </row>
    <row r="122" spans="1:10" ht="15.75" customHeight="1" x14ac:dyDescent="0.25">
      <c r="A122" s="74" t="s">
        <v>138</v>
      </c>
      <c r="B122" s="75"/>
      <c r="C122" s="42">
        <v>0</v>
      </c>
      <c r="D122" s="19">
        <f ca="1">((100/H112)*C122)/100</f>
        <v>0</v>
      </c>
      <c r="E122" s="79"/>
      <c r="F122" s="80"/>
      <c r="G122" s="79"/>
      <c r="H122" s="84"/>
      <c r="I122" s="14" t="s">
        <v>145</v>
      </c>
      <c r="J122" s="30">
        <f>(IF(B112&gt;4,(H112/(B112+2)+J121),0))</f>
        <v>0</v>
      </c>
    </row>
    <row r="123" spans="1:10" ht="15.75" customHeight="1" x14ac:dyDescent="0.25">
      <c r="A123" s="74" t="s">
        <v>133</v>
      </c>
      <c r="B123" s="75" t="s">
        <v>133</v>
      </c>
      <c r="C123" s="42">
        <v>0</v>
      </c>
      <c r="D123" s="19">
        <f ca="1">((100/(H112))*C123)/100</f>
        <v>0</v>
      </c>
      <c r="E123" s="79"/>
      <c r="F123" s="80"/>
      <c r="G123" s="79"/>
      <c r="H123" s="84"/>
      <c r="I123" s="14" t="s">
        <v>147</v>
      </c>
      <c r="J123" s="30">
        <f ca="1">(IF(B112=1,(H112/(B112+3)+J118),IF(B112=0,(H112/4+J118),IF(B112&gt;1,0))))</f>
        <v>13.5</v>
      </c>
    </row>
    <row r="124" spans="1:10" ht="16.5" thickBot="1" x14ac:dyDescent="0.3">
      <c r="A124" s="86" t="s">
        <v>134</v>
      </c>
      <c r="B124" s="87"/>
      <c r="C124" s="43">
        <v>0</v>
      </c>
      <c r="D124" s="20">
        <f ca="1">((100/(H112))*C124)/100</f>
        <v>0</v>
      </c>
      <c r="E124" s="81"/>
      <c r="F124" s="82"/>
      <c r="G124" s="81"/>
      <c r="H124" s="85"/>
      <c r="I124" s="15" t="s">
        <v>103</v>
      </c>
      <c r="J124" s="32">
        <f ca="1">(IF(B112&gt;1.5,(H112/(B112+2)+J118+MAX(0,J119-J118)+MAX(0,J120-J119)+MAX(0,J121-J120)+MAX(0,J122-J121)+MAX(0,J123-J122)),IF(B112=1,(H112/(B112+3)+J123),IF(B112=0,H112/4+J123))))</f>
        <v>18</v>
      </c>
    </row>
    <row r="125" spans="1:10" x14ac:dyDescent="0.25">
      <c r="A125" s="65" t="s">
        <v>140</v>
      </c>
      <c r="B125" s="66"/>
      <c r="C125" s="67" t="s">
        <v>278</v>
      </c>
      <c r="D125" s="68"/>
      <c r="E125" s="68"/>
      <c r="F125" s="68"/>
      <c r="G125" s="68"/>
      <c r="H125" s="69"/>
      <c r="I125" s="46" t="str">
        <f ca="1">IF(D138=100%,"All work Completed. Possession granted to the Building.",IF(D137=100%,"All work Completed, Waiting for OC",I126&amp;""&amp;I127&amp;""&amp;J126&amp;""&amp;J125&amp;" "&amp;J127))</f>
        <v>Excavation, Plinth, RCC Slab, Brickwork, Internal Plaster Completed, External Plaster upto 17 Floor Completed</v>
      </c>
      <c r="J125" s="47" t="str">
        <f ca="1">(IF(C131=(D126+F126+H126),"",IF(C131&gt;0,", RCC upto "&amp;C131&amp;" Slab","")))&amp;(IF(C132=H126,"",IF(C132&gt;0,", Brickwork upto "&amp;C132&amp;" Floor","")))&amp;(IF(C133=H126,"",IF(C133&gt;0,", Internal Plaster upto "&amp;C133&amp;" Floor","")))&amp;(IF(C134=H126,"",IF(C134&gt;0,", External Plaster upto "&amp;C134&amp;" Floor","")))&amp;(IF(C135=H126,"",IF(C135&gt;0,", Flooring upto "&amp;C135&amp;" Floor","")))&amp;(IF(C136=H126,"",IF(C136&gt;0,", Painting upto "&amp;C136&amp;" Floor","")))&amp;(IF(C137=H126,"",IF(C137&gt;0,", Finishing upto "&amp;C137&amp;" Floor","")))&amp;(IF(C138=H126,"",IF(C138&gt;0,", Possession upto "&amp;C138&amp;" Floor","")))</f>
        <v>, External Plaster upto 17 Floor</v>
      </c>
    </row>
    <row r="126" spans="1:10" x14ac:dyDescent="0.25">
      <c r="A126" s="16" t="s">
        <v>142</v>
      </c>
      <c r="B126" s="54">
        <v>0</v>
      </c>
      <c r="C126" s="54" t="s">
        <v>72</v>
      </c>
      <c r="D126" s="54">
        <v>1</v>
      </c>
      <c r="E126" s="54" t="s">
        <v>71</v>
      </c>
      <c r="F126" s="54">
        <v>0</v>
      </c>
      <c r="G126" s="54" t="s">
        <v>79</v>
      </c>
      <c r="H126" s="17">
        <f ca="1">--TRIM(RIGHT(SUBSTITUTE(LEFT(C125,_xlfn.AGGREGATE(16,6,FIND({0,1,2,3,4,5,6,7,8,9},C125,ROW(INDIRECT("1:"&amp;LEN(C125)))),1))," ",REPT(" ",LEN(C125))),LEN(C125)))</f>
        <v>18</v>
      </c>
      <c r="I126" s="48" t="str">
        <f ca="1">IF(D129=100%,"Excavation","")&amp;IF(D130=100%,", Plinth","")&amp;IF(D131=100%,", RCC Slab","")&amp;IF(D132=100%,", Brickwork","")&amp;IF(D133=100%,", Internal Plaster","")&amp;IF(D134=100%,", External Plaster","")&amp;IF(D135=100%,", Flooring","")&amp;IF(D136=100%,", Painting","")&amp;IF(D137=100%,", Building common Amenities","")</f>
        <v>Excavation, Plinth, RCC Slab, Brickwork, Internal Plaster</v>
      </c>
      <c r="J126" s="49" t="str">
        <f ca="1">(IF(C129=0,"Work not yet Started.",IF(D129=25%,"Piling work in process",IF(D129=50%,"Excavation work in process",IF(D129=100%,"","0")))))&amp;(IF(C130=0%,"",IF(C130=J131,", Footing work is process",IF(C130=J132,", Footing work Completed",IF(C130=J133,", 1st Basement Completed",IF(C130=J134,", 1st &amp; 2nd Basement Completed",IF(C130=J135,", 1st to 3rd Basement Completed",IF(C130=J136,", 1st to 4th Basement Completed",IF(C130=J137,", Plinth work is process",IF(C130=J138,"","0"))))))))))</f>
        <v/>
      </c>
    </row>
    <row r="127" spans="1:10" ht="32.25" customHeight="1" x14ac:dyDescent="0.25">
      <c r="A127" s="70" t="s">
        <v>89</v>
      </c>
      <c r="B127" s="71"/>
      <c r="C127" s="72" t="str">
        <f ca="1">(IF($C$53=C125,"All work Completed. OC Received.",I125))</f>
        <v>Excavation, Plinth, RCC Slab, Brickwork, Internal Plaster Completed, External Plaster upto 17 Floor Completed</v>
      </c>
      <c r="D127" s="72"/>
      <c r="E127" s="72"/>
      <c r="F127" s="72"/>
      <c r="G127" s="72"/>
      <c r="H127" s="73"/>
      <c r="I127" s="48" t="str">
        <f ca="1">IF(I126&lt;&gt;""," Completed","")</f>
        <v xml:space="preserve"> Completed</v>
      </c>
      <c r="J127" s="49" t="str">
        <f ca="1">IF(J125&lt;&gt;"","Completed","")</f>
        <v>Completed</v>
      </c>
    </row>
    <row r="128" spans="1:10" x14ac:dyDescent="0.25">
      <c r="A128" s="74" t="s">
        <v>49</v>
      </c>
      <c r="B128" s="75"/>
      <c r="C128" s="42" t="s">
        <v>139</v>
      </c>
      <c r="D128" s="42" t="s">
        <v>82</v>
      </c>
      <c r="E128" s="75" t="s">
        <v>84</v>
      </c>
      <c r="F128" s="75"/>
      <c r="G128" s="75" t="s">
        <v>83</v>
      </c>
      <c r="H128" s="76"/>
      <c r="I128" s="14" t="s">
        <v>141</v>
      </c>
      <c r="J128" s="28">
        <f ca="1">H126*25%</f>
        <v>4.5</v>
      </c>
    </row>
    <row r="129" spans="1:10" x14ac:dyDescent="0.25">
      <c r="A129" s="74" t="s">
        <v>128</v>
      </c>
      <c r="B129" s="75"/>
      <c r="C129" s="42">
        <f ca="1">J130</f>
        <v>18</v>
      </c>
      <c r="D129" s="19">
        <f ca="1">((100/H126)*C129)/100</f>
        <v>1</v>
      </c>
      <c r="E129" s="77">
        <f ca="1">(((C130/H126*10)+(40/(D126+F126+H126)*C131)+(7.5/(H126)*C132)+(7.5/(H126)*C133)+(10/H126*C134)+(10/H126*C135)+(5/H126*C136)+(5/H126*C137)+(5/H126*C138))/100)</f>
        <v>0.74444444444444446</v>
      </c>
      <c r="F129" s="78"/>
      <c r="G129" s="77">
        <f ca="1">((((C129/H126)*20)+((C130/H126)*25)+(30/(H126+F126+D126)*C131)+(5/H126*C132)+(5/H126*C133)+(5/H126*C134)+(5/H126*C135)+(0/H126*C136)+(0/H126*C137)+(5/H126*C138))/100)</f>
        <v>0.89722222222222225</v>
      </c>
      <c r="H129" s="83"/>
      <c r="I129" s="14" t="s">
        <v>99</v>
      </c>
      <c r="J129" s="29">
        <f ca="1">H126*50%</f>
        <v>9</v>
      </c>
    </row>
    <row r="130" spans="1:10" x14ac:dyDescent="0.25">
      <c r="A130" s="74" t="s">
        <v>50</v>
      </c>
      <c r="B130" s="75"/>
      <c r="C130" s="57">
        <f ca="1">J138</f>
        <v>18</v>
      </c>
      <c r="D130" s="19">
        <f ca="1">((100/H126)*C130)/100</f>
        <v>1</v>
      </c>
      <c r="E130" s="79"/>
      <c r="F130" s="80"/>
      <c r="G130" s="79"/>
      <c r="H130" s="84"/>
      <c r="I130" s="14" t="s">
        <v>100</v>
      </c>
      <c r="J130" s="29">
        <f ca="1">H126</f>
        <v>18</v>
      </c>
    </row>
    <row r="131" spans="1:10" ht="15.75" customHeight="1" x14ac:dyDescent="0.25">
      <c r="A131" s="74" t="s">
        <v>129</v>
      </c>
      <c r="B131" s="75"/>
      <c r="C131" s="42">
        <v>19</v>
      </c>
      <c r="D131" s="19">
        <f ca="1">((100/(D126+F126+H126))*C131)/100</f>
        <v>1</v>
      </c>
      <c r="E131" s="79"/>
      <c r="F131" s="80"/>
      <c r="G131" s="79"/>
      <c r="H131" s="84"/>
      <c r="I131" s="14" t="s">
        <v>101</v>
      </c>
      <c r="J131" s="30">
        <f ca="1">(IF(B126&gt;1,(H126/(B126+2)),H126/4))</f>
        <v>4.5</v>
      </c>
    </row>
    <row r="132" spans="1:10" ht="15.75" customHeight="1" x14ac:dyDescent="0.25">
      <c r="A132" s="74" t="s">
        <v>136</v>
      </c>
      <c r="B132" s="75" t="s">
        <v>130</v>
      </c>
      <c r="C132" s="42">
        <v>18</v>
      </c>
      <c r="D132" s="19">
        <f ca="1">((100/H126)*C132)/100</f>
        <v>1</v>
      </c>
      <c r="E132" s="79"/>
      <c r="F132" s="80"/>
      <c r="G132" s="79"/>
      <c r="H132" s="84"/>
      <c r="I132" s="14" t="s">
        <v>102</v>
      </c>
      <c r="J132" s="30">
        <f ca="1">(IF(B126&gt;1,(H126/(B126+2)+J131),H126/4+J131))</f>
        <v>9</v>
      </c>
    </row>
    <row r="133" spans="1:10" ht="15.75" customHeight="1" x14ac:dyDescent="0.25">
      <c r="A133" s="74" t="s">
        <v>137</v>
      </c>
      <c r="B133" s="75" t="s">
        <v>130</v>
      </c>
      <c r="C133" s="42">
        <v>18</v>
      </c>
      <c r="D133" s="19">
        <f ca="1">((100/H126)*C133)/100</f>
        <v>1</v>
      </c>
      <c r="E133" s="79"/>
      <c r="F133" s="80"/>
      <c r="G133" s="79"/>
      <c r="H133" s="84"/>
      <c r="I133" s="14" t="s">
        <v>146</v>
      </c>
      <c r="J133" s="30">
        <f>(IF(B126&gt;1,(H126/(B126+2)+J132),0))</f>
        <v>0</v>
      </c>
    </row>
    <row r="134" spans="1:10" ht="15" customHeight="1" x14ac:dyDescent="0.25">
      <c r="A134" s="74" t="s">
        <v>135</v>
      </c>
      <c r="B134" s="75" t="s">
        <v>132</v>
      </c>
      <c r="C134" s="42">
        <v>17</v>
      </c>
      <c r="D134" s="19">
        <f ca="1">((100/(H126))*C134)/100</f>
        <v>0.94444444444444442</v>
      </c>
      <c r="E134" s="79"/>
      <c r="F134" s="80"/>
      <c r="G134" s="79"/>
      <c r="H134" s="84"/>
      <c r="I134" s="14" t="s">
        <v>143</v>
      </c>
      <c r="J134" s="30">
        <f>(IF(B126&gt;2,(H126/(B126+2)+J133),0))</f>
        <v>0</v>
      </c>
    </row>
    <row r="135" spans="1:10" ht="15.75" customHeight="1" x14ac:dyDescent="0.25">
      <c r="A135" s="74" t="s">
        <v>131</v>
      </c>
      <c r="B135" s="75" t="s">
        <v>131</v>
      </c>
      <c r="C135" s="42">
        <v>0</v>
      </c>
      <c r="D135" s="19">
        <f ca="1">((100/H126)*C135)/100</f>
        <v>0</v>
      </c>
      <c r="E135" s="79"/>
      <c r="F135" s="80"/>
      <c r="G135" s="79"/>
      <c r="H135" s="84"/>
      <c r="I135" s="14" t="s">
        <v>144</v>
      </c>
      <c r="J135" s="31">
        <f>(IF(B126&gt;3,(H126/(B126+2)+J134),0))</f>
        <v>0</v>
      </c>
    </row>
    <row r="136" spans="1:10" ht="15.75" customHeight="1" x14ac:dyDescent="0.25">
      <c r="A136" s="74" t="s">
        <v>138</v>
      </c>
      <c r="B136" s="75"/>
      <c r="C136" s="42">
        <v>0</v>
      </c>
      <c r="D136" s="19">
        <f ca="1">((100/H126)*C136)/100</f>
        <v>0</v>
      </c>
      <c r="E136" s="79"/>
      <c r="F136" s="80"/>
      <c r="G136" s="79"/>
      <c r="H136" s="84"/>
      <c r="I136" s="14" t="s">
        <v>145</v>
      </c>
      <c r="J136" s="30">
        <f>(IF(B126&gt;4,(H126/(B126+2)+J135),0))</f>
        <v>0</v>
      </c>
    </row>
    <row r="137" spans="1:10" ht="15.75" customHeight="1" x14ac:dyDescent="0.25">
      <c r="A137" s="74" t="s">
        <v>133</v>
      </c>
      <c r="B137" s="75" t="s">
        <v>133</v>
      </c>
      <c r="C137" s="42">
        <v>0</v>
      </c>
      <c r="D137" s="19">
        <f ca="1">((100/(H126))*C137)/100</f>
        <v>0</v>
      </c>
      <c r="E137" s="79"/>
      <c r="F137" s="80"/>
      <c r="G137" s="79"/>
      <c r="H137" s="84"/>
      <c r="I137" s="14" t="s">
        <v>147</v>
      </c>
      <c r="J137" s="30">
        <f ca="1">(IF(B126=1,(H126/(B126+3)+J132),IF(B126=0,(H126/4+J132),IF(B126&gt;1,0))))</f>
        <v>13.5</v>
      </c>
    </row>
    <row r="138" spans="1:10" ht="16.5" thickBot="1" x14ac:dyDescent="0.3">
      <c r="A138" s="86" t="s">
        <v>134</v>
      </c>
      <c r="B138" s="87"/>
      <c r="C138" s="43">
        <v>0</v>
      </c>
      <c r="D138" s="20">
        <f ca="1">((100/(H126))*C138)/100</f>
        <v>0</v>
      </c>
      <c r="E138" s="81"/>
      <c r="F138" s="82"/>
      <c r="G138" s="81"/>
      <c r="H138" s="85"/>
      <c r="I138" s="15" t="s">
        <v>103</v>
      </c>
      <c r="J138" s="32">
        <f ca="1">(IF(B126&gt;1.5,(H126/(B126+2)+J132+MAX(0,J133-J132)+MAX(0,J134-J133)+MAX(0,J135-J134)+MAX(0,J136-J135)+MAX(0,J137-J136)),IF(B126=1,(H126/(B126+3)+J137),IF(B126=0,H126/4+J137))))</f>
        <v>18</v>
      </c>
    </row>
    <row r="139" spans="1:10" x14ac:dyDescent="0.25">
      <c r="A139" s="65" t="s">
        <v>140</v>
      </c>
      <c r="B139" s="66"/>
      <c r="C139" s="67" t="s">
        <v>279</v>
      </c>
      <c r="D139" s="68"/>
      <c r="E139" s="68"/>
      <c r="F139" s="68"/>
      <c r="G139" s="68"/>
      <c r="H139" s="69"/>
      <c r="I139" s="46" t="str">
        <f ca="1">IF(D152=100%,"All work Completed. Possession granted to the Building.",IF(D151=100%,"All work Completed, Waiting for OC",I140&amp;""&amp;I141&amp;""&amp;J140&amp;""&amp;J139&amp;" "&amp;J141))</f>
        <v>Excavation, Plinth, RCC Slab, Brickwork, Internal Plaster Completed, External Plaster upto 17 Floor Completed</v>
      </c>
      <c r="J139" s="47" t="str">
        <f ca="1">(IF(C145=(D140+F140+H140),"",IF(C145&gt;0,", RCC upto "&amp;C145&amp;" Slab","")))&amp;(IF(C146=H140,"",IF(C146&gt;0,", Brickwork upto "&amp;C146&amp;" Floor","")))&amp;(IF(C147=H140,"",IF(C147&gt;0,", Internal Plaster upto "&amp;C147&amp;" Floor","")))&amp;(IF(C148=H140,"",IF(C148&gt;0,", External Plaster upto "&amp;C148&amp;" Floor","")))&amp;(IF(C149=H140,"",IF(C149&gt;0,", Flooring upto "&amp;C149&amp;" Floor","")))&amp;(IF(C150=H140,"",IF(C150&gt;0,", Painting upto "&amp;C150&amp;" Floor","")))&amp;(IF(C151=H140,"",IF(C151&gt;0,", Finishing upto "&amp;C151&amp;" Floor","")))&amp;(IF(C152=H140,"",IF(C152&gt;0,", Possession upto "&amp;C152&amp;" Floor","")))</f>
        <v>, External Plaster upto 17 Floor</v>
      </c>
    </row>
    <row r="140" spans="1:10" x14ac:dyDescent="0.25">
      <c r="A140" s="16" t="s">
        <v>142</v>
      </c>
      <c r="B140" s="54">
        <v>0</v>
      </c>
      <c r="C140" s="54" t="s">
        <v>72</v>
      </c>
      <c r="D140" s="54">
        <v>1</v>
      </c>
      <c r="E140" s="54" t="s">
        <v>71</v>
      </c>
      <c r="F140" s="54">
        <v>0</v>
      </c>
      <c r="G140" s="54" t="s">
        <v>79</v>
      </c>
      <c r="H140" s="17">
        <f ca="1">--TRIM(RIGHT(SUBSTITUTE(LEFT(C139,_xlfn.AGGREGATE(16,6,FIND({0,1,2,3,4,5,6,7,8,9},C139,ROW(INDIRECT("1:"&amp;LEN(C139)))),1))," ",REPT(" ",LEN(C139))),LEN(C139)))</f>
        <v>18</v>
      </c>
      <c r="I140" s="48" t="str">
        <f ca="1">IF(D143=100%,"Excavation","")&amp;IF(D144=100%,", Plinth","")&amp;IF(D145=100%,", RCC Slab","")&amp;IF(D146=100%,", Brickwork","")&amp;IF(D147=100%,", Internal Plaster","")&amp;IF(D148=100%,", External Plaster","")&amp;IF(D149=100%,", Flooring","")&amp;IF(D150=100%,", Painting","")&amp;IF(D151=100%,", Building common Amenities","")</f>
        <v>Excavation, Plinth, RCC Slab, Brickwork, Internal Plaster</v>
      </c>
      <c r="J140" s="49" t="str">
        <f ca="1">(IF(C143=0,"Work not yet Started.",IF(D143=25%,"Piling work in process",IF(D143=50%,"Excavation work in process",IF(D143=100%,"","0")))))&amp;(IF(C144=0%,"",IF(C144=J145,", Footing work is process",IF(C144=J146,", Footing work Completed",IF(C144=J147,", 1st Basement Completed",IF(C144=J148,", 1st &amp; 2nd Basement Completed",IF(C144=J149,", 1st to 3rd Basement Completed",IF(C144=J150,", 1st to 4th Basement Completed",IF(C144=J151,", Plinth work is process",IF(C144=J152,"","0"))))))))))</f>
        <v/>
      </c>
    </row>
    <row r="141" spans="1:10" ht="32.25" customHeight="1" x14ac:dyDescent="0.25">
      <c r="A141" s="70" t="s">
        <v>89</v>
      </c>
      <c r="B141" s="71"/>
      <c r="C141" s="72" t="str">
        <f ca="1">(IF($C$53=C139,"All work Completed. OC Received.",I139))</f>
        <v>Excavation, Plinth, RCC Slab, Brickwork, Internal Plaster Completed, External Plaster upto 17 Floor Completed</v>
      </c>
      <c r="D141" s="72"/>
      <c r="E141" s="72"/>
      <c r="F141" s="72"/>
      <c r="G141" s="72"/>
      <c r="H141" s="73"/>
      <c r="I141" s="48" t="str">
        <f ca="1">IF(I140&lt;&gt;""," Completed","")</f>
        <v xml:space="preserve"> Completed</v>
      </c>
      <c r="J141" s="49" t="str">
        <f ca="1">IF(J139&lt;&gt;"","Completed","")</f>
        <v>Completed</v>
      </c>
    </row>
    <row r="142" spans="1:10" x14ac:dyDescent="0.25">
      <c r="A142" s="74" t="s">
        <v>49</v>
      </c>
      <c r="B142" s="75"/>
      <c r="C142" s="42" t="s">
        <v>139</v>
      </c>
      <c r="D142" s="42" t="s">
        <v>82</v>
      </c>
      <c r="E142" s="75" t="s">
        <v>84</v>
      </c>
      <c r="F142" s="75"/>
      <c r="G142" s="75" t="s">
        <v>83</v>
      </c>
      <c r="H142" s="76"/>
      <c r="I142" s="14" t="s">
        <v>141</v>
      </c>
      <c r="J142" s="28">
        <f ca="1">H140*25%</f>
        <v>4.5</v>
      </c>
    </row>
    <row r="143" spans="1:10" x14ac:dyDescent="0.25">
      <c r="A143" s="74" t="s">
        <v>128</v>
      </c>
      <c r="B143" s="75"/>
      <c r="C143" s="42">
        <f ca="1">J144</f>
        <v>18</v>
      </c>
      <c r="D143" s="19">
        <f ca="1">((100/H140)*C143)/100</f>
        <v>1</v>
      </c>
      <c r="E143" s="77">
        <f ca="1">(((C144/H140*10)+(40/(D140+F140+H140)*C145)+(7.5/(H140)*C146)+(7.5/(H140)*C147)+(10/H140*C148)+(10/H140*C149)+(5/H140*C150)+(5/H140*C151)+(5/H140*C152))/100)</f>
        <v>0.74444444444444446</v>
      </c>
      <c r="F143" s="78"/>
      <c r="G143" s="77">
        <f ca="1">((((C143/H140)*20)+((C144/H140)*25)+(30/(H140+F140+D140)*C145)+(5/H140*C146)+(5/H140*C147)+(5/H140*C148)+(5/H140*C149)+(0/H140*C150)+(0/H140*C151)+(5/H140*C152))/100)</f>
        <v>0.89722222222222225</v>
      </c>
      <c r="H143" s="83"/>
      <c r="I143" s="14" t="s">
        <v>99</v>
      </c>
      <c r="J143" s="29">
        <f ca="1">H140*50%</f>
        <v>9</v>
      </c>
    </row>
    <row r="144" spans="1:10" x14ac:dyDescent="0.25">
      <c r="A144" s="74" t="s">
        <v>50</v>
      </c>
      <c r="B144" s="75"/>
      <c r="C144" s="57">
        <f ca="1">J152</f>
        <v>18</v>
      </c>
      <c r="D144" s="19">
        <f ca="1">((100/H140)*C144)/100</f>
        <v>1</v>
      </c>
      <c r="E144" s="79"/>
      <c r="F144" s="80"/>
      <c r="G144" s="79"/>
      <c r="H144" s="84"/>
      <c r="I144" s="14" t="s">
        <v>100</v>
      </c>
      <c r="J144" s="29">
        <f ca="1">H140</f>
        <v>18</v>
      </c>
    </row>
    <row r="145" spans="1:10" ht="15.75" customHeight="1" x14ac:dyDescent="0.25">
      <c r="A145" s="74" t="s">
        <v>129</v>
      </c>
      <c r="B145" s="75"/>
      <c r="C145" s="42">
        <v>19</v>
      </c>
      <c r="D145" s="19">
        <f ca="1">((100/(D140+F140+H140))*C145)/100</f>
        <v>1</v>
      </c>
      <c r="E145" s="79"/>
      <c r="F145" s="80"/>
      <c r="G145" s="79"/>
      <c r="H145" s="84"/>
      <c r="I145" s="14" t="s">
        <v>101</v>
      </c>
      <c r="J145" s="30">
        <f ca="1">(IF(B140&gt;1,(H140/(B140+2)),H140/4))</f>
        <v>4.5</v>
      </c>
    </row>
    <row r="146" spans="1:10" ht="15.75" customHeight="1" x14ac:dyDescent="0.25">
      <c r="A146" s="74" t="s">
        <v>136</v>
      </c>
      <c r="B146" s="75" t="s">
        <v>130</v>
      </c>
      <c r="C146" s="42">
        <v>18</v>
      </c>
      <c r="D146" s="19">
        <f ca="1">((100/H140)*C146)/100</f>
        <v>1</v>
      </c>
      <c r="E146" s="79"/>
      <c r="F146" s="80"/>
      <c r="G146" s="79"/>
      <c r="H146" s="84"/>
      <c r="I146" s="14" t="s">
        <v>102</v>
      </c>
      <c r="J146" s="30">
        <f ca="1">(IF(B140&gt;1,(H140/(B140+2)+J145),H140/4+J145))</f>
        <v>9</v>
      </c>
    </row>
    <row r="147" spans="1:10" ht="15.75" customHeight="1" x14ac:dyDescent="0.25">
      <c r="A147" s="74" t="s">
        <v>137</v>
      </c>
      <c r="B147" s="75" t="s">
        <v>130</v>
      </c>
      <c r="C147" s="42">
        <v>18</v>
      </c>
      <c r="D147" s="19">
        <f ca="1">((100/H140)*C147)/100</f>
        <v>1</v>
      </c>
      <c r="E147" s="79"/>
      <c r="F147" s="80"/>
      <c r="G147" s="79"/>
      <c r="H147" s="84"/>
      <c r="I147" s="14" t="s">
        <v>146</v>
      </c>
      <c r="J147" s="30">
        <f>(IF(B140&gt;1,(H140/(B140+2)+J146),0))</f>
        <v>0</v>
      </c>
    </row>
    <row r="148" spans="1:10" ht="15" customHeight="1" x14ac:dyDescent="0.25">
      <c r="A148" s="74" t="s">
        <v>135</v>
      </c>
      <c r="B148" s="75" t="s">
        <v>132</v>
      </c>
      <c r="C148" s="42">
        <v>17</v>
      </c>
      <c r="D148" s="19">
        <f ca="1">((100/(H140))*C148)/100</f>
        <v>0.94444444444444442</v>
      </c>
      <c r="E148" s="79"/>
      <c r="F148" s="80"/>
      <c r="G148" s="79"/>
      <c r="H148" s="84"/>
      <c r="I148" s="14" t="s">
        <v>143</v>
      </c>
      <c r="J148" s="30">
        <f>(IF(B140&gt;2,(H140/(B140+2)+J147),0))</f>
        <v>0</v>
      </c>
    </row>
    <row r="149" spans="1:10" ht="15.75" customHeight="1" x14ac:dyDescent="0.25">
      <c r="A149" s="74" t="s">
        <v>131</v>
      </c>
      <c r="B149" s="75" t="s">
        <v>131</v>
      </c>
      <c r="C149" s="42">
        <v>0</v>
      </c>
      <c r="D149" s="19">
        <f ca="1">((100/H140)*C149)/100</f>
        <v>0</v>
      </c>
      <c r="E149" s="79"/>
      <c r="F149" s="80"/>
      <c r="G149" s="79"/>
      <c r="H149" s="84"/>
      <c r="I149" s="14" t="s">
        <v>144</v>
      </c>
      <c r="J149" s="31">
        <f>(IF(B140&gt;3,(H140/(B140+2)+J148),0))</f>
        <v>0</v>
      </c>
    </row>
    <row r="150" spans="1:10" ht="15.75" customHeight="1" x14ac:dyDescent="0.25">
      <c r="A150" s="74" t="s">
        <v>138</v>
      </c>
      <c r="B150" s="75"/>
      <c r="C150" s="42">
        <v>0</v>
      </c>
      <c r="D150" s="19">
        <f ca="1">((100/H140)*C150)/100</f>
        <v>0</v>
      </c>
      <c r="E150" s="79"/>
      <c r="F150" s="80"/>
      <c r="G150" s="79"/>
      <c r="H150" s="84"/>
      <c r="I150" s="14" t="s">
        <v>145</v>
      </c>
      <c r="J150" s="30">
        <f>(IF(B140&gt;4,(H140/(B140+2)+J149),0))</f>
        <v>0</v>
      </c>
    </row>
    <row r="151" spans="1:10" ht="15.75" customHeight="1" x14ac:dyDescent="0.25">
      <c r="A151" s="74" t="s">
        <v>133</v>
      </c>
      <c r="B151" s="75" t="s">
        <v>133</v>
      </c>
      <c r="C151" s="42">
        <v>0</v>
      </c>
      <c r="D151" s="19">
        <f ca="1">((100/(H140))*C151)/100</f>
        <v>0</v>
      </c>
      <c r="E151" s="79"/>
      <c r="F151" s="80"/>
      <c r="G151" s="79"/>
      <c r="H151" s="84"/>
      <c r="I151" s="14" t="s">
        <v>147</v>
      </c>
      <c r="J151" s="30">
        <f ca="1">(IF(B140=1,(H140/(B140+3)+J146),IF(B140=0,(H140/4+J146),IF(B140&gt;1,0))))</f>
        <v>13.5</v>
      </c>
    </row>
    <row r="152" spans="1:10" ht="16.5" thickBot="1" x14ac:dyDescent="0.3">
      <c r="A152" s="86" t="s">
        <v>134</v>
      </c>
      <c r="B152" s="87"/>
      <c r="C152" s="43">
        <v>0</v>
      </c>
      <c r="D152" s="20">
        <f ca="1">((100/(H140))*C152)/100</f>
        <v>0</v>
      </c>
      <c r="E152" s="81"/>
      <c r="F152" s="82"/>
      <c r="G152" s="81"/>
      <c r="H152" s="85"/>
      <c r="I152" s="15" t="s">
        <v>103</v>
      </c>
      <c r="J152" s="32">
        <f ca="1">(IF(B140&gt;1.5,(H140/(B140+2)+J146+MAX(0,J147-J146)+MAX(0,J148-J147)+MAX(0,J149-J148)+MAX(0,J150-J149)+MAX(0,J151-J150)),IF(B140=1,(H140/(B140+3)+J151),IF(B140=0,H140/4+J151))))</f>
        <v>18</v>
      </c>
    </row>
    <row r="153" spans="1:10" x14ac:dyDescent="0.25">
      <c r="A153" s="65" t="s">
        <v>140</v>
      </c>
      <c r="B153" s="66"/>
      <c r="C153" s="67" t="s">
        <v>276</v>
      </c>
      <c r="D153" s="68"/>
      <c r="E153" s="68"/>
      <c r="F153" s="68"/>
      <c r="G153" s="68"/>
      <c r="H153" s="69"/>
      <c r="I153" s="46" t="str">
        <f ca="1">IF(D166=100%,"All work Completed. Possession granted to the Building.",IF(D165=100%,"All work Completed, Waiting for OC",I154&amp;""&amp;I155&amp;""&amp;J154&amp;""&amp;J153&amp;" "&amp;J155))</f>
        <v xml:space="preserve">Excavation, Plinth, RCC Slab, Brickwork, Internal Plaster, External Plaster Completed </v>
      </c>
      <c r="J153" s="47" t="str">
        <f ca="1">(IF(C159=(D154+F154+H154),"",IF(C159&gt;0,", RCC upto "&amp;C159&amp;" Slab","")))&amp;(IF(C160=H154,"",IF(C160&gt;0,", Brickwork upto "&amp;C160&amp;" Floor","")))&amp;(IF(C161=H154,"",IF(C161&gt;0,", Internal Plaster upto "&amp;C161&amp;" Floor","")))&amp;(IF(C162=H154,"",IF(C162&gt;0,", External Plaster upto "&amp;C162&amp;" Floor","")))&amp;(IF(C163=H154,"",IF(C163&gt;0,", Flooring upto "&amp;C163&amp;" Floor","")))&amp;(IF(C164=H154,"",IF(C164&gt;0,", Painting upto "&amp;C164&amp;" Floor","")))&amp;(IF(C165=H154,"",IF(C165&gt;0,", Finishing upto "&amp;C165&amp;" Floor","")))&amp;(IF(C166=H154,"",IF(C166&gt;0,", Possession upto "&amp;C166&amp;" Floor","")))</f>
        <v/>
      </c>
    </row>
    <row r="154" spans="1:10" x14ac:dyDescent="0.25">
      <c r="A154" s="16" t="s">
        <v>142</v>
      </c>
      <c r="B154" s="54">
        <v>0</v>
      </c>
      <c r="C154" s="54" t="s">
        <v>72</v>
      </c>
      <c r="D154" s="54">
        <v>1</v>
      </c>
      <c r="E154" s="54" t="s">
        <v>71</v>
      </c>
      <c r="F154" s="54">
        <v>0</v>
      </c>
      <c r="G154" s="54" t="s">
        <v>79</v>
      </c>
      <c r="H154" s="17">
        <f ca="1">--TRIM(RIGHT(SUBSTITUTE(LEFT(C153,_xlfn.AGGREGATE(16,6,FIND({0,1,2,3,4,5,6,7,8,9},C153,ROW(INDIRECT("1:"&amp;LEN(C153)))),1))," ",REPT(" ",LEN(C153))),LEN(C153)))</f>
        <v>18</v>
      </c>
      <c r="I154" s="48" t="str">
        <f ca="1">IF(D157=100%,"Excavation","")&amp;IF(D158=100%,", Plinth","")&amp;IF(D159=100%,", RCC Slab","")&amp;IF(D160=100%,", Brickwork","")&amp;IF(D161=100%,", Internal Plaster","")&amp;IF(D162=100%,", External Plaster","")&amp;IF(D163=100%,", Flooring","")&amp;IF(D164=100%,", Painting","")&amp;IF(D165=100%,", Building common Amenities","")</f>
        <v>Excavation, Plinth, RCC Slab, Brickwork, Internal Plaster, External Plaster</v>
      </c>
      <c r="J154" s="49" t="str">
        <f ca="1">(IF(C157=0,"Work not yet Started.",IF(D157=25%,"Piling work in process",IF(D157=50%,"Excavation work in process",IF(D157=100%,"","0")))))&amp;(IF(C158=0%,"",IF(C158=J159,", Footing work is process",IF(C158=J160,", Footing work Completed",IF(C158=J161,", 1st Basement Completed",IF(C158=J162,", 1st &amp; 2nd Basement Completed",IF(C158=J163,", 1st to 3rd Basement Completed",IF(C158=J164,", 1st to 4th Basement Completed",IF(C158=J165,", Plinth work is process",IF(C158=J166,"","0"))))))))))</f>
        <v/>
      </c>
    </row>
    <row r="155" spans="1:10" ht="31.5" customHeight="1" x14ac:dyDescent="0.25">
      <c r="A155" s="70" t="s">
        <v>89</v>
      </c>
      <c r="B155" s="71"/>
      <c r="C155" s="72" t="str">
        <f ca="1">(IF($C$53=C153,"All work Completed. OC Received.",I153))</f>
        <v xml:space="preserve">Excavation, Plinth, RCC Slab, Brickwork, Internal Plaster, External Plaster Completed </v>
      </c>
      <c r="D155" s="72"/>
      <c r="E155" s="72"/>
      <c r="F155" s="72"/>
      <c r="G155" s="72"/>
      <c r="H155" s="73"/>
      <c r="I155" s="48" t="str">
        <f ca="1">IF(I154&lt;&gt;""," Completed","")</f>
        <v xml:space="preserve"> Completed</v>
      </c>
      <c r="J155" s="49" t="str">
        <f ca="1">IF(J153&lt;&gt;"","Completed","")</f>
        <v/>
      </c>
    </row>
    <row r="156" spans="1:10" ht="15.75" customHeight="1" x14ac:dyDescent="0.25">
      <c r="A156" s="74" t="s">
        <v>49</v>
      </c>
      <c r="B156" s="75"/>
      <c r="C156" s="42" t="s">
        <v>139</v>
      </c>
      <c r="D156" s="42" t="s">
        <v>82</v>
      </c>
      <c r="E156" s="75" t="s">
        <v>84</v>
      </c>
      <c r="F156" s="75"/>
      <c r="G156" s="75" t="s">
        <v>83</v>
      </c>
      <c r="H156" s="76"/>
      <c r="I156" s="14" t="s">
        <v>141</v>
      </c>
      <c r="J156" s="28">
        <f ca="1">H154*25%</f>
        <v>4.5</v>
      </c>
    </row>
    <row r="157" spans="1:10" x14ac:dyDescent="0.25">
      <c r="A157" s="74" t="s">
        <v>128</v>
      </c>
      <c r="B157" s="75"/>
      <c r="C157" s="42">
        <f ca="1">J158</f>
        <v>18</v>
      </c>
      <c r="D157" s="19">
        <f ca="1">((100/H154)*C157)/100</f>
        <v>1</v>
      </c>
      <c r="E157" s="77">
        <f ca="1">(((C158/H154*10)+(40/(D154+F154+H154)*C159)+(7.5/(H154)*C160)+(7.5/(H154)*C161)+(10/H154*C162)+(10/H154*C163)+(5/H154*C164)+(5/H154*C165)+(5/H154*C166))/100)</f>
        <v>0.75</v>
      </c>
      <c r="F157" s="78"/>
      <c r="G157" s="77">
        <f ca="1">((((C157/H154)*20)+((C158/H154)*25)+(30/(H154+F154+D154)*C159)+(5/H154*C160)+(5/H154*C161)+(5/H154*C162)+(5/H154*C163)+(0/H154*C164)+(0/H154*C165)+(5/H154*C166))/100)</f>
        <v>0.9</v>
      </c>
      <c r="H157" s="83"/>
      <c r="I157" s="14" t="s">
        <v>99</v>
      </c>
      <c r="J157" s="29">
        <f ca="1">H154*50%</f>
        <v>9</v>
      </c>
    </row>
    <row r="158" spans="1:10" x14ac:dyDescent="0.25">
      <c r="A158" s="74" t="s">
        <v>50</v>
      </c>
      <c r="B158" s="75"/>
      <c r="C158" s="57">
        <f ca="1">J166</f>
        <v>18</v>
      </c>
      <c r="D158" s="19">
        <f ca="1">((100/H154)*C158)/100</f>
        <v>1</v>
      </c>
      <c r="E158" s="79"/>
      <c r="F158" s="80"/>
      <c r="G158" s="79"/>
      <c r="H158" s="84"/>
      <c r="I158" s="14" t="s">
        <v>100</v>
      </c>
      <c r="J158" s="29">
        <f ca="1">H154</f>
        <v>18</v>
      </c>
    </row>
    <row r="159" spans="1:10" ht="15.75" customHeight="1" x14ac:dyDescent="0.25">
      <c r="A159" s="74" t="s">
        <v>129</v>
      </c>
      <c r="B159" s="75"/>
      <c r="C159" s="42">
        <v>19</v>
      </c>
      <c r="D159" s="19">
        <f ca="1">((100/(D154+F154+H154))*C159)/100</f>
        <v>1</v>
      </c>
      <c r="E159" s="79"/>
      <c r="F159" s="80"/>
      <c r="G159" s="79"/>
      <c r="H159" s="84"/>
      <c r="I159" s="14" t="s">
        <v>101</v>
      </c>
      <c r="J159" s="30">
        <f ca="1">(IF(B154&gt;1,(H154/(B154+2)),H154/4))</f>
        <v>4.5</v>
      </c>
    </row>
    <row r="160" spans="1:10" ht="15.75" customHeight="1" x14ac:dyDescent="0.25">
      <c r="A160" s="74" t="s">
        <v>136</v>
      </c>
      <c r="B160" s="75" t="s">
        <v>130</v>
      </c>
      <c r="C160" s="42">
        <v>18</v>
      </c>
      <c r="D160" s="19">
        <f ca="1">((100/H154)*C160)/100</f>
        <v>1</v>
      </c>
      <c r="E160" s="79"/>
      <c r="F160" s="80"/>
      <c r="G160" s="79"/>
      <c r="H160" s="84"/>
      <c r="I160" s="14" t="s">
        <v>102</v>
      </c>
      <c r="J160" s="30">
        <f ca="1">(IF(B154&gt;1,(H154/(B154+2)+J159),H154/4+J159))</f>
        <v>9</v>
      </c>
    </row>
    <row r="161" spans="1:10" ht="15.75" customHeight="1" x14ac:dyDescent="0.25">
      <c r="A161" s="74" t="s">
        <v>137</v>
      </c>
      <c r="B161" s="75" t="s">
        <v>130</v>
      </c>
      <c r="C161" s="42">
        <v>18</v>
      </c>
      <c r="D161" s="19">
        <f ca="1">((100/H154)*C161)/100</f>
        <v>1</v>
      </c>
      <c r="E161" s="79"/>
      <c r="F161" s="80"/>
      <c r="G161" s="79"/>
      <c r="H161" s="84"/>
      <c r="I161" s="14" t="s">
        <v>146</v>
      </c>
      <c r="J161" s="30">
        <f>(IF(B154&gt;1,(H154/(B154+2)+J160),0))</f>
        <v>0</v>
      </c>
    </row>
    <row r="162" spans="1:10" ht="15" customHeight="1" x14ac:dyDescent="0.25">
      <c r="A162" s="74" t="s">
        <v>135</v>
      </c>
      <c r="B162" s="75" t="s">
        <v>132</v>
      </c>
      <c r="C162" s="42">
        <v>18</v>
      </c>
      <c r="D162" s="19">
        <f ca="1">((100/(H154))*C162)/100</f>
        <v>1</v>
      </c>
      <c r="E162" s="79"/>
      <c r="F162" s="80"/>
      <c r="G162" s="79"/>
      <c r="H162" s="84"/>
      <c r="I162" s="14" t="s">
        <v>143</v>
      </c>
      <c r="J162" s="30">
        <f>(IF(B154&gt;2,(H154/(B154+2)+J161),0))</f>
        <v>0</v>
      </c>
    </row>
    <row r="163" spans="1:10" ht="15.75" customHeight="1" x14ac:dyDescent="0.25">
      <c r="A163" s="74" t="s">
        <v>131</v>
      </c>
      <c r="B163" s="75" t="s">
        <v>131</v>
      </c>
      <c r="C163" s="42">
        <v>0</v>
      </c>
      <c r="D163" s="19">
        <f ca="1">((100/H154)*C163)/100</f>
        <v>0</v>
      </c>
      <c r="E163" s="79"/>
      <c r="F163" s="80"/>
      <c r="G163" s="79"/>
      <c r="H163" s="84"/>
      <c r="I163" s="14" t="s">
        <v>144</v>
      </c>
      <c r="J163" s="31">
        <f>(IF(B154&gt;3,(H154/(B154+2)+J162),0))</f>
        <v>0</v>
      </c>
    </row>
    <row r="164" spans="1:10" ht="15.75" customHeight="1" x14ac:dyDescent="0.25">
      <c r="A164" s="74" t="s">
        <v>138</v>
      </c>
      <c r="B164" s="75"/>
      <c r="C164" s="42">
        <v>0</v>
      </c>
      <c r="D164" s="19">
        <f ca="1">((100/H154)*C164)/100</f>
        <v>0</v>
      </c>
      <c r="E164" s="79"/>
      <c r="F164" s="80"/>
      <c r="G164" s="79"/>
      <c r="H164" s="84"/>
      <c r="I164" s="14" t="s">
        <v>145</v>
      </c>
      <c r="J164" s="30">
        <f>(IF(B154&gt;4,(H154/(B154+2)+J163),0))</f>
        <v>0</v>
      </c>
    </row>
    <row r="165" spans="1:10" ht="15.75" customHeight="1" x14ac:dyDescent="0.25">
      <c r="A165" s="74" t="s">
        <v>133</v>
      </c>
      <c r="B165" s="75" t="s">
        <v>133</v>
      </c>
      <c r="C165" s="42">
        <v>0</v>
      </c>
      <c r="D165" s="19">
        <f ca="1">((100/(H154))*C165)/100</f>
        <v>0</v>
      </c>
      <c r="E165" s="79"/>
      <c r="F165" s="80"/>
      <c r="G165" s="79"/>
      <c r="H165" s="84"/>
      <c r="I165" s="14" t="s">
        <v>147</v>
      </c>
      <c r="J165" s="30">
        <f ca="1">(IF(B154=1,(H154/(B154+3)+J160),IF(B154=0,(H154/4+J160),IF(B154&gt;1,0))))</f>
        <v>13.5</v>
      </c>
    </row>
    <row r="166" spans="1:10" ht="16.5" thickBot="1" x14ac:dyDescent="0.3">
      <c r="A166" s="86" t="s">
        <v>134</v>
      </c>
      <c r="B166" s="87"/>
      <c r="C166" s="43">
        <v>0</v>
      </c>
      <c r="D166" s="20">
        <f ca="1">((100/(H154))*C166)/100</f>
        <v>0</v>
      </c>
      <c r="E166" s="81"/>
      <c r="F166" s="82"/>
      <c r="G166" s="81"/>
      <c r="H166" s="85"/>
      <c r="I166" s="15" t="s">
        <v>103</v>
      </c>
      <c r="J166" s="32">
        <f ca="1">(IF(B154&gt;1.5,(H154/(B154+2)+J160+MAX(0,J161-J160)+MAX(0,J162-J161)+MAX(0,J163-J162)+MAX(0,J164-J163)+MAX(0,J165-J164)),IF(B154=1,(H154/(B154+3)+J165),IF(B154=0,H154/4+J165))))</f>
        <v>18</v>
      </c>
    </row>
    <row r="167" spans="1:10" x14ac:dyDescent="0.25">
      <c r="A167" s="65" t="s">
        <v>140</v>
      </c>
      <c r="B167" s="66"/>
      <c r="C167" s="67" t="s">
        <v>282</v>
      </c>
      <c r="D167" s="68"/>
      <c r="E167" s="68"/>
      <c r="F167" s="68"/>
      <c r="G167" s="68"/>
      <c r="H167" s="69"/>
      <c r="I167" s="46" t="str">
        <f ca="1">IF(D180=100%,"All work Completed. Possession granted to the Building.",IF(D179=100%,"All work Completed, Waiting for OC",I168&amp;""&amp;I169&amp;""&amp;J168&amp;""&amp;J167&amp;" "&amp;J169))</f>
        <v>Excavation, Plinth, RCC Slab, Brickwork Completed, Internal Plaster upto 8 Floor, External Plaster upto 4 Floor Completed</v>
      </c>
      <c r="J167" s="47" t="str">
        <f ca="1">(IF(C173=(D168+F168+H168),"",IF(C173&gt;0,", RCC upto "&amp;C173&amp;" Slab","")))&amp;(IF(C174=H168,"",IF(C174&gt;0,", Brickwork upto "&amp;C174&amp;" Floor","")))&amp;(IF(C175=H168,"",IF(C175&gt;0,", Internal Plaster upto "&amp;C175&amp;" Floor","")))&amp;(IF(C176=H168,"",IF(C176&gt;0,", External Plaster upto "&amp;C176&amp;" Floor","")))&amp;(IF(C177=H168,"",IF(C177&gt;0,", Flooring upto "&amp;C177&amp;" Floor","")))&amp;(IF(C178=H168,"",IF(C178&gt;0,", Painting upto "&amp;C178&amp;" Floor","")))&amp;(IF(C179=H168,"",IF(C179&gt;0,", Finishing upto "&amp;C179&amp;" Floor","")))&amp;(IF(C180=H168,"",IF(C180&gt;0,", Possession upto "&amp;C180&amp;" Floor","")))</f>
        <v>, Internal Plaster upto 8 Floor, External Plaster upto 4 Floor</v>
      </c>
    </row>
    <row r="168" spans="1:10" x14ac:dyDescent="0.25">
      <c r="A168" s="16" t="s">
        <v>142</v>
      </c>
      <c r="B168" s="54">
        <v>0</v>
      </c>
      <c r="C168" s="54" t="s">
        <v>72</v>
      </c>
      <c r="D168" s="54">
        <v>1</v>
      </c>
      <c r="E168" s="54" t="s">
        <v>71</v>
      </c>
      <c r="F168" s="54">
        <v>0</v>
      </c>
      <c r="G168" s="54" t="s">
        <v>79</v>
      </c>
      <c r="H168" s="17">
        <f ca="1">--TRIM(RIGHT(SUBSTITUTE(LEFT(C167,_xlfn.AGGREGATE(16,6,FIND({0,1,2,3,4,5,6,7,8,9},C167,ROW(INDIRECT("1:"&amp;LEN(C167)))),1))," ",REPT(" ",LEN(C167))),LEN(C167)))</f>
        <v>18</v>
      </c>
      <c r="I168" s="48" t="str">
        <f ca="1">IF(D171=100%,"Excavation","")&amp;IF(D172=100%,", Plinth","")&amp;IF(D173=100%,", RCC Slab","")&amp;IF(D174=100%,", Brickwork","")&amp;IF(D175=100%,", Internal Plaster","")&amp;IF(D176=100%,", External Plaster","")&amp;IF(D177=100%,", Flooring","")&amp;IF(D178=100%,", Painting","")&amp;IF(D179=100%,", Building common Amenities","")</f>
        <v>Excavation, Plinth, RCC Slab, Brickwork</v>
      </c>
      <c r="J168" s="49" t="str">
        <f ca="1">(IF(C171=0,"Work not yet Started.",IF(D171=25%,"Piling work in process",IF(D171=50%,"Excavation work in process",IF(D171=100%,"","0")))))&amp;(IF(C172=0%,"",IF(C172=J173,", Footing work is process",IF(C172=J174,", Footing work Completed",IF(C172=J175,", 1st Basement Completed",IF(C172=J176,", 1st &amp; 2nd Basement Completed",IF(C172=J177,", 1st to 3rd Basement Completed",IF(C172=J178,", 1st to 4th Basement Completed",IF(C172=J179,", Plinth work is process",IF(C172=J180,"","0"))))))))))</f>
        <v/>
      </c>
    </row>
    <row r="169" spans="1:10" ht="37.9" customHeight="1" x14ac:dyDescent="0.25">
      <c r="A169" s="70" t="s">
        <v>89</v>
      </c>
      <c r="B169" s="71"/>
      <c r="C169" s="72" t="str">
        <f ca="1">(IF($C$53=C167,"All work Completed. OC Received.",I167))</f>
        <v>Excavation, Plinth, RCC Slab, Brickwork Completed, Internal Plaster upto 8 Floor, External Plaster upto 4 Floor Completed</v>
      </c>
      <c r="D169" s="72"/>
      <c r="E169" s="72"/>
      <c r="F169" s="72"/>
      <c r="G169" s="72"/>
      <c r="H169" s="73"/>
      <c r="I169" s="48" t="str">
        <f ca="1">IF(I168&lt;&gt;""," Completed","")</f>
        <v xml:space="preserve"> Completed</v>
      </c>
      <c r="J169" s="49" t="str">
        <f ca="1">IF(J167&lt;&gt;"","Completed","")</f>
        <v>Completed</v>
      </c>
    </row>
    <row r="170" spans="1:10" ht="15.75" customHeight="1" x14ac:dyDescent="0.25">
      <c r="A170" s="74" t="s">
        <v>49</v>
      </c>
      <c r="B170" s="75"/>
      <c r="C170" s="42" t="s">
        <v>139</v>
      </c>
      <c r="D170" s="42" t="s">
        <v>82</v>
      </c>
      <c r="E170" s="75" t="s">
        <v>84</v>
      </c>
      <c r="F170" s="75"/>
      <c r="G170" s="75" t="s">
        <v>83</v>
      </c>
      <c r="H170" s="76"/>
      <c r="I170" s="14" t="s">
        <v>141</v>
      </c>
      <c r="J170" s="28">
        <f ca="1">H168*25%</f>
        <v>4.5</v>
      </c>
    </row>
    <row r="171" spans="1:10" x14ac:dyDescent="0.25">
      <c r="A171" s="74" t="s">
        <v>128</v>
      </c>
      <c r="B171" s="75"/>
      <c r="C171" s="59">
        <f ca="1">J172</f>
        <v>18</v>
      </c>
      <c r="D171" s="19">
        <f ca="1">((100/H168)*C171)/100</f>
        <v>1</v>
      </c>
      <c r="E171" s="77">
        <f ca="1">(((C172/H168*10)+(40/(D168+F168+H168)*C173)+(7.5/(H168)*C174)+(7.5/(H168)*C175)+(10/H168*C176)+(10/H168*C177)+(5/H168*C178)+(5/H168*C179)+(5/H168*C180))/100)</f>
        <v>0.63055555555555554</v>
      </c>
      <c r="F171" s="78"/>
      <c r="G171" s="77">
        <f ca="1">((((C171/H168)*20)+((C172/H168)*25)+(30/(H168+F168+D168)*C173)+(5/H168*C174)+(5/H168*C175)+(5/H168*C176)+(5/H168*C177)+(0/H168*C178)+(0/H168*C179)+(5/H168*C180))/100)</f>
        <v>0.83333333333333348</v>
      </c>
      <c r="H171" s="83"/>
      <c r="I171" s="14" t="s">
        <v>99</v>
      </c>
      <c r="J171" s="29">
        <f ca="1">H168*50%</f>
        <v>9</v>
      </c>
    </row>
    <row r="172" spans="1:10" x14ac:dyDescent="0.25">
      <c r="A172" s="74" t="s">
        <v>50</v>
      </c>
      <c r="B172" s="75"/>
      <c r="C172" s="60">
        <f ca="1">J180</f>
        <v>18</v>
      </c>
      <c r="D172" s="19">
        <f ca="1">((100/H168)*C172)/100</f>
        <v>1</v>
      </c>
      <c r="E172" s="79"/>
      <c r="F172" s="80"/>
      <c r="G172" s="79"/>
      <c r="H172" s="84"/>
      <c r="I172" s="14" t="s">
        <v>100</v>
      </c>
      <c r="J172" s="29">
        <f ca="1">H168</f>
        <v>18</v>
      </c>
    </row>
    <row r="173" spans="1:10" ht="15.75" customHeight="1" x14ac:dyDescent="0.25">
      <c r="A173" s="74" t="s">
        <v>129</v>
      </c>
      <c r="B173" s="75"/>
      <c r="C173" s="59">
        <v>19</v>
      </c>
      <c r="D173" s="19">
        <f ca="1">((100/(D168+F168+H168))*C173)/100</f>
        <v>1</v>
      </c>
      <c r="E173" s="79"/>
      <c r="F173" s="80"/>
      <c r="G173" s="79"/>
      <c r="H173" s="84"/>
      <c r="I173" s="14" t="s">
        <v>101</v>
      </c>
      <c r="J173" s="30">
        <f ca="1">(IF(B168&gt;1,(H168/(B168+2)),H168/4))</f>
        <v>4.5</v>
      </c>
    </row>
    <row r="174" spans="1:10" ht="15.75" customHeight="1" x14ac:dyDescent="0.25">
      <c r="A174" s="74" t="s">
        <v>136</v>
      </c>
      <c r="B174" s="75" t="s">
        <v>130</v>
      </c>
      <c r="C174" s="42">
        <v>18</v>
      </c>
      <c r="D174" s="19">
        <f ca="1">((100/H168)*C174)/100</f>
        <v>1</v>
      </c>
      <c r="E174" s="79"/>
      <c r="F174" s="80"/>
      <c r="G174" s="79"/>
      <c r="H174" s="84"/>
      <c r="I174" s="14" t="s">
        <v>102</v>
      </c>
      <c r="J174" s="30">
        <f ca="1">(IF(B168&gt;1,(H168/(B168+2)+J173),H168/4+J173))</f>
        <v>9</v>
      </c>
    </row>
    <row r="175" spans="1:10" ht="15.75" customHeight="1" x14ac:dyDescent="0.25">
      <c r="A175" s="74" t="s">
        <v>137</v>
      </c>
      <c r="B175" s="75" t="s">
        <v>130</v>
      </c>
      <c r="C175" s="42">
        <v>8</v>
      </c>
      <c r="D175" s="19">
        <f ca="1">((100/H168)*C175)/100</f>
        <v>0.44444444444444442</v>
      </c>
      <c r="E175" s="79"/>
      <c r="F175" s="80"/>
      <c r="G175" s="79"/>
      <c r="H175" s="84"/>
      <c r="I175" s="14" t="s">
        <v>146</v>
      </c>
      <c r="J175" s="30">
        <f>(IF(B168&gt;1,(H168/(B168+2)+J174),0))</f>
        <v>0</v>
      </c>
    </row>
    <row r="176" spans="1:10" ht="15" customHeight="1" x14ac:dyDescent="0.25">
      <c r="A176" s="74" t="s">
        <v>135</v>
      </c>
      <c r="B176" s="75" t="s">
        <v>132</v>
      </c>
      <c r="C176" s="42">
        <v>4</v>
      </c>
      <c r="D176" s="19">
        <f ca="1">((100/(H168))*C176)/100</f>
        <v>0.22222222222222221</v>
      </c>
      <c r="E176" s="79"/>
      <c r="F176" s="80"/>
      <c r="G176" s="79"/>
      <c r="H176" s="84"/>
      <c r="I176" s="14" t="s">
        <v>143</v>
      </c>
      <c r="J176" s="30">
        <f>(IF(B168&gt;2,(H168/(B168+2)+J175),0))</f>
        <v>0</v>
      </c>
    </row>
    <row r="177" spans="1:10" ht="15.75" customHeight="1" x14ac:dyDescent="0.25">
      <c r="A177" s="74" t="s">
        <v>131</v>
      </c>
      <c r="B177" s="75" t="s">
        <v>131</v>
      </c>
      <c r="C177" s="42">
        <v>0</v>
      </c>
      <c r="D177" s="19">
        <f ca="1">((100/H168)*C177)/100</f>
        <v>0</v>
      </c>
      <c r="E177" s="79"/>
      <c r="F177" s="80"/>
      <c r="G177" s="79"/>
      <c r="H177" s="84"/>
      <c r="I177" s="14" t="s">
        <v>144</v>
      </c>
      <c r="J177" s="31">
        <f>(IF(B168&gt;3,(H168/(B168+2)+J176),0))</f>
        <v>0</v>
      </c>
    </row>
    <row r="178" spans="1:10" ht="15.75" customHeight="1" x14ac:dyDescent="0.25">
      <c r="A178" s="74" t="s">
        <v>138</v>
      </c>
      <c r="B178" s="75"/>
      <c r="C178" s="42">
        <v>0</v>
      </c>
      <c r="D178" s="19">
        <f ca="1">((100/H168)*C178)/100</f>
        <v>0</v>
      </c>
      <c r="E178" s="79"/>
      <c r="F178" s="80"/>
      <c r="G178" s="79"/>
      <c r="H178" s="84"/>
      <c r="I178" s="14" t="s">
        <v>145</v>
      </c>
      <c r="J178" s="30">
        <f>(IF(B168&gt;4,(H168/(B168+2)+J177),0))</f>
        <v>0</v>
      </c>
    </row>
    <row r="179" spans="1:10" ht="15.75" customHeight="1" x14ac:dyDescent="0.25">
      <c r="A179" s="74" t="s">
        <v>133</v>
      </c>
      <c r="B179" s="75" t="s">
        <v>133</v>
      </c>
      <c r="C179" s="42">
        <v>0</v>
      </c>
      <c r="D179" s="19">
        <f ca="1">((100/(H168))*C179)/100</f>
        <v>0</v>
      </c>
      <c r="E179" s="79"/>
      <c r="F179" s="80"/>
      <c r="G179" s="79"/>
      <c r="H179" s="84"/>
      <c r="I179" s="14" t="s">
        <v>147</v>
      </c>
      <c r="J179" s="30">
        <f ca="1">(IF(B168=1,(H168/(B168+3)+J174),IF(B168=0,(H168/4+J174),IF(B168&gt;1,0))))</f>
        <v>13.5</v>
      </c>
    </row>
    <row r="180" spans="1:10" ht="16.5" thickBot="1" x14ac:dyDescent="0.3">
      <c r="A180" s="86" t="s">
        <v>134</v>
      </c>
      <c r="B180" s="87"/>
      <c r="C180" s="43">
        <v>0</v>
      </c>
      <c r="D180" s="20">
        <f ca="1">((100/(H168))*C180)/100</f>
        <v>0</v>
      </c>
      <c r="E180" s="81"/>
      <c r="F180" s="82"/>
      <c r="G180" s="81"/>
      <c r="H180" s="85"/>
      <c r="I180" s="15" t="s">
        <v>103</v>
      </c>
      <c r="J180" s="32">
        <f ca="1">(IF(B168&gt;1.5,(H168/(B168+2)+J174+MAX(0,J175-J174)+MAX(0,J176-J175)+MAX(0,J177-J176)+MAX(0,J178-J177)+MAX(0,J179-J178)),IF(B168=1,(H168/(B168+3)+J179),IF(B168=0,H168/4+J179))))</f>
        <v>18</v>
      </c>
    </row>
    <row r="181" spans="1:10" x14ac:dyDescent="0.25">
      <c r="A181" s="65" t="s">
        <v>140</v>
      </c>
      <c r="B181" s="66"/>
      <c r="C181" s="67" t="s">
        <v>283</v>
      </c>
      <c r="D181" s="68"/>
      <c r="E181" s="68"/>
      <c r="F181" s="68"/>
      <c r="G181" s="68"/>
      <c r="H181" s="69"/>
      <c r="I181" s="46" t="str">
        <f ca="1">IF(D194=100%,"All work Completed. Possession granted to the Building.",IF(D193=100%,"All work Completed, Waiting for OC",I182&amp;""&amp;I183&amp;""&amp;J182&amp;""&amp;J181&amp;" "&amp;J183))</f>
        <v>Excavation, Plinth, RCC Slab, Brickwork Completed, Internal Plaster upto 8 Floor, External Plaster upto 4 Floor Completed</v>
      </c>
      <c r="J181" s="47" t="str">
        <f ca="1">(IF(C187=(D182+F182+H182),"",IF(C187&gt;0,", RCC upto "&amp;C187&amp;" Slab","")))&amp;(IF(C188=H182,"",IF(C188&gt;0,", Brickwork upto "&amp;C188&amp;" Floor","")))&amp;(IF(C189=H182,"",IF(C189&gt;0,", Internal Plaster upto "&amp;C189&amp;" Floor","")))&amp;(IF(C190=H182,"",IF(C190&gt;0,", External Plaster upto "&amp;C190&amp;" Floor","")))&amp;(IF(C191=H182,"",IF(C191&gt;0,", Flooring upto "&amp;C191&amp;" Floor","")))&amp;(IF(C192=H182,"",IF(C192&gt;0,", Painting upto "&amp;C192&amp;" Floor","")))&amp;(IF(C193=H182,"",IF(C193&gt;0,", Finishing upto "&amp;C193&amp;" Floor","")))&amp;(IF(C194=H182,"",IF(C194&gt;0,", Possession upto "&amp;C194&amp;" Floor","")))</f>
        <v>, Internal Plaster upto 8 Floor, External Plaster upto 4 Floor</v>
      </c>
    </row>
    <row r="182" spans="1:10" x14ac:dyDescent="0.25">
      <c r="A182" s="16" t="s">
        <v>142</v>
      </c>
      <c r="B182" s="54">
        <v>0</v>
      </c>
      <c r="C182" s="54" t="s">
        <v>72</v>
      </c>
      <c r="D182" s="54">
        <v>1</v>
      </c>
      <c r="E182" s="54" t="s">
        <v>71</v>
      </c>
      <c r="F182" s="54">
        <v>0</v>
      </c>
      <c r="G182" s="54" t="s">
        <v>79</v>
      </c>
      <c r="H182" s="17">
        <f ca="1">--TRIM(RIGHT(SUBSTITUTE(LEFT(C181,_xlfn.AGGREGATE(16,6,FIND({0,1,2,3,4,5,6,7,8,9},C181,ROW(INDIRECT("1:"&amp;LEN(C181)))),1))," ",REPT(" ",LEN(C181))),LEN(C181)))</f>
        <v>18</v>
      </c>
      <c r="I182" s="48" t="str">
        <f ca="1">IF(D185=100%,"Excavation","")&amp;IF(D186=100%,", Plinth","")&amp;IF(D187=100%,", RCC Slab","")&amp;IF(D188=100%,", Brickwork","")&amp;IF(D189=100%,", Internal Plaster","")&amp;IF(D190=100%,", External Plaster","")&amp;IF(D191=100%,", Flooring","")&amp;IF(D192=100%,", Painting","")&amp;IF(D193=100%,", Building common Amenities","")</f>
        <v>Excavation, Plinth, RCC Slab, Brickwork</v>
      </c>
      <c r="J182" s="49" t="str">
        <f ca="1">(IF(C185=0,"Work not yet Started.",IF(D185=25%,"Piling work in process",IF(D185=50%,"Excavation work in process",IF(D185=100%,"","0")))))&amp;(IF(C186=0%,"",IF(C186=J187,", Footing work is process",IF(C186=J188,", Footing work Completed",IF(C186=J189,", 1st Basement Completed",IF(C186=J190,", 1st &amp; 2nd Basement Completed",IF(C186=J191,", 1st to 3rd Basement Completed",IF(C186=J192,", 1st to 4th Basement Completed",IF(C186=J193,", Plinth work is process",IF(C186=J194,"","0"))))))))))</f>
        <v/>
      </c>
    </row>
    <row r="183" spans="1:10" ht="32.450000000000003" customHeight="1" x14ac:dyDescent="0.25">
      <c r="A183" s="70" t="s">
        <v>89</v>
      </c>
      <c r="B183" s="71"/>
      <c r="C183" s="72" t="str">
        <f ca="1">(IF($C$53=C181,"All work Completed. OC Received.",I181))</f>
        <v>Excavation, Plinth, RCC Slab, Brickwork Completed, Internal Plaster upto 8 Floor, External Plaster upto 4 Floor Completed</v>
      </c>
      <c r="D183" s="72"/>
      <c r="E183" s="72"/>
      <c r="F183" s="72"/>
      <c r="G183" s="72"/>
      <c r="H183" s="73"/>
      <c r="I183" s="48" t="str">
        <f ca="1">IF(I182&lt;&gt;""," Completed","")</f>
        <v xml:space="preserve"> Completed</v>
      </c>
      <c r="J183" s="49" t="str">
        <f ca="1">IF(J181&lt;&gt;"","Completed","")</f>
        <v>Completed</v>
      </c>
    </row>
    <row r="184" spans="1:10" ht="15.75" customHeight="1" x14ac:dyDescent="0.25">
      <c r="A184" s="74" t="s">
        <v>49</v>
      </c>
      <c r="B184" s="75"/>
      <c r="C184" s="42" t="s">
        <v>139</v>
      </c>
      <c r="D184" s="42" t="s">
        <v>82</v>
      </c>
      <c r="E184" s="75" t="s">
        <v>84</v>
      </c>
      <c r="F184" s="75"/>
      <c r="G184" s="75" t="s">
        <v>83</v>
      </c>
      <c r="H184" s="76"/>
      <c r="I184" s="14" t="s">
        <v>141</v>
      </c>
      <c r="J184" s="28">
        <f ca="1">H182*25%</f>
        <v>4.5</v>
      </c>
    </row>
    <row r="185" spans="1:10" x14ac:dyDescent="0.25">
      <c r="A185" s="74" t="s">
        <v>128</v>
      </c>
      <c r="B185" s="75"/>
      <c r="C185" s="59">
        <f ca="1">J186</f>
        <v>18</v>
      </c>
      <c r="D185" s="19">
        <f ca="1">((100/H182)*C185)/100</f>
        <v>1</v>
      </c>
      <c r="E185" s="77">
        <f ca="1">(((C186/H182*10)+(40/(D182+F182+H182)*C187)+(7.5/(H182)*C188)+(7.5/(H182)*C189)+(10/H182*C190)+(10/H182*C191)+(5/H182*C192)+(5/H182*C193)+(5/H182*C194))/100)</f>
        <v>0.63055555555555554</v>
      </c>
      <c r="F185" s="78"/>
      <c r="G185" s="77">
        <f ca="1">((((C185/H182)*20)+((C186/H182)*25)+(30/(H182+F182+D182)*C187)+(5/H182*C188)+(5/H182*C189)+(5/H182*C190)+(5/H182*C191)+(0/H182*C192)+(0/H182*C193)+(5/H182*C194))/100)</f>
        <v>0.83333333333333348</v>
      </c>
      <c r="H185" s="83"/>
      <c r="I185" s="14" t="s">
        <v>99</v>
      </c>
      <c r="J185" s="29">
        <f ca="1">H182*50%</f>
        <v>9</v>
      </c>
    </row>
    <row r="186" spans="1:10" x14ac:dyDescent="0.25">
      <c r="A186" s="74" t="s">
        <v>50</v>
      </c>
      <c r="B186" s="75"/>
      <c r="C186" s="60">
        <f ca="1">J194</f>
        <v>18</v>
      </c>
      <c r="D186" s="19">
        <f ca="1">((100/H182)*C186)/100</f>
        <v>1</v>
      </c>
      <c r="E186" s="79"/>
      <c r="F186" s="80"/>
      <c r="G186" s="79"/>
      <c r="H186" s="84"/>
      <c r="I186" s="14" t="s">
        <v>100</v>
      </c>
      <c r="J186" s="29">
        <f ca="1">H182</f>
        <v>18</v>
      </c>
    </row>
    <row r="187" spans="1:10" ht="15.75" customHeight="1" x14ac:dyDescent="0.25">
      <c r="A187" s="74" t="s">
        <v>129</v>
      </c>
      <c r="B187" s="75"/>
      <c r="C187" s="59">
        <v>19</v>
      </c>
      <c r="D187" s="19">
        <f ca="1">((100/(D182+F182+H182))*C187)/100</f>
        <v>1</v>
      </c>
      <c r="E187" s="79"/>
      <c r="F187" s="80"/>
      <c r="G187" s="79"/>
      <c r="H187" s="84"/>
      <c r="I187" s="14" t="s">
        <v>101</v>
      </c>
      <c r="J187" s="30">
        <f ca="1">(IF(B182&gt;1,(H182/(B182+2)),H182/4))</f>
        <v>4.5</v>
      </c>
    </row>
    <row r="188" spans="1:10" ht="15.75" customHeight="1" x14ac:dyDescent="0.25">
      <c r="A188" s="74" t="s">
        <v>136</v>
      </c>
      <c r="B188" s="75" t="s">
        <v>130</v>
      </c>
      <c r="C188" s="42">
        <v>18</v>
      </c>
      <c r="D188" s="19">
        <f ca="1">((100/H182)*C188)/100</f>
        <v>1</v>
      </c>
      <c r="E188" s="79"/>
      <c r="F188" s="80"/>
      <c r="G188" s="79"/>
      <c r="H188" s="84"/>
      <c r="I188" s="14" t="s">
        <v>102</v>
      </c>
      <c r="J188" s="30">
        <f ca="1">(IF(B182&gt;1,(H182/(B182+2)+J187),H182/4+J187))</f>
        <v>9</v>
      </c>
    </row>
    <row r="189" spans="1:10" ht="15.75" customHeight="1" x14ac:dyDescent="0.25">
      <c r="A189" s="74" t="s">
        <v>137</v>
      </c>
      <c r="B189" s="75" t="s">
        <v>130</v>
      </c>
      <c r="C189" s="42">
        <v>8</v>
      </c>
      <c r="D189" s="19">
        <f ca="1">((100/H182)*C189)/100</f>
        <v>0.44444444444444442</v>
      </c>
      <c r="E189" s="79"/>
      <c r="F189" s="80"/>
      <c r="G189" s="79"/>
      <c r="H189" s="84"/>
      <c r="I189" s="14" t="s">
        <v>146</v>
      </c>
      <c r="J189" s="30">
        <f>(IF(B182&gt;1,(H182/(B182+2)+J188),0))</f>
        <v>0</v>
      </c>
    </row>
    <row r="190" spans="1:10" ht="15" customHeight="1" x14ac:dyDescent="0.25">
      <c r="A190" s="74" t="s">
        <v>135</v>
      </c>
      <c r="B190" s="75" t="s">
        <v>132</v>
      </c>
      <c r="C190" s="42">
        <v>4</v>
      </c>
      <c r="D190" s="19">
        <f ca="1">((100/(H182))*C190)/100</f>
        <v>0.22222222222222221</v>
      </c>
      <c r="E190" s="79"/>
      <c r="F190" s="80"/>
      <c r="G190" s="79"/>
      <c r="H190" s="84"/>
      <c r="I190" s="14" t="s">
        <v>143</v>
      </c>
      <c r="J190" s="30">
        <f>(IF(B182&gt;2,(H182/(B182+2)+J189),0))</f>
        <v>0</v>
      </c>
    </row>
    <row r="191" spans="1:10" ht="15.75" customHeight="1" x14ac:dyDescent="0.25">
      <c r="A191" s="74" t="s">
        <v>131</v>
      </c>
      <c r="B191" s="75" t="s">
        <v>131</v>
      </c>
      <c r="C191" s="42">
        <v>0</v>
      </c>
      <c r="D191" s="19">
        <f ca="1">((100/H182)*C191)/100</f>
        <v>0</v>
      </c>
      <c r="E191" s="79"/>
      <c r="F191" s="80"/>
      <c r="G191" s="79"/>
      <c r="H191" s="84"/>
      <c r="I191" s="14" t="s">
        <v>144</v>
      </c>
      <c r="J191" s="31">
        <f>(IF(B182&gt;3,(H182/(B182+2)+J190),0))</f>
        <v>0</v>
      </c>
    </row>
    <row r="192" spans="1:10" ht="15.75" customHeight="1" x14ac:dyDescent="0.25">
      <c r="A192" s="74" t="s">
        <v>138</v>
      </c>
      <c r="B192" s="75"/>
      <c r="C192" s="42">
        <v>0</v>
      </c>
      <c r="D192" s="19">
        <f ca="1">((100/H182)*C192)/100</f>
        <v>0</v>
      </c>
      <c r="E192" s="79"/>
      <c r="F192" s="80"/>
      <c r="G192" s="79"/>
      <c r="H192" s="84"/>
      <c r="I192" s="14" t="s">
        <v>145</v>
      </c>
      <c r="J192" s="30">
        <f>(IF(B182&gt;4,(H182/(B182+2)+J191),0))</f>
        <v>0</v>
      </c>
    </row>
    <row r="193" spans="1:10" ht="15.75" customHeight="1" x14ac:dyDescent="0.25">
      <c r="A193" s="74" t="s">
        <v>133</v>
      </c>
      <c r="B193" s="75" t="s">
        <v>133</v>
      </c>
      <c r="C193" s="42">
        <v>0</v>
      </c>
      <c r="D193" s="19">
        <f ca="1">((100/(H182))*C193)/100</f>
        <v>0</v>
      </c>
      <c r="E193" s="79"/>
      <c r="F193" s="80"/>
      <c r="G193" s="79"/>
      <c r="H193" s="84"/>
      <c r="I193" s="14" t="s">
        <v>147</v>
      </c>
      <c r="J193" s="30">
        <f ca="1">(IF(B182=1,(H182/(B182+3)+J188),IF(B182=0,(H182/4+J188),IF(B182&gt;1,0))))</f>
        <v>13.5</v>
      </c>
    </row>
    <row r="194" spans="1:10" ht="16.5" thickBot="1" x14ac:dyDescent="0.3">
      <c r="A194" s="86" t="s">
        <v>134</v>
      </c>
      <c r="B194" s="87"/>
      <c r="C194" s="43">
        <v>0</v>
      </c>
      <c r="D194" s="20">
        <f ca="1">((100/(H182))*C194)/100</f>
        <v>0</v>
      </c>
      <c r="E194" s="81"/>
      <c r="F194" s="82"/>
      <c r="G194" s="81"/>
      <c r="H194" s="85"/>
      <c r="I194" s="15" t="s">
        <v>103</v>
      </c>
      <c r="J194" s="32">
        <f ca="1">(IF(B182&gt;1.5,(H182/(B182+2)+J188+MAX(0,J189-J188)+MAX(0,J190-J189)+MAX(0,J191-J190)+MAX(0,J192-J191)+MAX(0,J193-J192)),IF(B182=1,(H182/(B182+3)+J193),IF(B182=0,H182/4+J193))))</f>
        <v>18</v>
      </c>
    </row>
    <row r="195" spans="1:10" x14ac:dyDescent="0.25">
      <c r="A195" s="169" t="s">
        <v>157</v>
      </c>
      <c r="B195" s="169"/>
      <c r="C195" s="169"/>
      <c r="D195" s="169"/>
      <c r="E195" s="169"/>
      <c r="F195" s="145" t="s">
        <v>162</v>
      </c>
      <c r="G195" s="145"/>
      <c r="H195" s="145"/>
    </row>
    <row r="196" spans="1:10" x14ac:dyDescent="0.25">
      <c r="A196" s="121" t="s">
        <v>160</v>
      </c>
      <c r="B196" s="121"/>
      <c r="C196" s="121"/>
      <c r="D196" s="121"/>
      <c r="E196" s="121"/>
      <c r="F196" s="125">
        <v>5500</v>
      </c>
      <c r="G196" s="125"/>
      <c r="H196" s="125"/>
    </row>
    <row r="197" spans="1:10" x14ac:dyDescent="0.25">
      <c r="A197" s="121" t="s">
        <v>159</v>
      </c>
      <c r="B197" s="121"/>
      <c r="C197" s="121"/>
      <c r="D197" s="121"/>
      <c r="E197" s="121"/>
      <c r="F197" s="125">
        <v>10500</v>
      </c>
      <c r="G197" s="125"/>
      <c r="H197" s="125"/>
    </row>
    <row r="198" spans="1:10" hidden="1" x14ac:dyDescent="0.25">
      <c r="A198" s="121" t="s">
        <v>161</v>
      </c>
      <c r="B198" s="121"/>
      <c r="C198" s="121"/>
      <c r="D198" s="121"/>
      <c r="E198" s="121"/>
      <c r="F198" s="125"/>
      <c r="G198" s="125"/>
      <c r="H198" s="125"/>
    </row>
    <row r="199" spans="1:10" s="33" customFormat="1" hidden="1" x14ac:dyDescent="0.25">
      <c r="A199" s="121" t="s">
        <v>158</v>
      </c>
      <c r="B199" s="121"/>
      <c r="C199" s="121"/>
      <c r="D199" s="121"/>
      <c r="E199" s="121"/>
      <c r="F199" s="125"/>
      <c r="G199" s="125"/>
      <c r="H199" s="125"/>
    </row>
    <row r="200" spans="1:10" s="33" customFormat="1" x14ac:dyDescent="0.25">
      <c r="A200" s="121" t="s">
        <v>225</v>
      </c>
      <c r="B200" s="121"/>
      <c r="C200" s="121"/>
      <c r="D200" s="121"/>
      <c r="E200" s="121"/>
      <c r="F200" s="125">
        <v>500000</v>
      </c>
      <c r="G200" s="125"/>
      <c r="H200" s="125"/>
    </row>
    <row r="201" spans="1:10" s="33" customFormat="1" hidden="1" x14ac:dyDescent="0.25">
      <c r="A201" s="121" t="s">
        <v>94</v>
      </c>
      <c r="B201" s="121"/>
      <c r="C201" s="121"/>
      <c r="D201" s="121"/>
      <c r="E201" s="121"/>
      <c r="F201" s="125"/>
      <c r="G201" s="125"/>
      <c r="H201" s="125"/>
    </row>
    <row r="202" spans="1:10" s="33" customFormat="1" hidden="1" x14ac:dyDescent="0.25">
      <c r="A202" s="121" t="s">
        <v>163</v>
      </c>
      <c r="B202" s="121"/>
      <c r="C202" s="121"/>
      <c r="D202" s="121"/>
      <c r="E202" s="121"/>
      <c r="F202" s="125"/>
      <c r="G202" s="125"/>
      <c r="H202" s="125"/>
    </row>
    <row r="203" spans="1:10" s="33" customFormat="1" hidden="1" x14ac:dyDescent="0.25">
      <c r="A203" s="121" t="s">
        <v>95</v>
      </c>
      <c r="B203" s="121"/>
      <c r="C203" s="121"/>
      <c r="D203" s="121"/>
      <c r="E203" s="121"/>
      <c r="F203" s="125"/>
      <c r="G203" s="125"/>
      <c r="H203" s="125"/>
    </row>
    <row r="204" spans="1:10" s="33" customFormat="1" hidden="1" x14ac:dyDescent="0.25">
      <c r="A204" s="121" t="s">
        <v>96</v>
      </c>
      <c r="B204" s="121"/>
      <c r="C204" s="121"/>
      <c r="D204" s="121"/>
      <c r="E204" s="121"/>
      <c r="F204" s="125"/>
      <c r="G204" s="125"/>
      <c r="H204" s="125"/>
    </row>
    <row r="205" spans="1:10" s="33" customFormat="1" hidden="1" x14ac:dyDescent="0.25">
      <c r="A205" s="121" t="s">
        <v>97</v>
      </c>
      <c r="B205" s="121"/>
      <c r="C205" s="121"/>
      <c r="D205" s="121"/>
      <c r="E205" s="121"/>
      <c r="F205" s="125"/>
      <c r="G205" s="125"/>
      <c r="H205" s="125"/>
    </row>
    <row r="206" spans="1:10" s="33" customFormat="1" hidden="1" x14ac:dyDescent="0.25">
      <c r="A206" s="121" t="s">
        <v>98</v>
      </c>
      <c r="B206" s="121"/>
      <c r="C206" s="121"/>
      <c r="D206" s="121"/>
      <c r="E206" s="121"/>
      <c r="F206" s="125"/>
      <c r="G206" s="125"/>
      <c r="H206" s="125"/>
    </row>
    <row r="207" spans="1:10" x14ac:dyDescent="0.25">
      <c r="A207" s="121" t="s">
        <v>51</v>
      </c>
      <c r="B207" s="121"/>
      <c r="C207" s="121"/>
      <c r="D207" s="121"/>
      <c r="E207" s="121"/>
      <c r="F207" s="125">
        <v>250000</v>
      </c>
      <c r="G207" s="125"/>
      <c r="H207" s="125"/>
    </row>
    <row r="208" spans="1:10" s="34" customFormat="1" x14ac:dyDescent="0.25">
      <c r="A208" s="149" t="s">
        <v>52</v>
      </c>
      <c r="B208" s="149"/>
      <c r="C208" s="149"/>
      <c r="D208" s="149"/>
      <c r="E208" s="149"/>
      <c r="F208" s="125">
        <f>F196*0.8</f>
        <v>4400</v>
      </c>
      <c r="G208" s="125"/>
      <c r="H208" s="125"/>
    </row>
    <row r="209" spans="1:11" s="35" customFormat="1" ht="15.75" customHeight="1" x14ac:dyDescent="0.25">
      <c r="A209" s="129" t="s">
        <v>236</v>
      </c>
      <c r="B209" s="129"/>
      <c r="C209" s="129"/>
      <c r="D209" s="129"/>
      <c r="E209" s="129"/>
      <c r="F209" s="129"/>
      <c r="G209" s="129"/>
      <c r="H209" s="129"/>
    </row>
    <row r="210" spans="1:11" s="35" customFormat="1" ht="15.75" customHeight="1" x14ac:dyDescent="0.25">
      <c r="A210" s="132" t="s">
        <v>53</v>
      </c>
      <c r="B210" s="132"/>
      <c r="C210" s="130" t="s">
        <v>77</v>
      </c>
      <c r="D210" s="130"/>
      <c r="E210" s="131" t="s">
        <v>54</v>
      </c>
      <c r="F210" s="131"/>
      <c r="G210" s="132" t="s">
        <v>55</v>
      </c>
      <c r="H210" s="132"/>
    </row>
    <row r="211" spans="1:11" s="35" customFormat="1" ht="32.25" customHeight="1" x14ac:dyDescent="0.25">
      <c r="A211" s="108" t="s">
        <v>237</v>
      </c>
      <c r="B211" s="108"/>
      <c r="C211" s="109">
        <f>COUNT(D246:D257)</f>
        <v>12</v>
      </c>
      <c r="D211" s="110"/>
      <c r="E211" s="111">
        <f>SUM(D246:D257)</f>
        <v>3295.5062399999997</v>
      </c>
      <c r="F211" s="112"/>
      <c r="G211" s="111">
        <f>SUM(F246:F257)</f>
        <v>7100.4618359999986</v>
      </c>
      <c r="H211" s="112"/>
    </row>
    <row r="212" spans="1:11" s="35" customFormat="1" ht="32.25" customHeight="1" x14ac:dyDescent="0.25">
      <c r="A212" s="108" t="s">
        <v>238</v>
      </c>
      <c r="B212" s="108"/>
      <c r="C212" s="109">
        <f>COUNT(D261:D272)</f>
        <v>12</v>
      </c>
      <c r="D212" s="110"/>
      <c r="E212" s="111">
        <f t="shared" ref="E212" si="0">SUM(D261:D272)</f>
        <v>3295.5062399999997</v>
      </c>
      <c r="F212" s="112"/>
      <c r="G212" s="111">
        <f>SUM(F261:F272)</f>
        <v>7100.4618359999986</v>
      </c>
      <c r="H212" s="112"/>
    </row>
    <row r="213" spans="1:11" s="35" customFormat="1" ht="32.25" customHeight="1" x14ac:dyDescent="0.25">
      <c r="A213" s="108" t="s">
        <v>239</v>
      </c>
      <c r="B213" s="108"/>
      <c r="C213" s="109">
        <f>COUNT(D276:D287)</f>
        <v>12</v>
      </c>
      <c r="D213" s="110"/>
      <c r="E213" s="111">
        <f t="shared" ref="E213" si="1">SUM(D276:D287)</f>
        <v>3295.5062399999997</v>
      </c>
      <c r="F213" s="112"/>
      <c r="G213" s="111">
        <f>SUM(F276:F287)</f>
        <v>7100.4618359999986</v>
      </c>
      <c r="H213" s="112"/>
    </row>
    <row r="214" spans="1:11" s="35" customFormat="1" ht="32.25" customHeight="1" x14ac:dyDescent="0.25">
      <c r="A214" s="108" t="s">
        <v>240</v>
      </c>
      <c r="B214" s="108"/>
      <c r="C214" s="109">
        <f>COUNT(D291:D302)</f>
        <v>12</v>
      </c>
      <c r="D214" s="110"/>
      <c r="E214" s="111">
        <f>SUM(D291:D302)</f>
        <v>3295.5062399999997</v>
      </c>
      <c r="F214" s="112"/>
      <c r="G214" s="111">
        <f>SUM(F291:F302)</f>
        <v>7100.4618359999986</v>
      </c>
      <c r="H214" s="112"/>
    </row>
    <row r="215" spans="1:11" s="35" customFormat="1" x14ac:dyDescent="0.25">
      <c r="A215" s="129" t="s">
        <v>150</v>
      </c>
      <c r="B215" s="129"/>
      <c r="C215" s="128">
        <f>SUM(C211:D214)</f>
        <v>48</v>
      </c>
      <c r="D215" s="130"/>
      <c r="E215" s="128">
        <f t="shared" ref="E215" si="2">SUM(E211:F214)</f>
        <v>13182.024959999999</v>
      </c>
      <c r="F215" s="130"/>
      <c r="G215" s="128">
        <f t="shared" ref="G215" si="3">SUM(G211:H214)</f>
        <v>28401.847343999994</v>
      </c>
      <c r="H215" s="130"/>
      <c r="J215" s="58">
        <f>SUM(G215,G228)</f>
        <v>395365.42819799995</v>
      </c>
      <c r="K215" s="58">
        <f>SUM(E215,E228)</f>
        <v>256873.38767999999</v>
      </c>
    </row>
    <row r="216" spans="1:11" s="35" customFormat="1" ht="15.75" customHeight="1" x14ac:dyDescent="0.25">
      <c r="A216" s="129" t="s">
        <v>267</v>
      </c>
      <c r="B216" s="129"/>
      <c r="C216" s="129"/>
      <c r="D216" s="129"/>
      <c r="E216" s="129"/>
      <c r="F216" s="129"/>
      <c r="G216" s="129"/>
      <c r="H216" s="129"/>
    </row>
    <row r="217" spans="1:11" s="35" customFormat="1" ht="15.75" customHeight="1" x14ac:dyDescent="0.25">
      <c r="A217" s="132" t="s">
        <v>53</v>
      </c>
      <c r="B217" s="132"/>
      <c r="C217" s="130" t="s">
        <v>77</v>
      </c>
      <c r="D217" s="130"/>
      <c r="E217" s="131" t="s">
        <v>54</v>
      </c>
      <c r="F217" s="131"/>
      <c r="G217" s="132" t="s">
        <v>55</v>
      </c>
      <c r="H217" s="132"/>
    </row>
    <row r="218" spans="1:11" s="35" customFormat="1" ht="32.25" customHeight="1" x14ac:dyDescent="0.25">
      <c r="A218" s="108" t="s">
        <v>268</v>
      </c>
      <c r="B218" s="108"/>
      <c r="C218" s="109">
        <f>COUNT(D307:D318)</f>
        <v>12</v>
      </c>
      <c r="D218" s="110"/>
      <c r="E218" s="111">
        <f>SUM(D307:D318)</f>
        <v>3295.5062399999997</v>
      </c>
      <c r="F218" s="112"/>
      <c r="G218" s="111">
        <f>SUM(F307:F318)</f>
        <v>7100.4618359999986</v>
      </c>
      <c r="H218" s="112"/>
    </row>
    <row r="219" spans="1:11" s="35" customFormat="1" ht="32.25" customHeight="1" x14ac:dyDescent="0.25">
      <c r="A219" s="108" t="s">
        <v>269</v>
      </c>
      <c r="B219" s="108"/>
      <c r="C219" s="109">
        <f>COUNT(D322:D333)</f>
        <v>12</v>
      </c>
      <c r="D219" s="110"/>
      <c r="E219" s="111">
        <f>SUM(D322:D333)</f>
        <v>3295.5062399999997</v>
      </c>
      <c r="F219" s="112"/>
      <c r="G219" s="111">
        <f>SUM(F322:F333)</f>
        <v>7100.4618359999986</v>
      </c>
      <c r="H219" s="112"/>
    </row>
    <row r="220" spans="1:11" s="35" customFormat="1" ht="32.25" customHeight="1" x14ac:dyDescent="0.25">
      <c r="A220" s="108" t="s">
        <v>270</v>
      </c>
      <c r="B220" s="108"/>
      <c r="C220" s="109">
        <f>COUNT(D337:D348)</f>
        <v>12</v>
      </c>
      <c r="D220" s="110"/>
      <c r="E220" s="111">
        <f>SUM(D337:D348)</f>
        <v>3295.5062399999997</v>
      </c>
      <c r="F220" s="112"/>
      <c r="G220" s="111">
        <f>SUM(F337:F348)</f>
        <v>7100.4618359999986</v>
      </c>
      <c r="H220" s="112"/>
    </row>
    <row r="221" spans="1:11" s="35" customFormat="1" x14ac:dyDescent="0.25">
      <c r="A221" s="129" t="s">
        <v>150</v>
      </c>
      <c r="B221" s="129"/>
      <c r="C221" s="128">
        <f>SUM(C218:D220)</f>
        <v>36</v>
      </c>
      <c r="D221" s="130"/>
      <c r="E221" s="128">
        <f>SUM(E218:F220)</f>
        <v>9886.51872</v>
      </c>
      <c r="F221" s="130"/>
      <c r="G221" s="128">
        <f>SUM(G218:H220)</f>
        <v>21301.385507999996</v>
      </c>
      <c r="H221" s="130"/>
      <c r="J221" s="58">
        <f>SUM(G221,G239)</f>
        <v>21301.385507999996</v>
      </c>
      <c r="K221" s="58">
        <f>SUM(E221,E239)</f>
        <v>9886.51872</v>
      </c>
    </row>
    <row r="222" spans="1:11" s="35" customFormat="1" x14ac:dyDescent="0.25">
      <c r="A222" s="129" t="s">
        <v>235</v>
      </c>
      <c r="B222" s="129"/>
      <c r="C222" s="129"/>
      <c r="D222" s="129"/>
      <c r="E222" s="129"/>
      <c r="F222" s="129"/>
      <c r="G222" s="129"/>
      <c r="H222" s="129"/>
    </row>
    <row r="223" spans="1:11" s="35" customFormat="1" ht="15.75" customHeight="1" x14ac:dyDescent="0.25">
      <c r="A223" s="132" t="s">
        <v>53</v>
      </c>
      <c r="B223" s="132"/>
      <c r="C223" s="130" t="s">
        <v>77</v>
      </c>
      <c r="D223" s="130"/>
      <c r="E223" s="131" t="s">
        <v>54</v>
      </c>
      <c r="F223" s="131"/>
      <c r="G223" s="132" t="s">
        <v>55</v>
      </c>
      <c r="H223" s="132"/>
    </row>
    <row r="224" spans="1:11" s="35" customFormat="1" ht="30.75" customHeight="1" x14ac:dyDescent="0.25">
      <c r="A224" s="108" t="s">
        <v>237</v>
      </c>
      <c r="B224" s="108"/>
      <c r="C224" s="110">
        <f>COUNT(D356:D361)+COUNT(D363:D368)*5+COUNT(D370:D375)*3+COUNT(D377:D380,D382)+COUNT(D384:D387,D389)+COUNT(D391:D394,D396)+COUNT(D398:D403)*2+COUNT(D405:D410)+COUNT(D412,D414:D417)+COUNT(D419,D421:D424)+COUNT(D426,D428:D431)</f>
        <v>102</v>
      </c>
      <c r="D224" s="110"/>
      <c r="E224" s="111">
        <f>SUM(D356:D361)+SUM(D363:D368)*5+SUM(D370:D375)*3+SUM(D377:D380,D382)+SUM(D384:D387,D389)+SUM(D391:D394,D396)+SUM(D398:D403)*2+SUM(D405:D410)+SUM(D412,D414:D417)+SUM(D419,D421:D424)+SUM(D426,D428:D431)</f>
        <v>62781.10534799999</v>
      </c>
      <c r="F224" s="111"/>
      <c r="G224" s="111">
        <f>SUM(F356:F361)+SUM(F363:F368)*5+SUM(F370:F375)*3+SUM(F377:F380,F382)+SUM(F384:F387,F389)+SUM(F391:F394,F396)+SUM(F398:F403)*2+SUM(F405:F410)+SUM(F412,F414:F417)+SUM(F419,F421:F424)+SUM(F426,F428:F431)</f>
        <v>94528.292215499969</v>
      </c>
      <c r="H224" s="111"/>
    </row>
    <row r="225" spans="1:11" s="35" customFormat="1" ht="30.75" customHeight="1" x14ac:dyDescent="0.25">
      <c r="A225" s="108" t="s">
        <v>238</v>
      </c>
      <c r="B225" s="108"/>
      <c r="C225" s="110">
        <f>COUNT(D435:D440)+COUNT(D442:D447)*5+COUNT(D449:D454)*4+COUNT(D456:D459,D461)+COUNT(D463:D466,D468)+COUNT(D470:D473,D475)+COUNT(D477,D479:D482)+COUNT(D484,D486:D489)+COUNT(D491,D493:D496)+COUNT(D498:D503)</f>
        <v>96</v>
      </c>
      <c r="D225" s="110"/>
      <c r="E225" s="111">
        <f>SUM(D435:D440)+SUM(D442:D447)*5+SUM(D449:D454)*4+SUM(D456:D459,D461)+SUM(D463:D466,D468)+SUM(D470:D473,D475)+SUM(D477,D479:D482)+SUM(D484,D486:D489)+SUM(D491,D493:D496)+SUM(D498:D503)</f>
        <v>59064.57601199999</v>
      </c>
      <c r="F225" s="111"/>
      <c r="G225" s="111">
        <f>SUM(F435:F440)+SUM(F442:F447)*5+SUM(F449:F454)*4+SUM(F456:F459,F461)+SUM(F463:F466,F468)+SUM(F470:F473,F475)+SUM(F477,F479:F482)+SUM(F484,F486:F489)+SUM(F491,F493:F496)+SUM(F498:F503)</f>
        <v>88953.498211499973</v>
      </c>
      <c r="H225" s="111"/>
      <c r="J225" s="35">
        <f>SUM(D435:D440)+SUM(D442:D447)*7+SUM(D449:D454)*4+SUM(D456:D459,D461)+SUM(D463:D466,D468)+SUM(D470:D473,D475)</f>
        <v>53691.262559999996</v>
      </c>
    </row>
    <row r="226" spans="1:11" s="35" customFormat="1" ht="30.75" customHeight="1" x14ac:dyDescent="0.25">
      <c r="A226" s="108" t="s">
        <v>239</v>
      </c>
      <c r="B226" s="108"/>
      <c r="C226" s="110">
        <f>COUNT(D507:D512)+COUNT(D514:D519)*5+COUNT(D521:D526)*3+COUNT(D528:D531,D533)+COUNT(D535:D538,D540)+COUNT(D542:D545,D547)+COUNT(D549:D554)*2+COUNT(D556:D561)+COUNT(D563,D565:D568)+COUNT(D570,D572:D575)+COUNT(D577,D579:D582)</f>
        <v>102</v>
      </c>
      <c r="D226" s="110"/>
      <c r="E226" s="111">
        <f t="shared" ref="E226" si="4">SUM(D507:D512)+SUM(D514:D519)*5+SUM(D521:D526)*3+SUM(D528:D531,D533)+SUM(D535:D538,D540)+SUM(D542:D545,D547)+SUM(D549:D554)*2+SUM(D556:D561)+SUM(D563,D565:D568)+SUM(D570,D572:D575)+SUM(D577,D579:D582)</f>
        <v>62781.10534799999</v>
      </c>
      <c r="F226" s="111"/>
      <c r="G226" s="111">
        <f>SUM(F507:F512)+SUM(F514:F519)*5+SUM(F521:F526)*3+SUM(F528:F531,F533)+SUM(F535:F538,F540)+SUM(F542:F545,F547)+SUM(F549:F554)*2+SUM(F556:F561)+SUM(F563,F565:F568)+SUM(F570,F572:F575)+SUM(F577,F579:F582)</f>
        <v>94528.292215499969</v>
      </c>
      <c r="H226" s="111"/>
    </row>
    <row r="227" spans="1:11" s="35" customFormat="1" ht="30.75" customHeight="1" x14ac:dyDescent="0.25">
      <c r="A227" s="108" t="s">
        <v>240</v>
      </c>
      <c r="B227" s="108"/>
      <c r="C227" s="110">
        <f>COUNT(D586:D591)+COUNT(D593:D598)*5+COUNT(D600:D605)*4+COUNT(D607:D610,D612)+COUNT(D614:D617,D619)+COUNT(D621:D624,D626)+COUNT(D628,D630:D633)+COUNT(D635,D637:D640)+COUNT(D642,D644:D647)+COUNT(D649:D654)</f>
        <v>96</v>
      </c>
      <c r="D227" s="110"/>
      <c r="E227" s="111">
        <f t="shared" ref="E227" si="5">SUM(D586:D591)+SUM(D593:D598)*5+SUM(D600:D605)*4+SUM(D607:D610,D612)+SUM(D614:D617,D619)+SUM(D621:D624,D626)+SUM(D628,D630:D633)+SUM(D635,D637:D640)+SUM(D642,D644:D647)+SUM(D649:D654)</f>
        <v>59064.57601199999</v>
      </c>
      <c r="F227" s="111"/>
      <c r="G227" s="111">
        <f>SUM(F586:F591)+SUM(F593:F598)*5+SUM(F600:F605)*4+SUM(F607:F610,F612)+SUM(F614:F617,F619)+SUM(F621:F624,F626)+SUM(F628,F630:F633)+SUM(F635,F637:F640)+SUM(F642,F644:F647)+SUM(F649:F654)</f>
        <v>88953.498211499973</v>
      </c>
      <c r="H227" s="111"/>
    </row>
    <row r="228" spans="1:11" s="35" customFormat="1" x14ac:dyDescent="0.25">
      <c r="A228" s="129" t="s">
        <v>150</v>
      </c>
      <c r="B228" s="129"/>
      <c r="C228" s="130">
        <f>SUM(C224:C227)</f>
        <v>396</v>
      </c>
      <c r="D228" s="130"/>
      <c r="E228" s="128">
        <f>SUM(E224:E227)</f>
        <v>243691.36271999998</v>
      </c>
      <c r="F228" s="128"/>
      <c r="G228" s="128">
        <f>SUM(G224:G227)</f>
        <v>366963.58085399994</v>
      </c>
      <c r="H228" s="128"/>
    </row>
    <row r="229" spans="1:11" s="35" customFormat="1" ht="15.75" customHeight="1" x14ac:dyDescent="0.25">
      <c r="A229" s="129" t="s">
        <v>252</v>
      </c>
      <c r="B229" s="129"/>
      <c r="C229" s="129"/>
      <c r="D229" s="129"/>
      <c r="E229" s="129"/>
      <c r="F229" s="129"/>
      <c r="G229" s="129"/>
      <c r="H229" s="129"/>
    </row>
    <row r="230" spans="1:11" s="35" customFormat="1" ht="15.75" customHeight="1" x14ac:dyDescent="0.25">
      <c r="A230" s="132" t="s">
        <v>53</v>
      </c>
      <c r="B230" s="132"/>
      <c r="C230" s="130" t="s">
        <v>77</v>
      </c>
      <c r="D230" s="130"/>
      <c r="E230" s="131" t="s">
        <v>54</v>
      </c>
      <c r="F230" s="131"/>
      <c r="G230" s="132" t="s">
        <v>55</v>
      </c>
      <c r="H230" s="132"/>
    </row>
    <row r="231" spans="1:11" s="35" customFormat="1" ht="33.75" customHeight="1" x14ac:dyDescent="0.25">
      <c r="A231" s="108" t="s">
        <v>241</v>
      </c>
      <c r="B231" s="108"/>
      <c r="C231" s="109">
        <f>COUNT(D660:D665)*4+COUNT(D667:D672)*2+COUNT(D674:D679)*5+COUNT(D681:D686)+COUNT(D688:D691,D693)+COUNT(D695:D698,D700)+COUNT(D702:D705,D707)+COUNT(D709,D711:D714)+COUNT(D716,D718:D721)+COUNT(D723,D725:D728)</f>
        <v>102</v>
      </c>
      <c r="D231" s="110"/>
      <c r="E231" s="111">
        <f t="shared" ref="E231" si="6">SUM(D660:D665)*4+SUM(D667:D672)*2+SUM(D674:D679)*5+SUM(D681:D686)+SUM(D688:D691,D693)+SUM(D695:D698,D700)+SUM(D702:D705,D707)+SUM(D709,D711:D714)+SUM(D716,D718:D721)+SUM(D723,D725:D728)</f>
        <v>56965.574483999997</v>
      </c>
      <c r="F231" s="112"/>
      <c r="G231" s="111">
        <f>SUM(F660:F665)*4+SUM(F667:F672)*2+SUM(F674:F679)*5+SUM(F681:F686)+SUM(F688:F691,F693)+SUM(F695:F698,F700)+SUM(F702:F705,F707)+SUM(F709,F711:F714)+SUM(F716,F718:F721)+SUM(F723,F725:F728)</f>
        <v>85448.361726000017</v>
      </c>
      <c r="H231" s="112"/>
    </row>
    <row r="232" spans="1:11" s="35" customFormat="1" ht="30.75" customHeight="1" x14ac:dyDescent="0.25">
      <c r="A232" s="108" t="s">
        <v>268</v>
      </c>
      <c r="B232" s="108"/>
      <c r="C232" s="110">
        <f>COUNT(D732:D737)+COUNT(D739:D744)*5+COUNT(D746:D751)*3+COUNT(D753:D756,D758)+COUNT(D760:D763,D765)+COUNT(D767:D770,D772)+COUNT(D774:D779)*2+COUNT(D781:D786)+COUNT(D788,D790:D793)+COUNT(D795,D797:D800)+COUNT(D802,D804:D807)</f>
        <v>102</v>
      </c>
      <c r="D232" s="110"/>
      <c r="E232" s="111">
        <f>SUM(D732:D737)+SUM(D739:D744)*5+SUM(D746:D751)*3+SUM(D753:D756,D758)+SUM(D760:D763,D765)+SUM(D767:D770,D772)+SUM(D774:D779)*2+SUM(D781:D786)+SUM(D788,D790:D793)+SUM(D795,D797:D800)+SUM(D802,D804:D807)</f>
        <v>62781.10534799999</v>
      </c>
      <c r="F232" s="111"/>
      <c r="G232" s="111">
        <f>SUM(F732:F737)+SUM(F739:F744)*5+SUM(F746:F751)*3+SUM(F753:F756,F758)+SUM(F760:F763,F765)+SUM(F767:F770,F772)+SUM(F774:F779)*2+SUM(F781:F786)+SUM(F788,F790:F793)+SUM(F795,F797:F800)+SUM(F802,F804:F807)</f>
        <v>94528.292215499969</v>
      </c>
      <c r="H232" s="111"/>
    </row>
    <row r="233" spans="1:11" s="35" customFormat="1" ht="30.75" customHeight="1" x14ac:dyDescent="0.25">
      <c r="A233" s="108" t="s">
        <v>269</v>
      </c>
      <c r="B233" s="108"/>
      <c r="C233" s="110">
        <f>COUNT(D811:D816)+COUNT(D818:D823)*5+COUNT(D825:D830)*4+COUNT(D832:D835,D837)+COUNT(D839:D842,D844)+COUNT(D846:D849,D851)+COUNT(D853,D855:D858)+COUNT(D860,D862:D865)+COUNT(D867,D869:D872)+COUNT(D874:D879)</f>
        <v>96</v>
      </c>
      <c r="D233" s="110"/>
      <c r="E233" s="111">
        <f>SUM(D811:D816)+SUM(D818:D823)*5+SUM(D825:D830)*4+SUM(D832:D835,D837)+SUM(D839:D842,D844)+SUM(D846:D849,D851)+SUM(D853,D855:D858)+SUM(D860,D862:D865)+SUM(D867,D869:D872)+SUM(D874:D879)</f>
        <v>59064.57601199999</v>
      </c>
      <c r="F233" s="111"/>
      <c r="G233" s="111">
        <f>SUM(F811:F816)+SUM(F818:F823)*5+SUM(F825:F830)*4+SUM(F832:F835,F837)+SUM(F839:F842,F844)+SUM(F846:F849,F851)+SUM(F853,F855:F858)+SUM(F860,F862:F865)+SUM(F867,F869:F872)+SUM(F874:F879)</f>
        <v>88953.498211499973</v>
      </c>
      <c r="H233" s="111"/>
      <c r="J233" s="35">
        <f>SUM(D443:D448)+SUM(D450:D455)*7+SUM(D457:D462)*4+SUM(D464:D467,D469)+SUM(D471:D474,D476)+SUM(D478:D481,D483)</f>
        <v>38578.82183999999</v>
      </c>
    </row>
    <row r="234" spans="1:11" s="35" customFormat="1" ht="30.75" customHeight="1" x14ac:dyDescent="0.25">
      <c r="A234" s="108" t="s">
        <v>270</v>
      </c>
      <c r="B234" s="108"/>
      <c r="C234" s="110">
        <f>COUNT(D883:D888)+COUNT(D890:D895)*5+COUNT(D897:D902)*3+COUNT(D904:D907,D909)+COUNT(D911:D914,D916)+COUNT(D918:D921,D923)+COUNT(D925:D930)*2+COUNT(D932:D937)+COUNT(D939,D941:D944)+COUNT(D946,D948:D951)+COUNT(D953,D955:D958)</f>
        <v>102</v>
      </c>
      <c r="D234" s="110"/>
      <c r="E234" s="111">
        <f>SUM(D883:D888)+SUM(D890:D895)*5+SUM(D897:D902)*3+SUM(D904:D907,D909)+SUM(D911:D914,D916)+SUM(D918:D921,D923)+SUM(,D925:D930)*2+SUM(D932:D937)+SUM(D939,D941:D944)+SUM(D946,D948:D951)+SUM(D953,D955:D958)</f>
        <v>62781.10534799999</v>
      </c>
      <c r="F234" s="111"/>
      <c r="G234" s="111">
        <f>SUM(F883:F888)+SUM(F890:F895)*5+SUM(F897:F902)*3+SUM(F904:F907,F909)+SUM(F911:F914,F916)+SUM(F918:F921,F923)+SUM(,F925:F930)*2+SUM(F932:F937)+SUM(F939,F941:F944)+SUM(F946,F948:F951)+SUM(F953,F955:F958)</f>
        <v>94528.292215499969</v>
      </c>
      <c r="H234" s="111"/>
    </row>
    <row r="235" spans="1:11" s="35" customFormat="1" ht="33.75" customHeight="1" x14ac:dyDescent="0.25">
      <c r="A235" s="108" t="s">
        <v>271</v>
      </c>
      <c r="B235" s="108"/>
      <c r="C235" s="109">
        <f>COUNT(D963:D968)*4+COUNT(D970:D975)*2+COUNT(D977:D982)*5+COUNT(D984:D989)+COUNT(D991:D994,D996)+COUNT(D998:D1001,D1003)+COUNT(D1005:D1008,D1010)+COUNT(D1012,D1014:D1017)+COUNT(D1019,D1021:D1024)+COUNT(D1026,D1028:D1031)</f>
        <v>102</v>
      </c>
      <c r="D235" s="110"/>
      <c r="E235" s="111">
        <f>SUM(D963:D968)*4+SUM(D970:D975)*2+SUM(D977:D982)*5+SUM(D984:D989)+SUM(D991:D994,D996)+SUM(D998:D1001,D1003)+SUM(D1005:D1008,D1010)+SUM(D1012,D1014:D1017)+SUM(D1019,D1021:D1024)+SUM(D1026,D1028:D1031)</f>
        <v>56965.574483999997</v>
      </c>
      <c r="F235" s="112"/>
      <c r="G235" s="111">
        <f>SUM(F963:F968)*4+SUM(F970:F975)*2+SUM(F977:F982)*5+SUM(F984:F989)+SUM(F991:F994,F996)+SUM(F998:F1001,F1003)+SUM(F1005:F1008,F1010)+SUM(F1012,F1014:F1017)+SUM(F1019,F1021:F1024)+SUM(F1026,F1028:F1031)</f>
        <v>85448.361726000017</v>
      </c>
      <c r="H235" s="112"/>
    </row>
    <row r="236" spans="1:11" s="35" customFormat="1" ht="16.5" thickBot="1" x14ac:dyDescent="0.3">
      <c r="A236" s="133" t="s">
        <v>150</v>
      </c>
      <c r="B236" s="133"/>
      <c r="C236" s="134">
        <f>SUM(C231:D235)</f>
        <v>504</v>
      </c>
      <c r="D236" s="135"/>
      <c r="E236" s="134">
        <f>SUM(E231:F235)</f>
        <v>298557.93567599996</v>
      </c>
      <c r="F236" s="134"/>
      <c r="G236" s="134">
        <f>SUM(G231:H235)</f>
        <v>448906.8060945</v>
      </c>
      <c r="H236" s="134"/>
      <c r="J236" s="35">
        <f>102+396</f>
        <v>498</v>
      </c>
      <c r="K236" s="35">
        <f>J236+48</f>
        <v>546</v>
      </c>
    </row>
    <row r="237" spans="1:11" s="35" customFormat="1" ht="16.5" thickBot="1" x14ac:dyDescent="0.3">
      <c r="A237" s="141" t="s">
        <v>250</v>
      </c>
      <c r="B237" s="142"/>
      <c r="C237" s="143">
        <f>C215+C221+C228+C236</f>
        <v>984</v>
      </c>
      <c r="D237" s="144"/>
      <c r="E237" s="143">
        <f>E215+E221+E228+E236</f>
        <v>565317.84207599994</v>
      </c>
      <c r="F237" s="143"/>
      <c r="G237" s="143">
        <f>G215+G221+G228+G236</f>
        <v>865573.61980049987</v>
      </c>
      <c r="H237" s="143"/>
    </row>
    <row r="238" spans="1:11" s="34" customFormat="1" x14ac:dyDescent="0.25">
      <c r="A238" s="145" t="s">
        <v>56</v>
      </c>
      <c r="B238" s="145"/>
      <c r="C238" s="145"/>
      <c r="D238" s="145"/>
      <c r="E238" s="145"/>
      <c r="F238" s="145"/>
      <c r="G238" s="145"/>
      <c r="H238" s="145"/>
    </row>
    <row r="239" spans="1:11" x14ac:dyDescent="0.25">
      <c r="A239" s="146" t="s">
        <v>57</v>
      </c>
      <c r="B239" s="146"/>
      <c r="C239" s="146"/>
      <c r="D239" s="146"/>
      <c r="E239" s="146"/>
      <c r="F239" s="146"/>
      <c r="G239" s="146"/>
      <c r="H239" s="146"/>
    </row>
    <row r="240" spans="1:11" ht="47.25" customHeight="1" x14ac:dyDescent="0.25">
      <c r="A240" s="126" t="s">
        <v>118</v>
      </c>
      <c r="B240" s="126" t="s">
        <v>117</v>
      </c>
      <c r="C240" s="126" t="s">
        <v>58</v>
      </c>
      <c r="D240" s="126" t="s">
        <v>59</v>
      </c>
      <c r="E240" s="206" t="s">
        <v>156</v>
      </c>
      <c r="F240" s="41" t="s">
        <v>149</v>
      </c>
      <c r="G240" s="136" t="s">
        <v>61</v>
      </c>
      <c r="H240" s="139"/>
    </row>
    <row r="241" spans="1:14" s="45" customFormat="1" x14ac:dyDescent="0.25">
      <c r="A241" s="127"/>
      <c r="B241" s="127"/>
      <c r="C241" s="127"/>
      <c r="D241" s="127"/>
      <c r="E241" s="207"/>
      <c r="F241" s="13">
        <v>0.55000000000000004</v>
      </c>
      <c r="G241" s="137"/>
      <c r="H241" s="140"/>
    </row>
    <row r="242" spans="1:14" s="45" customFormat="1" x14ac:dyDescent="0.25">
      <c r="A242" s="99" t="s">
        <v>245</v>
      </c>
      <c r="B242" s="100"/>
      <c r="C242" s="100"/>
      <c r="D242" s="100"/>
      <c r="E242" s="100"/>
      <c r="F242" s="100"/>
      <c r="G242" s="100"/>
      <c r="H242" s="101"/>
      <c r="J242" s="36"/>
    </row>
    <row r="243" spans="1:14" s="45" customFormat="1" ht="15.75" customHeight="1" x14ac:dyDescent="0.25">
      <c r="A243" s="99" t="s">
        <v>213</v>
      </c>
      <c r="B243" s="100"/>
      <c r="C243" s="100"/>
      <c r="D243" s="100"/>
      <c r="E243" s="100"/>
      <c r="F243" s="100"/>
      <c r="G243" s="100"/>
      <c r="H243" s="101"/>
      <c r="J243" s="36"/>
    </row>
    <row r="244" spans="1:14" s="45" customFormat="1" x14ac:dyDescent="0.25">
      <c r="A244" s="99" t="s">
        <v>187</v>
      </c>
      <c r="B244" s="100"/>
      <c r="C244" s="100"/>
      <c r="D244" s="100"/>
      <c r="E244" s="100"/>
      <c r="F244" s="100"/>
      <c r="G244" s="100"/>
      <c r="H244" s="101"/>
      <c r="J244" s="36"/>
    </row>
    <row r="245" spans="1:14" s="45" customFormat="1" x14ac:dyDescent="0.25">
      <c r="A245" s="99" t="s">
        <v>186</v>
      </c>
      <c r="B245" s="100"/>
      <c r="C245" s="100"/>
      <c r="D245" s="100"/>
      <c r="E245" s="100"/>
      <c r="F245" s="100"/>
      <c r="G245" s="100"/>
      <c r="H245" s="101"/>
      <c r="J245" s="36"/>
    </row>
    <row r="246" spans="1:14" s="45" customFormat="1" ht="15.75" customHeight="1" x14ac:dyDescent="0.25">
      <c r="A246" s="88">
        <v>1</v>
      </c>
      <c r="B246" s="89"/>
      <c r="C246" s="52" t="s">
        <v>188</v>
      </c>
      <c r="D246" s="53">
        <f>(29.39)*(10.764)</f>
        <v>316.35395999999997</v>
      </c>
      <c r="E246" s="53">
        <f>(3.05*2.85+2.15*1.22)*(10.764)</f>
        <v>121.80004199999998</v>
      </c>
      <c r="F246" s="52">
        <f>(D246+E246)*(($F$241)+1)</f>
        <v>679.13870309999993</v>
      </c>
      <c r="G246" s="90" t="str">
        <f>A245</f>
        <v>Ground Floor For Commercial</v>
      </c>
      <c r="H246" s="91"/>
      <c r="I246" s="36"/>
      <c r="J246" s="45">
        <f>3.05*8.6+2.15*1.22</f>
        <v>28.852999999999998</v>
      </c>
      <c r="L246" s="104"/>
      <c r="M246" s="104"/>
      <c r="N246" s="36"/>
    </row>
    <row r="247" spans="1:14" s="45" customFormat="1" ht="15.75" customHeight="1" x14ac:dyDescent="0.25">
      <c r="A247" s="88">
        <f t="shared" ref="A247:A257" si="7">A246+1</f>
        <v>2</v>
      </c>
      <c r="B247" s="89"/>
      <c r="C247" s="52" t="s">
        <v>188</v>
      </c>
      <c r="D247" s="53">
        <f>(26.77)*(10.764)</f>
        <v>288.15227999999996</v>
      </c>
      <c r="E247" s="53">
        <f>(2.75*2.85+2.15*1.22)*(10.764)</f>
        <v>112.59682199999999</v>
      </c>
      <c r="F247" s="52">
        <f t="shared" ref="F247:F249" si="8">(D247+E247)*(($F$241)+1)</f>
        <v>621.16110809999986</v>
      </c>
      <c r="G247" s="92"/>
      <c r="H247" s="93"/>
      <c r="I247" s="36"/>
      <c r="L247" s="104"/>
      <c r="M247" s="104"/>
      <c r="N247" s="36"/>
    </row>
    <row r="248" spans="1:14" s="45" customFormat="1" ht="15.75" customHeight="1" x14ac:dyDescent="0.25">
      <c r="A248" s="88">
        <f t="shared" si="7"/>
        <v>3</v>
      </c>
      <c r="B248" s="89"/>
      <c r="C248" s="52" t="s">
        <v>188</v>
      </c>
      <c r="D248" s="53">
        <f>(21.35)*(10.764)</f>
        <v>229.81139999999999</v>
      </c>
      <c r="E248" s="53">
        <f>(2.15*2.85+0.95*2.7)*(10.764)</f>
        <v>93.566069999999982</v>
      </c>
      <c r="F248" s="52">
        <f t="shared" si="8"/>
        <v>501.23507849999993</v>
      </c>
      <c r="G248" s="92"/>
      <c r="H248" s="93"/>
      <c r="I248" s="36"/>
      <c r="L248" s="104"/>
      <c r="M248" s="104"/>
      <c r="N248" s="36"/>
    </row>
    <row r="249" spans="1:14" s="45" customFormat="1" ht="15.75" customHeight="1" x14ac:dyDescent="0.25">
      <c r="A249" s="88">
        <f t="shared" si="7"/>
        <v>4</v>
      </c>
      <c r="B249" s="89"/>
      <c r="C249" s="52" t="s">
        <v>188</v>
      </c>
      <c r="D249" s="53">
        <f>(30.46)*(10.764)</f>
        <v>327.87144000000001</v>
      </c>
      <c r="E249" s="53">
        <f>(3.05*4.23)*(10.764)</f>
        <v>138.871746</v>
      </c>
      <c r="F249" s="52">
        <f t="shared" si="8"/>
        <v>723.45193830000005</v>
      </c>
      <c r="G249" s="92"/>
      <c r="H249" s="93"/>
      <c r="I249" s="36"/>
      <c r="L249" s="104"/>
      <c r="M249" s="104"/>
      <c r="N249" s="36"/>
    </row>
    <row r="250" spans="1:14" s="45" customFormat="1" ht="15.75" customHeight="1" x14ac:dyDescent="0.25">
      <c r="A250" s="88">
        <f t="shared" si="7"/>
        <v>5</v>
      </c>
      <c r="B250" s="89"/>
      <c r="C250" s="52" t="s">
        <v>188</v>
      </c>
      <c r="D250" s="53">
        <f>(23.63)*(10.764)</f>
        <v>254.35331999999997</v>
      </c>
      <c r="E250" s="53">
        <f>(4.5*2)*(10.764)</f>
        <v>96.875999999999991</v>
      </c>
      <c r="F250" s="52">
        <f t="shared" ref="F250:F255" si="9">(D250+E250)*(($F$241)+1)</f>
        <v>544.40544599999998</v>
      </c>
      <c r="G250" s="92"/>
      <c r="H250" s="93"/>
      <c r="I250" s="36"/>
      <c r="L250" s="104"/>
      <c r="M250" s="104"/>
      <c r="N250" s="36"/>
    </row>
    <row r="251" spans="1:14" s="45" customFormat="1" ht="15.75" customHeight="1" x14ac:dyDescent="0.25">
      <c r="A251" s="88">
        <f t="shared" si="7"/>
        <v>6</v>
      </c>
      <c r="B251" s="89"/>
      <c r="C251" s="52" t="s">
        <v>188</v>
      </c>
      <c r="D251" s="53">
        <f>(21.48)*(10.764)</f>
        <v>231.21071999999998</v>
      </c>
      <c r="E251" s="53">
        <f>(3.67*2)*(10.764)</f>
        <v>79.00775999999999</v>
      </c>
      <c r="F251" s="52">
        <f t="shared" si="9"/>
        <v>480.83864399999999</v>
      </c>
      <c r="G251" s="92"/>
      <c r="H251" s="93"/>
      <c r="I251" s="36"/>
      <c r="L251" s="104"/>
      <c r="M251" s="104"/>
      <c r="N251" s="36"/>
    </row>
    <row r="252" spans="1:14" s="45" customFormat="1" ht="15.75" customHeight="1" x14ac:dyDescent="0.25">
      <c r="A252" s="88">
        <f t="shared" si="7"/>
        <v>7</v>
      </c>
      <c r="B252" s="89"/>
      <c r="C252" s="52" t="s">
        <v>188</v>
      </c>
      <c r="D252" s="53">
        <f>(21.48)*(10.764)</f>
        <v>231.21071999999998</v>
      </c>
      <c r="E252" s="53">
        <f>(3.67*2)*(10.764)</f>
        <v>79.00775999999999</v>
      </c>
      <c r="F252" s="52">
        <f t="shared" si="9"/>
        <v>480.83864399999999</v>
      </c>
      <c r="G252" s="92"/>
      <c r="H252" s="93"/>
      <c r="I252" s="36"/>
      <c r="L252" s="104"/>
      <c r="M252" s="104"/>
      <c r="N252" s="36"/>
    </row>
    <row r="253" spans="1:14" s="45" customFormat="1" ht="15.75" customHeight="1" x14ac:dyDescent="0.25">
      <c r="A253" s="88">
        <f t="shared" si="7"/>
        <v>8</v>
      </c>
      <c r="B253" s="89"/>
      <c r="C253" s="52" t="s">
        <v>188</v>
      </c>
      <c r="D253" s="53">
        <f>(23.63)*(10.764)</f>
        <v>254.35331999999997</v>
      </c>
      <c r="E253" s="53">
        <f>(4.5*2)*(10.764)</f>
        <v>96.875999999999991</v>
      </c>
      <c r="F253" s="52">
        <f t="shared" si="9"/>
        <v>544.40544599999998</v>
      </c>
      <c r="G253" s="92"/>
      <c r="H253" s="93"/>
      <c r="I253" s="36"/>
      <c r="L253" s="104"/>
      <c r="M253" s="104"/>
      <c r="N253" s="36"/>
    </row>
    <row r="254" spans="1:14" s="45" customFormat="1" ht="15.75" customHeight="1" x14ac:dyDescent="0.25">
      <c r="A254" s="88">
        <f t="shared" si="7"/>
        <v>9</v>
      </c>
      <c r="B254" s="89"/>
      <c r="C254" s="52" t="s">
        <v>188</v>
      </c>
      <c r="D254" s="53">
        <f>(30.46)*(10.764)</f>
        <v>327.87144000000001</v>
      </c>
      <c r="E254" s="53">
        <f>(3.05*4.23)*(10.764)</f>
        <v>138.871746</v>
      </c>
      <c r="F254" s="52">
        <f t="shared" si="9"/>
        <v>723.45193830000005</v>
      </c>
      <c r="G254" s="92"/>
      <c r="H254" s="93"/>
      <c r="I254" s="36"/>
      <c r="L254" s="104"/>
      <c r="M254" s="104"/>
      <c r="N254" s="36"/>
    </row>
    <row r="255" spans="1:14" s="45" customFormat="1" ht="15.75" customHeight="1" x14ac:dyDescent="0.25">
      <c r="A255" s="88">
        <f t="shared" si="7"/>
        <v>10</v>
      </c>
      <c r="B255" s="89"/>
      <c r="C255" s="52" t="s">
        <v>188</v>
      </c>
      <c r="D255" s="53">
        <f>(21.35)*(10.764)</f>
        <v>229.81139999999999</v>
      </c>
      <c r="E255" s="53">
        <f>(2.15*2.85+0.95*2.7)*(10.764)</f>
        <v>93.566069999999982</v>
      </c>
      <c r="F255" s="52">
        <f t="shared" si="9"/>
        <v>501.23507849999993</v>
      </c>
      <c r="G255" s="92"/>
      <c r="H255" s="93"/>
      <c r="I255" s="36"/>
      <c r="L255" s="104"/>
      <c r="M255" s="104"/>
      <c r="N255" s="36"/>
    </row>
    <row r="256" spans="1:14" s="45" customFormat="1" ht="15.75" customHeight="1" x14ac:dyDescent="0.25">
      <c r="A256" s="88">
        <f t="shared" si="7"/>
        <v>11</v>
      </c>
      <c r="B256" s="89"/>
      <c r="C256" s="52" t="s">
        <v>188</v>
      </c>
      <c r="D256" s="53">
        <f>(26.77)*(10.764)</f>
        <v>288.15227999999996</v>
      </c>
      <c r="E256" s="53">
        <f>(2.75*2.85+2.15*1.22)*(10.764)</f>
        <v>112.59682199999999</v>
      </c>
      <c r="F256" s="52">
        <f>(D256+E256)*(($F$241)+1)</f>
        <v>621.16110809999986</v>
      </c>
      <c r="G256" s="92"/>
      <c r="H256" s="93"/>
      <c r="I256" s="36"/>
      <c r="L256" s="104"/>
      <c r="M256" s="104"/>
      <c r="N256" s="36"/>
    </row>
    <row r="257" spans="1:14" s="45" customFormat="1" ht="15.75" customHeight="1" x14ac:dyDescent="0.25">
      <c r="A257" s="88">
        <f t="shared" si="7"/>
        <v>12</v>
      </c>
      <c r="B257" s="89"/>
      <c r="C257" s="52" t="s">
        <v>188</v>
      </c>
      <c r="D257" s="53">
        <f>(29.39)*(10.764)</f>
        <v>316.35395999999997</v>
      </c>
      <c r="E257" s="53">
        <f>(3.05*2.85+2.15*1.22)*(10.764)</f>
        <v>121.80004199999998</v>
      </c>
      <c r="F257" s="52">
        <f>(D257+E257)*(($F$241)+1)</f>
        <v>679.13870309999993</v>
      </c>
      <c r="G257" s="94"/>
      <c r="H257" s="95"/>
      <c r="I257" s="36"/>
      <c r="L257" s="104"/>
      <c r="M257" s="104"/>
      <c r="N257" s="36"/>
    </row>
    <row r="258" spans="1:14" s="45" customFormat="1" ht="15.75" customHeight="1" x14ac:dyDescent="0.25">
      <c r="A258" s="99" t="s">
        <v>215</v>
      </c>
      <c r="B258" s="100"/>
      <c r="C258" s="100"/>
      <c r="D258" s="100"/>
      <c r="E258" s="100"/>
      <c r="F258" s="100"/>
      <c r="G258" s="100"/>
      <c r="H258" s="101"/>
      <c r="J258" s="36"/>
    </row>
    <row r="259" spans="1:14" s="45" customFormat="1" x14ac:dyDescent="0.25">
      <c r="A259" s="99" t="s">
        <v>189</v>
      </c>
      <c r="B259" s="100"/>
      <c r="C259" s="100"/>
      <c r="D259" s="100"/>
      <c r="E259" s="100"/>
      <c r="F259" s="100"/>
      <c r="G259" s="100"/>
      <c r="H259" s="101"/>
      <c r="J259" s="36"/>
    </row>
    <row r="260" spans="1:14" s="45" customFormat="1" ht="15.75" customHeight="1" x14ac:dyDescent="0.25">
      <c r="A260" s="99" t="s">
        <v>186</v>
      </c>
      <c r="B260" s="100"/>
      <c r="C260" s="100"/>
      <c r="D260" s="100"/>
      <c r="E260" s="100"/>
      <c r="F260" s="100"/>
      <c r="G260" s="100"/>
      <c r="H260" s="101"/>
      <c r="J260" s="36"/>
    </row>
    <row r="261" spans="1:14" s="45" customFormat="1" ht="15.75" customHeight="1" x14ac:dyDescent="0.25">
      <c r="A261" s="88">
        <v>1</v>
      </c>
      <c r="B261" s="89"/>
      <c r="C261" s="52" t="s">
        <v>188</v>
      </c>
      <c r="D261" s="53">
        <f>(29.39)*(10.764)</f>
        <v>316.35395999999997</v>
      </c>
      <c r="E261" s="53">
        <f>(3.05*2.85+2.15*1.22)*(10.764)</f>
        <v>121.80004199999998</v>
      </c>
      <c r="F261" s="52">
        <f>(D261+E261)*(($F$241)+1)</f>
        <v>679.13870309999993</v>
      </c>
      <c r="G261" s="90" t="str">
        <f>A260</f>
        <v>Ground Floor For Commercial</v>
      </c>
      <c r="H261" s="91"/>
      <c r="I261" s="36"/>
      <c r="L261" s="104"/>
      <c r="M261" s="104"/>
      <c r="N261" s="36"/>
    </row>
    <row r="262" spans="1:14" s="45" customFormat="1" ht="15.75" customHeight="1" x14ac:dyDescent="0.25">
      <c r="A262" s="88">
        <f t="shared" ref="A262:A272" si="10">A261+1</f>
        <v>2</v>
      </c>
      <c r="B262" s="89"/>
      <c r="C262" s="52" t="s">
        <v>188</v>
      </c>
      <c r="D262" s="53">
        <f>(26.77)*(10.764)</f>
        <v>288.15227999999996</v>
      </c>
      <c r="E262" s="53">
        <f>(2.75*2.85+2.15*1.22)*(10.764)</f>
        <v>112.59682199999999</v>
      </c>
      <c r="F262" s="52">
        <f t="shared" ref="F262:F264" si="11">(D262+E262)*(($F$241)+1)</f>
        <v>621.16110809999986</v>
      </c>
      <c r="G262" s="92" t="str">
        <f t="shared" ref="G262:G272" si="12">G261</f>
        <v>Ground Floor For Commercial</v>
      </c>
      <c r="H262" s="93"/>
      <c r="I262" s="36"/>
      <c r="L262" s="104"/>
      <c r="M262" s="104"/>
      <c r="N262" s="36"/>
    </row>
    <row r="263" spans="1:14" s="45" customFormat="1" ht="15.75" customHeight="1" x14ac:dyDescent="0.25">
      <c r="A263" s="88">
        <f t="shared" si="10"/>
        <v>3</v>
      </c>
      <c r="B263" s="89"/>
      <c r="C263" s="52" t="s">
        <v>188</v>
      </c>
      <c r="D263" s="53">
        <f>(21.35)*(10.764)</f>
        <v>229.81139999999999</v>
      </c>
      <c r="E263" s="53">
        <f>(2.15*2.85+0.95*2.7)*(10.764)</f>
        <v>93.566069999999982</v>
      </c>
      <c r="F263" s="52">
        <f t="shared" si="11"/>
        <v>501.23507849999993</v>
      </c>
      <c r="G263" s="92" t="str">
        <f t="shared" si="12"/>
        <v>Ground Floor For Commercial</v>
      </c>
      <c r="H263" s="93"/>
      <c r="I263" s="36"/>
      <c r="L263" s="104"/>
      <c r="M263" s="104"/>
      <c r="N263" s="36"/>
    </row>
    <row r="264" spans="1:14" s="45" customFormat="1" ht="15.75" customHeight="1" x14ac:dyDescent="0.25">
      <c r="A264" s="88">
        <f t="shared" si="10"/>
        <v>4</v>
      </c>
      <c r="B264" s="89"/>
      <c r="C264" s="52" t="s">
        <v>188</v>
      </c>
      <c r="D264" s="53">
        <f>(30.46)*(10.764)</f>
        <v>327.87144000000001</v>
      </c>
      <c r="E264" s="53">
        <f>(3.05*4.23)*(10.764)</f>
        <v>138.871746</v>
      </c>
      <c r="F264" s="52">
        <f t="shared" si="11"/>
        <v>723.45193830000005</v>
      </c>
      <c r="G264" s="92" t="str">
        <f t="shared" si="12"/>
        <v>Ground Floor For Commercial</v>
      </c>
      <c r="H264" s="93"/>
      <c r="I264" s="36"/>
      <c r="L264" s="104"/>
      <c r="M264" s="104"/>
      <c r="N264" s="36"/>
    </row>
    <row r="265" spans="1:14" s="45" customFormat="1" ht="15.75" customHeight="1" x14ac:dyDescent="0.25">
      <c r="A265" s="88">
        <f t="shared" si="10"/>
        <v>5</v>
      </c>
      <c r="B265" s="89"/>
      <c r="C265" s="52" t="s">
        <v>188</v>
      </c>
      <c r="D265" s="53">
        <f>(23.63)*(10.764)</f>
        <v>254.35331999999997</v>
      </c>
      <c r="E265" s="53">
        <f>(4.5*2)*(10.764)</f>
        <v>96.875999999999991</v>
      </c>
      <c r="F265" s="52">
        <f t="shared" ref="F265:F270" si="13">(D265+E265)*(($F$241)+1)</f>
        <v>544.40544599999998</v>
      </c>
      <c r="G265" s="92" t="str">
        <f t="shared" si="12"/>
        <v>Ground Floor For Commercial</v>
      </c>
      <c r="H265" s="93"/>
      <c r="I265" s="36"/>
      <c r="L265" s="104"/>
      <c r="M265" s="104"/>
      <c r="N265" s="36"/>
    </row>
    <row r="266" spans="1:14" s="45" customFormat="1" ht="15.75" customHeight="1" x14ac:dyDescent="0.25">
      <c r="A266" s="88">
        <f t="shared" si="10"/>
        <v>6</v>
      </c>
      <c r="B266" s="89"/>
      <c r="C266" s="52" t="s">
        <v>188</v>
      </c>
      <c r="D266" s="53">
        <f>(21.48)*(10.764)</f>
        <v>231.21071999999998</v>
      </c>
      <c r="E266" s="53">
        <f>(3.67*2)*(10.764)</f>
        <v>79.00775999999999</v>
      </c>
      <c r="F266" s="52">
        <f t="shared" si="13"/>
        <v>480.83864399999999</v>
      </c>
      <c r="G266" s="92" t="str">
        <f t="shared" si="12"/>
        <v>Ground Floor For Commercial</v>
      </c>
      <c r="H266" s="93"/>
      <c r="I266" s="36"/>
      <c r="L266" s="104"/>
      <c r="M266" s="104"/>
      <c r="N266" s="36"/>
    </row>
    <row r="267" spans="1:14" s="45" customFormat="1" ht="15.75" customHeight="1" x14ac:dyDescent="0.25">
      <c r="A267" s="88">
        <f t="shared" si="10"/>
        <v>7</v>
      </c>
      <c r="B267" s="89"/>
      <c r="C267" s="52" t="s">
        <v>188</v>
      </c>
      <c r="D267" s="53">
        <f>(21.48)*(10.764)</f>
        <v>231.21071999999998</v>
      </c>
      <c r="E267" s="53">
        <f>(3.67*2)*(10.764)</f>
        <v>79.00775999999999</v>
      </c>
      <c r="F267" s="52">
        <f t="shared" si="13"/>
        <v>480.83864399999999</v>
      </c>
      <c r="G267" s="92" t="str">
        <f t="shared" si="12"/>
        <v>Ground Floor For Commercial</v>
      </c>
      <c r="H267" s="93"/>
      <c r="I267" s="36"/>
      <c r="L267" s="104"/>
      <c r="M267" s="104"/>
      <c r="N267" s="36"/>
    </row>
    <row r="268" spans="1:14" s="45" customFormat="1" ht="15.75" customHeight="1" x14ac:dyDescent="0.25">
      <c r="A268" s="88">
        <f t="shared" si="10"/>
        <v>8</v>
      </c>
      <c r="B268" s="89"/>
      <c r="C268" s="52" t="s">
        <v>188</v>
      </c>
      <c r="D268" s="53">
        <f>(23.63)*(10.764)</f>
        <v>254.35331999999997</v>
      </c>
      <c r="E268" s="53">
        <f>(4.5*2)*(10.764)</f>
        <v>96.875999999999991</v>
      </c>
      <c r="F268" s="52">
        <f t="shared" si="13"/>
        <v>544.40544599999998</v>
      </c>
      <c r="G268" s="92" t="str">
        <f t="shared" si="12"/>
        <v>Ground Floor For Commercial</v>
      </c>
      <c r="H268" s="93"/>
      <c r="I268" s="36"/>
      <c r="L268" s="104"/>
      <c r="M268" s="104"/>
      <c r="N268" s="36"/>
    </row>
    <row r="269" spans="1:14" s="45" customFormat="1" ht="15.75" customHeight="1" x14ac:dyDescent="0.25">
      <c r="A269" s="88">
        <f t="shared" si="10"/>
        <v>9</v>
      </c>
      <c r="B269" s="89"/>
      <c r="C269" s="52" t="s">
        <v>188</v>
      </c>
      <c r="D269" s="53">
        <f>(30.46)*(10.764)</f>
        <v>327.87144000000001</v>
      </c>
      <c r="E269" s="53">
        <f>(3.05*4.23)*(10.764)</f>
        <v>138.871746</v>
      </c>
      <c r="F269" s="52">
        <f t="shared" si="13"/>
        <v>723.45193830000005</v>
      </c>
      <c r="G269" s="92" t="str">
        <f t="shared" si="12"/>
        <v>Ground Floor For Commercial</v>
      </c>
      <c r="H269" s="93"/>
      <c r="I269" s="36"/>
      <c r="L269" s="104"/>
      <c r="M269" s="104"/>
      <c r="N269" s="36"/>
    </row>
    <row r="270" spans="1:14" s="45" customFormat="1" ht="15.75" customHeight="1" x14ac:dyDescent="0.25">
      <c r="A270" s="88">
        <f t="shared" si="10"/>
        <v>10</v>
      </c>
      <c r="B270" s="89"/>
      <c r="C270" s="52" t="s">
        <v>188</v>
      </c>
      <c r="D270" s="53">
        <f>(21.35)*(10.764)</f>
        <v>229.81139999999999</v>
      </c>
      <c r="E270" s="53">
        <f>(2.15*2.85+0.95*2.7)*(10.764)</f>
        <v>93.566069999999982</v>
      </c>
      <c r="F270" s="52">
        <f t="shared" si="13"/>
        <v>501.23507849999993</v>
      </c>
      <c r="G270" s="92" t="str">
        <f t="shared" si="12"/>
        <v>Ground Floor For Commercial</v>
      </c>
      <c r="H270" s="93"/>
      <c r="I270" s="36"/>
      <c r="L270" s="104"/>
      <c r="M270" s="104"/>
      <c r="N270" s="36"/>
    </row>
    <row r="271" spans="1:14" s="45" customFormat="1" ht="15.75" customHeight="1" x14ac:dyDescent="0.25">
      <c r="A271" s="88">
        <f t="shared" si="10"/>
        <v>11</v>
      </c>
      <c r="B271" s="89"/>
      <c r="C271" s="52" t="s">
        <v>188</v>
      </c>
      <c r="D271" s="53">
        <f>(26.77)*(10.764)</f>
        <v>288.15227999999996</v>
      </c>
      <c r="E271" s="53">
        <f>(2.75*2.85+2.15*1.22)*(10.764)</f>
        <v>112.59682199999999</v>
      </c>
      <c r="F271" s="52">
        <f t="shared" ref="F271:F272" si="14">(D271+E271)*(($F$241)+1)</f>
        <v>621.16110809999986</v>
      </c>
      <c r="G271" s="92" t="str">
        <f t="shared" si="12"/>
        <v>Ground Floor For Commercial</v>
      </c>
      <c r="H271" s="93"/>
      <c r="I271" s="36"/>
      <c r="L271" s="104"/>
      <c r="M271" s="104"/>
      <c r="N271" s="36"/>
    </row>
    <row r="272" spans="1:14" s="45" customFormat="1" ht="15.75" customHeight="1" x14ac:dyDescent="0.25">
      <c r="A272" s="88">
        <f t="shared" si="10"/>
        <v>12</v>
      </c>
      <c r="B272" s="89"/>
      <c r="C272" s="52" t="s">
        <v>188</v>
      </c>
      <c r="D272" s="53">
        <f>(29.39)*(10.764)</f>
        <v>316.35395999999997</v>
      </c>
      <c r="E272" s="53">
        <f>(3.05*2.85+2.15*1.22)*(10.764)</f>
        <v>121.80004199999998</v>
      </c>
      <c r="F272" s="52">
        <f t="shared" si="14"/>
        <v>679.13870309999993</v>
      </c>
      <c r="G272" s="94" t="str">
        <f t="shared" si="12"/>
        <v>Ground Floor For Commercial</v>
      </c>
      <c r="H272" s="95"/>
      <c r="I272" s="36"/>
      <c r="L272" s="104"/>
      <c r="M272" s="104"/>
      <c r="N272" s="36"/>
    </row>
    <row r="273" spans="1:14" s="45" customFormat="1" ht="15.75" customHeight="1" x14ac:dyDescent="0.25">
      <c r="A273" s="99" t="s">
        <v>213</v>
      </c>
      <c r="B273" s="100"/>
      <c r="C273" s="100"/>
      <c r="D273" s="100"/>
      <c r="E273" s="100"/>
      <c r="F273" s="100"/>
      <c r="G273" s="100"/>
      <c r="H273" s="101"/>
      <c r="J273" s="36"/>
    </row>
    <row r="274" spans="1:14" s="45" customFormat="1" x14ac:dyDescent="0.25">
      <c r="A274" s="99" t="s">
        <v>190</v>
      </c>
      <c r="B274" s="100"/>
      <c r="C274" s="100"/>
      <c r="D274" s="100"/>
      <c r="E274" s="100"/>
      <c r="F274" s="100"/>
      <c r="G274" s="100"/>
      <c r="H274" s="101"/>
      <c r="J274" s="36"/>
    </row>
    <row r="275" spans="1:14" s="45" customFormat="1" x14ac:dyDescent="0.25">
      <c r="A275" s="99" t="s">
        <v>186</v>
      </c>
      <c r="B275" s="100"/>
      <c r="C275" s="100"/>
      <c r="D275" s="100"/>
      <c r="E275" s="100"/>
      <c r="F275" s="100"/>
      <c r="G275" s="100"/>
      <c r="H275" s="101"/>
      <c r="J275" s="36"/>
    </row>
    <row r="276" spans="1:14" s="45" customFormat="1" ht="15.75" customHeight="1" x14ac:dyDescent="0.25">
      <c r="A276" s="88">
        <v>1</v>
      </c>
      <c r="B276" s="89"/>
      <c r="C276" s="52" t="s">
        <v>188</v>
      </c>
      <c r="D276" s="53">
        <f>(29.39)*(10.764)</f>
        <v>316.35395999999997</v>
      </c>
      <c r="E276" s="53">
        <f>(3.05*2.85+2.15*1.22)*(10.764)</f>
        <v>121.80004199999998</v>
      </c>
      <c r="F276" s="52">
        <f>(D276+E276)*(($F$241)+1)</f>
        <v>679.13870309999993</v>
      </c>
      <c r="G276" s="90" t="str">
        <f>A275</f>
        <v>Ground Floor For Commercial</v>
      </c>
      <c r="H276" s="91"/>
      <c r="I276" s="36"/>
      <c r="J276" s="45">
        <f>3.05*8.6+2.15*1.22</f>
        <v>28.852999999999998</v>
      </c>
      <c r="L276" s="104"/>
      <c r="M276" s="104"/>
      <c r="N276" s="36"/>
    </row>
    <row r="277" spans="1:14" s="45" customFormat="1" ht="15.75" customHeight="1" x14ac:dyDescent="0.25">
      <c r="A277" s="88">
        <f t="shared" ref="A277:A287" si="15">A276+1</f>
        <v>2</v>
      </c>
      <c r="B277" s="89"/>
      <c r="C277" s="52" t="s">
        <v>188</v>
      </c>
      <c r="D277" s="53">
        <f>(26.77)*(10.764)</f>
        <v>288.15227999999996</v>
      </c>
      <c r="E277" s="53">
        <f>(2.75*2.85+2.15*1.22)*(10.764)</f>
        <v>112.59682199999999</v>
      </c>
      <c r="F277" s="52">
        <f t="shared" ref="F277:F285" si="16">(D277+E277)*(($F$241)+1)</f>
        <v>621.16110809999986</v>
      </c>
      <c r="G277" s="92" t="str">
        <f t="shared" ref="G277:G287" si="17">G276</f>
        <v>Ground Floor For Commercial</v>
      </c>
      <c r="H277" s="93"/>
      <c r="I277" s="36"/>
      <c r="L277" s="104"/>
      <c r="M277" s="104"/>
      <c r="N277" s="36"/>
    </row>
    <row r="278" spans="1:14" s="45" customFormat="1" ht="15.75" customHeight="1" x14ac:dyDescent="0.25">
      <c r="A278" s="88">
        <f t="shared" si="15"/>
        <v>3</v>
      </c>
      <c r="B278" s="89"/>
      <c r="C278" s="52" t="s">
        <v>188</v>
      </c>
      <c r="D278" s="53">
        <f>(21.35)*(10.764)</f>
        <v>229.81139999999999</v>
      </c>
      <c r="E278" s="53">
        <f>(2.15*2.85+0.95*2.7)*(10.764)</f>
        <v>93.566069999999982</v>
      </c>
      <c r="F278" s="52">
        <f t="shared" si="16"/>
        <v>501.23507849999993</v>
      </c>
      <c r="G278" s="92" t="str">
        <f t="shared" si="17"/>
        <v>Ground Floor For Commercial</v>
      </c>
      <c r="H278" s="93"/>
      <c r="I278" s="36"/>
      <c r="L278" s="104"/>
      <c r="M278" s="104"/>
      <c r="N278" s="36"/>
    </row>
    <row r="279" spans="1:14" s="45" customFormat="1" ht="15.75" customHeight="1" x14ac:dyDescent="0.25">
      <c r="A279" s="88">
        <f t="shared" si="15"/>
        <v>4</v>
      </c>
      <c r="B279" s="89"/>
      <c r="C279" s="52" t="s">
        <v>188</v>
      </c>
      <c r="D279" s="53">
        <f>(30.46)*(10.764)</f>
        <v>327.87144000000001</v>
      </c>
      <c r="E279" s="53">
        <f>(3.05*4.23)*(10.764)</f>
        <v>138.871746</v>
      </c>
      <c r="F279" s="52">
        <f t="shared" si="16"/>
        <v>723.45193830000005</v>
      </c>
      <c r="G279" s="92" t="str">
        <f t="shared" si="17"/>
        <v>Ground Floor For Commercial</v>
      </c>
      <c r="H279" s="93"/>
      <c r="I279" s="36"/>
      <c r="L279" s="104"/>
      <c r="M279" s="104"/>
      <c r="N279" s="36"/>
    </row>
    <row r="280" spans="1:14" s="45" customFormat="1" ht="15.75" customHeight="1" x14ac:dyDescent="0.25">
      <c r="A280" s="88">
        <f t="shared" si="15"/>
        <v>5</v>
      </c>
      <c r="B280" s="89"/>
      <c r="C280" s="52" t="s">
        <v>188</v>
      </c>
      <c r="D280" s="53">
        <f>(23.63)*(10.764)</f>
        <v>254.35331999999997</v>
      </c>
      <c r="E280" s="53">
        <f>(4.5*2)*(10.764)</f>
        <v>96.875999999999991</v>
      </c>
      <c r="F280" s="52">
        <f t="shared" si="16"/>
        <v>544.40544599999998</v>
      </c>
      <c r="G280" s="92" t="str">
        <f t="shared" si="17"/>
        <v>Ground Floor For Commercial</v>
      </c>
      <c r="H280" s="93"/>
      <c r="I280" s="36"/>
      <c r="L280" s="104"/>
      <c r="M280" s="104"/>
      <c r="N280" s="36"/>
    </row>
    <row r="281" spans="1:14" s="45" customFormat="1" ht="15.75" customHeight="1" x14ac:dyDescent="0.25">
      <c r="A281" s="88">
        <f t="shared" si="15"/>
        <v>6</v>
      </c>
      <c r="B281" s="89"/>
      <c r="C281" s="52" t="s">
        <v>188</v>
      </c>
      <c r="D281" s="53">
        <f>(21.48)*(10.764)</f>
        <v>231.21071999999998</v>
      </c>
      <c r="E281" s="53">
        <f>(3.67*2)*(10.764)</f>
        <v>79.00775999999999</v>
      </c>
      <c r="F281" s="52">
        <f t="shared" si="16"/>
        <v>480.83864399999999</v>
      </c>
      <c r="G281" s="92" t="str">
        <f t="shared" si="17"/>
        <v>Ground Floor For Commercial</v>
      </c>
      <c r="H281" s="93"/>
      <c r="I281" s="36"/>
      <c r="L281" s="104"/>
      <c r="M281" s="104"/>
      <c r="N281" s="36"/>
    </row>
    <row r="282" spans="1:14" s="45" customFormat="1" ht="15.75" customHeight="1" x14ac:dyDescent="0.25">
      <c r="A282" s="88">
        <f t="shared" si="15"/>
        <v>7</v>
      </c>
      <c r="B282" s="89"/>
      <c r="C282" s="52" t="s">
        <v>188</v>
      </c>
      <c r="D282" s="53">
        <f>(21.48)*(10.764)</f>
        <v>231.21071999999998</v>
      </c>
      <c r="E282" s="53">
        <f>(3.67*2)*(10.764)</f>
        <v>79.00775999999999</v>
      </c>
      <c r="F282" s="52">
        <f t="shared" si="16"/>
        <v>480.83864399999999</v>
      </c>
      <c r="G282" s="92" t="str">
        <f t="shared" si="17"/>
        <v>Ground Floor For Commercial</v>
      </c>
      <c r="H282" s="93"/>
      <c r="I282" s="36"/>
      <c r="L282" s="104"/>
      <c r="M282" s="104"/>
      <c r="N282" s="36"/>
    </row>
    <row r="283" spans="1:14" s="45" customFormat="1" ht="15.75" customHeight="1" x14ac:dyDescent="0.25">
      <c r="A283" s="88">
        <f t="shared" si="15"/>
        <v>8</v>
      </c>
      <c r="B283" s="89"/>
      <c r="C283" s="52" t="s">
        <v>188</v>
      </c>
      <c r="D283" s="53">
        <f>(23.63)*(10.764)</f>
        <v>254.35331999999997</v>
      </c>
      <c r="E283" s="53">
        <f>(4.5*2)*(10.764)</f>
        <v>96.875999999999991</v>
      </c>
      <c r="F283" s="52">
        <f t="shared" si="16"/>
        <v>544.40544599999998</v>
      </c>
      <c r="G283" s="92" t="str">
        <f t="shared" si="17"/>
        <v>Ground Floor For Commercial</v>
      </c>
      <c r="H283" s="93"/>
      <c r="I283" s="36"/>
      <c r="L283" s="104"/>
      <c r="M283" s="104"/>
      <c r="N283" s="36"/>
    </row>
    <row r="284" spans="1:14" s="45" customFormat="1" ht="15.75" customHeight="1" x14ac:dyDescent="0.25">
      <c r="A284" s="88">
        <f t="shared" si="15"/>
        <v>9</v>
      </c>
      <c r="B284" s="89"/>
      <c r="C284" s="52" t="s">
        <v>188</v>
      </c>
      <c r="D284" s="53">
        <f>(30.46)*(10.764)</f>
        <v>327.87144000000001</v>
      </c>
      <c r="E284" s="53">
        <f>(3.05*4.23)*(10.764)</f>
        <v>138.871746</v>
      </c>
      <c r="F284" s="52">
        <f t="shared" si="16"/>
        <v>723.45193830000005</v>
      </c>
      <c r="G284" s="92" t="str">
        <f t="shared" si="17"/>
        <v>Ground Floor For Commercial</v>
      </c>
      <c r="H284" s="93"/>
      <c r="I284" s="36"/>
      <c r="L284" s="104"/>
      <c r="M284" s="104"/>
      <c r="N284" s="36"/>
    </row>
    <row r="285" spans="1:14" s="45" customFormat="1" ht="15.75" customHeight="1" x14ac:dyDescent="0.25">
      <c r="A285" s="88">
        <f t="shared" si="15"/>
        <v>10</v>
      </c>
      <c r="B285" s="89"/>
      <c r="C285" s="52" t="s">
        <v>188</v>
      </c>
      <c r="D285" s="53">
        <f>(21.35)*(10.764)</f>
        <v>229.81139999999999</v>
      </c>
      <c r="E285" s="53">
        <f>(2.15*2.85+0.95*2.7)*(10.764)</f>
        <v>93.566069999999982</v>
      </c>
      <c r="F285" s="52">
        <f t="shared" si="16"/>
        <v>501.23507849999993</v>
      </c>
      <c r="G285" s="92" t="str">
        <f t="shared" si="17"/>
        <v>Ground Floor For Commercial</v>
      </c>
      <c r="H285" s="93"/>
      <c r="I285" s="36"/>
      <c r="L285" s="104"/>
      <c r="M285" s="104"/>
      <c r="N285" s="36"/>
    </row>
    <row r="286" spans="1:14" s="45" customFormat="1" ht="15.75" customHeight="1" x14ac:dyDescent="0.25">
      <c r="A286" s="88">
        <f t="shared" si="15"/>
        <v>11</v>
      </c>
      <c r="B286" s="89"/>
      <c r="C286" s="52" t="s">
        <v>188</v>
      </c>
      <c r="D286" s="53">
        <f>(26.77)*(10.764)</f>
        <v>288.15227999999996</v>
      </c>
      <c r="E286" s="53">
        <f>(2.75*2.85+2.15*1.22)*(10.764)</f>
        <v>112.59682199999999</v>
      </c>
      <c r="F286" s="52">
        <f>(D286+E286)*(($F$241)+1)</f>
        <v>621.16110809999986</v>
      </c>
      <c r="G286" s="92" t="str">
        <f t="shared" si="17"/>
        <v>Ground Floor For Commercial</v>
      </c>
      <c r="H286" s="93"/>
      <c r="I286" s="36"/>
      <c r="L286" s="104"/>
      <c r="M286" s="104"/>
      <c r="N286" s="36"/>
    </row>
    <row r="287" spans="1:14" s="45" customFormat="1" ht="15.75" customHeight="1" x14ac:dyDescent="0.25">
      <c r="A287" s="88">
        <f t="shared" si="15"/>
        <v>12</v>
      </c>
      <c r="B287" s="89"/>
      <c r="C287" s="52" t="s">
        <v>188</v>
      </c>
      <c r="D287" s="53">
        <f>(29.39)*(10.764)</f>
        <v>316.35395999999997</v>
      </c>
      <c r="E287" s="53">
        <f>(3.05*2.85+2.15*1.22)*(10.764)</f>
        <v>121.80004199999998</v>
      </c>
      <c r="F287" s="52">
        <f>(D287+E287)*(($F$241)+1)</f>
        <v>679.13870309999993</v>
      </c>
      <c r="G287" s="94" t="str">
        <f t="shared" si="17"/>
        <v>Ground Floor For Commercial</v>
      </c>
      <c r="H287" s="95"/>
      <c r="I287" s="36"/>
      <c r="L287" s="104"/>
      <c r="M287" s="104"/>
      <c r="N287" s="36"/>
    </row>
    <row r="288" spans="1:14" s="45" customFormat="1" ht="15.75" customHeight="1" x14ac:dyDescent="0.25">
      <c r="A288" s="99" t="s">
        <v>215</v>
      </c>
      <c r="B288" s="100"/>
      <c r="C288" s="100"/>
      <c r="D288" s="100"/>
      <c r="E288" s="100"/>
      <c r="F288" s="100"/>
      <c r="G288" s="100"/>
      <c r="H288" s="101"/>
      <c r="J288" s="36"/>
    </row>
    <row r="289" spans="1:14" s="45" customFormat="1" x14ac:dyDescent="0.25">
      <c r="A289" s="99" t="s">
        <v>191</v>
      </c>
      <c r="B289" s="100"/>
      <c r="C289" s="100"/>
      <c r="D289" s="100"/>
      <c r="E289" s="100"/>
      <c r="F289" s="100"/>
      <c r="G289" s="100"/>
      <c r="H289" s="101"/>
      <c r="J289" s="36"/>
    </row>
    <row r="290" spans="1:14" s="45" customFormat="1" ht="15.75" customHeight="1" x14ac:dyDescent="0.25">
      <c r="A290" s="99" t="s">
        <v>186</v>
      </c>
      <c r="B290" s="100"/>
      <c r="C290" s="100"/>
      <c r="D290" s="100"/>
      <c r="E290" s="100"/>
      <c r="F290" s="100"/>
      <c r="G290" s="100"/>
      <c r="H290" s="101"/>
      <c r="J290" s="36"/>
    </row>
    <row r="291" spans="1:14" s="45" customFormat="1" ht="15.75" customHeight="1" x14ac:dyDescent="0.25">
      <c r="A291" s="88">
        <v>1</v>
      </c>
      <c r="B291" s="89"/>
      <c r="C291" s="52" t="s">
        <v>188</v>
      </c>
      <c r="D291" s="53">
        <f>(29.39)*(10.764)</f>
        <v>316.35395999999997</v>
      </c>
      <c r="E291" s="53">
        <f>(3.05*2.85+2.15*1.22)*(10.764)</f>
        <v>121.80004199999998</v>
      </c>
      <c r="F291" s="52">
        <f>(D291+E291)*(($F$241)+1)</f>
        <v>679.13870309999993</v>
      </c>
      <c r="G291" s="90" t="str">
        <f>A290</f>
        <v>Ground Floor For Commercial</v>
      </c>
      <c r="H291" s="91"/>
      <c r="I291" s="36"/>
      <c r="L291" s="104"/>
      <c r="M291" s="104"/>
      <c r="N291" s="36"/>
    </row>
    <row r="292" spans="1:14" s="45" customFormat="1" ht="15.75" customHeight="1" x14ac:dyDescent="0.25">
      <c r="A292" s="88">
        <f t="shared" ref="A292:A302" si="18">A291+1</f>
        <v>2</v>
      </c>
      <c r="B292" s="89"/>
      <c r="C292" s="52" t="s">
        <v>188</v>
      </c>
      <c r="D292" s="53">
        <f>(26.77)*(10.764)</f>
        <v>288.15227999999996</v>
      </c>
      <c r="E292" s="53">
        <f>(2.75*2.85+2.15*1.22)*(10.764)</f>
        <v>112.59682199999999</v>
      </c>
      <c r="F292" s="52">
        <f t="shared" ref="F292:F302" si="19">(D292+E292)*(($F$241)+1)</f>
        <v>621.16110809999986</v>
      </c>
      <c r="G292" s="92" t="str">
        <f t="shared" ref="G292:G302" si="20">G291</f>
        <v>Ground Floor For Commercial</v>
      </c>
      <c r="H292" s="93"/>
      <c r="I292" s="36"/>
      <c r="L292" s="104"/>
      <c r="M292" s="104"/>
      <c r="N292" s="36"/>
    </row>
    <row r="293" spans="1:14" s="45" customFormat="1" ht="15.75" customHeight="1" x14ac:dyDescent="0.25">
      <c r="A293" s="88">
        <f t="shared" si="18"/>
        <v>3</v>
      </c>
      <c r="B293" s="89"/>
      <c r="C293" s="52" t="s">
        <v>188</v>
      </c>
      <c r="D293" s="53">
        <f>(21.35)*(10.764)</f>
        <v>229.81139999999999</v>
      </c>
      <c r="E293" s="53">
        <f>(2.15*2.85+0.95*2.7)*(10.764)</f>
        <v>93.566069999999982</v>
      </c>
      <c r="F293" s="52">
        <f t="shared" si="19"/>
        <v>501.23507849999993</v>
      </c>
      <c r="G293" s="92" t="str">
        <f t="shared" si="20"/>
        <v>Ground Floor For Commercial</v>
      </c>
      <c r="H293" s="93"/>
      <c r="I293" s="36"/>
      <c r="L293" s="104"/>
      <c r="M293" s="104"/>
      <c r="N293" s="36"/>
    </row>
    <row r="294" spans="1:14" s="45" customFormat="1" ht="15.75" customHeight="1" x14ac:dyDescent="0.25">
      <c r="A294" s="88">
        <f t="shared" si="18"/>
        <v>4</v>
      </c>
      <c r="B294" s="89"/>
      <c r="C294" s="52" t="s">
        <v>188</v>
      </c>
      <c r="D294" s="53">
        <f>(30.46)*(10.764)</f>
        <v>327.87144000000001</v>
      </c>
      <c r="E294" s="53">
        <f>(3.05*4.23)*(10.764)</f>
        <v>138.871746</v>
      </c>
      <c r="F294" s="52">
        <f t="shared" si="19"/>
        <v>723.45193830000005</v>
      </c>
      <c r="G294" s="92" t="str">
        <f t="shared" si="20"/>
        <v>Ground Floor For Commercial</v>
      </c>
      <c r="H294" s="93"/>
      <c r="I294" s="36"/>
      <c r="L294" s="104"/>
      <c r="M294" s="104"/>
      <c r="N294" s="36"/>
    </row>
    <row r="295" spans="1:14" s="45" customFormat="1" ht="15.75" customHeight="1" x14ac:dyDescent="0.25">
      <c r="A295" s="88">
        <f t="shared" si="18"/>
        <v>5</v>
      </c>
      <c r="B295" s="89"/>
      <c r="C295" s="52" t="s">
        <v>188</v>
      </c>
      <c r="D295" s="53">
        <f>(23.63)*(10.764)</f>
        <v>254.35331999999997</v>
      </c>
      <c r="E295" s="53">
        <f>(4.5*2)*(10.764)</f>
        <v>96.875999999999991</v>
      </c>
      <c r="F295" s="52">
        <f t="shared" si="19"/>
        <v>544.40544599999998</v>
      </c>
      <c r="G295" s="92" t="str">
        <f t="shared" si="20"/>
        <v>Ground Floor For Commercial</v>
      </c>
      <c r="H295" s="93"/>
      <c r="I295" s="36"/>
      <c r="L295" s="104"/>
      <c r="M295" s="104"/>
      <c r="N295" s="36"/>
    </row>
    <row r="296" spans="1:14" s="45" customFormat="1" ht="15.75" customHeight="1" x14ac:dyDescent="0.25">
      <c r="A296" s="88">
        <f t="shared" si="18"/>
        <v>6</v>
      </c>
      <c r="B296" s="89"/>
      <c r="C296" s="52" t="s">
        <v>188</v>
      </c>
      <c r="D296" s="53">
        <f>(21.48)*(10.764)</f>
        <v>231.21071999999998</v>
      </c>
      <c r="E296" s="53">
        <f>(3.67*2)*(10.764)</f>
        <v>79.00775999999999</v>
      </c>
      <c r="F296" s="52">
        <f t="shared" si="19"/>
        <v>480.83864399999999</v>
      </c>
      <c r="G296" s="92" t="str">
        <f t="shared" si="20"/>
        <v>Ground Floor For Commercial</v>
      </c>
      <c r="H296" s="93"/>
      <c r="I296" s="36"/>
      <c r="L296" s="104"/>
      <c r="M296" s="104"/>
      <c r="N296" s="36"/>
    </row>
    <row r="297" spans="1:14" s="45" customFormat="1" ht="15.75" customHeight="1" x14ac:dyDescent="0.25">
      <c r="A297" s="88">
        <f t="shared" si="18"/>
        <v>7</v>
      </c>
      <c r="B297" s="89"/>
      <c r="C297" s="52" t="s">
        <v>188</v>
      </c>
      <c r="D297" s="53">
        <f>(21.48)*(10.764)</f>
        <v>231.21071999999998</v>
      </c>
      <c r="E297" s="53">
        <f>(3.67*2)*(10.764)</f>
        <v>79.00775999999999</v>
      </c>
      <c r="F297" s="52">
        <f t="shared" si="19"/>
        <v>480.83864399999999</v>
      </c>
      <c r="G297" s="92" t="str">
        <f t="shared" si="20"/>
        <v>Ground Floor For Commercial</v>
      </c>
      <c r="H297" s="93"/>
      <c r="I297" s="36"/>
      <c r="L297" s="104"/>
      <c r="M297" s="104"/>
      <c r="N297" s="36"/>
    </row>
    <row r="298" spans="1:14" s="45" customFormat="1" ht="15.75" customHeight="1" x14ac:dyDescent="0.25">
      <c r="A298" s="88">
        <f t="shared" si="18"/>
        <v>8</v>
      </c>
      <c r="B298" s="89"/>
      <c r="C298" s="52" t="s">
        <v>188</v>
      </c>
      <c r="D298" s="53">
        <f>(23.63)*(10.764)</f>
        <v>254.35331999999997</v>
      </c>
      <c r="E298" s="53">
        <f>(4.5*2)*(10.764)</f>
        <v>96.875999999999991</v>
      </c>
      <c r="F298" s="52">
        <f t="shared" si="19"/>
        <v>544.40544599999998</v>
      </c>
      <c r="G298" s="92" t="str">
        <f t="shared" si="20"/>
        <v>Ground Floor For Commercial</v>
      </c>
      <c r="H298" s="93"/>
      <c r="I298" s="36"/>
      <c r="L298" s="104"/>
      <c r="M298" s="104"/>
      <c r="N298" s="36"/>
    </row>
    <row r="299" spans="1:14" s="45" customFormat="1" ht="15.75" customHeight="1" x14ac:dyDescent="0.25">
      <c r="A299" s="88">
        <f t="shared" si="18"/>
        <v>9</v>
      </c>
      <c r="B299" s="89"/>
      <c r="C299" s="52" t="s">
        <v>188</v>
      </c>
      <c r="D299" s="53">
        <f>(30.46)*(10.764)</f>
        <v>327.87144000000001</v>
      </c>
      <c r="E299" s="53">
        <f>(3.05*4.23)*(10.764)</f>
        <v>138.871746</v>
      </c>
      <c r="F299" s="52">
        <f t="shared" si="19"/>
        <v>723.45193830000005</v>
      </c>
      <c r="G299" s="92" t="str">
        <f t="shared" si="20"/>
        <v>Ground Floor For Commercial</v>
      </c>
      <c r="H299" s="93"/>
      <c r="I299" s="36"/>
      <c r="L299" s="104"/>
      <c r="M299" s="104"/>
      <c r="N299" s="36"/>
    </row>
    <row r="300" spans="1:14" s="45" customFormat="1" ht="15.75" customHeight="1" x14ac:dyDescent="0.25">
      <c r="A300" s="88">
        <f t="shared" si="18"/>
        <v>10</v>
      </c>
      <c r="B300" s="89"/>
      <c r="C300" s="52" t="s">
        <v>188</v>
      </c>
      <c r="D300" s="53">
        <f>(21.35)*(10.764)</f>
        <v>229.81139999999999</v>
      </c>
      <c r="E300" s="53">
        <f>(2.15*2.85+0.95*2.7)*(10.764)</f>
        <v>93.566069999999982</v>
      </c>
      <c r="F300" s="52">
        <f t="shared" si="19"/>
        <v>501.23507849999993</v>
      </c>
      <c r="G300" s="92" t="str">
        <f t="shared" si="20"/>
        <v>Ground Floor For Commercial</v>
      </c>
      <c r="H300" s="93"/>
      <c r="I300" s="36"/>
      <c r="L300" s="104"/>
      <c r="M300" s="104"/>
      <c r="N300" s="36"/>
    </row>
    <row r="301" spans="1:14" s="45" customFormat="1" ht="15.75" customHeight="1" x14ac:dyDescent="0.25">
      <c r="A301" s="88">
        <f t="shared" si="18"/>
        <v>11</v>
      </c>
      <c r="B301" s="89"/>
      <c r="C301" s="52" t="s">
        <v>188</v>
      </c>
      <c r="D301" s="53">
        <f>(26.77)*(10.764)</f>
        <v>288.15227999999996</v>
      </c>
      <c r="E301" s="53">
        <f>(2.75*2.85+2.15*1.22)*(10.764)</f>
        <v>112.59682199999999</v>
      </c>
      <c r="F301" s="52">
        <f t="shared" si="19"/>
        <v>621.16110809999986</v>
      </c>
      <c r="G301" s="92" t="str">
        <f t="shared" si="20"/>
        <v>Ground Floor For Commercial</v>
      </c>
      <c r="H301" s="93"/>
      <c r="I301" s="36"/>
      <c r="L301" s="104"/>
      <c r="M301" s="104"/>
      <c r="N301" s="36"/>
    </row>
    <row r="302" spans="1:14" s="45" customFormat="1" ht="15.75" customHeight="1" x14ac:dyDescent="0.25">
      <c r="A302" s="88">
        <f t="shared" si="18"/>
        <v>12</v>
      </c>
      <c r="B302" s="89"/>
      <c r="C302" s="52" t="s">
        <v>188</v>
      </c>
      <c r="D302" s="53">
        <f>(29.39)*(10.764)</f>
        <v>316.35395999999997</v>
      </c>
      <c r="E302" s="53">
        <f>(3.05*2.85+2.15*1.22)*(10.764)</f>
        <v>121.80004199999998</v>
      </c>
      <c r="F302" s="52">
        <f t="shared" si="19"/>
        <v>679.13870309999993</v>
      </c>
      <c r="G302" s="94" t="str">
        <f t="shared" si="20"/>
        <v>Ground Floor For Commercial</v>
      </c>
      <c r="H302" s="95"/>
      <c r="I302" s="36"/>
      <c r="L302" s="104"/>
      <c r="M302" s="104"/>
      <c r="N302" s="36"/>
    </row>
    <row r="303" spans="1:14" s="45" customFormat="1" x14ac:dyDescent="0.25">
      <c r="A303" s="99" t="s">
        <v>243</v>
      </c>
      <c r="B303" s="100"/>
      <c r="C303" s="100"/>
      <c r="D303" s="100"/>
      <c r="E303" s="100"/>
      <c r="F303" s="100"/>
      <c r="G303" s="100"/>
      <c r="H303" s="101"/>
      <c r="J303" s="36"/>
    </row>
    <row r="304" spans="1:14" s="45" customFormat="1" ht="15.75" customHeight="1" x14ac:dyDescent="0.25">
      <c r="A304" s="99" t="s">
        <v>213</v>
      </c>
      <c r="B304" s="100"/>
      <c r="C304" s="100"/>
      <c r="D304" s="100"/>
      <c r="E304" s="100"/>
      <c r="F304" s="100"/>
      <c r="G304" s="100"/>
      <c r="H304" s="101"/>
      <c r="J304" s="36"/>
    </row>
    <row r="305" spans="1:14" s="45" customFormat="1" x14ac:dyDescent="0.25">
      <c r="A305" s="99" t="s">
        <v>264</v>
      </c>
      <c r="B305" s="100"/>
      <c r="C305" s="100"/>
      <c r="D305" s="100"/>
      <c r="E305" s="100"/>
      <c r="F305" s="100"/>
      <c r="G305" s="100"/>
      <c r="H305" s="101"/>
      <c r="J305" s="36"/>
    </row>
    <row r="306" spans="1:14" s="45" customFormat="1" x14ac:dyDescent="0.25">
      <c r="A306" s="99" t="s">
        <v>186</v>
      </c>
      <c r="B306" s="100"/>
      <c r="C306" s="100"/>
      <c r="D306" s="100"/>
      <c r="E306" s="100"/>
      <c r="F306" s="100"/>
      <c r="G306" s="100"/>
      <c r="H306" s="101"/>
      <c r="J306" s="36"/>
    </row>
    <row r="307" spans="1:14" s="45" customFormat="1" ht="15.75" customHeight="1" x14ac:dyDescent="0.25">
      <c r="A307" s="88">
        <v>1</v>
      </c>
      <c r="B307" s="89"/>
      <c r="C307" s="52" t="s">
        <v>188</v>
      </c>
      <c r="D307" s="53">
        <f>(29.39)*(10.764)</f>
        <v>316.35395999999997</v>
      </c>
      <c r="E307" s="53">
        <f>(3.05*2.85+2.15*1.22)*(10.764)</f>
        <v>121.80004199999998</v>
      </c>
      <c r="F307" s="52">
        <f>(D307+E307)*(($F$241)+1)</f>
        <v>679.13870309999993</v>
      </c>
      <c r="G307" s="90" t="str">
        <f>A306</f>
        <v>Ground Floor For Commercial</v>
      </c>
      <c r="H307" s="91"/>
      <c r="I307" s="36"/>
      <c r="J307" s="45">
        <f>3.05*8.6+2.15*1.22</f>
        <v>28.852999999999998</v>
      </c>
      <c r="L307" s="104"/>
      <c r="M307" s="104"/>
      <c r="N307" s="36"/>
    </row>
    <row r="308" spans="1:14" s="45" customFormat="1" ht="15.75" customHeight="1" x14ac:dyDescent="0.25">
      <c r="A308" s="88">
        <f t="shared" ref="A308:A318" si="21">A307+1</f>
        <v>2</v>
      </c>
      <c r="B308" s="89"/>
      <c r="C308" s="52" t="s">
        <v>188</v>
      </c>
      <c r="D308" s="53">
        <f>(26.77)*(10.764)</f>
        <v>288.15227999999996</v>
      </c>
      <c r="E308" s="53">
        <f>(2.75*2.85+2.15*1.22)*(10.764)</f>
        <v>112.59682199999999</v>
      </c>
      <c r="F308" s="52">
        <f t="shared" ref="F308:F316" si="22">(D308+E308)*(($F$241)+1)</f>
        <v>621.16110809999986</v>
      </c>
      <c r="G308" s="92"/>
      <c r="H308" s="93"/>
      <c r="I308" s="36"/>
      <c r="L308" s="104"/>
      <c r="M308" s="104"/>
      <c r="N308" s="36"/>
    </row>
    <row r="309" spans="1:14" s="45" customFormat="1" ht="15.75" customHeight="1" x14ac:dyDescent="0.25">
      <c r="A309" s="88">
        <f t="shared" si="21"/>
        <v>3</v>
      </c>
      <c r="B309" s="89"/>
      <c r="C309" s="52" t="s">
        <v>188</v>
      </c>
      <c r="D309" s="53">
        <f>(21.35)*(10.764)</f>
        <v>229.81139999999999</v>
      </c>
      <c r="E309" s="53">
        <f>(2.15*2.85+0.95*2.7)*(10.764)</f>
        <v>93.566069999999982</v>
      </c>
      <c r="F309" s="52">
        <f t="shared" si="22"/>
        <v>501.23507849999993</v>
      </c>
      <c r="G309" s="92"/>
      <c r="H309" s="93"/>
      <c r="I309" s="36"/>
      <c r="L309" s="104"/>
      <c r="M309" s="104"/>
      <c r="N309" s="36"/>
    </row>
    <row r="310" spans="1:14" s="45" customFormat="1" ht="15.75" customHeight="1" x14ac:dyDescent="0.25">
      <c r="A310" s="88">
        <f t="shared" si="21"/>
        <v>4</v>
      </c>
      <c r="B310" s="89"/>
      <c r="C310" s="52" t="s">
        <v>188</v>
      </c>
      <c r="D310" s="53">
        <f>(30.46)*(10.764)</f>
        <v>327.87144000000001</v>
      </c>
      <c r="E310" s="53">
        <f>(3.05*4.23)*(10.764)</f>
        <v>138.871746</v>
      </c>
      <c r="F310" s="52">
        <f t="shared" si="22"/>
        <v>723.45193830000005</v>
      </c>
      <c r="G310" s="92"/>
      <c r="H310" s="93"/>
      <c r="I310" s="36"/>
      <c r="L310" s="104"/>
      <c r="M310" s="104"/>
      <c r="N310" s="36"/>
    </row>
    <row r="311" spans="1:14" s="45" customFormat="1" ht="15.75" customHeight="1" x14ac:dyDescent="0.25">
      <c r="A311" s="88">
        <f t="shared" si="21"/>
        <v>5</v>
      </c>
      <c r="B311" s="89"/>
      <c r="C311" s="52" t="s">
        <v>188</v>
      </c>
      <c r="D311" s="53">
        <f>(23.63)*(10.764)</f>
        <v>254.35331999999997</v>
      </c>
      <c r="E311" s="53">
        <f>(4.5*2)*(10.764)</f>
        <v>96.875999999999991</v>
      </c>
      <c r="F311" s="52">
        <f t="shared" si="22"/>
        <v>544.40544599999998</v>
      </c>
      <c r="G311" s="92"/>
      <c r="H311" s="93"/>
      <c r="I311" s="36"/>
      <c r="L311" s="104"/>
      <c r="M311" s="104"/>
      <c r="N311" s="36"/>
    </row>
    <row r="312" spans="1:14" s="45" customFormat="1" ht="15.75" customHeight="1" x14ac:dyDescent="0.25">
      <c r="A312" s="88">
        <f t="shared" si="21"/>
        <v>6</v>
      </c>
      <c r="B312" s="89"/>
      <c r="C312" s="52" t="s">
        <v>188</v>
      </c>
      <c r="D312" s="53">
        <f>(21.48)*(10.764)</f>
        <v>231.21071999999998</v>
      </c>
      <c r="E312" s="53">
        <f>(3.67*2)*(10.764)</f>
        <v>79.00775999999999</v>
      </c>
      <c r="F312" s="52">
        <f t="shared" si="22"/>
        <v>480.83864399999999</v>
      </c>
      <c r="G312" s="92"/>
      <c r="H312" s="93"/>
      <c r="I312" s="36"/>
      <c r="L312" s="104"/>
      <c r="M312" s="104"/>
      <c r="N312" s="36"/>
    </row>
    <row r="313" spans="1:14" s="45" customFormat="1" ht="15.75" customHeight="1" x14ac:dyDescent="0.25">
      <c r="A313" s="88">
        <f t="shared" si="21"/>
        <v>7</v>
      </c>
      <c r="B313" s="89"/>
      <c r="C313" s="52" t="s">
        <v>188</v>
      </c>
      <c r="D313" s="53">
        <f>(21.48)*(10.764)</f>
        <v>231.21071999999998</v>
      </c>
      <c r="E313" s="53">
        <f>(3.67*2)*(10.764)</f>
        <v>79.00775999999999</v>
      </c>
      <c r="F313" s="52">
        <f t="shared" si="22"/>
        <v>480.83864399999999</v>
      </c>
      <c r="G313" s="92"/>
      <c r="H313" s="93"/>
      <c r="I313" s="36"/>
      <c r="L313" s="104"/>
      <c r="M313" s="104"/>
      <c r="N313" s="36"/>
    </row>
    <row r="314" spans="1:14" s="45" customFormat="1" ht="15.75" customHeight="1" x14ac:dyDescent="0.25">
      <c r="A314" s="88">
        <f t="shared" si="21"/>
        <v>8</v>
      </c>
      <c r="B314" s="89"/>
      <c r="C314" s="52" t="s">
        <v>188</v>
      </c>
      <c r="D314" s="53">
        <f>(23.63)*(10.764)</f>
        <v>254.35331999999997</v>
      </c>
      <c r="E314" s="53">
        <f>(4.5*2)*(10.764)</f>
        <v>96.875999999999991</v>
      </c>
      <c r="F314" s="52">
        <f t="shared" si="22"/>
        <v>544.40544599999998</v>
      </c>
      <c r="G314" s="92"/>
      <c r="H314" s="93"/>
      <c r="I314" s="36"/>
      <c r="L314" s="104"/>
      <c r="M314" s="104"/>
      <c r="N314" s="36"/>
    </row>
    <row r="315" spans="1:14" s="45" customFormat="1" ht="15.75" customHeight="1" x14ac:dyDescent="0.25">
      <c r="A315" s="88">
        <f t="shared" si="21"/>
        <v>9</v>
      </c>
      <c r="B315" s="89"/>
      <c r="C315" s="52" t="s">
        <v>188</v>
      </c>
      <c r="D315" s="53">
        <f>(30.46)*(10.764)</f>
        <v>327.87144000000001</v>
      </c>
      <c r="E315" s="53">
        <f>(3.05*4.23)*(10.764)</f>
        <v>138.871746</v>
      </c>
      <c r="F315" s="52">
        <f t="shared" si="22"/>
        <v>723.45193830000005</v>
      </c>
      <c r="G315" s="92"/>
      <c r="H315" s="93"/>
      <c r="I315" s="36"/>
      <c r="L315" s="104"/>
      <c r="M315" s="104"/>
      <c r="N315" s="36"/>
    </row>
    <row r="316" spans="1:14" s="45" customFormat="1" ht="15.75" customHeight="1" x14ac:dyDescent="0.25">
      <c r="A316" s="88">
        <f t="shared" si="21"/>
        <v>10</v>
      </c>
      <c r="B316" s="89"/>
      <c r="C316" s="52" t="s">
        <v>188</v>
      </c>
      <c r="D316" s="53">
        <f>(21.35)*(10.764)</f>
        <v>229.81139999999999</v>
      </c>
      <c r="E316" s="53">
        <f>(2.15*2.85+0.95*2.7)*(10.764)</f>
        <v>93.566069999999982</v>
      </c>
      <c r="F316" s="52">
        <f t="shared" si="22"/>
        <v>501.23507849999993</v>
      </c>
      <c r="G316" s="92"/>
      <c r="H316" s="93"/>
      <c r="I316" s="36"/>
      <c r="L316" s="104"/>
      <c r="M316" s="104"/>
      <c r="N316" s="36"/>
    </row>
    <row r="317" spans="1:14" s="45" customFormat="1" ht="15.75" customHeight="1" x14ac:dyDescent="0.25">
      <c r="A317" s="88">
        <f t="shared" si="21"/>
        <v>11</v>
      </c>
      <c r="B317" s="89"/>
      <c r="C317" s="52" t="s">
        <v>188</v>
      </c>
      <c r="D317" s="53">
        <f>(26.77)*(10.764)</f>
        <v>288.15227999999996</v>
      </c>
      <c r="E317" s="53">
        <f>(2.75*2.85+2.15*1.22)*(10.764)</f>
        <v>112.59682199999999</v>
      </c>
      <c r="F317" s="52">
        <f>(D317+E317)*(($F$241)+1)</f>
        <v>621.16110809999986</v>
      </c>
      <c r="G317" s="92"/>
      <c r="H317" s="93"/>
      <c r="I317" s="36"/>
      <c r="L317" s="104"/>
      <c r="M317" s="104"/>
      <c r="N317" s="36"/>
    </row>
    <row r="318" spans="1:14" s="45" customFormat="1" ht="15.75" customHeight="1" x14ac:dyDescent="0.25">
      <c r="A318" s="88">
        <f t="shared" si="21"/>
        <v>12</v>
      </c>
      <c r="B318" s="89"/>
      <c r="C318" s="52" t="s">
        <v>188</v>
      </c>
      <c r="D318" s="53">
        <f>(29.39)*(10.764)</f>
        <v>316.35395999999997</v>
      </c>
      <c r="E318" s="53">
        <f>(3.05*2.85+2.15*1.22)*(10.764)</f>
        <v>121.80004199999998</v>
      </c>
      <c r="F318" s="52">
        <f>(D318+E318)*(($F$241)+1)</f>
        <v>679.13870309999993</v>
      </c>
      <c r="G318" s="94"/>
      <c r="H318" s="95"/>
      <c r="I318" s="36"/>
      <c r="L318" s="104"/>
      <c r="M318" s="104"/>
      <c r="N318" s="36"/>
    </row>
    <row r="319" spans="1:14" s="45" customFormat="1" ht="15.75" customHeight="1" x14ac:dyDescent="0.25">
      <c r="A319" s="99" t="s">
        <v>215</v>
      </c>
      <c r="B319" s="100"/>
      <c r="C319" s="100"/>
      <c r="D319" s="100"/>
      <c r="E319" s="100"/>
      <c r="F319" s="100"/>
      <c r="G319" s="100"/>
      <c r="H319" s="101"/>
      <c r="J319" s="36"/>
    </row>
    <row r="320" spans="1:14" s="45" customFormat="1" x14ac:dyDescent="0.25">
      <c r="A320" s="99" t="s">
        <v>265</v>
      </c>
      <c r="B320" s="100"/>
      <c r="C320" s="100"/>
      <c r="D320" s="100"/>
      <c r="E320" s="100"/>
      <c r="F320" s="100"/>
      <c r="G320" s="100"/>
      <c r="H320" s="101"/>
      <c r="J320" s="36"/>
    </row>
    <row r="321" spans="1:14" s="45" customFormat="1" ht="15.75" customHeight="1" x14ac:dyDescent="0.25">
      <c r="A321" s="99" t="s">
        <v>186</v>
      </c>
      <c r="B321" s="100"/>
      <c r="C321" s="100"/>
      <c r="D321" s="100"/>
      <c r="E321" s="100"/>
      <c r="F321" s="100"/>
      <c r="G321" s="100"/>
      <c r="H321" s="101"/>
      <c r="J321" s="36"/>
    </row>
    <row r="322" spans="1:14" s="45" customFormat="1" ht="15.75" customHeight="1" x14ac:dyDescent="0.25">
      <c r="A322" s="88">
        <v>1</v>
      </c>
      <c r="B322" s="89"/>
      <c r="C322" s="52" t="s">
        <v>188</v>
      </c>
      <c r="D322" s="53">
        <f>(29.39)*(10.764)</f>
        <v>316.35395999999997</v>
      </c>
      <c r="E322" s="53">
        <f>(3.05*2.85+2.15*1.22)*(10.764)</f>
        <v>121.80004199999998</v>
      </c>
      <c r="F322" s="52">
        <f>(D322+E322)*(($F$241)+1)</f>
        <v>679.13870309999993</v>
      </c>
      <c r="G322" s="90" t="str">
        <f>A321</f>
        <v>Ground Floor For Commercial</v>
      </c>
      <c r="H322" s="91"/>
      <c r="I322" s="36"/>
      <c r="L322" s="104"/>
      <c r="M322" s="104"/>
      <c r="N322" s="36"/>
    </row>
    <row r="323" spans="1:14" s="45" customFormat="1" ht="15.75" customHeight="1" x14ac:dyDescent="0.25">
      <c r="A323" s="88">
        <f t="shared" ref="A323:A333" si="23">A322+1</f>
        <v>2</v>
      </c>
      <c r="B323" s="89"/>
      <c r="C323" s="52" t="s">
        <v>188</v>
      </c>
      <c r="D323" s="53">
        <f>(26.77)*(10.764)</f>
        <v>288.15227999999996</v>
      </c>
      <c r="E323" s="53">
        <f>(2.75*2.85+2.15*1.22)*(10.764)</f>
        <v>112.59682199999999</v>
      </c>
      <c r="F323" s="52">
        <f t="shared" ref="F323:F333" si="24">(D323+E323)*(($F$241)+1)</f>
        <v>621.16110809999986</v>
      </c>
      <c r="G323" s="92" t="str">
        <f t="shared" ref="G323:G333" si="25">G322</f>
        <v>Ground Floor For Commercial</v>
      </c>
      <c r="H323" s="93"/>
      <c r="I323" s="36"/>
      <c r="L323" s="104"/>
      <c r="M323" s="104"/>
      <c r="N323" s="36"/>
    </row>
    <row r="324" spans="1:14" s="45" customFormat="1" ht="15.75" customHeight="1" x14ac:dyDescent="0.25">
      <c r="A324" s="88">
        <f t="shared" si="23"/>
        <v>3</v>
      </c>
      <c r="B324" s="89"/>
      <c r="C324" s="52" t="s">
        <v>188</v>
      </c>
      <c r="D324" s="53">
        <f>(21.35)*(10.764)</f>
        <v>229.81139999999999</v>
      </c>
      <c r="E324" s="53">
        <f>(2.15*2.85+0.95*2.7)*(10.764)</f>
        <v>93.566069999999982</v>
      </c>
      <c r="F324" s="52">
        <f t="shared" si="24"/>
        <v>501.23507849999993</v>
      </c>
      <c r="G324" s="92" t="str">
        <f t="shared" si="25"/>
        <v>Ground Floor For Commercial</v>
      </c>
      <c r="H324" s="93"/>
      <c r="I324" s="36"/>
      <c r="L324" s="104"/>
      <c r="M324" s="104"/>
      <c r="N324" s="36"/>
    </row>
    <row r="325" spans="1:14" s="45" customFormat="1" ht="15.75" customHeight="1" x14ac:dyDescent="0.25">
      <c r="A325" s="88">
        <f t="shared" si="23"/>
        <v>4</v>
      </c>
      <c r="B325" s="89"/>
      <c r="C325" s="52" t="s">
        <v>188</v>
      </c>
      <c r="D325" s="53">
        <f>(30.46)*(10.764)</f>
        <v>327.87144000000001</v>
      </c>
      <c r="E325" s="53">
        <f>(3.05*4.23)*(10.764)</f>
        <v>138.871746</v>
      </c>
      <c r="F325" s="52">
        <f t="shared" si="24"/>
        <v>723.45193830000005</v>
      </c>
      <c r="G325" s="92" t="str">
        <f t="shared" si="25"/>
        <v>Ground Floor For Commercial</v>
      </c>
      <c r="H325" s="93"/>
      <c r="I325" s="36"/>
      <c r="L325" s="104"/>
      <c r="M325" s="104"/>
      <c r="N325" s="36"/>
    </row>
    <row r="326" spans="1:14" s="45" customFormat="1" ht="15.75" customHeight="1" x14ac:dyDescent="0.25">
      <c r="A326" s="88">
        <f t="shared" si="23"/>
        <v>5</v>
      </c>
      <c r="B326" s="89"/>
      <c r="C326" s="52" t="s">
        <v>188</v>
      </c>
      <c r="D326" s="53">
        <f>(23.63)*(10.764)</f>
        <v>254.35331999999997</v>
      </c>
      <c r="E326" s="53">
        <f>(4.5*2)*(10.764)</f>
        <v>96.875999999999991</v>
      </c>
      <c r="F326" s="52">
        <f t="shared" si="24"/>
        <v>544.40544599999998</v>
      </c>
      <c r="G326" s="92" t="str">
        <f t="shared" si="25"/>
        <v>Ground Floor For Commercial</v>
      </c>
      <c r="H326" s="93"/>
      <c r="I326" s="36"/>
      <c r="L326" s="104"/>
      <c r="M326" s="104"/>
      <c r="N326" s="36"/>
    </row>
    <row r="327" spans="1:14" s="45" customFormat="1" ht="15.75" customHeight="1" x14ac:dyDescent="0.25">
      <c r="A327" s="88">
        <f t="shared" si="23"/>
        <v>6</v>
      </c>
      <c r="B327" s="89"/>
      <c r="C327" s="52" t="s">
        <v>188</v>
      </c>
      <c r="D327" s="53">
        <f>(21.48)*(10.764)</f>
        <v>231.21071999999998</v>
      </c>
      <c r="E327" s="53">
        <f>(3.67*2)*(10.764)</f>
        <v>79.00775999999999</v>
      </c>
      <c r="F327" s="52">
        <f t="shared" si="24"/>
        <v>480.83864399999999</v>
      </c>
      <c r="G327" s="92" t="str">
        <f t="shared" si="25"/>
        <v>Ground Floor For Commercial</v>
      </c>
      <c r="H327" s="93"/>
      <c r="I327" s="36"/>
      <c r="L327" s="104"/>
      <c r="M327" s="104"/>
      <c r="N327" s="36"/>
    </row>
    <row r="328" spans="1:14" s="45" customFormat="1" ht="15.75" customHeight="1" x14ac:dyDescent="0.25">
      <c r="A328" s="88">
        <f t="shared" si="23"/>
        <v>7</v>
      </c>
      <c r="B328" s="89"/>
      <c r="C328" s="52" t="s">
        <v>188</v>
      </c>
      <c r="D328" s="53">
        <f>(21.48)*(10.764)</f>
        <v>231.21071999999998</v>
      </c>
      <c r="E328" s="53">
        <f>(3.67*2)*(10.764)</f>
        <v>79.00775999999999</v>
      </c>
      <c r="F328" s="52">
        <f t="shared" si="24"/>
        <v>480.83864399999999</v>
      </c>
      <c r="G328" s="92" t="str">
        <f t="shared" si="25"/>
        <v>Ground Floor For Commercial</v>
      </c>
      <c r="H328" s="93"/>
      <c r="I328" s="36"/>
      <c r="L328" s="104"/>
      <c r="M328" s="104"/>
      <c r="N328" s="36"/>
    </row>
    <row r="329" spans="1:14" s="45" customFormat="1" ht="15.75" customHeight="1" x14ac:dyDescent="0.25">
      <c r="A329" s="88">
        <f t="shared" si="23"/>
        <v>8</v>
      </c>
      <c r="B329" s="89"/>
      <c r="C329" s="52" t="s">
        <v>188</v>
      </c>
      <c r="D329" s="53">
        <f>(23.63)*(10.764)</f>
        <v>254.35331999999997</v>
      </c>
      <c r="E329" s="53">
        <f>(4.5*2)*(10.764)</f>
        <v>96.875999999999991</v>
      </c>
      <c r="F329" s="52">
        <f t="shared" si="24"/>
        <v>544.40544599999998</v>
      </c>
      <c r="G329" s="92" t="str">
        <f t="shared" si="25"/>
        <v>Ground Floor For Commercial</v>
      </c>
      <c r="H329" s="93"/>
      <c r="I329" s="36"/>
      <c r="L329" s="104"/>
      <c r="M329" s="104"/>
      <c r="N329" s="36"/>
    </row>
    <row r="330" spans="1:14" s="45" customFormat="1" ht="15.75" customHeight="1" x14ac:dyDescent="0.25">
      <c r="A330" s="88">
        <f t="shared" si="23"/>
        <v>9</v>
      </c>
      <c r="B330" s="89"/>
      <c r="C330" s="52" t="s">
        <v>188</v>
      </c>
      <c r="D330" s="53">
        <f>(30.46)*(10.764)</f>
        <v>327.87144000000001</v>
      </c>
      <c r="E330" s="53">
        <f>(3.05*4.23)*(10.764)</f>
        <v>138.871746</v>
      </c>
      <c r="F330" s="52">
        <f t="shared" si="24"/>
        <v>723.45193830000005</v>
      </c>
      <c r="G330" s="92" t="str">
        <f t="shared" si="25"/>
        <v>Ground Floor For Commercial</v>
      </c>
      <c r="H330" s="93"/>
      <c r="I330" s="36"/>
      <c r="L330" s="104"/>
      <c r="M330" s="104"/>
      <c r="N330" s="36"/>
    </row>
    <row r="331" spans="1:14" s="45" customFormat="1" ht="15.75" customHeight="1" x14ac:dyDescent="0.25">
      <c r="A331" s="88">
        <f t="shared" si="23"/>
        <v>10</v>
      </c>
      <c r="B331" s="89"/>
      <c r="C331" s="52" t="s">
        <v>188</v>
      </c>
      <c r="D331" s="53">
        <f>(21.35)*(10.764)</f>
        <v>229.81139999999999</v>
      </c>
      <c r="E331" s="53">
        <f>(2.15*2.85+0.95*2.7)*(10.764)</f>
        <v>93.566069999999982</v>
      </c>
      <c r="F331" s="52">
        <f t="shared" si="24"/>
        <v>501.23507849999993</v>
      </c>
      <c r="G331" s="92" t="str">
        <f t="shared" si="25"/>
        <v>Ground Floor For Commercial</v>
      </c>
      <c r="H331" s="93"/>
      <c r="I331" s="36"/>
      <c r="L331" s="104"/>
      <c r="M331" s="104"/>
      <c r="N331" s="36"/>
    </row>
    <row r="332" spans="1:14" s="45" customFormat="1" ht="15.75" customHeight="1" x14ac:dyDescent="0.25">
      <c r="A332" s="88">
        <f t="shared" si="23"/>
        <v>11</v>
      </c>
      <c r="B332" s="89"/>
      <c r="C332" s="52" t="s">
        <v>188</v>
      </c>
      <c r="D332" s="53">
        <f>(26.77)*(10.764)</f>
        <v>288.15227999999996</v>
      </c>
      <c r="E332" s="53">
        <f>(2.75*2.85+2.15*1.22)*(10.764)</f>
        <v>112.59682199999999</v>
      </c>
      <c r="F332" s="52">
        <f t="shared" si="24"/>
        <v>621.16110809999986</v>
      </c>
      <c r="G332" s="92" t="str">
        <f t="shared" si="25"/>
        <v>Ground Floor For Commercial</v>
      </c>
      <c r="H332" s="93"/>
      <c r="I332" s="36"/>
      <c r="L332" s="104"/>
      <c r="M332" s="104"/>
      <c r="N332" s="36"/>
    </row>
    <row r="333" spans="1:14" s="45" customFormat="1" ht="15.75" customHeight="1" x14ac:dyDescent="0.25">
      <c r="A333" s="88">
        <f t="shared" si="23"/>
        <v>12</v>
      </c>
      <c r="B333" s="89"/>
      <c r="C333" s="52" t="s">
        <v>188</v>
      </c>
      <c r="D333" s="53">
        <f>(29.39)*(10.764)</f>
        <v>316.35395999999997</v>
      </c>
      <c r="E333" s="53">
        <f>(3.05*2.85+2.15*1.22)*(10.764)</f>
        <v>121.80004199999998</v>
      </c>
      <c r="F333" s="52">
        <f t="shared" si="24"/>
        <v>679.13870309999993</v>
      </c>
      <c r="G333" s="94" t="str">
        <f t="shared" si="25"/>
        <v>Ground Floor For Commercial</v>
      </c>
      <c r="H333" s="95"/>
      <c r="I333" s="36"/>
      <c r="L333" s="104"/>
      <c r="M333" s="104"/>
      <c r="N333" s="36"/>
    </row>
    <row r="334" spans="1:14" s="45" customFormat="1" ht="15.75" customHeight="1" x14ac:dyDescent="0.25">
      <c r="A334" s="99" t="s">
        <v>213</v>
      </c>
      <c r="B334" s="100"/>
      <c r="C334" s="100"/>
      <c r="D334" s="100"/>
      <c r="E334" s="100"/>
      <c r="F334" s="100"/>
      <c r="G334" s="100"/>
      <c r="H334" s="101"/>
      <c r="J334" s="36"/>
    </row>
    <row r="335" spans="1:14" s="45" customFormat="1" x14ac:dyDescent="0.25">
      <c r="A335" s="99" t="s">
        <v>266</v>
      </c>
      <c r="B335" s="100"/>
      <c r="C335" s="100"/>
      <c r="D335" s="100"/>
      <c r="E335" s="100"/>
      <c r="F335" s="100"/>
      <c r="G335" s="100"/>
      <c r="H335" s="101"/>
      <c r="J335" s="36"/>
    </row>
    <row r="336" spans="1:14" s="45" customFormat="1" x14ac:dyDescent="0.25">
      <c r="A336" s="99" t="s">
        <v>186</v>
      </c>
      <c r="B336" s="100"/>
      <c r="C336" s="100"/>
      <c r="D336" s="100"/>
      <c r="E336" s="100"/>
      <c r="F336" s="100"/>
      <c r="G336" s="100"/>
      <c r="H336" s="101"/>
      <c r="J336" s="36"/>
    </row>
    <row r="337" spans="1:14" s="45" customFormat="1" ht="15.75" customHeight="1" x14ac:dyDescent="0.25">
      <c r="A337" s="88">
        <v>1</v>
      </c>
      <c r="B337" s="89"/>
      <c r="C337" s="52" t="s">
        <v>188</v>
      </c>
      <c r="D337" s="53">
        <f>(29.39)*(10.764)</f>
        <v>316.35395999999997</v>
      </c>
      <c r="E337" s="53">
        <f>(3.05*2.85+2.15*1.22)*(10.764)</f>
        <v>121.80004199999998</v>
      </c>
      <c r="F337" s="52">
        <f>(D337+E337)*(($F$241)+1)</f>
        <v>679.13870309999993</v>
      </c>
      <c r="G337" s="90" t="str">
        <f>A336</f>
        <v>Ground Floor For Commercial</v>
      </c>
      <c r="H337" s="91"/>
      <c r="I337" s="36"/>
      <c r="J337" s="45">
        <f>3.05*8.6+2.15*1.22</f>
        <v>28.852999999999998</v>
      </c>
      <c r="L337" s="104"/>
      <c r="M337" s="104"/>
      <c r="N337" s="36"/>
    </row>
    <row r="338" spans="1:14" s="45" customFormat="1" ht="15.75" customHeight="1" x14ac:dyDescent="0.25">
      <c r="A338" s="88">
        <f t="shared" ref="A338:A348" si="26">A337+1</f>
        <v>2</v>
      </c>
      <c r="B338" s="89"/>
      <c r="C338" s="52" t="s">
        <v>188</v>
      </c>
      <c r="D338" s="53">
        <f>(26.77)*(10.764)</f>
        <v>288.15227999999996</v>
      </c>
      <c r="E338" s="53">
        <f>(2.75*2.85+2.15*1.22)*(10.764)</f>
        <v>112.59682199999999</v>
      </c>
      <c r="F338" s="52">
        <f t="shared" ref="F338:F346" si="27">(D338+E338)*(($F$241)+1)</f>
        <v>621.16110809999986</v>
      </c>
      <c r="G338" s="92" t="str">
        <f t="shared" ref="G338:G348" si="28">G337</f>
        <v>Ground Floor For Commercial</v>
      </c>
      <c r="H338" s="93"/>
      <c r="I338" s="36"/>
      <c r="L338" s="104"/>
      <c r="M338" s="104"/>
      <c r="N338" s="36"/>
    </row>
    <row r="339" spans="1:14" s="45" customFormat="1" ht="15.75" customHeight="1" x14ac:dyDescent="0.25">
      <c r="A339" s="88">
        <f t="shared" si="26"/>
        <v>3</v>
      </c>
      <c r="B339" s="89"/>
      <c r="C339" s="52" t="s">
        <v>188</v>
      </c>
      <c r="D339" s="53">
        <f>(21.35)*(10.764)</f>
        <v>229.81139999999999</v>
      </c>
      <c r="E339" s="53">
        <f>(2.15*2.85+0.95*2.7)*(10.764)</f>
        <v>93.566069999999982</v>
      </c>
      <c r="F339" s="52">
        <f t="shared" si="27"/>
        <v>501.23507849999993</v>
      </c>
      <c r="G339" s="92" t="str">
        <f t="shared" si="28"/>
        <v>Ground Floor For Commercial</v>
      </c>
      <c r="H339" s="93"/>
      <c r="I339" s="36"/>
      <c r="L339" s="104"/>
      <c r="M339" s="104"/>
      <c r="N339" s="36"/>
    </row>
    <row r="340" spans="1:14" s="45" customFormat="1" ht="15.75" customHeight="1" x14ac:dyDescent="0.25">
      <c r="A340" s="88">
        <f t="shared" si="26"/>
        <v>4</v>
      </c>
      <c r="B340" s="89"/>
      <c r="C340" s="52" t="s">
        <v>188</v>
      </c>
      <c r="D340" s="53">
        <f>(30.46)*(10.764)</f>
        <v>327.87144000000001</v>
      </c>
      <c r="E340" s="53">
        <f>(3.05*4.23)*(10.764)</f>
        <v>138.871746</v>
      </c>
      <c r="F340" s="52">
        <f t="shared" si="27"/>
        <v>723.45193830000005</v>
      </c>
      <c r="G340" s="92" t="str">
        <f t="shared" si="28"/>
        <v>Ground Floor For Commercial</v>
      </c>
      <c r="H340" s="93"/>
      <c r="I340" s="36"/>
      <c r="L340" s="104"/>
      <c r="M340" s="104"/>
      <c r="N340" s="36"/>
    </row>
    <row r="341" spans="1:14" s="45" customFormat="1" ht="15.75" customHeight="1" x14ac:dyDescent="0.25">
      <c r="A341" s="88">
        <f t="shared" si="26"/>
        <v>5</v>
      </c>
      <c r="B341" s="89"/>
      <c r="C341" s="52" t="s">
        <v>188</v>
      </c>
      <c r="D341" s="53">
        <f>(23.63)*(10.764)</f>
        <v>254.35331999999997</v>
      </c>
      <c r="E341" s="53">
        <f>(4.5*2)*(10.764)</f>
        <v>96.875999999999991</v>
      </c>
      <c r="F341" s="52">
        <f t="shared" si="27"/>
        <v>544.40544599999998</v>
      </c>
      <c r="G341" s="92" t="str">
        <f t="shared" si="28"/>
        <v>Ground Floor For Commercial</v>
      </c>
      <c r="H341" s="93"/>
      <c r="I341" s="36"/>
      <c r="L341" s="104"/>
      <c r="M341" s="104"/>
      <c r="N341" s="36"/>
    </row>
    <row r="342" spans="1:14" s="45" customFormat="1" ht="15.75" customHeight="1" x14ac:dyDescent="0.25">
      <c r="A342" s="88">
        <f t="shared" si="26"/>
        <v>6</v>
      </c>
      <c r="B342" s="89"/>
      <c r="C342" s="52" t="s">
        <v>188</v>
      </c>
      <c r="D342" s="53">
        <f>(21.48)*(10.764)</f>
        <v>231.21071999999998</v>
      </c>
      <c r="E342" s="53">
        <f>(3.67*2)*(10.764)</f>
        <v>79.00775999999999</v>
      </c>
      <c r="F342" s="52">
        <f t="shared" si="27"/>
        <v>480.83864399999999</v>
      </c>
      <c r="G342" s="92" t="str">
        <f t="shared" si="28"/>
        <v>Ground Floor For Commercial</v>
      </c>
      <c r="H342" s="93"/>
      <c r="I342" s="36"/>
      <c r="L342" s="104"/>
      <c r="M342" s="104"/>
      <c r="N342" s="36"/>
    </row>
    <row r="343" spans="1:14" s="45" customFormat="1" ht="15.75" customHeight="1" x14ac:dyDescent="0.25">
      <c r="A343" s="88">
        <f t="shared" si="26"/>
        <v>7</v>
      </c>
      <c r="B343" s="89"/>
      <c r="C343" s="52" t="s">
        <v>188</v>
      </c>
      <c r="D343" s="53">
        <f>(21.48)*(10.764)</f>
        <v>231.21071999999998</v>
      </c>
      <c r="E343" s="53">
        <f>(3.67*2)*(10.764)</f>
        <v>79.00775999999999</v>
      </c>
      <c r="F343" s="52">
        <f t="shared" si="27"/>
        <v>480.83864399999999</v>
      </c>
      <c r="G343" s="92" t="str">
        <f t="shared" si="28"/>
        <v>Ground Floor For Commercial</v>
      </c>
      <c r="H343" s="93"/>
      <c r="I343" s="36"/>
      <c r="L343" s="104"/>
      <c r="M343" s="104"/>
      <c r="N343" s="36"/>
    </row>
    <row r="344" spans="1:14" s="45" customFormat="1" ht="15.75" customHeight="1" x14ac:dyDescent="0.25">
      <c r="A344" s="88">
        <f t="shared" si="26"/>
        <v>8</v>
      </c>
      <c r="B344" s="89"/>
      <c r="C344" s="52" t="s">
        <v>188</v>
      </c>
      <c r="D344" s="53">
        <f>(23.63)*(10.764)</f>
        <v>254.35331999999997</v>
      </c>
      <c r="E344" s="53">
        <f>(4.5*2)*(10.764)</f>
        <v>96.875999999999991</v>
      </c>
      <c r="F344" s="52">
        <f t="shared" si="27"/>
        <v>544.40544599999998</v>
      </c>
      <c r="G344" s="92" t="str">
        <f t="shared" si="28"/>
        <v>Ground Floor For Commercial</v>
      </c>
      <c r="H344" s="93"/>
      <c r="I344" s="36"/>
      <c r="L344" s="104"/>
      <c r="M344" s="104"/>
      <c r="N344" s="36"/>
    </row>
    <row r="345" spans="1:14" s="45" customFormat="1" ht="15.75" customHeight="1" x14ac:dyDescent="0.25">
      <c r="A345" s="88">
        <f t="shared" si="26"/>
        <v>9</v>
      </c>
      <c r="B345" s="89"/>
      <c r="C345" s="52" t="s">
        <v>188</v>
      </c>
      <c r="D345" s="53">
        <f>(30.46)*(10.764)</f>
        <v>327.87144000000001</v>
      </c>
      <c r="E345" s="53">
        <f>(3.05*4.23)*(10.764)</f>
        <v>138.871746</v>
      </c>
      <c r="F345" s="52">
        <f t="shared" si="27"/>
        <v>723.45193830000005</v>
      </c>
      <c r="G345" s="92" t="str">
        <f t="shared" si="28"/>
        <v>Ground Floor For Commercial</v>
      </c>
      <c r="H345" s="93"/>
      <c r="I345" s="36"/>
      <c r="L345" s="104"/>
      <c r="M345" s="104"/>
      <c r="N345" s="36"/>
    </row>
    <row r="346" spans="1:14" s="45" customFormat="1" ht="15.75" customHeight="1" x14ac:dyDescent="0.25">
      <c r="A346" s="88">
        <f t="shared" si="26"/>
        <v>10</v>
      </c>
      <c r="B346" s="89"/>
      <c r="C346" s="52" t="s">
        <v>188</v>
      </c>
      <c r="D346" s="53">
        <f>(21.35)*(10.764)</f>
        <v>229.81139999999999</v>
      </c>
      <c r="E346" s="53">
        <f>(2.15*2.85+0.95*2.7)*(10.764)</f>
        <v>93.566069999999982</v>
      </c>
      <c r="F346" s="52">
        <f t="shared" si="27"/>
        <v>501.23507849999993</v>
      </c>
      <c r="G346" s="92" t="str">
        <f t="shared" si="28"/>
        <v>Ground Floor For Commercial</v>
      </c>
      <c r="H346" s="93"/>
      <c r="I346" s="36"/>
      <c r="L346" s="104"/>
      <c r="M346" s="104"/>
      <c r="N346" s="36"/>
    </row>
    <row r="347" spans="1:14" s="45" customFormat="1" ht="15.75" customHeight="1" x14ac:dyDescent="0.25">
      <c r="A347" s="88">
        <f t="shared" si="26"/>
        <v>11</v>
      </c>
      <c r="B347" s="89"/>
      <c r="C347" s="52" t="s">
        <v>188</v>
      </c>
      <c r="D347" s="53">
        <f>(26.77)*(10.764)</f>
        <v>288.15227999999996</v>
      </c>
      <c r="E347" s="53">
        <f>(2.75*2.85+2.15*1.22)*(10.764)</f>
        <v>112.59682199999999</v>
      </c>
      <c r="F347" s="52">
        <f>(D347+E347)*(($F$241)+1)</f>
        <v>621.16110809999986</v>
      </c>
      <c r="G347" s="92" t="str">
        <f t="shared" si="28"/>
        <v>Ground Floor For Commercial</v>
      </c>
      <c r="H347" s="93"/>
      <c r="I347" s="36"/>
      <c r="L347" s="104"/>
      <c r="M347" s="104"/>
      <c r="N347" s="36"/>
    </row>
    <row r="348" spans="1:14" s="45" customFormat="1" ht="15.75" customHeight="1" x14ac:dyDescent="0.25">
      <c r="A348" s="88">
        <f t="shared" si="26"/>
        <v>12</v>
      </c>
      <c r="B348" s="89"/>
      <c r="C348" s="52" t="s">
        <v>188</v>
      </c>
      <c r="D348" s="53">
        <f>(29.39)*(10.764)</f>
        <v>316.35395999999997</v>
      </c>
      <c r="E348" s="53">
        <f>(3.05*2.85+2.15*1.22)*(10.764)</f>
        <v>121.80004199999998</v>
      </c>
      <c r="F348" s="52">
        <f>(D348+E348)*(($F$241)+1)</f>
        <v>679.13870309999993</v>
      </c>
      <c r="G348" s="94" t="str">
        <f t="shared" si="28"/>
        <v>Ground Floor For Commercial</v>
      </c>
      <c r="H348" s="95"/>
      <c r="I348" s="36"/>
      <c r="L348" s="104"/>
      <c r="M348" s="104"/>
      <c r="N348" s="36"/>
    </row>
    <row r="349" spans="1:14" s="45" customFormat="1" x14ac:dyDescent="0.25">
      <c r="A349" s="88"/>
      <c r="B349" s="208"/>
      <c r="C349" s="208"/>
      <c r="D349" s="208"/>
      <c r="E349" s="208"/>
      <c r="F349" s="208"/>
      <c r="G349" s="208"/>
      <c r="H349" s="89"/>
      <c r="I349" s="36"/>
      <c r="N349" s="36"/>
    </row>
    <row r="350" spans="1:14" ht="47.25" customHeight="1" x14ac:dyDescent="0.25">
      <c r="A350" s="136" t="s">
        <v>119</v>
      </c>
      <c r="B350" s="136" t="s">
        <v>120</v>
      </c>
      <c r="C350" s="126" t="s">
        <v>58</v>
      </c>
      <c r="D350" s="126" t="s">
        <v>59</v>
      </c>
      <c r="E350" s="206" t="s">
        <v>60</v>
      </c>
      <c r="F350" s="41" t="s">
        <v>149</v>
      </c>
      <c r="G350" s="136" t="s">
        <v>61</v>
      </c>
      <c r="H350" s="139"/>
      <c r="I350" s="36"/>
    </row>
    <row r="351" spans="1:14" s="45" customFormat="1" x14ac:dyDescent="0.25">
      <c r="A351" s="137"/>
      <c r="B351" s="137"/>
      <c r="C351" s="127"/>
      <c r="D351" s="127"/>
      <c r="E351" s="207"/>
      <c r="F351" s="13">
        <v>0.5</v>
      </c>
      <c r="G351" s="137"/>
      <c r="H351" s="140"/>
      <c r="I351" s="36"/>
    </row>
    <row r="352" spans="1:14" s="45" customFormat="1" x14ac:dyDescent="0.25">
      <c r="A352" s="99" t="s">
        <v>245</v>
      </c>
      <c r="B352" s="100"/>
      <c r="C352" s="100"/>
      <c r="D352" s="100"/>
      <c r="E352" s="100"/>
      <c r="F352" s="100"/>
      <c r="G352" s="100"/>
      <c r="H352" s="101"/>
      <c r="J352" s="36"/>
    </row>
    <row r="353" spans="1:14" s="45" customFormat="1" ht="15.75" customHeight="1" x14ac:dyDescent="0.25">
      <c r="A353" s="99" t="s">
        <v>213</v>
      </c>
      <c r="B353" s="100"/>
      <c r="C353" s="100"/>
      <c r="D353" s="100"/>
      <c r="E353" s="100"/>
      <c r="F353" s="100"/>
      <c r="G353" s="100"/>
      <c r="H353" s="101"/>
      <c r="J353" s="36"/>
    </row>
    <row r="354" spans="1:14" s="45" customFormat="1" ht="15.75" customHeight="1" x14ac:dyDescent="0.25">
      <c r="A354" s="99" t="s">
        <v>187</v>
      </c>
      <c r="B354" s="100"/>
      <c r="C354" s="100"/>
      <c r="D354" s="100"/>
      <c r="E354" s="100"/>
      <c r="F354" s="100"/>
      <c r="G354" s="100"/>
      <c r="H354" s="101"/>
      <c r="J354" s="36"/>
    </row>
    <row r="355" spans="1:14" s="45" customFormat="1" x14ac:dyDescent="0.25">
      <c r="A355" s="99" t="s">
        <v>193</v>
      </c>
      <c r="B355" s="100"/>
      <c r="C355" s="100"/>
      <c r="D355" s="100"/>
      <c r="E355" s="100"/>
      <c r="F355" s="100"/>
      <c r="G355" s="100"/>
      <c r="H355" s="101"/>
      <c r="J355" s="53">
        <f>10.764</f>
        <v>10.763999999999999</v>
      </c>
    </row>
    <row r="356" spans="1:14" s="45" customFormat="1" ht="15.75" customHeight="1" x14ac:dyDescent="0.25">
      <c r="A356" s="88">
        <v>1</v>
      </c>
      <c r="B356" s="89"/>
      <c r="C356" s="51" t="s">
        <v>192</v>
      </c>
      <c r="D356" s="53">
        <f>(49.15+1.5*(3.05+2.15+2.76)+0.9*3.05)*(10.764)</f>
        <v>687.11993999999993</v>
      </c>
      <c r="E356" s="53">
        <f>(4.65*5.175+3.35*2.99+5.05*3.68+3.2*4.25)*(10.764)</f>
        <v>713.26838699999996</v>
      </c>
      <c r="F356" s="52">
        <f t="shared" ref="F356:F361" si="29">D356*(($F$351)+1)+(IF(E356&lt;101,E356,IF(E356&lt;201,E356/2,IF(E356&lt;=301,E356/3,E356/4))))</f>
        <v>1208.9970067499999</v>
      </c>
      <c r="G356" s="90" t="str">
        <f>A355</f>
        <v>1st Floor For Residential</v>
      </c>
      <c r="H356" s="91"/>
      <c r="I356" s="36"/>
      <c r="J356" s="45">
        <f>3.05*4.23+1.05*2.22+2.15*2.35+2.75*2.35+3.05*2.29+2.15*1.22+2.15*1.22+4*0.9</f>
        <v>42.577999999999996</v>
      </c>
      <c r="K356" s="45">
        <f>3.05*1+3.05*1</f>
        <v>6.1</v>
      </c>
      <c r="L356" s="104"/>
      <c r="M356" s="104"/>
      <c r="N356" s="36"/>
    </row>
    <row r="357" spans="1:14" s="45" customFormat="1" ht="15.75" customHeight="1" x14ac:dyDescent="0.25">
      <c r="A357" s="88">
        <f t="shared" ref="A357:A361" si="30">A356+1</f>
        <v>2</v>
      </c>
      <c r="B357" s="89"/>
      <c r="C357" s="51" t="s">
        <v>192</v>
      </c>
      <c r="D357" s="53">
        <f>(49.15+1.5*(3.05+2.15+2.76)+0.9*3.05)*(10.764)</f>
        <v>687.11993999999993</v>
      </c>
      <c r="E357" s="52">
        <v>0</v>
      </c>
      <c r="F357" s="52">
        <f t="shared" si="29"/>
        <v>1030.6799099999998</v>
      </c>
      <c r="G357" s="92"/>
      <c r="H357" s="93"/>
      <c r="I357" s="36"/>
      <c r="J357" s="45">
        <f>J356+K356</f>
        <v>48.677999999999997</v>
      </c>
      <c r="L357" s="104"/>
      <c r="M357" s="104"/>
      <c r="N357" s="36"/>
    </row>
    <row r="358" spans="1:14" s="45" customFormat="1" ht="15.75" customHeight="1" x14ac:dyDescent="0.25">
      <c r="A358" s="88">
        <f t="shared" si="30"/>
        <v>3</v>
      </c>
      <c r="B358" s="89"/>
      <c r="C358" s="51">
        <v>1</v>
      </c>
      <c r="D358" s="53">
        <f>(3*4.3+2.1*2.15+3*3.15+1.2*1.83+2.5*0.6+1.2*1.83+2.1*0.9+1.5*(3+2.1)+3*0.9)*(10.764)</f>
        <v>484.34770799999995</v>
      </c>
      <c r="E358" s="52">
        <v>0</v>
      </c>
      <c r="F358" s="52">
        <f t="shared" si="29"/>
        <v>726.5215619999999</v>
      </c>
      <c r="G358" s="92"/>
      <c r="H358" s="93"/>
      <c r="I358" s="36"/>
      <c r="J358" s="45">
        <f>1.5*(3.05+2.15+2.76)+0.9*3.05</f>
        <v>14.684999999999999</v>
      </c>
      <c r="L358" s="104"/>
      <c r="M358" s="104"/>
      <c r="N358" s="36"/>
    </row>
    <row r="359" spans="1:14" s="45" customFormat="1" ht="15.75" customHeight="1" x14ac:dyDescent="0.25">
      <c r="A359" s="88">
        <f t="shared" si="30"/>
        <v>4</v>
      </c>
      <c r="B359" s="89"/>
      <c r="C359" s="51">
        <v>1</v>
      </c>
      <c r="D359" s="53">
        <f>(3*4.3+2.1*2.15+3*3.15+1.2*1.83+2.5*0.6+1.2*1.83+2.1*0.9+1.5*(3+2.1)+3*0.9)*(10.764)</f>
        <v>484.34770799999995</v>
      </c>
      <c r="E359" s="52">
        <v>0</v>
      </c>
      <c r="F359" s="52">
        <f t="shared" si="29"/>
        <v>726.5215619999999</v>
      </c>
      <c r="G359" s="92"/>
      <c r="H359" s="93"/>
      <c r="I359" s="36"/>
      <c r="J359" s="45">
        <f>3*4.3+2.1*2.15+3*3.15+1.2*1.83+2.5*0.6+1.2*1.83+2.1*0.9</f>
        <v>34.646999999999998</v>
      </c>
      <c r="K359" s="45">
        <f>1.5*(3+2.1)+3*0.9</f>
        <v>10.35</v>
      </c>
      <c r="L359" s="104"/>
      <c r="M359" s="104"/>
      <c r="N359" s="36"/>
    </row>
    <row r="360" spans="1:14" s="45" customFormat="1" ht="15.75" customHeight="1" x14ac:dyDescent="0.25">
      <c r="A360" s="88">
        <f t="shared" si="30"/>
        <v>5</v>
      </c>
      <c r="B360" s="89"/>
      <c r="C360" s="51" t="s">
        <v>192</v>
      </c>
      <c r="D360" s="53">
        <f>(49.15+1.5*(3.05+2.15+2.76)+0.9*3.05)*(10.764)</f>
        <v>687.11993999999993</v>
      </c>
      <c r="E360" s="52">
        <v>0</v>
      </c>
      <c r="F360" s="52">
        <f t="shared" si="29"/>
        <v>1030.6799099999998</v>
      </c>
      <c r="G360" s="92"/>
      <c r="H360" s="93"/>
      <c r="I360" s="36"/>
      <c r="L360" s="104"/>
      <c r="M360" s="104"/>
      <c r="N360" s="36"/>
    </row>
    <row r="361" spans="1:14" s="45" customFormat="1" ht="15.75" customHeight="1" x14ac:dyDescent="0.25">
      <c r="A361" s="88">
        <f t="shared" si="30"/>
        <v>6</v>
      </c>
      <c r="B361" s="89"/>
      <c r="C361" s="51" t="s">
        <v>192</v>
      </c>
      <c r="D361" s="53">
        <f>(49.15+1.5*(3.05+2.15+2.76)+0.9*3.05)*(10.764)</f>
        <v>687.11993999999993</v>
      </c>
      <c r="E361" s="53">
        <f>(4.65*5.175+3.35*2.99+5.05*3.68+3.2*4.25)*(10.764)</f>
        <v>713.26838699999996</v>
      </c>
      <c r="F361" s="52">
        <f t="shared" si="29"/>
        <v>1208.9970067499999</v>
      </c>
      <c r="G361" s="94"/>
      <c r="H361" s="95"/>
      <c r="I361" s="36"/>
      <c r="L361" s="104"/>
      <c r="M361" s="104"/>
      <c r="N361" s="36"/>
    </row>
    <row r="362" spans="1:14" s="45" customFormat="1" x14ac:dyDescent="0.25">
      <c r="A362" s="99" t="s">
        <v>195</v>
      </c>
      <c r="B362" s="100"/>
      <c r="C362" s="100"/>
      <c r="D362" s="100"/>
      <c r="E362" s="100"/>
      <c r="F362" s="100"/>
      <c r="G362" s="100"/>
      <c r="H362" s="101"/>
      <c r="J362" s="36"/>
    </row>
    <row r="363" spans="1:14" s="45" customFormat="1" ht="15.75" customHeight="1" x14ac:dyDescent="0.25">
      <c r="A363" s="88">
        <v>1</v>
      </c>
      <c r="B363" s="89"/>
      <c r="C363" s="51" t="s">
        <v>192</v>
      </c>
      <c r="D363" s="53">
        <f>(49.15+0.9*3.05+1.5*(2.15+2.75+3.05))*(10.764)</f>
        <v>686.95847999999989</v>
      </c>
      <c r="E363" s="52">
        <v>0</v>
      </c>
      <c r="F363" s="52">
        <f t="shared" ref="F363:F368" si="31">D363*(($F$351)+1)+(IF(E363&lt;101,E363,IF(E363&lt;201,E363/2,IF(E363&lt;=301,E363/3,E363/4))))</f>
        <v>1030.4377199999999</v>
      </c>
      <c r="G363" s="90" t="str">
        <f>A362</f>
        <v>2nd, 8th, 10th, 16th &amp; 18th Floor</v>
      </c>
      <c r="H363" s="91"/>
      <c r="I363" s="36"/>
      <c r="L363" s="104"/>
      <c r="M363" s="104"/>
      <c r="N363" s="36"/>
    </row>
    <row r="364" spans="1:14" s="45" customFormat="1" ht="15.75" customHeight="1" x14ac:dyDescent="0.25">
      <c r="A364" s="88">
        <f t="shared" ref="A364:A368" si="32">A363+1</f>
        <v>2</v>
      </c>
      <c r="B364" s="89"/>
      <c r="C364" s="51" t="s">
        <v>192</v>
      </c>
      <c r="D364" s="53">
        <f>(49.15+0.9*3.05+1.5*(2.15+2.75+3.05))*(10.764)</f>
        <v>686.95847999999989</v>
      </c>
      <c r="E364" s="52">
        <v>0</v>
      </c>
      <c r="F364" s="52">
        <f t="shared" si="31"/>
        <v>1030.4377199999999</v>
      </c>
      <c r="G364" s="92" t="str">
        <f t="shared" ref="G364:G368" si="33">G363</f>
        <v>2nd, 8th, 10th, 16th &amp; 18th Floor</v>
      </c>
      <c r="H364" s="93"/>
      <c r="I364" s="36"/>
      <c r="L364" s="104"/>
      <c r="M364" s="104"/>
      <c r="N364" s="36"/>
    </row>
    <row r="365" spans="1:14" s="45" customFormat="1" ht="15.75" customHeight="1" x14ac:dyDescent="0.25">
      <c r="A365" s="88">
        <f t="shared" si="32"/>
        <v>3</v>
      </c>
      <c r="B365" s="89"/>
      <c r="C365" s="51">
        <v>1</v>
      </c>
      <c r="D365" s="53">
        <f>(3*4.3+2.1*2.15+3*3.15+1.2*1.83+2.5*0.6+1.2*1.83+2.1*0.9+1.5*(3+2.1)+3*0.9)*(10.764)</f>
        <v>484.34770799999995</v>
      </c>
      <c r="E365" s="52">
        <v>0</v>
      </c>
      <c r="F365" s="52">
        <f t="shared" si="31"/>
        <v>726.5215619999999</v>
      </c>
      <c r="G365" s="92" t="str">
        <f t="shared" si="33"/>
        <v>2nd, 8th, 10th, 16th &amp; 18th Floor</v>
      </c>
      <c r="H365" s="93"/>
      <c r="I365" s="36">
        <f>3555000/F365</f>
        <v>4893.178930868401</v>
      </c>
      <c r="L365" s="104"/>
      <c r="M365" s="104"/>
      <c r="N365" s="36"/>
    </row>
    <row r="366" spans="1:14" s="45" customFormat="1" ht="15.75" customHeight="1" x14ac:dyDescent="0.25">
      <c r="A366" s="88">
        <f t="shared" si="32"/>
        <v>4</v>
      </c>
      <c r="B366" s="89"/>
      <c r="C366" s="51">
        <v>1</v>
      </c>
      <c r="D366" s="53">
        <f>(3*4.3+2.1*2.15+3*3.15+1.2*1.83+2.5*0.6+1.2*1.83+2.1*0.9+1.5*(3+2.1)+3*0.9)*(10.764)</f>
        <v>484.34770799999995</v>
      </c>
      <c r="E366" s="52">
        <v>0</v>
      </c>
      <c r="F366" s="52">
        <f t="shared" si="31"/>
        <v>726.5215619999999</v>
      </c>
      <c r="G366" s="92" t="str">
        <f t="shared" si="33"/>
        <v>2nd, 8th, 10th, 16th &amp; 18th Floor</v>
      </c>
      <c r="H366" s="93"/>
      <c r="I366" s="36"/>
      <c r="L366" s="104"/>
      <c r="M366" s="104"/>
      <c r="N366" s="36"/>
    </row>
    <row r="367" spans="1:14" s="45" customFormat="1" ht="15.75" customHeight="1" x14ac:dyDescent="0.25">
      <c r="A367" s="88">
        <f t="shared" si="32"/>
        <v>5</v>
      </c>
      <c r="B367" s="89"/>
      <c r="C367" s="51" t="s">
        <v>192</v>
      </c>
      <c r="D367" s="53">
        <f>(49.15+0.9*3.05+1.5*(2.15+2.75+3.05))*(10.764)</f>
        <v>686.95847999999989</v>
      </c>
      <c r="E367" s="52">
        <v>0</v>
      </c>
      <c r="F367" s="52">
        <f t="shared" si="31"/>
        <v>1030.4377199999999</v>
      </c>
      <c r="G367" s="92" t="str">
        <f t="shared" si="33"/>
        <v>2nd, 8th, 10th, 16th &amp; 18th Floor</v>
      </c>
      <c r="H367" s="93"/>
      <c r="I367" s="36"/>
      <c r="L367" s="104"/>
      <c r="M367" s="104"/>
      <c r="N367" s="36"/>
    </row>
    <row r="368" spans="1:14" s="45" customFormat="1" ht="15.75" customHeight="1" x14ac:dyDescent="0.25">
      <c r="A368" s="88">
        <f t="shared" si="32"/>
        <v>6</v>
      </c>
      <c r="B368" s="89"/>
      <c r="C368" s="51" t="s">
        <v>192</v>
      </c>
      <c r="D368" s="53">
        <f>(49.15+0.9*3.05+1.5*(2.15+2.75+3.05))*(10.764)</f>
        <v>686.95847999999989</v>
      </c>
      <c r="E368" s="52">
        <v>0</v>
      </c>
      <c r="F368" s="52">
        <f t="shared" si="31"/>
        <v>1030.4377199999999</v>
      </c>
      <c r="G368" s="94" t="str">
        <f t="shared" si="33"/>
        <v>2nd, 8th, 10th, 16th &amp; 18th Floor</v>
      </c>
      <c r="H368" s="95"/>
      <c r="I368" s="36"/>
      <c r="L368" s="104"/>
      <c r="M368" s="104"/>
      <c r="N368" s="36"/>
    </row>
    <row r="369" spans="1:14" s="45" customFormat="1" x14ac:dyDescent="0.25">
      <c r="A369" s="99" t="s">
        <v>202</v>
      </c>
      <c r="B369" s="100"/>
      <c r="C369" s="100"/>
      <c r="D369" s="100"/>
      <c r="E369" s="100"/>
      <c r="F369" s="100"/>
      <c r="G369" s="100"/>
      <c r="H369" s="101"/>
      <c r="J369" s="36"/>
    </row>
    <row r="370" spans="1:14" s="45" customFormat="1" ht="15.75" customHeight="1" x14ac:dyDescent="0.25">
      <c r="A370" s="88">
        <v>1</v>
      </c>
      <c r="B370" s="89"/>
      <c r="C370" s="51" t="s">
        <v>192</v>
      </c>
      <c r="D370" s="53">
        <f>(49.15+1.5*(3.05+2.15+2.76)+0.9*3.05)*(10.764)</f>
        <v>687.11993999999993</v>
      </c>
      <c r="E370" s="52">
        <v>0</v>
      </c>
      <c r="F370" s="52">
        <f t="shared" ref="F370:F375" si="34">D370*(($F$351)+1)+(IF(E370&lt;101,E370,IF(E370&lt;201,E370/2,IF(E370&lt;=301,E370/3,E370/4))))</f>
        <v>1030.6799099999998</v>
      </c>
      <c r="G370" s="90" t="str">
        <f>A369</f>
        <v>3rd,  9th, 11th Floor</v>
      </c>
      <c r="H370" s="91"/>
      <c r="I370" s="36"/>
      <c r="L370" s="104"/>
      <c r="M370" s="104"/>
      <c r="N370" s="36"/>
    </row>
    <row r="371" spans="1:14" s="45" customFormat="1" ht="15.75" customHeight="1" x14ac:dyDescent="0.25">
      <c r="A371" s="88">
        <f t="shared" ref="A371:A375" si="35">A370+1</f>
        <v>2</v>
      </c>
      <c r="B371" s="89"/>
      <c r="C371" s="51" t="s">
        <v>192</v>
      </c>
      <c r="D371" s="53">
        <f>(49.15+1.5*(3.05+2.15+2.76)+0.9*3.05)*(10.764)</f>
        <v>687.11993999999993</v>
      </c>
      <c r="E371" s="52">
        <v>0</v>
      </c>
      <c r="F371" s="52">
        <f t="shared" si="34"/>
        <v>1030.6799099999998</v>
      </c>
      <c r="G371" s="92" t="str">
        <f t="shared" ref="G371:G375" si="36">G370</f>
        <v>3rd,  9th, 11th Floor</v>
      </c>
      <c r="H371" s="93"/>
      <c r="I371" s="36"/>
      <c r="L371" s="104"/>
      <c r="M371" s="104"/>
      <c r="N371" s="36"/>
    </row>
    <row r="372" spans="1:14" s="45" customFormat="1" ht="15.75" customHeight="1" x14ac:dyDescent="0.25">
      <c r="A372" s="88">
        <f t="shared" si="35"/>
        <v>3</v>
      </c>
      <c r="B372" s="89"/>
      <c r="C372" s="51">
        <v>1</v>
      </c>
      <c r="D372" s="53">
        <f>(3*4.3+2.1*2.15+3*3.15+1.2*1.83+2.5*0.6+1.2*1.83+2.1*0.9+1.5*(3+2.1)+3*0.9)*(10.764)</f>
        <v>484.34770799999995</v>
      </c>
      <c r="E372" s="52">
        <v>0</v>
      </c>
      <c r="F372" s="52">
        <f t="shared" si="34"/>
        <v>726.5215619999999</v>
      </c>
      <c r="G372" s="92" t="str">
        <f t="shared" si="36"/>
        <v>3rd,  9th, 11th Floor</v>
      </c>
      <c r="H372" s="93"/>
      <c r="I372" s="36"/>
      <c r="L372" s="104"/>
      <c r="M372" s="104"/>
      <c r="N372" s="36"/>
    </row>
    <row r="373" spans="1:14" s="45" customFormat="1" ht="15.75" customHeight="1" x14ac:dyDescent="0.25">
      <c r="A373" s="88">
        <f t="shared" si="35"/>
        <v>4</v>
      </c>
      <c r="B373" s="89"/>
      <c r="C373" s="51">
        <v>1</v>
      </c>
      <c r="D373" s="53">
        <f>(3*4.3+2.1*2.15+3*3.15+1.2*1.83+2.5*0.6+1.2*1.83+2.1*0.9+1.5*(3+2.1)+3*0.9)*(10.764)</f>
        <v>484.34770799999995</v>
      </c>
      <c r="E373" s="52">
        <v>0</v>
      </c>
      <c r="F373" s="52">
        <f t="shared" si="34"/>
        <v>726.5215619999999</v>
      </c>
      <c r="G373" s="92" t="str">
        <f t="shared" si="36"/>
        <v>3rd,  9th, 11th Floor</v>
      </c>
      <c r="H373" s="93"/>
      <c r="I373" s="36"/>
      <c r="L373" s="104"/>
      <c r="M373" s="104"/>
      <c r="N373" s="36"/>
    </row>
    <row r="374" spans="1:14" s="45" customFormat="1" ht="15.75" customHeight="1" x14ac:dyDescent="0.25">
      <c r="A374" s="88">
        <f t="shared" si="35"/>
        <v>5</v>
      </c>
      <c r="B374" s="89"/>
      <c r="C374" s="51" t="s">
        <v>192</v>
      </c>
      <c r="D374" s="53">
        <f>(49.15+1.5*(3.05+2.15+2.76)+0.9*3.05)*(10.764)</f>
        <v>687.11993999999993</v>
      </c>
      <c r="E374" s="52">
        <v>0</v>
      </c>
      <c r="F374" s="52">
        <f t="shared" si="34"/>
        <v>1030.6799099999998</v>
      </c>
      <c r="G374" s="92" t="str">
        <f t="shared" si="36"/>
        <v>3rd,  9th, 11th Floor</v>
      </c>
      <c r="H374" s="93"/>
      <c r="I374" s="36"/>
      <c r="L374" s="104"/>
      <c r="M374" s="104"/>
      <c r="N374" s="36"/>
    </row>
    <row r="375" spans="1:14" s="45" customFormat="1" ht="15.75" customHeight="1" x14ac:dyDescent="0.25">
      <c r="A375" s="88">
        <f t="shared" si="35"/>
        <v>6</v>
      </c>
      <c r="B375" s="89"/>
      <c r="C375" s="51" t="s">
        <v>192</v>
      </c>
      <c r="D375" s="53">
        <f>(49.15+1.5*(3.05+2.15+2.76)+0.9*3.05)*(10.764)</f>
        <v>687.11993999999993</v>
      </c>
      <c r="E375" s="52">
        <v>0</v>
      </c>
      <c r="F375" s="52">
        <f t="shared" si="34"/>
        <v>1030.6799099999998</v>
      </c>
      <c r="G375" s="94" t="str">
        <f t="shared" si="36"/>
        <v>3rd,  9th, 11th Floor</v>
      </c>
      <c r="H375" s="95"/>
      <c r="I375" s="36"/>
      <c r="L375" s="104"/>
      <c r="M375" s="104"/>
      <c r="N375" s="36"/>
    </row>
    <row r="376" spans="1:14" s="45" customFormat="1" x14ac:dyDescent="0.25">
      <c r="A376" s="99" t="s">
        <v>198</v>
      </c>
      <c r="B376" s="100"/>
      <c r="C376" s="100"/>
      <c r="D376" s="100"/>
      <c r="E376" s="100"/>
      <c r="F376" s="100"/>
      <c r="G376" s="100"/>
      <c r="H376" s="101"/>
      <c r="J376" s="36"/>
    </row>
    <row r="377" spans="1:14" s="45" customFormat="1" ht="15.75" customHeight="1" x14ac:dyDescent="0.25">
      <c r="A377" s="88">
        <v>1</v>
      </c>
      <c r="B377" s="89"/>
      <c r="C377" s="51" t="s">
        <v>192</v>
      </c>
      <c r="D377" s="53">
        <f>(49.15+0.9*3.05+1.5*(2.15+2.75+3.05))*(10.764)</f>
        <v>686.95847999999989</v>
      </c>
      <c r="E377" s="52">
        <v>0</v>
      </c>
      <c r="F377" s="52">
        <f>D377*(($F$351)+1)+(IF(E377&lt;101,E377,IF(E377&lt;201,E377/2,IF(E377&lt;=301,E377/3,E377/4))))</f>
        <v>1030.4377199999999</v>
      </c>
      <c r="G377" s="90" t="str">
        <f>A376</f>
        <v>4th Floor (Part Terrace Area)</v>
      </c>
      <c r="H377" s="91"/>
      <c r="I377" s="36"/>
      <c r="L377" s="104"/>
      <c r="M377" s="104"/>
      <c r="N377" s="36"/>
    </row>
    <row r="378" spans="1:14" s="45" customFormat="1" ht="15.75" customHeight="1" x14ac:dyDescent="0.25">
      <c r="A378" s="88">
        <f t="shared" ref="A378:A382" si="37">A377+1</f>
        <v>2</v>
      </c>
      <c r="B378" s="89"/>
      <c r="C378" s="51" t="s">
        <v>192</v>
      </c>
      <c r="D378" s="53">
        <f>(49.15+0.9*3.05+1.5*(2.15+2.75+3.05))*(10.764)</f>
        <v>686.95847999999989</v>
      </c>
      <c r="E378" s="52">
        <v>0</v>
      </c>
      <c r="F378" s="52">
        <f>D378*(($F$351)+1)+(IF(E378&lt;101,E378,IF(E378&lt;201,E378/2,IF(E378&lt;=301,E378/3,E378/4))))</f>
        <v>1030.4377199999999</v>
      </c>
      <c r="G378" s="92" t="str">
        <f t="shared" ref="G378:G382" si="38">G377</f>
        <v>4th Floor (Part Terrace Area)</v>
      </c>
      <c r="H378" s="93"/>
      <c r="I378" s="36"/>
      <c r="L378" s="104"/>
      <c r="M378" s="104"/>
      <c r="N378" s="36"/>
    </row>
    <row r="379" spans="1:14" s="45" customFormat="1" ht="15.75" customHeight="1" x14ac:dyDescent="0.25">
      <c r="A379" s="88">
        <f t="shared" si="37"/>
        <v>3</v>
      </c>
      <c r="B379" s="89"/>
      <c r="C379" s="51">
        <v>1</v>
      </c>
      <c r="D379" s="53">
        <f>(3*4.3+2.1*2.15+3*3.15+1.2*1.83+2.5*0.6+1.2*1.83+2.1*0.9+1.5*(3+2.1)+3*0.9)*(10.764)</f>
        <v>484.34770799999995</v>
      </c>
      <c r="E379" s="52">
        <v>0</v>
      </c>
      <c r="F379" s="52">
        <f>D379*(($F$351)+1)+(IF(E379&lt;101,E379,IF(E379&lt;201,E379/2,IF(E379&lt;=301,E379/3,E379/4))))</f>
        <v>726.5215619999999</v>
      </c>
      <c r="G379" s="92" t="str">
        <f t="shared" si="38"/>
        <v>4th Floor (Part Terrace Area)</v>
      </c>
      <c r="H379" s="93"/>
      <c r="I379" s="36"/>
      <c r="L379" s="104"/>
      <c r="M379" s="104"/>
      <c r="N379" s="36"/>
    </row>
    <row r="380" spans="1:14" s="45" customFormat="1" ht="15.75" customHeight="1" x14ac:dyDescent="0.25">
      <c r="A380" s="88">
        <f t="shared" si="37"/>
        <v>4</v>
      </c>
      <c r="B380" s="89"/>
      <c r="C380" s="51">
        <v>1</v>
      </c>
      <c r="D380" s="53">
        <f>(3*4.3+2.1*2.15+3*3.15+1.2*1.83+2.5*0.6+1.2*1.83+2.1*0.9+1.5*(3+2.1)+3*0.9)*(10.764)</f>
        <v>484.34770799999995</v>
      </c>
      <c r="E380" s="52">
        <v>0</v>
      </c>
      <c r="F380" s="52">
        <f>D380*(($F$351)+1)+(IF(E380&lt;101,E380,IF(E380&lt;201,E380/2,IF(E380&lt;=301,E380/3,E380/4))))</f>
        <v>726.5215619999999</v>
      </c>
      <c r="G380" s="92" t="str">
        <f t="shared" si="38"/>
        <v>4th Floor (Part Terrace Area)</v>
      </c>
      <c r="H380" s="93"/>
      <c r="I380" s="36"/>
      <c r="L380" s="104"/>
      <c r="M380" s="104"/>
      <c r="N380" s="36"/>
    </row>
    <row r="381" spans="1:14" s="45" customFormat="1" ht="15.75" customHeight="1" x14ac:dyDescent="0.25">
      <c r="A381" s="88">
        <f t="shared" si="37"/>
        <v>5</v>
      </c>
      <c r="B381" s="89"/>
      <c r="C381" s="96" t="s">
        <v>197</v>
      </c>
      <c r="D381" s="97"/>
      <c r="E381" s="97"/>
      <c r="F381" s="98"/>
      <c r="G381" s="92" t="str">
        <f t="shared" si="38"/>
        <v>4th Floor (Part Terrace Area)</v>
      </c>
      <c r="H381" s="93"/>
      <c r="I381" s="36"/>
      <c r="L381" s="104"/>
      <c r="M381" s="104"/>
      <c r="N381" s="36"/>
    </row>
    <row r="382" spans="1:14" s="45" customFormat="1" ht="15.75" customHeight="1" x14ac:dyDescent="0.25">
      <c r="A382" s="88">
        <f t="shared" si="37"/>
        <v>6</v>
      </c>
      <c r="B382" s="89"/>
      <c r="C382" s="51" t="s">
        <v>192</v>
      </c>
      <c r="D382" s="53">
        <f>(49.15+0.9*3.05+1.5*(2.15+2.75+3.05))*(10.764)</f>
        <v>686.95847999999989</v>
      </c>
      <c r="E382" s="52">
        <v>0</v>
      </c>
      <c r="F382" s="52">
        <f>D382*(($F$351)+1)+(IF(E382&lt;101,E382,IF(E382&lt;201,E382/2,IF(E382&lt;=301,E382/3,E382/4))))</f>
        <v>1030.4377199999999</v>
      </c>
      <c r="G382" s="94" t="str">
        <f t="shared" si="38"/>
        <v>4th Floor (Part Terrace Area)</v>
      </c>
      <c r="H382" s="95"/>
      <c r="I382" s="36"/>
      <c r="L382" s="104"/>
      <c r="M382" s="104"/>
      <c r="N382" s="36"/>
    </row>
    <row r="383" spans="1:14" s="45" customFormat="1" x14ac:dyDescent="0.25">
      <c r="A383" s="99" t="s">
        <v>201</v>
      </c>
      <c r="B383" s="100"/>
      <c r="C383" s="100"/>
      <c r="D383" s="100"/>
      <c r="E383" s="100"/>
      <c r="F383" s="100"/>
      <c r="G383" s="100"/>
      <c r="H383" s="101"/>
      <c r="J383" s="36"/>
    </row>
    <row r="384" spans="1:14" s="45" customFormat="1" x14ac:dyDescent="0.25">
      <c r="A384" s="88">
        <v>1</v>
      </c>
      <c r="B384" s="89"/>
      <c r="C384" s="51" t="s">
        <v>192</v>
      </c>
      <c r="D384" s="53">
        <f>(49.15+0.9*3.05+1.5*(2.15+2.75+3.05))*(10.764)</f>
        <v>686.95847999999989</v>
      </c>
      <c r="E384" s="52">
        <v>0</v>
      </c>
      <c r="F384" s="52">
        <f>D384*(($F$351)+1)+(IF(E384&lt;101,E384,IF(E384&lt;201,E384/2,IF(E384&lt;=301,E384/3,E384/4))))</f>
        <v>1030.4377199999999</v>
      </c>
      <c r="G384" s="90" t="str">
        <f>A383</f>
        <v>5th Floor</v>
      </c>
      <c r="H384" s="91"/>
      <c r="I384" s="36"/>
      <c r="L384" s="104"/>
      <c r="M384" s="104"/>
      <c r="N384" s="36"/>
    </row>
    <row r="385" spans="1:14" s="45" customFormat="1" x14ac:dyDescent="0.25">
      <c r="A385" s="88">
        <f t="shared" ref="A385:A389" si="39">A384+1</f>
        <v>2</v>
      </c>
      <c r="B385" s="89"/>
      <c r="C385" s="51" t="s">
        <v>192</v>
      </c>
      <c r="D385" s="53">
        <f>(49.15+0.9*3.05+1.5*(2.15+2.75+3.05))*(10.764)</f>
        <v>686.95847999999989</v>
      </c>
      <c r="E385" s="52">
        <v>0</v>
      </c>
      <c r="F385" s="52">
        <f>D385*(($F$351)+1)+(IF(E385&lt;101,E385,IF(E385&lt;201,E385/2,IF(E385&lt;=301,E385/3,E385/4))))</f>
        <v>1030.4377199999999</v>
      </c>
      <c r="G385" s="92" t="str">
        <f t="shared" ref="G385:G389" si="40">G384</f>
        <v>5th Floor</v>
      </c>
      <c r="H385" s="93"/>
      <c r="I385" s="36"/>
      <c r="L385" s="104"/>
      <c r="M385" s="104"/>
      <c r="N385" s="36"/>
    </row>
    <row r="386" spans="1:14" s="45" customFormat="1" x14ac:dyDescent="0.25">
      <c r="A386" s="88">
        <f t="shared" si="39"/>
        <v>3</v>
      </c>
      <c r="B386" s="89"/>
      <c r="C386" s="51">
        <v>1</v>
      </c>
      <c r="D386" s="53">
        <f>(3*4.3+2.1*2.15+3*3.15+1.2*1.83+2.5*0.6+1.2*1.83+2.1*0.9+1.5*(3+2.1)+3*0.9)*(10.764)</f>
        <v>484.34770799999995</v>
      </c>
      <c r="E386" s="52">
        <v>0</v>
      </c>
      <c r="F386" s="52">
        <f>D386*(($F$351)+1)+(IF(E386&lt;101,E386,IF(E386&lt;201,E386/2,IF(E386&lt;=301,E386/3,E386/4))))</f>
        <v>726.5215619999999</v>
      </c>
      <c r="G386" s="92" t="str">
        <f t="shared" si="40"/>
        <v>5th Floor</v>
      </c>
      <c r="H386" s="93"/>
      <c r="I386" s="36"/>
      <c r="L386" s="104"/>
      <c r="M386" s="104"/>
      <c r="N386" s="36"/>
    </row>
    <row r="387" spans="1:14" s="45" customFormat="1" x14ac:dyDescent="0.25">
      <c r="A387" s="88">
        <f t="shared" si="39"/>
        <v>4</v>
      </c>
      <c r="B387" s="89"/>
      <c r="C387" s="51">
        <v>1</v>
      </c>
      <c r="D387" s="53">
        <f>(3*4.3+2.1*2.15+3*3.15+1.2*1.83+2.5*0.6+1.2*1.83+2.1*0.9+1.5*(3+2.1)+3*0.9)*(10.764)</f>
        <v>484.34770799999995</v>
      </c>
      <c r="E387" s="52">
        <v>0</v>
      </c>
      <c r="F387" s="52">
        <f>D387*(($F$351)+1)+(IF(E387&lt;101,E387,IF(E387&lt;201,E387/2,IF(E387&lt;=301,E387/3,E387/4))))</f>
        <v>726.5215619999999</v>
      </c>
      <c r="G387" s="92" t="str">
        <f t="shared" si="40"/>
        <v>5th Floor</v>
      </c>
      <c r="H387" s="93"/>
      <c r="I387" s="36"/>
      <c r="L387" s="104"/>
      <c r="M387" s="104"/>
      <c r="N387" s="36"/>
    </row>
    <row r="388" spans="1:14" s="45" customFormat="1" x14ac:dyDescent="0.25">
      <c r="A388" s="88">
        <f t="shared" si="39"/>
        <v>5</v>
      </c>
      <c r="B388" s="89"/>
      <c r="C388" s="96" t="s">
        <v>200</v>
      </c>
      <c r="D388" s="97"/>
      <c r="E388" s="97"/>
      <c r="F388" s="98"/>
      <c r="G388" s="92" t="str">
        <f t="shared" si="40"/>
        <v>5th Floor</v>
      </c>
      <c r="H388" s="93"/>
      <c r="I388" s="36"/>
      <c r="L388" s="104"/>
      <c r="M388" s="104"/>
      <c r="N388" s="36"/>
    </row>
    <row r="389" spans="1:14" s="45" customFormat="1" x14ac:dyDescent="0.25">
      <c r="A389" s="88">
        <f t="shared" si="39"/>
        <v>6</v>
      </c>
      <c r="B389" s="89"/>
      <c r="C389" s="51" t="s">
        <v>192</v>
      </c>
      <c r="D389" s="53">
        <f>(49.15+0.9*3.05+1.5*(2.15+2.75+3.05))*(10.764)</f>
        <v>686.95847999999989</v>
      </c>
      <c r="E389" s="52">
        <v>0</v>
      </c>
      <c r="F389" s="52">
        <f>D389*(($F$351)+1)+(IF(E389&lt;101,E389,IF(E389&lt;201,E389/2,IF(E389&lt;=301,E389/3,E389/4))))</f>
        <v>1030.4377199999999</v>
      </c>
      <c r="G389" s="94" t="str">
        <f t="shared" si="40"/>
        <v>5th Floor</v>
      </c>
      <c r="H389" s="95"/>
      <c r="I389" s="36"/>
      <c r="L389" s="104"/>
      <c r="M389" s="104"/>
      <c r="N389" s="36"/>
    </row>
    <row r="390" spans="1:14" s="45" customFormat="1" x14ac:dyDescent="0.25">
      <c r="A390" s="99" t="s">
        <v>199</v>
      </c>
      <c r="B390" s="100"/>
      <c r="C390" s="100"/>
      <c r="D390" s="100"/>
      <c r="E390" s="100"/>
      <c r="F390" s="100"/>
      <c r="G390" s="100"/>
      <c r="H390" s="101"/>
      <c r="J390" s="36"/>
    </row>
    <row r="391" spans="1:14" s="45" customFormat="1" x14ac:dyDescent="0.25">
      <c r="A391" s="88">
        <v>1</v>
      </c>
      <c r="B391" s="89"/>
      <c r="C391" s="51" t="s">
        <v>192</v>
      </c>
      <c r="D391" s="53">
        <f>(49.15+0.9*3.05+1.5*(2.15+2.75+3.05))*(10.764)</f>
        <v>686.95847999999989</v>
      </c>
      <c r="E391" s="52">
        <v>0</v>
      </c>
      <c r="F391" s="52">
        <f>D391*(($F$351)+1)+(IF(E391&lt;101,E391,IF(E391&lt;201,E391/2,IF(E391&lt;=301,E391/3,E391/4))))</f>
        <v>1030.4377199999999</v>
      </c>
      <c r="G391" s="90" t="str">
        <f>A390</f>
        <v>6th Floor</v>
      </c>
      <c r="H391" s="91"/>
      <c r="I391" s="36"/>
      <c r="L391" s="104"/>
      <c r="M391" s="104"/>
      <c r="N391" s="36"/>
    </row>
    <row r="392" spans="1:14" s="45" customFormat="1" x14ac:dyDescent="0.25">
      <c r="A392" s="88">
        <f t="shared" ref="A392:A396" si="41">A391+1</f>
        <v>2</v>
      </c>
      <c r="B392" s="89"/>
      <c r="C392" s="51" t="s">
        <v>192</v>
      </c>
      <c r="D392" s="53">
        <f>(49.15+0.9*3.05+1.5*(2.15+2.75+3.05))*(10.764)</f>
        <v>686.95847999999989</v>
      </c>
      <c r="E392" s="52">
        <v>0</v>
      </c>
      <c r="F392" s="52">
        <f>D392*(($F$351)+1)+(IF(E392&lt;101,E392,IF(E392&lt;201,E392/2,IF(E392&lt;=301,E392/3,E392/4))))</f>
        <v>1030.4377199999999</v>
      </c>
      <c r="G392" s="92" t="str">
        <f t="shared" ref="G392:G396" si="42">G391</f>
        <v>6th Floor</v>
      </c>
      <c r="H392" s="93"/>
      <c r="I392" s="36"/>
      <c r="L392" s="104"/>
      <c r="M392" s="104"/>
      <c r="N392" s="36"/>
    </row>
    <row r="393" spans="1:14" s="45" customFormat="1" x14ac:dyDescent="0.25">
      <c r="A393" s="88">
        <f t="shared" si="41"/>
        <v>3</v>
      </c>
      <c r="B393" s="89"/>
      <c r="C393" s="51">
        <v>1</v>
      </c>
      <c r="D393" s="53">
        <f>(3*4.3+2.1*2.15+3*3.15+1.2*1.83+2.5*0.6+1.2*1.83+2.1*0.9+1.5*(3+2.1)+3*0.9)*(10.764)</f>
        <v>484.34770799999995</v>
      </c>
      <c r="E393" s="52">
        <v>0</v>
      </c>
      <c r="F393" s="52">
        <f>D393*(($F$351)+1)+(IF(E393&lt;101,E393,IF(E393&lt;201,E393/2,IF(E393&lt;=301,E393/3,E393/4))))</f>
        <v>726.5215619999999</v>
      </c>
      <c r="G393" s="92" t="str">
        <f t="shared" si="42"/>
        <v>6th Floor</v>
      </c>
      <c r="H393" s="93"/>
      <c r="I393" s="36"/>
      <c r="L393" s="104"/>
      <c r="M393" s="104"/>
      <c r="N393" s="36"/>
    </row>
    <row r="394" spans="1:14" s="45" customFormat="1" x14ac:dyDescent="0.25">
      <c r="A394" s="88">
        <f t="shared" si="41"/>
        <v>4</v>
      </c>
      <c r="B394" s="89"/>
      <c r="C394" s="51">
        <v>1</v>
      </c>
      <c r="D394" s="53">
        <f>(3*4.3+2.1*2.15+3*3.15+1.2*1.83+2.5*0.6+1.2*1.83+2.1*0.9+1.5*(3+2.1)+3*0.9)*(10.764)</f>
        <v>484.34770799999995</v>
      </c>
      <c r="E394" s="52">
        <v>0</v>
      </c>
      <c r="F394" s="52">
        <f>D394*(($F$351)+1)+(IF(E394&lt;101,E394,IF(E394&lt;201,E394/2,IF(E394&lt;=301,E394/3,E394/4))))</f>
        <v>726.5215619999999</v>
      </c>
      <c r="G394" s="92" t="str">
        <f t="shared" si="42"/>
        <v>6th Floor</v>
      </c>
      <c r="H394" s="93"/>
      <c r="I394" s="36"/>
      <c r="L394" s="104"/>
      <c r="M394" s="104"/>
      <c r="N394" s="36"/>
    </row>
    <row r="395" spans="1:14" s="45" customFormat="1" x14ac:dyDescent="0.25">
      <c r="A395" s="88">
        <f t="shared" si="41"/>
        <v>5</v>
      </c>
      <c r="B395" s="89"/>
      <c r="C395" s="96" t="s">
        <v>200</v>
      </c>
      <c r="D395" s="97"/>
      <c r="E395" s="97"/>
      <c r="F395" s="98"/>
      <c r="G395" s="92" t="str">
        <f t="shared" si="42"/>
        <v>6th Floor</v>
      </c>
      <c r="H395" s="93"/>
      <c r="I395" s="36"/>
      <c r="L395" s="104"/>
      <c r="M395" s="104"/>
      <c r="N395" s="36"/>
    </row>
    <row r="396" spans="1:14" s="45" customFormat="1" x14ac:dyDescent="0.25">
      <c r="A396" s="88">
        <f t="shared" si="41"/>
        <v>6</v>
      </c>
      <c r="B396" s="89"/>
      <c r="C396" s="51" t="s">
        <v>192</v>
      </c>
      <c r="D396" s="53">
        <f>(49.15+0.9*3.05+1.5*(2.15+2.75+3.05))*(10.764)</f>
        <v>686.95847999999989</v>
      </c>
      <c r="E396" s="52">
        <v>0</v>
      </c>
      <c r="F396" s="52">
        <f>D396*(($F$351)+1)+(IF(E396&lt;101,E396,IF(E396&lt;201,E396/2,IF(E396&lt;=301,E396/3,E396/4))))</f>
        <v>1030.4377199999999</v>
      </c>
      <c r="G396" s="94" t="str">
        <f t="shared" si="42"/>
        <v>6th Floor</v>
      </c>
      <c r="H396" s="95"/>
      <c r="I396" s="36"/>
      <c r="L396" s="104"/>
      <c r="M396" s="104"/>
      <c r="N396" s="36"/>
    </row>
    <row r="397" spans="1:14" s="45" customFormat="1" x14ac:dyDescent="0.25">
      <c r="A397" s="99" t="s">
        <v>196</v>
      </c>
      <c r="B397" s="100"/>
      <c r="C397" s="100"/>
      <c r="D397" s="100"/>
      <c r="E397" s="100"/>
      <c r="F397" s="100"/>
      <c r="G397" s="100"/>
      <c r="H397" s="101"/>
      <c r="J397" s="36"/>
    </row>
    <row r="398" spans="1:14" s="45" customFormat="1" ht="15.75" customHeight="1" x14ac:dyDescent="0.25">
      <c r="A398" s="88">
        <v>1</v>
      </c>
      <c r="B398" s="89"/>
      <c r="C398" s="51" t="s">
        <v>192</v>
      </c>
      <c r="D398" s="53">
        <f>(49.15+1.5*(3.05+2.15+2.76)+0.9*3.05)*(10.764)</f>
        <v>687.11993999999993</v>
      </c>
      <c r="E398" s="52">
        <v>0</v>
      </c>
      <c r="F398" s="52">
        <f t="shared" ref="F398:F403" si="43">D398*(($F$351)+1)+(IF(E398&lt;101,E398,IF(E398&lt;201,E398/2,IF(E398&lt;=301,E398/3,E398/4))))</f>
        <v>1030.6799099999998</v>
      </c>
      <c r="G398" s="90" t="str">
        <f>A397</f>
        <v>7th, 17th Floor (Part Refuge Area)</v>
      </c>
      <c r="H398" s="91"/>
      <c r="I398" s="36"/>
      <c r="L398" s="104"/>
      <c r="M398" s="104"/>
      <c r="N398" s="36"/>
    </row>
    <row r="399" spans="1:14" s="45" customFormat="1" ht="15.75" customHeight="1" x14ac:dyDescent="0.25">
      <c r="A399" s="88">
        <f t="shared" ref="A399:A403" si="44">A398+1</f>
        <v>2</v>
      </c>
      <c r="B399" s="89"/>
      <c r="C399" s="51" t="s">
        <v>192</v>
      </c>
      <c r="D399" s="53">
        <f>(49.15+1.5*(3.05+2.15+2.76)+0.9*3.05)*(10.764)</f>
        <v>687.11993999999993</v>
      </c>
      <c r="E399" s="52">
        <v>0</v>
      </c>
      <c r="F399" s="52">
        <f t="shared" si="43"/>
        <v>1030.6799099999998</v>
      </c>
      <c r="G399" s="92" t="str">
        <f t="shared" ref="G399:G403" si="45">G398</f>
        <v>7th, 17th Floor (Part Refuge Area)</v>
      </c>
      <c r="H399" s="93"/>
      <c r="I399" s="36"/>
      <c r="L399" s="104"/>
      <c r="M399" s="104"/>
      <c r="N399" s="36"/>
    </row>
    <row r="400" spans="1:14" s="45" customFormat="1" ht="15.75" customHeight="1" x14ac:dyDescent="0.25">
      <c r="A400" s="88">
        <f t="shared" si="44"/>
        <v>3</v>
      </c>
      <c r="B400" s="89"/>
      <c r="C400" s="51">
        <v>1</v>
      </c>
      <c r="D400" s="53">
        <f>(3*4.3+2.1*2.15+3*3.15+1.2*1.83+2.5*0.6+1.2*1.83+2.1*0.9+1.5*(3+2.1)+3*0.9)*(10.764)</f>
        <v>484.34770799999995</v>
      </c>
      <c r="E400" s="52">
        <v>0</v>
      </c>
      <c r="F400" s="52">
        <f t="shared" si="43"/>
        <v>726.5215619999999</v>
      </c>
      <c r="G400" s="92" t="str">
        <f t="shared" si="45"/>
        <v>7th, 17th Floor (Part Refuge Area)</v>
      </c>
      <c r="H400" s="93"/>
      <c r="I400" s="36"/>
      <c r="L400" s="104"/>
      <c r="M400" s="104"/>
      <c r="N400" s="36"/>
    </row>
    <row r="401" spans="1:14" s="45" customFormat="1" ht="15.75" customHeight="1" x14ac:dyDescent="0.25">
      <c r="A401" s="88">
        <f t="shared" si="44"/>
        <v>4</v>
      </c>
      <c r="B401" s="89"/>
      <c r="C401" s="51">
        <v>1</v>
      </c>
      <c r="D401" s="53">
        <f>(3*4.3+2.1*2.15+3*3.15+1.2*1.83+2.5*0.6+1.2*1.83+2.1*0.9+1.5*(3+2.1)+3*0.9)*(10.764)</f>
        <v>484.34770799999995</v>
      </c>
      <c r="E401" s="52">
        <v>0</v>
      </c>
      <c r="F401" s="52">
        <f t="shared" si="43"/>
        <v>726.5215619999999</v>
      </c>
      <c r="G401" s="92" t="str">
        <f t="shared" si="45"/>
        <v>7th, 17th Floor (Part Refuge Area)</v>
      </c>
      <c r="H401" s="93"/>
      <c r="I401" s="36"/>
      <c r="L401" s="104"/>
      <c r="M401" s="104"/>
      <c r="N401" s="36"/>
    </row>
    <row r="402" spans="1:14" s="45" customFormat="1" ht="15.75" customHeight="1" x14ac:dyDescent="0.25">
      <c r="A402" s="88">
        <f t="shared" si="44"/>
        <v>5</v>
      </c>
      <c r="B402" s="89"/>
      <c r="C402" s="51" t="s">
        <v>192</v>
      </c>
      <c r="D402" s="53">
        <f>(49.15+1.5*(3.05+2.15+2.76)+0.9*3.05)*(10.764)</f>
        <v>687.11993999999993</v>
      </c>
      <c r="E402" s="52">
        <v>0</v>
      </c>
      <c r="F402" s="52">
        <f t="shared" si="43"/>
        <v>1030.6799099999998</v>
      </c>
      <c r="G402" s="92" t="str">
        <f t="shared" si="45"/>
        <v>7th, 17th Floor (Part Refuge Area)</v>
      </c>
      <c r="H402" s="93"/>
      <c r="I402" s="36"/>
      <c r="L402" s="104"/>
      <c r="M402" s="104"/>
      <c r="N402" s="36"/>
    </row>
    <row r="403" spans="1:14" s="45" customFormat="1" ht="15.75" customHeight="1" x14ac:dyDescent="0.25">
      <c r="A403" s="88">
        <f t="shared" si="44"/>
        <v>6</v>
      </c>
      <c r="B403" s="89"/>
      <c r="C403" s="51" t="s">
        <v>192</v>
      </c>
      <c r="D403" s="53">
        <f>(49.15+1.5*(3.05+2.15+2.76)+0.9*3.05)*(10.764)</f>
        <v>687.11993999999993</v>
      </c>
      <c r="E403" s="52">
        <v>0</v>
      </c>
      <c r="F403" s="52">
        <f t="shared" si="43"/>
        <v>1030.6799099999998</v>
      </c>
      <c r="G403" s="94" t="str">
        <f t="shared" si="45"/>
        <v>7th, 17th Floor (Part Refuge Area)</v>
      </c>
      <c r="H403" s="95"/>
      <c r="I403" s="36"/>
      <c r="L403" s="104"/>
      <c r="M403" s="104"/>
      <c r="N403" s="36"/>
    </row>
    <row r="404" spans="1:14" s="45" customFormat="1" x14ac:dyDescent="0.25">
      <c r="A404" s="99" t="s">
        <v>194</v>
      </c>
      <c r="B404" s="100"/>
      <c r="C404" s="100"/>
      <c r="D404" s="100"/>
      <c r="E404" s="100"/>
      <c r="F404" s="100"/>
      <c r="G404" s="100"/>
      <c r="H404" s="101"/>
      <c r="J404" s="36"/>
    </row>
    <row r="405" spans="1:14" s="45" customFormat="1" ht="15.75" customHeight="1" x14ac:dyDescent="0.25">
      <c r="A405" s="88">
        <v>1</v>
      </c>
      <c r="B405" s="89"/>
      <c r="C405" s="51" t="s">
        <v>192</v>
      </c>
      <c r="D405" s="53">
        <f>(49.15+0.9*3.05+1.5*(2.15+2.75+3.05))*(10.764)</f>
        <v>686.95847999999989</v>
      </c>
      <c r="E405" s="52">
        <v>0</v>
      </c>
      <c r="F405" s="52">
        <f t="shared" ref="F405:F410" si="46">D405*(($F$351)+1)+(IF(E405&lt;101,E405,IF(E405&lt;201,E405/2,IF(E405&lt;=301,E405/3,E405/4))))</f>
        <v>1030.4377199999999</v>
      </c>
      <c r="G405" s="90" t="str">
        <f>A404</f>
        <v>12th Floor (Part Refuge Area)</v>
      </c>
      <c r="H405" s="91"/>
      <c r="I405" s="36"/>
      <c r="L405" s="104"/>
      <c r="M405" s="104"/>
      <c r="N405" s="36"/>
    </row>
    <row r="406" spans="1:14" s="45" customFormat="1" ht="15.75" customHeight="1" x14ac:dyDescent="0.25">
      <c r="A406" s="88">
        <f t="shared" ref="A406:A410" si="47">A405+1</f>
        <v>2</v>
      </c>
      <c r="B406" s="89"/>
      <c r="C406" s="51" t="s">
        <v>192</v>
      </c>
      <c r="D406" s="53">
        <f>(49.15+0.9*3.05+1.5*(2.15+2.75+3.05))*(10.764)</f>
        <v>686.95847999999989</v>
      </c>
      <c r="E406" s="52">
        <v>0</v>
      </c>
      <c r="F406" s="52">
        <f t="shared" si="46"/>
        <v>1030.4377199999999</v>
      </c>
      <c r="G406" s="92" t="str">
        <f t="shared" ref="G406:G410" si="48">G405</f>
        <v>12th Floor (Part Refuge Area)</v>
      </c>
      <c r="H406" s="93"/>
      <c r="I406" s="36"/>
      <c r="L406" s="104"/>
      <c r="M406" s="104"/>
      <c r="N406" s="36"/>
    </row>
    <row r="407" spans="1:14" s="45" customFormat="1" ht="15.75" customHeight="1" x14ac:dyDescent="0.25">
      <c r="A407" s="88">
        <f t="shared" si="47"/>
        <v>3</v>
      </c>
      <c r="B407" s="89"/>
      <c r="C407" s="51">
        <v>1</v>
      </c>
      <c r="D407" s="53">
        <f>(3*4.3+2.1*2.15+3*3.15+1.2*1.83+2.5*0.6+1.2*1.83+2.1*0.9+1.5*(3+2.1)+3*0.9)*(10.764)</f>
        <v>484.34770799999995</v>
      </c>
      <c r="E407" s="52">
        <v>0</v>
      </c>
      <c r="F407" s="52">
        <f t="shared" si="46"/>
        <v>726.5215619999999</v>
      </c>
      <c r="G407" s="92" t="str">
        <f t="shared" si="48"/>
        <v>12th Floor (Part Refuge Area)</v>
      </c>
      <c r="H407" s="93"/>
      <c r="I407" s="36"/>
      <c r="L407" s="104"/>
      <c r="M407" s="104"/>
      <c r="N407" s="36"/>
    </row>
    <row r="408" spans="1:14" s="45" customFormat="1" ht="15.75" customHeight="1" x14ac:dyDescent="0.25">
      <c r="A408" s="88">
        <f t="shared" si="47"/>
        <v>4</v>
      </c>
      <c r="B408" s="89"/>
      <c r="C408" s="51">
        <v>1</v>
      </c>
      <c r="D408" s="53">
        <f>(3*4.3+2.1*2.15+3*3.15+1.2*1.83+2.5*0.6+1.2*1.83+2.1*0.9+1.5*(3+2.1)+3*0.9)*(10.764)</f>
        <v>484.34770799999995</v>
      </c>
      <c r="E408" s="52">
        <v>0</v>
      </c>
      <c r="F408" s="52">
        <f t="shared" si="46"/>
        <v>726.5215619999999</v>
      </c>
      <c r="G408" s="92" t="str">
        <f t="shared" si="48"/>
        <v>12th Floor (Part Refuge Area)</v>
      </c>
      <c r="H408" s="93"/>
      <c r="I408" s="36"/>
      <c r="L408" s="104"/>
      <c r="M408" s="104"/>
      <c r="N408" s="36"/>
    </row>
    <row r="409" spans="1:14" s="45" customFormat="1" ht="15.75" customHeight="1" x14ac:dyDescent="0.25">
      <c r="A409" s="88">
        <f t="shared" si="47"/>
        <v>5</v>
      </c>
      <c r="B409" s="89"/>
      <c r="C409" s="51" t="s">
        <v>192</v>
      </c>
      <c r="D409" s="53">
        <f>(49.15+0.9*3.05+1.5*(2.15+2.75+3.05))*(10.764)</f>
        <v>686.95847999999989</v>
      </c>
      <c r="E409" s="52">
        <v>0</v>
      </c>
      <c r="F409" s="52">
        <f t="shared" si="46"/>
        <v>1030.4377199999999</v>
      </c>
      <c r="G409" s="92" t="str">
        <f t="shared" si="48"/>
        <v>12th Floor (Part Refuge Area)</v>
      </c>
      <c r="H409" s="93"/>
      <c r="I409" s="36"/>
      <c r="L409" s="104"/>
      <c r="M409" s="104"/>
      <c r="N409" s="36"/>
    </row>
    <row r="410" spans="1:14" s="45" customFormat="1" ht="15.75" customHeight="1" x14ac:dyDescent="0.25">
      <c r="A410" s="88">
        <f t="shared" si="47"/>
        <v>6</v>
      </c>
      <c r="B410" s="89"/>
      <c r="C410" s="51" t="s">
        <v>192</v>
      </c>
      <c r="D410" s="53">
        <f>(49.15+0.9*3.05+1.5*(2.15+2.75+3.05))*(10.764)</f>
        <v>686.95847999999989</v>
      </c>
      <c r="E410" s="52">
        <v>0</v>
      </c>
      <c r="F410" s="52">
        <f t="shared" si="46"/>
        <v>1030.4377199999999</v>
      </c>
      <c r="G410" s="94" t="str">
        <f t="shared" si="48"/>
        <v>12th Floor (Part Refuge Area)</v>
      </c>
      <c r="H410" s="95"/>
      <c r="I410" s="36"/>
      <c r="L410" s="104"/>
      <c r="M410" s="104"/>
      <c r="N410" s="36"/>
    </row>
    <row r="411" spans="1:14" s="45" customFormat="1" x14ac:dyDescent="0.25">
      <c r="A411" s="99" t="s">
        <v>203</v>
      </c>
      <c r="B411" s="100"/>
      <c r="C411" s="100"/>
      <c r="D411" s="100"/>
      <c r="E411" s="100"/>
      <c r="F411" s="100"/>
      <c r="G411" s="100"/>
      <c r="H411" s="101"/>
      <c r="J411" s="36"/>
    </row>
    <row r="412" spans="1:14" s="45" customFormat="1" ht="15.75" customHeight="1" x14ac:dyDescent="0.25">
      <c r="A412" s="88">
        <v>1</v>
      </c>
      <c r="B412" s="89"/>
      <c r="C412" s="51" t="s">
        <v>192</v>
      </c>
      <c r="D412" s="53">
        <f>(49.15+1.5*(3.05+2.15+2.76)+0.9*3.05)*(10.764)</f>
        <v>687.11993999999993</v>
      </c>
      <c r="E412" s="52">
        <v>0</v>
      </c>
      <c r="F412" s="52">
        <f t="shared" ref="F412:F417" si="49">D412*(($F$351)+1)+(IF(E412&lt;101,E412,IF(E412&lt;201,E412/2,IF(E412&lt;=301,E412/3,E412/4))))</f>
        <v>1030.6799099999998</v>
      </c>
      <c r="G412" s="90" t="str">
        <f>A411</f>
        <v>13th Floor (Part Terrace Area)</v>
      </c>
      <c r="H412" s="91"/>
      <c r="I412" s="36"/>
      <c r="L412" s="104"/>
      <c r="M412" s="104"/>
      <c r="N412" s="36"/>
    </row>
    <row r="413" spans="1:14" s="45" customFormat="1" ht="15.75" customHeight="1" x14ac:dyDescent="0.25">
      <c r="A413" s="88">
        <f t="shared" ref="A413:A417" si="50">A412+1</f>
        <v>2</v>
      </c>
      <c r="B413" s="89"/>
      <c r="C413" s="96" t="s">
        <v>197</v>
      </c>
      <c r="D413" s="97"/>
      <c r="E413" s="97"/>
      <c r="F413" s="98"/>
      <c r="G413" s="92" t="str">
        <f t="shared" ref="G413:G417" si="51">G412</f>
        <v>13th Floor (Part Terrace Area)</v>
      </c>
      <c r="H413" s="93"/>
      <c r="I413" s="36"/>
      <c r="L413" s="104"/>
      <c r="M413" s="104"/>
      <c r="N413" s="36"/>
    </row>
    <row r="414" spans="1:14" s="45" customFormat="1" ht="15.75" customHeight="1" x14ac:dyDescent="0.25">
      <c r="A414" s="88">
        <f t="shared" si="50"/>
        <v>3</v>
      </c>
      <c r="B414" s="89"/>
      <c r="C414" s="51">
        <v>1</v>
      </c>
      <c r="D414" s="53">
        <f>(3*4.3+2.1*2.15+3*3.15+1.2*1.83+2.5*0.6+1.2*1.83+2.1*0.9+1.5*(3+2.1)+3*0.9)*(10.764)</f>
        <v>484.34770799999995</v>
      </c>
      <c r="E414" s="52">
        <v>0</v>
      </c>
      <c r="F414" s="52">
        <f t="shared" si="49"/>
        <v>726.5215619999999</v>
      </c>
      <c r="G414" s="92" t="str">
        <f t="shared" si="51"/>
        <v>13th Floor (Part Terrace Area)</v>
      </c>
      <c r="H414" s="93"/>
      <c r="I414" s="36"/>
      <c r="L414" s="104"/>
      <c r="M414" s="104"/>
      <c r="N414" s="36"/>
    </row>
    <row r="415" spans="1:14" s="45" customFormat="1" ht="15.75" customHeight="1" x14ac:dyDescent="0.25">
      <c r="A415" s="88">
        <f t="shared" si="50"/>
        <v>4</v>
      </c>
      <c r="B415" s="89"/>
      <c r="C415" s="51">
        <v>1</v>
      </c>
      <c r="D415" s="53">
        <f>(3*4.3+2.1*2.15+3*3.15+1.2*1.83+2.5*0.6+1.2*1.83+2.1*0.9+1.5*(3+2.1)+3*0.9)*(10.764)</f>
        <v>484.34770799999995</v>
      </c>
      <c r="E415" s="52">
        <v>0</v>
      </c>
      <c r="F415" s="52">
        <f t="shared" si="49"/>
        <v>726.5215619999999</v>
      </c>
      <c r="G415" s="92" t="str">
        <f t="shared" si="51"/>
        <v>13th Floor (Part Terrace Area)</v>
      </c>
      <c r="H415" s="93"/>
      <c r="I415" s="36"/>
      <c r="L415" s="104"/>
      <c r="M415" s="104"/>
      <c r="N415" s="36"/>
    </row>
    <row r="416" spans="1:14" s="45" customFormat="1" ht="15.75" customHeight="1" x14ac:dyDescent="0.25">
      <c r="A416" s="88">
        <f t="shared" si="50"/>
        <v>5</v>
      </c>
      <c r="B416" s="89"/>
      <c r="C416" s="51" t="s">
        <v>192</v>
      </c>
      <c r="D416" s="53">
        <f>(49.15+1.5*(3.05+2.15+2.76)+0.9*3.05)*(10.764)</f>
        <v>687.11993999999993</v>
      </c>
      <c r="E416" s="52">
        <v>0</v>
      </c>
      <c r="F416" s="52">
        <f t="shared" si="49"/>
        <v>1030.6799099999998</v>
      </c>
      <c r="G416" s="92" t="str">
        <f t="shared" si="51"/>
        <v>13th Floor (Part Terrace Area)</v>
      </c>
      <c r="H416" s="93"/>
      <c r="I416" s="36"/>
      <c r="L416" s="104"/>
      <c r="M416" s="104"/>
      <c r="N416" s="36"/>
    </row>
    <row r="417" spans="1:14" s="45" customFormat="1" ht="15.75" customHeight="1" x14ac:dyDescent="0.25">
      <c r="A417" s="88">
        <f t="shared" si="50"/>
        <v>6</v>
      </c>
      <c r="B417" s="89"/>
      <c r="C417" s="51" t="s">
        <v>192</v>
      </c>
      <c r="D417" s="53">
        <f>(49.15+1.5*(3.05+2.15+2.76)+0.9*3.05)*(10.764)</f>
        <v>687.11993999999993</v>
      </c>
      <c r="E417" s="52">
        <v>0</v>
      </c>
      <c r="F417" s="52">
        <f t="shared" si="49"/>
        <v>1030.6799099999998</v>
      </c>
      <c r="G417" s="94" t="str">
        <f t="shared" si="51"/>
        <v>13th Floor (Part Terrace Area)</v>
      </c>
      <c r="H417" s="95"/>
      <c r="I417" s="36"/>
      <c r="L417" s="104"/>
      <c r="M417" s="104"/>
      <c r="N417" s="36"/>
    </row>
    <row r="418" spans="1:14" s="45" customFormat="1" x14ac:dyDescent="0.25">
      <c r="A418" s="99" t="s">
        <v>204</v>
      </c>
      <c r="B418" s="100"/>
      <c r="C418" s="100"/>
      <c r="D418" s="100"/>
      <c r="E418" s="100"/>
      <c r="F418" s="100"/>
      <c r="G418" s="100"/>
      <c r="H418" s="101"/>
      <c r="J418" s="36"/>
    </row>
    <row r="419" spans="1:14" s="45" customFormat="1" x14ac:dyDescent="0.25">
      <c r="A419" s="88">
        <v>1</v>
      </c>
      <c r="B419" s="89"/>
      <c r="C419" s="51" t="s">
        <v>192</v>
      </c>
      <c r="D419" s="53">
        <f>(49.15+1.5*(3.05+2.15+2.76)+0.9*3.05)*(10.764)</f>
        <v>687.11993999999993</v>
      </c>
      <c r="E419" s="52">
        <v>0</v>
      </c>
      <c r="F419" s="52">
        <f t="shared" ref="F419" si="52">D419*(($F$351)+1)+(IF(E419&lt;101,E419,IF(E419&lt;201,E419/2,IF(E419&lt;=301,E419/3,E419/4))))</f>
        <v>1030.6799099999998</v>
      </c>
      <c r="G419" s="90" t="str">
        <f>A418</f>
        <v>14th Floor</v>
      </c>
      <c r="H419" s="91"/>
      <c r="I419" s="36"/>
      <c r="L419" s="104"/>
      <c r="M419" s="104"/>
      <c r="N419" s="36"/>
    </row>
    <row r="420" spans="1:14" s="45" customFormat="1" x14ac:dyDescent="0.25">
      <c r="A420" s="88">
        <f t="shared" ref="A420:A424" si="53">A419+1</f>
        <v>2</v>
      </c>
      <c r="B420" s="89"/>
      <c r="C420" s="96" t="s">
        <v>200</v>
      </c>
      <c r="D420" s="97"/>
      <c r="E420" s="97"/>
      <c r="F420" s="98"/>
      <c r="G420" s="92" t="str">
        <f t="shared" ref="G420:G424" si="54">G419</f>
        <v>14th Floor</v>
      </c>
      <c r="H420" s="93"/>
      <c r="I420" s="36"/>
      <c r="L420" s="104"/>
      <c r="M420" s="104"/>
      <c r="N420" s="36"/>
    </row>
    <row r="421" spans="1:14" s="45" customFormat="1" x14ac:dyDescent="0.25">
      <c r="A421" s="88">
        <f t="shared" si="53"/>
        <v>3</v>
      </c>
      <c r="B421" s="89"/>
      <c r="C421" s="51">
        <v>1</v>
      </c>
      <c r="D421" s="53">
        <f>(3*4.3+2.1*2.15+3*3.15+1.2*1.83+2.5*0.6+1.2*1.83+2.1*0.9+1.5*(3+2.1)+3*0.9)*(10.764)</f>
        <v>484.34770799999995</v>
      </c>
      <c r="E421" s="52">
        <v>0</v>
      </c>
      <c r="F421" s="52">
        <f t="shared" ref="F421:F424" si="55">D421*(($F$351)+1)+(IF(E421&lt;101,E421,IF(E421&lt;201,E421/2,IF(E421&lt;=301,E421/3,E421/4))))</f>
        <v>726.5215619999999</v>
      </c>
      <c r="G421" s="92" t="str">
        <f t="shared" si="54"/>
        <v>14th Floor</v>
      </c>
      <c r="H421" s="93"/>
      <c r="I421" s="36"/>
      <c r="L421" s="104"/>
      <c r="M421" s="104"/>
      <c r="N421" s="36"/>
    </row>
    <row r="422" spans="1:14" s="45" customFormat="1" x14ac:dyDescent="0.25">
      <c r="A422" s="88">
        <f t="shared" si="53"/>
        <v>4</v>
      </c>
      <c r="B422" s="89"/>
      <c r="C422" s="51">
        <v>1</v>
      </c>
      <c r="D422" s="53">
        <f>(3*4.3+2.1*2.15+3*3.15+1.2*1.83+2.5*0.6+1.2*1.83+2.1*0.9+1.5*(3+2.1)+3*0.9)*(10.764)</f>
        <v>484.34770799999995</v>
      </c>
      <c r="E422" s="52">
        <v>0</v>
      </c>
      <c r="F422" s="52">
        <f t="shared" si="55"/>
        <v>726.5215619999999</v>
      </c>
      <c r="G422" s="92" t="str">
        <f t="shared" si="54"/>
        <v>14th Floor</v>
      </c>
      <c r="H422" s="93"/>
      <c r="I422" s="36"/>
      <c r="L422" s="104"/>
      <c r="M422" s="104"/>
      <c r="N422" s="36"/>
    </row>
    <row r="423" spans="1:14" s="45" customFormat="1" x14ac:dyDescent="0.25">
      <c r="A423" s="88">
        <f t="shared" si="53"/>
        <v>5</v>
      </c>
      <c r="B423" s="89"/>
      <c r="C423" s="51" t="s">
        <v>192</v>
      </c>
      <c r="D423" s="53">
        <f>(49.15+1.5*(3.05+2.15+2.76)+0.9*3.05)*(10.764)</f>
        <v>687.11993999999993</v>
      </c>
      <c r="E423" s="52">
        <v>0</v>
      </c>
      <c r="F423" s="52">
        <f t="shared" si="55"/>
        <v>1030.6799099999998</v>
      </c>
      <c r="G423" s="92" t="str">
        <f t="shared" si="54"/>
        <v>14th Floor</v>
      </c>
      <c r="H423" s="93"/>
      <c r="I423" s="36"/>
      <c r="L423" s="104"/>
      <c r="M423" s="104"/>
      <c r="N423" s="36"/>
    </row>
    <row r="424" spans="1:14" s="45" customFormat="1" x14ac:dyDescent="0.25">
      <c r="A424" s="88">
        <f t="shared" si="53"/>
        <v>6</v>
      </c>
      <c r="B424" s="89"/>
      <c r="C424" s="51" t="s">
        <v>192</v>
      </c>
      <c r="D424" s="53">
        <f>(49.15+1.5*(3.05+2.15+2.76)+0.9*3.05)*(10.764)</f>
        <v>687.11993999999993</v>
      </c>
      <c r="E424" s="52">
        <v>0</v>
      </c>
      <c r="F424" s="52">
        <f t="shared" si="55"/>
        <v>1030.6799099999998</v>
      </c>
      <c r="G424" s="94" t="str">
        <f t="shared" si="54"/>
        <v>14th Floor</v>
      </c>
      <c r="H424" s="95"/>
      <c r="I424" s="36"/>
      <c r="L424" s="104"/>
      <c r="M424" s="104"/>
      <c r="N424" s="36"/>
    </row>
    <row r="425" spans="1:14" s="45" customFormat="1" x14ac:dyDescent="0.25">
      <c r="A425" s="99" t="s">
        <v>205</v>
      </c>
      <c r="B425" s="100"/>
      <c r="C425" s="100"/>
      <c r="D425" s="100"/>
      <c r="E425" s="100"/>
      <c r="F425" s="100"/>
      <c r="G425" s="100"/>
      <c r="H425" s="101"/>
      <c r="J425" s="36"/>
    </row>
    <row r="426" spans="1:14" s="45" customFormat="1" x14ac:dyDescent="0.25">
      <c r="A426" s="88">
        <v>1</v>
      </c>
      <c r="B426" s="89"/>
      <c r="C426" s="51" t="s">
        <v>192</v>
      </c>
      <c r="D426" s="53">
        <f>(49.15+1.5*(3.05+2.15+2.76)+0.9*3.05)*(10.764)</f>
        <v>687.11993999999993</v>
      </c>
      <c r="E426" s="52">
        <v>0</v>
      </c>
      <c r="F426" s="52">
        <f t="shared" ref="F426" si="56">D426*(($F$351)+1)+(IF(E426&lt;101,E426,IF(E426&lt;201,E426/2,IF(E426&lt;=301,E426/3,E426/4))))</f>
        <v>1030.6799099999998</v>
      </c>
      <c r="G426" s="90" t="str">
        <f>A425</f>
        <v>15th Floor</v>
      </c>
      <c r="H426" s="91"/>
      <c r="I426" s="36"/>
      <c r="L426" s="104"/>
      <c r="M426" s="104"/>
      <c r="N426" s="36"/>
    </row>
    <row r="427" spans="1:14" s="45" customFormat="1" x14ac:dyDescent="0.25">
      <c r="A427" s="88">
        <f t="shared" ref="A427:A431" si="57">A426+1</f>
        <v>2</v>
      </c>
      <c r="B427" s="89"/>
      <c r="C427" s="96" t="s">
        <v>200</v>
      </c>
      <c r="D427" s="97"/>
      <c r="E427" s="97"/>
      <c r="F427" s="98"/>
      <c r="G427" s="92" t="str">
        <f t="shared" ref="G427:G431" si="58">G426</f>
        <v>15th Floor</v>
      </c>
      <c r="H427" s="93"/>
      <c r="I427" s="36"/>
      <c r="L427" s="104"/>
      <c r="M427" s="104"/>
      <c r="N427" s="36"/>
    </row>
    <row r="428" spans="1:14" s="45" customFormat="1" x14ac:dyDescent="0.25">
      <c r="A428" s="88">
        <f t="shared" si="57"/>
        <v>3</v>
      </c>
      <c r="B428" s="89"/>
      <c r="C428" s="51">
        <v>1</v>
      </c>
      <c r="D428" s="53">
        <f>(3*4.3+2.1*2.15+3*3.15+1.2*1.83+2.5*0.6+1.2*1.83+2.1*0.9+1.5*(3+2.1)+3*0.9)*(10.764)</f>
        <v>484.34770799999995</v>
      </c>
      <c r="E428" s="52">
        <v>0</v>
      </c>
      <c r="F428" s="52">
        <f t="shared" ref="F428:F431" si="59">D428*(($F$351)+1)+(IF(E428&lt;101,E428,IF(E428&lt;201,E428/2,IF(E428&lt;=301,E428/3,E428/4))))</f>
        <v>726.5215619999999</v>
      </c>
      <c r="G428" s="92" t="str">
        <f t="shared" si="58"/>
        <v>15th Floor</v>
      </c>
      <c r="H428" s="93"/>
      <c r="I428" s="36"/>
      <c r="L428" s="104"/>
      <c r="M428" s="104"/>
      <c r="N428" s="36"/>
    </row>
    <row r="429" spans="1:14" s="45" customFormat="1" x14ac:dyDescent="0.25">
      <c r="A429" s="88">
        <f t="shared" si="57"/>
        <v>4</v>
      </c>
      <c r="B429" s="89"/>
      <c r="C429" s="51">
        <v>1</v>
      </c>
      <c r="D429" s="53">
        <f>(3*4.3+2.1*2.15+3*3.15+1.2*1.83+2.5*0.6+1.2*1.83+2.1*0.9+1.5*(3+2.1)+3*0.9)*(10.764)</f>
        <v>484.34770799999995</v>
      </c>
      <c r="E429" s="52">
        <v>0</v>
      </c>
      <c r="F429" s="52">
        <f t="shared" si="59"/>
        <v>726.5215619999999</v>
      </c>
      <c r="G429" s="92" t="str">
        <f t="shared" si="58"/>
        <v>15th Floor</v>
      </c>
      <c r="H429" s="93"/>
      <c r="I429" s="36"/>
      <c r="L429" s="104"/>
      <c r="M429" s="104"/>
      <c r="N429" s="36"/>
    </row>
    <row r="430" spans="1:14" s="45" customFormat="1" x14ac:dyDescent="0.25">
      <c r="A430" s="88">
        <f t="shared" si="57"/>
        <v>5</v>
      </c>
      <c r="B430" s="89"/>
      <c r="C430" s="51" t="s">
        <v>192</v>
      </c>
      <c r="D430" s="53">
        <f>(49.15+1.5*(3.05+2.15+2.76)+0.9*3.05)*(10.764)</f>
        <v>687.11993999999993</v>
      </c>
      <c r="E430" s="52">
        <v>0</v>
      </c>
      <c r="F430" s="52">
        <f t="shared" si="59"/>
        <v>1030.6799099999998</v>
      </c>
      <c r="G430" s="92" t="str">
        <f t="shared" si="58"/>
        <v>15th Floor</v>
      </c>
      <c r="H430" s="93"/>
      <c r="I430" s="36"/>
      <c r="L430" s="104"/>
      <c r="M430" s="104"/>
      <c r="N430" s="36"/>
    </row>
    <row r="431" spans="1:14" s="45" customFormat="1" x14ac:dyDescent="0.25">
      <c r="A431" s="88">
        <f t="shared" si="57"/>
        <v>6</v>
      </c>
      <c r="B431" s="89"/>
      <c r="C431" s="51" t="s">
        <v>192</v>
      </c>
      <c r="D431" s="53">
        <f>(49.15+1.5*(3.05+2.15+2.76)+0.9*3.05)*(10.764)</f>
        <v>687.11993999999993</v>
      </c>
      <c r="E431" s="52">
        <v>0</v>
      </c>
      <c r="F431" s="52">
        <f t="shared" si="59"/>
        <v>1030.6799099999998</v>
      </c>
      <c r="G431" s="94" t="str">
        <f t="shared" si="58"/>
        <v>15th Floor</v>
      </c>
      <c r="H431" s="95"/>
      <c r="I431" s="36"/>
      <c r="L431" s="104"/>
      <c r="M431" s="104"/>
      <c r="N431" s="36"/>
    </row>
    <row r="432" spans="1:14" s="45" customFormat="1" x14ac:dyDescent="0.25">
      <c r="A432" s="99" t="s">
        <v>215</v>
      </c>
      <c r="B432" s="100"/>
      <c r="C432" s="100"/>
      <c r="D432" s="100"/>
      <c r="E432" s="100"/>
      <c r="F432" s="100"/>
      <c r="G432" s="100"/>
      <c r="H432" s="101"/>
      <c r="J432" s="36"/>
    </row>
    <row r="433" spans="1:14" s="45" customFormat="1" x14ac:dyDescent="0.25">
      <c r="A433" s="99" t="s">
        <v>189</v>
      </c>
      <c r="B433" s="100"/>
      <c r="C433" s="100"/>
      <c r="D433" s="100"/>
      <c r="E433" s="100"/>
      <c r="F433" s="100"/>
      <c r="G433" s="100"/>
      <c r="H433" s="101"/>
      <c r="I433" s="55" t="s">
        <v>216</v>
      </c>
      <c r="J433" s="36"/>
    </row>
    <row r="434" spans="1:14" s="45" customFormat="1" ht="15.75" customHeight="1" x14ac:dyDescent="0.25">
      <c r="A434" s="99" t="s">
        <v>193</v>
      </c>
      <c r="B434" s="100"/>
      <c r="C434" s="100"/>
      <c r="D434" s="100"/>
      <c r="E434" s="100"/>
      <c r="F434" s="100"/>
      <c r="G434" s="100"/>
      <c r="H434" s="101"/>
      <c r="J434" s="36"/>
    </row>
    <row r="435" spans="1:14" s="45" customFormat="1" ht="15.75" customHeight="1" x14ac:dyDescent="0.25">
      <c r="A435" s="88">
        <v>1</v>
      </c>
      <c r="B435" s="89"/>
      <c r="C435" s="51" t="s">
        <v>192</v>
      </c>
      <c r="D435" s="53">
        <f>(49.15+1.5*(3.05+2.15+2.76)+0.9*3.05)*(10.764)</f>
        <v>687.11993999999993</v>
      </c>
      <c r="E435" s="53">
        <f>(4.65*5.175+3.35*2.99+5.05*3.68+3.2*4.25)*(10.764)</f>
        <v>713.26838699999996</v>
      </c>
      <c r="F435" s="52">
        <f t="shared" ref="F435:F440" si="60">D435*(($F$351)+1)+(IF(E435&lt;101,E435,IF(E435&lt;201,E435/2,IF(E435&lt;=301,E435/3,E435/4))))</f>
        <v>1208.9970067499999</v>
      </c>
      <c r="G435" s="90" t="str">
        <f>A434</f>
        <v>1st Floor For Residential</v>
      </c>
      <c r="H435" s="91"/>
      <c r="I435" s="36"/>
      <c r="L435" s="104"/>
      <c r="M435" s="104"/>
      <c r="N435" s="36"/>
    </row>
    <row r="436" spans="1:14" s="45" customFormat="1" ht="15.75" customHeight="1" x14ac:dyDescent="0.25">
      <c r="A436" s="88">
        <f t="shared" ref="A436:A440" si="61">A435+1</f>
        <v>2</v>
      </c>
      <c r="B436" s="89"/>
      <c r="C436" s="51" t="s">
        <v>192</v>
      </c>
      <c r="D436" s="53">
        <f>(49.15+1.5*(3.05+2.15+2.76)+0.9*3.05)*(10.764)</f>
        <v>687.11993999999993</v>
      </c>
      <c r="E436" s="52">
        <v>0</v>
      </c>
      <c r="F436" s="52">
        <f t="shared" si="60"/>
        <v>1030.6799099999998</v>
      </c>
      <c r="G436" s="92" t="str">
        <f t="shared" ref="G436:G440" si="62">G435</f>
        <v>1st Floor For Residential</v>
      </c>
      <c r="H436" s="93"/>
      <c r="I436" s="36"/>
      <c r="L436" s="104"/>
      <c r="M436" s="104"/>
      <c r="N436" s="36"/>
    </row>
    <row r="437" spans="1:14" s="45" customFormat="1" ht="15.75" customHeight="1" x14ac:dyDescent="0.25">
      <c r="A437" s="88">
        <f t="shared" si="61"/>
        <v>3</v>
      </c>
      <c r="B437" s="89"/>
      <c r="C437" s="51">
        <v>1</v>
      </c>
      <c r="D437" s="53">
        <f>(3*4.3+2.1*2.15+3*3.15+1.2*1.83+2.5*0.6+1.2*1.83+2.1*0.9+1.5*(3+2.1)+3*0.9)*(10.764)</f>
        <v>484.34770799999995</v>
      </c>
      <c r="E437" s="52">
        <v>0</v>
      </c>
      <c r="F437" s="52">
        <f t="shared" si="60"/>
        <v>726.5215619999999</v>
      </c>
      <c r="G437" s="92" t="str">
        <f t="shared" si="62"/>
        <v>1st Floor For Residential</v>
      </c>
      <c r="H437" s="93"/>
      <c r="I437" s="36"/>
      <c r="L437" s="104"/>
      <c r="M437" s="104"/>
      <c r="N437" s="36"/>
    </row>
    <row r="438" spans="1:14" s="45" customFormat="1" ht="15.75" customHeight="1" x14ac:dyDescent="0.25">
      <c r="A438" s="88">
        <f t="shared" si="61"/>
        <v>4</v>
      </c>
      <c r="B438" s="89"/>
      <c r="C438" s="51">
        <v>1</v>
      </c>
      <c r="D438" s="53">
        <f>(3*4.3+2.1*2.15+3*3.15+1.2*1.83+2.5*0.6+1.2*1.83+2.1*0.9+1.5*(3+2.1)+3*0.9)*(10.764)</f>
        <v>484.34770799999995</v>
      </c>
      <c r="E438" s="52">
        <v>0</v>
      </c>
      <c r="F438" s="52">
        <f t="shared" si="60"/>
        <v>726.5215619999999</v>
      </c>
      <c r="G438" s="92" t="str">
        <f t="shared" si="62"/>
        <v>1st Floor For Residential</v>
      </c>
      <c r="H438" s="93"/>
      <c r="I438" s="36"/>
      <c r="L438" s="104"/>
      <c r="M438" s="104"/>
      <c r="N438" s="36"/>
    </row>
    <row r="439" spans="1:14" s="45" customFormat="1" ht="15.75" customHeight="1" x14ac:dyDescent="0.25">
      <c r="A439" s="88">
        <f t="shared" si="61"/>
        <v>5</v>
      </c>
      <c r="B439" s="89"/>
      <c r="C439" s="51" t="s">
        <v>192</v>
      </c>
      <c r="D439" s="53">
        <f>(49.15+1.5*(3.05+2.15+2.76)+0.9*3.05)*(10.764)</f>
        <v>687.11993999999993</v>
      </c>
      <c r="E439" s="52">
        <v>0</v>
      </c>
      <c r="F439" s="52">
        <f t="shared" si="60"/>
        <v>1030.6799099999998</v>
      </c>
      <c r="G439" s="92" t="str">
        <f t="shared" si="62"/>
        <v>1st Floor For Residential</v>
      </c>
      <c r="H439" s="93"/>
      <c r="I439" s="36"/>
      <c r="L439" s="104"/>
      <c r="M439" s="104"/>
      <c r="N439" s="36"/>
    </row>
    <row r="440" spans="1:14" s="45" customFormat="1" ht="15.75" customHeight="1" x14ac:dyDescent="0.25">
      <c r="A440" s="88">
        <f t="shared" si="61"/>
        <v>6</v>
      </c>
      <c r="B440" s="89"/>
      <c r="C440" s="51" t="s">
        <v>192</v>
      </c>
      <c r="D440" s="53">
        <f>(49.15+1.5*(3.05+2.15+2.76)+0.9*3.05)*(10.764)</f>
        <v>687.11993999999993</v>
      </c>
      <c r="E440" s="53">
        <f>(4.65*5.175+3.35*2.99+5.05*3.68+3.2*4.25)*(10.764)</f>
        <v>713.26838699999996</v>
      </c>
      <c r="F440" s="52">
        <f t="shared" si="60"/>
        <v>1208.9970067499999</v>
      </c>
      <c r="G440" s="94" t="str">
        <f t="shared" si="62"/>
        <v>1st Floor For Residential</v>
      </c>
      <c r="H440" s="95"/>
      <c r="I440" s="36"/>
      <c r="L440" s="104"/>
      <c r="M440" s="104"/>
      <c r="N440" s="36"/>
    </row>
    <row r="441" spans="1:14" s="45" customFormat="1" x14ac:dyDescent="0.25">
      <c r="A441" s="105" t="s">
        <v>214</v>
      </c>
      <c r="B441" s="106"/>
      <c r="C441" s="106"/>
      <c r="D441" s="106"/>
      <c r="E441" s="106"/>
      <c r="F441" s="106"/>
      <c r="G441" s="106"/>
      <c r="H441" s="107"/>
      <c r="J441" s="36"/>
    </row>
    <row r="442" spans="1:14" s="45" customFormat="1" ht="15.75" customHeight="1" x14ac:dyDescent="0.25">
      <c r="A442" s="88">
        <v>1</v>
      </c>
      <c r="B442" s="89"/>
      <c r="C442" s="51" t="s">
        <v>192</v>
      </c>
      <c r="D442" s="53">
        <f>(49.15+0.9*3.05+1.5*(2.15+2.75+3.05))*(10.764)</f>
        <v>686.95847999999989</v>
      </c>
      <c r="E442" s="52">
        <v>0</v>
      </c>
      <c r="F442" s="52">
        <f t="shared" ref="F442:F447" si="63">D442*(($F$351)+1)+(IF(E442&lt;101,E442,IF(E442&lt;201,E442/2,IF(E442&lt;=301,E442/3,E442/4))))</f>
        <v>1030.4377199999999</v>
      </c>
      <c r="G442" s="90" t="str">
        <f>A441</f>
        <v>2nd, 4th, 6th, 16th &amp; 18th Floor</v>
      </c>
      <c r="H442" s="91"/>
      <c r="I442" s="36"/>
      <c r="L442" s="104"/>
      <c r="M442" s="104"/>
      <c r="N442" s="36"/>
    </row>
    <row r="443" spans="1:14" s="45" customFormat="1" ht="15.75" customHeight="1" x14ac:dyDescent="0.25">
      <c r="A443" s="88">
        <f t="shared" ref="A443:A447" si="64">A442+1</f>
        <v>2</v>
      </c>
      <c r="B443" s="89"/>
      <c r="C443" s="51" t="s">
        <v>192</v>
      </c>
      <c r="D443" s="53">
        <f>(49.15+0.9*3.05+1.5*(2.15+2.75+3.05))*(10.764)</f>
        <v>686.95847999999989</v>
      </c>
      <c r="E443" s="52">
        <v>0</v>
      </c>
      <c r="F443" s="52">
        <f t="shared" si="63"/>
        <v>1030.4377199999999</v>
      </c>
      <c r="G443" s="92"/>
      <c r="H443" s="93"/>
      <c r="I443" s="36"/>
      <c r="L443" s="104"/>
      <c r="M443" s="104"/>
      <c r="N443" s="36"/>
    </row>
    <row r="444" spans="1:14" s="45" customFormat="1" ht="15.75" customHeight="1" x14ac:dyDescent="0.25">
      <c r="A444" s="88">
        <f t="shared" si="64"/>
        <v>3</v>
      </c>
      <c r="B444" s="89"/>
      <c r="C444" s="51">
        <v>1</v>
      </c>
      <c r="D444" s="53">
        <f>(3*4.3+2.1*2.15+3*3.15+1.2*1.83+2.5*0.6+1.2*1.83+2.1*0.9+1.5*(3+2.1)+3*0.9)*(10.764)</f>
        <v>484.34770799999995</v>
      </c>
      <c r="E444" s="52">
        <v>0</v>
      </c>
      <c r="F444" s="52">
        <f t="shared" si="63"/>
        <v>726.5215619999999</v>
      </c>
      <c r="G444" s="92"/>
      <c r="H444" s="93"/>
      <c r="I444" s="36"/>
      <c r="L444" s="104"/>
      <c r="M444" s="104"/>
      <c r="N444" s="36"/>
    </row>
    <row r="445" spans="1:14" s="45" customFormat="1" ht="15.75" customHeight="1" x14ac:dyDescent="0.25">
      <c r="A445" s="88">
        <f t="shared" si="64"/>
        <v>4</v>
      </c>
      <c r="B445" s="89"/>
      <c r="C445" s="51">
        <v>1</v>
      </c>
      <c r="D445" s="53">
        <f>(3*4.3+2.1*2.15+3*3.15+1.2*1.83+2.5*0.6+1.2*1.83+2.1*0.9+1.5*(3+2.1)+3*0.9)*(10.764)</f>
        <v>484.34770799999995</v>
      </c>
      <c r="E445" s="52">
        <v>0</v>
      </c>
      <c r="F445" s="52">
        <f t="shared" si="63"/>
        <v>726.5215619999999</v>
      </c>
      <c r="G445" s="92"/>
      <c r="H445" s="93"/>
      <c r="I445" s="36"/>
      <c r="L445" s="104"/>
      <c r="M445" s="104"/>
      <c r="N445" s="36"/>
    </row>
    <row r="446" spans="1:14" s="45" customFormat="1" ht="15.75" customHeight="1" x14ac:dyDescent="0.25">
      <c r="A446" s="88">
        <f t="shared" si="64"/>
        <v>5</v>
      </c>
      <c r="B446" s="89"/>
      <c r="C446" s="51" t="s">
        <v>192</v>
      </c>
      <c r="D446" s="53">
        <f>(49.15+0.9*3.05+1.5*(2.15+2.75+3.05))*(10.764)</f>
        <v>686.95847999999989</v>
      </c>
      <c r="E446" s="52">
        <v>0</v>
      </c>
      <c r="F446" s="52">
        <f t="shared" si="63"/>
        <v>1030.4377199999999</v>
      </c>
      <c r="G446" s="92"/>
      <c r="H446" s="93"/>
      <c r="I446" s="36"/>
      <c r="L446" s="104"/>
      <c r="M446" s="104"/>
      <c r="N446" s="36"/>
    </row>
    <row r="447" spans="1:14" s="45" customFormat="1" ht="15.75" customHeight="1" x14ac:dyDescent="0.25">
      <c r="A447" s="88">
        <f t="shared" si="64"/>
        <v>6</v>
      </c>
      <c r="B447" s="89"/>
      <c r="C447" s="51" t="s">
        <v>192</v>
      </c>
      <c r="D447" s="53">
        <f>(49.15+0.9*3.05+1.5*(2.15+2.75+3.05))*(10.764)</f>
        <v>686.95847999999989</v>
      </c>
      <c r="E447" s="52">
        <v>0</v>
      </c>
      <c r="F447" s="52">
        <f t="shared" si="63"/>
        <v>1030.4377199999999</v>
      </c>
      <c r="G447" s="94"/>
      <c r="H447" s="95"/>
      <c r="I447" s="36"/>
      <c r="L447" s="104"/>
      <c r="M447" s="104"/>
      <c r="N447" s="36"/>
    </row>
    <row r="448" spans="1:14" s="45" customFormat="1" x14ac:dyDescent="0.25">
      <c r="A448" s="99" t="s">
        <v>206</v>
      </c>
      <c r="B448" s="100"/>
      <c r="C448" s="100"/>
      <c r="D448" s="100"/>
      <c r="E448" s="100"/>
      <c r="F448" s="100"/>
      <c r="G448" s="100"/>
      <c r="H448" s="101"/>
      <c r="J448" s="36"/>
    </row>
    <row r="449" spans="1:14" s="45" customFormat="1" ht="15.75" customHeight="1" x14ac:dyDescent="0.25">
      <c r="A449" s="88">
        <v>1</v>
      </c>
      <c r="B449" s="89"/>
      <c r="C449" s="51" t="s">
        <v>192</v>
      </c>
      <c r="D449" s="53">
        <f>(49.15+1.5*(3.05+2.15+2.76)+0.9*3.05)*(10.764)</f>
        <v>687.11993999999993</v>
      </c>
      <c r="E449" s="52">
        <v>0</v>
      </c>
      <c r="F449" s="52">
        <f t="shared" ref="F449:F454" si="65">D449*(($F$351)+1)+(IF(E449&lt;101,E449,IF(E449&lt;201,E449/2,IF(E449&lt;=301,E449/3,E449/4))))</f>
        <v>1030.6799099999998</v>
      </c>
      <c r="G449" s="90" t="str">
        <f>A448</f>
        <v>3rd, 5th, 13th, 15th Floor</v>
      </c>
      <c r="H449" s="91"/>
      <c r="I449" s="36"/>
      <c r="L449" s="104"/>
      <c r="M449" s="104"/>
      <c r="N449" s="36"/>
    </row>
    <row r="450" spans="1:14" s="45" customFormat="1" ht="15.75" customHeight="1" x14ac:dyDescent="0.25">
      <c r="A450" s="88">
        <f t="shared" ref="A450:A454" si="66">A449+1</f>
        <v>2</v>
      </c>
      <c r="B450" s="89"/>
      <c r="C450" s="51" t="s">
        <v>192</v>
      </c>
      <c r="D450" s="53">
        <f>(49.15+1.5*(3.05+2.15+2.76)+0.9*3.05)*(10.764)</f>
        <v>687.11993999999993</v>
      </c>
      <c r="E450" s="52">
        <v>0</v>
      </c>
      <c r="F450" s="52">
        <f t="shared" si="65"/>
        <v>1030.6799099999998</v>
      </c>
      <c r="G450" s="92"/>
      <c r="H450" s="93"/>
      <c r="I450" s="36"/>
      <c r="L450" s="104"/>
      <c r="M450" s="104"/>
      <c r="N450" s="36"/>
    </row>
    <row r="451" spans="1:14" s="45" customFormat="1" ht="15.75" customHeight="1" x14ac:dyDescent="0.25">
      <c r="A451" s="88">
        <f t="shared" si="66"/>
        <v>3</v>
      </c>
      <c r="B451" s="89"/>
      <c r="C451" s="51">
        <v>1</v>
      </c>
      <c r="D451" s="53">
        <f>(3*4.3+2.1*2.15+3*3.15+1.2*1.83+2.5*0.6+1.2*1.83+2.1*0.9+1.5*(3+2.1)+3*0.9)*(10.764)</f>
        <v>484.34770799999995</v>
      </c>
      <c r="E451" s="52">
        <v>0</v>
      </c>
      <c r="F451" s="52">
        <f t="shared" si="65"/>
        <v>726.5215619999999</v>
      </c>
      <c r="G451" s="92"/>
      <c r="H451" s="93"/>
      <c r="I451" s="36"/>
      <c r="L451" s="104"/>
      <c r="M451" s="104"/>
      <c r="N451" s="36"/>
    </row>
    <row r="452" spans="1:14" s="45" customFormat="1" ht="15.75" customHeight="1" x14ac:dyDescent="0.25">
      <c r="A452" s="88">
        <f t="shared" si="66"/>
        <v>4</v>
      </c>
      <c r="B452" s="89"/>
      <c r="C452" s="51">
        <v>1</v>
      </c>
      <c r="D452" s="53">
        <f>(3*4.3+2.1*2.15+3*3.15+1.2*1.83+2.5*0.6+1.2*1.83+2.1*0.9+1.5*(3+2.1)+3*0.9)*(10.764)</f>
        <v>484.34770799999995</v>
      </c>
      <c r="E452" s="52">
        <v>0</v>
      </c>
      <c r="F452" s="52">
        <f t="shared" si="65"/>
        <v>726.5215619999999</v>
      </c>
      <c r="G452" s="92"/>
      <c r="H452" s="93"/>
      <c r="I452" s="36"/>
      <c r="L452" s="104"/>
      <c r="M452" s="104"/>
      <c r="N452" s="36"/>
    </row>
    <row r="453" spans="1:14" s="45" customFormat="1" ht="15.75" customHeight="1" x14ac:dyDescent="0.25">
      <c r="A453" s="88">
        <f t="shared" si="66"/>
        <v>5</v>
      </c>
      <c r="B453" s="89"/>
      <c r="C453" s="51" t="s">
        <v>192</v>
      </c>
      <c r="D453" s="53">
        <f>(49.15+1.5*(3.05+2.15+2.76)+0.9*3.05)*(10.764)</f>
        <v>687.11993999999993</v>
      </c>
      <c r="E453" s="52">
        <v>0</v>
      </c>
      <c r="F453" s="52">
        <f t="shared" si="65"/>
        <v>1030.6799099999998</v>
      </c>
      <c r="G453" s="92"/>
      <c r="H453" s="93"/>
      <c r="I453" s="36"/>
      <c r="L453" s="104"/>
      <c r="M453" s="104"/>
      <c r="N453" s="36"/>
    </row>
    <row r="454" spans="1:14" s="45" customFormat="1" ht="15.75" customHeight="1" x14ac:dyDescent="0.25">
      <c r="A454" s="88">
        <f t="shared" si="66"/>
        <v>6</v>
      </c>
      <c r="B454" s="89"/>
      <c r="C454" s="51" t="s">
        <v>192</v>
      </c>
      <c r="D454" s="53">
        <f>(49.15+1.5*(3.05+2.15+2.76)+0.9*3.05)*(10.764)</f>
        <v>687.11993999999993</v>
      </c>
      <c r="E454" s="52">
        <v>0</v>
      </c>
      <c r="F454" s="52">
        <f t="shared" si="65"/>
        <v>1030.6799099999998</v>
      </c>
      <c r="G454" s="94"/>
      <c r="H454" s="95"/>
      <c r="I454" s="36"/>
      <c r="L454" s="104"/>
      <c r="M454" s="104"/>
      <c r="N454" s="36"/>
    </row>
    <row r="455" spans="1:14" s="45" customFormat="1" x14ac:dyDescent="0.25">
      <c r="A455" s="99" t="s">
        <v>208</v>
      </c>
      <c r="B455" s="100"/>
      <c r="C455" s="100"/>
      <c r="D455" s="100"/>
      <c r="E455" s="100"/>
      <c r="F455" s="100"/>
      <c r="G455" s="100"/>
      <c r="H455" s="101"/>
      <c r="J455" s="36"/>
    </row>
    <row r="456" spans="1:14" s="45" customFormat="1" ht="15.75" customHeight="1" x14ac:dyDescent="0.25">
      <c r="A456" s="88">
        <v>1</v>
      </c>
      <c r="B456" s="89"/>
      <c r="C456" s="51" t="s">
        <v>192</v>
      </c>
      <c r="D456" s="53">
        <f>(49.15+1.5*(3.05+2.15+2.76)+0.9*3.05)*(10.764)</f>
        <v>687.11993999999993</v>
      </c>
      <c r="E456" s="52">
        <v>0</v>
      </c>
      <c r="F456" s="52">
        <f>D456*(($F$351)+1)+(IF(E456&lt;101,E456,IF(E456&lt;201,E456/2,IF(E456&lt;=301,E456/3,E456/4))))</f>
        <v>1030.6799099999998</v>
      </c>
      <c r="G456" s="90" t="str">
        <f>A455</f>
        <v>7th Floor (Part Refuge &amp; Terrace Area)</v>
      </c>
      <c r="H456" s="91"/>
      <c r="I456" s="36"/>
      <c r="L456" s="104"/>
      <c r="M456" s="104"/>
      <c r="N456" s="36"/>
    </row>
    <row r="457" spans="1:14" s="45" customFormat="1" ht="15.75" customHeight="1" x14ac:dyDescent="0.25">
      <c r="A457" s="88">
        <f t="shared" ref="A457:A461" si="67">A456+1</f>
        <v>2</v>
      </c>
      <c r="B457" s="89"/>
      <c r="C457" s="51" t="s">
        <v>192</v>
      </c>
      <c r="D457" s="53">
        <f>(49.15+1.5*(3.05+2.15+2.76)+0.9*3.05)*(10.764)</f>
        <v>687.11993999999993</v>
      </c>
      <c r="E457" s="52">
        <v>0</v>
      </c>
      <c r="F457" s="52">
        <f>D457*(($F$351)+1)+(IF(E457&lt;101,E457,IF(E457&lt;201,E457/2,IF(E457&lt;=301,E457/3,E457/4))))</f>
        <v>1030.6799099999998</v>
      </c>
      <c r="G457" s="92"/>
      <c r="H457" s="93"/>
      <c r="I457" s="36"/>
      <c r="L457" s="104"/>
      <c r="M457" s="104"/>
      <c r="N457" s="36"/>
    </row>
    <row r="458" spans="1:14" s="45" customFormat="1" ht="15.75" customHeight="1" x14ac:dyDescent="0.25">
      <c r="A458" s="88">
        <f t="shared" si="67"/>
        <v>3</v>
      </c>
      <c r="B458" s="89"/>
      <c r="C458" s="51">
        <v>1</v>
      </c>
      <c r="D458" s="53">
        <f>(3*4.3+2.1*2.15+3*3.15+1.2*1.83+2.5*0.6+1.2*1.83+2.1*0.9+1.5*(3+2.1)+3*0.9)*(10.764)</f>
        <v>484.34770799999995</v>
      </c>
      <c r="E458" s="52">
        <v>0</v>
      </c>
      <c r="F458" s="52">
        <f>D458*(($F$351)+1)+(IF(E458&lt;101,E458,IF(E458&lt;201,E458/2,IF(E458&lt;=301,E458/3,E458/4))))</f>
        <v>726.5215619999999</v>
      </c>
      <c r="G458" s="92"/>
      <c r="H458" s="93"/>
      <c r="I458" s="36"/>
      <c r="L458" s="104"/>
      <c r="M458" s="104"/>
      <c r="N458" s="36"/>
    </row>
    <row r="459" spans="1:14" s="45" customFormat="1" ht="15.75" customHeight="1" x14ac:dyDescent="0.25">
      <c r="A459" s="88">
        <f t="shared" si="67"/>
        <v>4</v>
      </c>
      <c r="B459" s="89"/>
      <c r="C459" s="51">
        <v>1</v>
      </c>
      <c r="D459" s="53">
        <f>(3*4.3+2.1*2.15+3*3.15+1.2*1.83+2.5*0.6+1.2*1.83+2.1*0.9+1.5*(3+2.1)+3*0.9)*(10.764)</f>
        <v>484.34770799999995</v>
      </c>
      <c r="E459" s="52">
        <v>0</v>
      </c>
      <c r="F459" s="52">
        <f>D459*(($F$351)+1)+(IF(E459&lt;101,E459,IF(E459&lt;201,E459/2,IF(E459&lt;=301,E459/3,E459/4))))</f>
        <v>726.5215619999999</v>
      </c>
      <c r="G459" s="92"/>
      <c r="H459" s="93"/>
      <c r="I459" s="36"/>
      <c r="L459" s="104"/>
      <c r="M459" s="104"/>
      <c r="N459" s="36"/>
    </row>
    <row r="460" spans="1:14" s="45" customFormat="1" ht="15.75" customHeight="1" x14ac:dyDescent="0.25">
      <c r="A460" s="88">
        <f t="shared" si="67"/>
        <v>5</v>
      </c>
      <c r="B460" s="89"/>
      <c r="C460" s="96" t="s">
        <v>197</v>
      </c>
      <c r="D460" s="97"/>
      <c r="E460" s="97"/>
      <c r="F460" s="98"/>
      <c r="G460" s="92"/>
      <c r="H460" s="93"/>
      <c r="I460" s="36"/>
      <c r="L460" s="104"/>
      <c r="M460" s="104"/>
      <c r="N460" s="36"/>
    </row>
    <row r="461" spans="1:14" s="45" customFormat="1" ht="15.75" customHeight="1" x14ac:dyDescent="0.25">
      <c r="A461" s="88">
        <f t="shared" si="67"/>
        <v>6</v>
      </c>
      <c r="B461" s="89"/>
      <c r="C461" s="51" t="s">
        <v>192</v>
      </c>
      <c r="D461" s="53">
        <f>(49.15+1.5*(3.05+2.15+2.76)+0.9*3.05)*(10.764)</f>
        <v>687.11993999999993</v>
      </c>
      <c r="E461" s="52">
        <v>0</v>
      </c>
      <c r="F461" s="52">
        <f>D461*(($F$351)+1)+(IF(E461&lt;101,E461,IF(E461&lt;201,E461/2,IF(E461&lt;=301,E461/3,E461/4))))</f>
        <v>1030.6799099999998</v>
      </c>
      <c r="G461" s="94"/>
      <c r="H461" s="95"/>
      <c r="I461" s="36"/>
      <c r="L461" s="104"/>
      <c r="M461" s="104"/>
      <c r="N461" s="36"/>
    </row>
    <row r="462" spans="1:14" s="45" customFormat="1" x14ac:dyDescent="0.25">
      <c r="A462" s="99" t="s">
        <v>210</v>
      </c>
      <c r="B462" s="100"/>
      <c r="C462" s="100"/>
      <c r="D462" s="100"/>
      <c r="E462" s="100"/>
      <c r="F462" s="100"/>
      <c r="G462" s="100"/>
      <c r="H462" s="101"/>
      <c r="J462" s="36"/>
    </row>
    <row r="463" spans="1:14" s="45" customFormat="1" x14ac:dyDescent="0.25">
      <c r="A463" s="88">
        <v>1</v>
      </c>
      <c r="B463" s="89"/>
      <c r="C463" s="51" t="s">
        <v>192</v>
      </c>
      <c r="D463" s="53">
        <f>(49.15+0.9*3.05+1.5*(2.15+2.75+3.05))*(10.764)</f>
        <v>686.95847999999989</v>
      </c>
      <c r="E463" s="52">
        <v>0</v>
      </c>
      <c r="F463" s="52">
        <f>D463*(($F$351)+1)+(IF(E463&lt;101,E463,IF(E463&lt;201,E463/2,IF(E463&lt;=301,E463/3,E463/4))))</f>
        <v>1030.4377199999999</v>
      </c>
      <c r="G463" s="90" t="str">
        <f>A462</f>
        <v>8th Floor</v>
      </c>
      <c r="H463" s="91"/>
      <c r="I463" s="36"/>
      <c r="L463" s="104"/>
      <c r="M463" s="104"/>
      <c r="N463" s="36"/>
    </row>
    <row r="464" spans="1:14" s="45" customFormat="1" x14ac:dyDescent="0.25">
      <c r="A464" s="88">
        <f t="shared" ref="A464:A468" si="68">A463+1</f>
        <v>2</v>
      </c>
      <c r="B464" s="89"/>
      <c r="C464" s="51" t="s">
        <v>192</v>
      </c>
      <c r="D464" s="53">
        <f>(49.15+0.9*3.05+1.5*(2.15+2.75+3.05))*(10.764)</f>
        <v>686.95847999999989</v>
      </c>
      <c r="E464" s="52">
        <v>0</v>
      </c>
      <c r="F464" s="52">
        <f>D464*(($F$351)+1)+(IF(E464&lt;101,E464,IF(E464&lt;201,E464/2,IF(E464&lt;=301,E464/3,E464/4))))</f>
        <v>1030.4377199999999</v>
      </c>
      <c r="G464" s="92"/>
      <c r="H464" s="93"/>
      <c r="I464" s="36"/>
      <c r="L464" s="104"/>
      <c r="M464" s="104"/>
      <c r="N464" s="36"/>
    </row>
    <row r="465" spans="1:14" s="45" customFormat="1" x14ac:dyDescent="0.25">
      <c r="A465" s="88">
        <f t="shared" si="68"/>
        <v>3</v>
      </c>
      <c r="B465" s="89"/>
      <c r="C465" s="51">
        <v>1</v>
      </c>
      <c r="D465" s="53">
        <f>(3*4.3+2.1*2.15+3*3.15+1.2*1.83+2.5*0.6+1.2*1.83+2.1*0.9+1.5*(3+2.1)+3*0.9)*(10.764)</f>
        <v>484.34770799999995</v>
      </c>
      <c r="E465" s="52">
        <v>0</v>
      </c>
      <c r="F465" s="52">
        <f>D465*(($F$351)+1)+(IF(E465&lt;101,E465,IF(E465&lt;201,E465/2,IF(E465&lt;=301,E465/3,E465/4))))</f>
        <v>726.5215619999999</v>
      </c>
      <c r="G465" s="92"/>
      <c r="H465" s="93"/>
      <c r="I465" s="36"/>
      <c r="L465" s="104"/>
      <c r="M465" s="104"/>
      <c r="N465" s="36"/>
    </row>
    <row r="466" spans="1:14" s="45" customFormat="1" x14ac:dyDescent="0.25">
      <c r="A466" s="88">
        <f t="shared" si="68"/>
        <v>4</v>
      </c>
      <c r="B466" s="89"/>
      <c r="C466" s="51">
        <v>1</v>
      </c>
      <c r="D466" s="53">
        <f>(3*4.3+2.1*2.15+3*3.15+1.2*1.83+2.5*0.6+1.2*1.83+2.1*0.9+1.5*(3+2.1)+3*0.9)*(10.764)</f>
        <v>484.34770799999995</v>
      </c>
      <c r="E466" s="52">
        <v>0</v>
      </c>
      <c r="F466" s="52">
        <f>D466*(($F$351)+1)+(IF(E466&lt;101,E466,IF(E466&lt;201,E466/2,IF(E466&lt;=301,E466/3,E466/4))))</f>
        <v>726.5215619999999</v>
      </c>
      <c r="G466" s="92"/>
      <c r="H466" s="93"/>
      <c r="I466" s="36"/>
      <c r="L466" s="104"/>
      <c r="M466" s="104"/>
      <c r="N466" s="36"/>
    </row>
    <row r="467" spans="1:14" s="45" customFormat="1" x14ac:dyDescent="0.25">
      <c r="A467" s="88">
        <f t="shared" si="68"/>
        <v>5</v>
      </c>
      <c r="B467" s="89"/>
      <c r="C467" s="96" t="s">
        <v>200</v>
      </c>
      <c r="D467" s="97"/>
      <c r="E467" s="97"/>
      <c r="F467" s="98"/>
      <c r="G467" s="92"/>
      <c r="H467" s="93"/>
      <c r="I467" s="36"/>
      <c r="L467" s="104"/>
      <c r="M467" s="104"/>
      <c r="N467" s="36"/>
    </row>
    <row r="468" spans="1:14" s="45" customFormat="1" x14ac:dyDescent="0.25">
      <c r="A468" s="88">
        <f t="shared" si="68"/>
        <v>6</v>
      </c>
      <c r="B468" s="89"/>
      <c r="C468" s="51" t="s">
        <v>192</v>
      </c>
      <c r="D468" s="53">
        <f>(49.15+0.9*3.05+1.5*(2.15+2.75+3.05))*(10.764)</f>
        <v>686.95847999999989</v>
      </c>
      <c r="E468" s="52">
        <v>0</v>
      </c>
      <c r="F468" s="52">
        <f>D468*(($F$351)+1)+(IF(E468&lt;101,E468,IF(E468&lt;201,E468/2,IF(E468&lt;=301,E468/3,E468/4))))</f>
        <v>1030.4377199999999</v>
      </c>
      <c r="G468" s="94"/>
      <c r="H468" s="95"/>
      <c r="I468" s="36"/>
      <c r="L468" s="104"/>
      <c r="M468" s="104"/>
      <c r="N468" s="36"/>
    </row>
    <row r="469" spans="1:14" s="45" customFormat="1" x14ac:dyDescent="0.25">
      <c r="A469" s="99" t="s">
        <v>209</v>
      </c>
      <c r="B469" s="100"/>
      <c r="C469" s="100"/>
      <c r="D469" s="100"/>
      <c r="E469" s="100"/>
      <c r="F469" s="100"/>
      <c r="G469" s="100"/>
      <c r="H469" s="101"/>
      <c r="J469" s="36"/>
    </row>
    <row r="470" spans="1:14" s="45" customFormat="1" x14ac:dyDescent="0.25">
      <c r="A470" s="88">
        <v>1</v>
      </c>
      <c r="B470" s="89"/>
      <c r="C470" s="51" t="s">
        <v>192</v>
      </c>
      <c r="D470" s="53">
        <f>(49.15+1.5*(3.05+2.15+2.76)+0.9*3.05)*(10.764)</f>
        <v>687.11993999999993</v>
      </c>
      <c r="E470" s="52">
        <v>0</v>
      </c>
      <c r="F470" s="52">
        <f>D470*(($F$351)+1)+(IF(E470&lt;101,E470,IF(E470&lt;201,E470/2,IF(E470&lt;=301,E470/3,E470/4))))</f>
        <v>1030.6799099999998</v>
      </c>
      <c r="G470" s="90" t="str">
        <f>A469</f>
        <v>9th Floor</v>
      </c>
      <c r="H470" s="91"/>
      <c r="I470" s="36"/>
      <c r="L470" s="104"/>
      <c r="M470" s="104"/>
      <c r="N470" s="36"/>
    </row>
    <row r="471" spans="1:14" s="45" customFormat="1" x14ac:dyDescent="0.25">
      <c r="A471" s="88">
        <f t="shared" ref="A471:A475" si="69">A470+1</f>
        <v>2</v>
      </c>
      <c r="B471" s="89"/>
      <c r="C471" s="51" t="s">
        <v>192</v>
      </c>
      <c r="D471" s="53">
        <f>(49.15+1.5*(3.05+2.15+2.76)+0.9*3.05)*(10.764)</f>
        <v>687.11993999999993</v>
      </c>
      <c r="E471" s="52">
        <v>0</v>
      </c>
      <c r="F471" s="52">
        <f>D471*(($F$351)+1)+(IF(E471&lt;101,E471,IF(E471&lt;201,E471/2,IF(E471&lt;=301,E471/3,E471/4))))</f>
        <v>1030.6799099999998</v>
      </c>
      <c r="G471" s="92"/>
      <c r="H471" s="93"/>
      <c r="I471" s="36"/>
      <c r="L471" s="104"/>
      <c r="M471" s="104"/>
      <c r="N471" s="36"/>
    </row>
    <row r="472" spans="1:14" s="45" customFormat="1" x14ac:dyDescent="0.25">
      <c r="A472" s="88">
        <f t="shared" si="69"/>
        <v>3</v>
      </c>
      <c r="B472" s="89"/>
      <c r="C472" s="51">
        <v>1</v>
      </c>
      <c r="D472" s="53">
        <f>(3*4.3+2.1*2.15+3*3.15+1.2*1.83+2.5*0.6+1.2*1.83+2.1*0.9+1.5*(3+2.1)+3*0.9)*(10.764)</f>
        <v>484.34770799999995</v>
      </c>
      <c r="E472" s="52">
        <v>0</v>
      </c>
      <c r="F472" s="52">
        <f>D472*(($F$351)+1)+(IF(E472&lt;101,E472,IF(E472&lt;201,E472/2,IF(E472&lt;=301,E472/3,E472/4))))</f>
        <v>726.5215619999999</v>
      </c>
      <c r="G472" s="92"/>
      <c r="H472" s="93"/>
      <c r="I472" s="36"/>
      <c r="L472" s="104"/>
      <c r="M472" s="104"/>
      <c r="N472" s="36"/>
    </row>
    <row r="473" spans="1:14" s="45" customFormat="1" x14ac:dyDescent="0.25">
      <c r="A473" s="88">
        <f t="shared" si="69"/>
        <v>4</v>
      </c>
      <c r="B473" s="89"/>
      <c r="C473" s="51">
        <v>1</v>
      </c>
      <c r="D473" s="53">
        <f>(3*4.3+2.1*2.15+3*3.15+1.2*1.83+2.5*0.6+1.2*1.83+2.1*0.9+1.5*(3+2.1)+3*0.9)*(10.764)</f>
        <v>484.34770799999995</v>
      </c>
      <c r="E473" s="52">
        <v>0</v>
      </c>
      <c r="F473" s="52">
        <f>D473*(($F$351)+1)+(IF(E473&lt;101,E473,IF(E473&lt;201,E473/2,IF(E473&lt;=301,E473/3,E473/4))))</f>
        <v>726.5215619999999</v>
      </c>
      <c r="G473" s="92"/>
      <c r="H473" s="93"/>
      <c r="I473" s="36"/>
      <c r="L473" s="104"/>
      <c r="M473" s="104"/>
      <c r="N473" s="36"/>
    </row>
    <row r="474" spans="1:14" s="45" customFormat="1" x14ac:dyDescent="0.25">
      <c r="A474" s="88">
        <f t="shared" si="69"/>
        <v>5</v>
      </c>
      <c r="B474" s="89"/>
      <c r="C474" s="96" t="s">
        <v>200</v>
      </c>
      <c r="D474" s="97"/>
      <c r="E474" s="97"/>
      <c r="F474" s="98"/>
      <c r="G474" s="92"/>
      <c r="H474" s="93"/>
      <c r="I474" s="36"/>
      <c r="L474" s="104"/>
      <c r="M474" s="104"/>
      <c r="N474" s="36"/>
    </row>
    <row r="475" spans="1:14" s="45" customFormat="1" x14ac:dyDescent="0.25">
      <c r="A475" s="88">
        <f t="shared" si="69"/>
        <v>6</v>
      </c>
      <c r="B475" s="89"/>
      <c r="C475" s="51" t="s">
        <v>192</v>
      </c>
      <c r="D475" s="53">
        <f>(49.15+1.5*(3.05+2.15+2.76)+0.9*3.05)*(10.764)</f>
        <v>687.11993999999993</v>
      </c>
      <c r="E475" s="52">
        <v>0</v>
      </c>
      <c r="F475" s="52">
        <f>D475*(($F$351)+1)+(IF(E475&lt;101,E475,IF(E475&lt;201,E475/2,IF(E475&lt;=301,E475/3,E475/4))))</f>
        <v>1030.6799099999998</v>
      </c>
      <c r="G475" s="94"/>
      <c r="H475" s="95"/>
      <c r="I475" s="36"/>
      <c r="L475" s="104"/>
      <c r="M475" s="104"/>
      <c r="N475" s="36"/>
    </row>
    <row r="476" spans="1:14" s="45" customFormat="1" x14ac:dyDescent="0.25">
      <c r="A476" s="99" t="s">
        <v>211</v>
      </c>
      <c r="B476" s="100"/>
      <c r="C476" s="100"/>
      <c r="D476" s="100"/>
      <c r="E476" s="100"/>
      <c r="F476" s="100"/>
      <c r="G476" s="100"/>
      <c r="H476" s="101"/>
      <c r="J476" s="36"/>
    </row>
    <row r="477" spans="1:14" s="45" customFormat="1" ht="15.75" customHeight="1" x14ac:dyDescent="0.25">
      <c r="A477" s="88">
        <v>1</v>
      </c>
      <c r="B477" s="89"/>
      <c r="C477" s="51" t="s">
        <v>192</v>
      </c>
      <c r="D477" s="53">
        <f>(49.15+0.9*3.05+1.5*(2.15+2.75+3.05))*(10.764)</f>
        <v>686.95847999999989</v>
      </c>
      <c r="E477" s="52">
        <v>0</v>
      </c>
      <c r="F477" s="52">
        <f>D477*(($F$351)+1)+(IF(E477&lt;101,E477,IF(E477&lt;201,E477/2,IF(E477&lt;=301,E477/3,E477/4))))</f>
        <v>1030.4377199999999</v>
      </c>
      <c r="G477" s="90" t="str">
        <f>A476</f>
        <v>10th Floor (Part Refuge &amp; Terrace Area)</v>
      </c>
      <c r="H477" s="91"/>
      <c r="I477" s="36"/>
      <c r="L477" s="104"/>
      <c r="M477" s="104"/>
      <c r="N477" s="36"/>
    </row>
    <row r="478" spans="1:14" s="45" customFormat="1" ht="15.75" customHeight="1" x14ac:dyDescent="0.25">
      <c r="A478" s="88">
        <f t="shared" ref="A478:A482" si="70">A477+1</f>
        <v>2</v>
      </c>
      <c r="B478" s="89"/>
      <c r="C478" s="96" t="s">
        <v>197</v>
      </c>
      <c r="D478" s="97"/>
      <c r="E478" s="97"/>
      <c r="F478" s="98"/>
      <c r="G478" s="92"/>
      <c r="H478" s="93"/>
      <c r="I478" s="36"/>
      <c r="L478" s="104"/>
      <c r="M478" s="104"/>
      <c r="N478" s="36"/>
    </row>
    <row r="479" spans="1:14" s="45" customFormat="1" ht="15.75" customHeight="1" x14ac:dyDescent="0.25">
      <c r="A479" s="88">
        <f t="shared" si="70"/>
        <v>3</v>
      </c>
      <c r="B479" s="89"/>
      <c r="C479" s="51">
        <v>1</v>
      </c>
      <c r="D479" s="53">
        <f>(3*4.3+2.1*2.15+3*3.15+1.2*1.83+2.5*0.6+1.2*1.83+2.1*0.9+1.5*(3+2.1)+3*0.9)*(10.764)</f>
        <v>484.34770799999995</v>
      </c>
      <c r="E479" s="52">
        <v>0</v>
      </c>
      <c r="F479" s="52">
        <f>D479*(($F$351)+1)+(IF(E479&lt;101,E479,IF(E479&lt;201,E479/2,IF(E479&lt;=301,E479/3,E479/4))))</f>
        <v>726.5215619999999</v>
      </c>
      <c r="G479" s="92"/>
      <c r="H479" s="93"/>
      <c r="I479" s="36"/>
      <c r="L479" s="104"/>
      <c r="M479" s="104"/>
      <c r="N479" s="36"/>
    </row>
    <row r="480" spans="1:14" s="45" customFormat="1" ht="15.75" customHeight="1" x14ac:dyDescent="0.25">
      <c r="A480" s="88">
        <f t="shared" si="70"/>
        <v>4</v>
      </c>
      <c r="B480" s="89"/>
      <c r="C480" s="51">
        <v>1</v>
      </c>
      <c r="D480" s="53">
        <f>(3*4.3+2.1*2.15+3*3.15+1.2*1.83+2.5*0.6+1.2*1.83+2.1*0.9+1.5*(3+2.1)+3*0.9)*(10.764)</f>
        <v>484.34770799999995</v>
      </c>
      <c r="E480" s="52">
        <v>0</v>
      </c>
      <c r="F480" s="52">
        <f>D480*(($F$351)+1)+(IF(E480&lt;101,E480,IF(E480&lt;201,E480/2,IF(E480&lt;=301,E480/3,E480/4))))</f>
        <v>726.5215619999999</v>
      </c>
      <c r="G480" s="92"/>
      <c r="H480" s="93"/>
      <c r="I480" s="36"/>
      <c r="L480" s="104"/>
      <c r="M480" s="104"/>
      <c r="N480" s="36"/>
    </row>
    <row r="481" spans="1:14" s="45" customFormat="1" ht="15.75" customHeight="1" x14ac:dyDescent="0.25">
      <c r="A481" s="88">
        <f t="shared" si="70"/>
        <v>5</v>
      </c>
      <c r="B481" s="89"/>
      <c r="C481" s="51" t="s">
        <v>192</v>
      </c>
      <c r="D481" s="53">
        <f>(49.15+0.9*3.05+1.5*(2.15+2.75+3.05))*(10.764)</f>
        <v>686.95847999999989</v>
      </c>
      <c r="E481" s="52">
        <v>0</v>
      </c>
      <c r="F481" s="52">
        <f>D481*(($F$351)+1)+(IF(E481&lt;101,E481,IF(E481&lt;201,E481/2,IF(E481&lt;=301,E481/3,E481/4))))</f>
        <v>1030.4377199999999</v>
      </c>
      <c r="G481" s="92"/>
      <c r="H481" s="93"/>
      <c r="I481" s="36"/>
      <c r="L481" s="104"/>
      <c r="M481" s="104"/>
      <c r="N481" s="36"/>
    </row>
    <row r="482" spans="1:14" s="45" customFormat="1" ht="15.75" customHeight="1" x14ac:dyDescent="0.25">
      <c r="A482" s="88">
        <f t="shared" si="70"/>
        <v>6</v>
      </c>
      <c r="B482" s="89"/>
      <c r="C482" s="51" t="s">
        <v>192</v>
      </c>
      <c r="D482" s="53">
        <f>(49.15+0.9*3.05+1.5*(2.15+2.75+3.05))*(10.764)</f>
        <v>686.95847999999989</v>
      </c>
      <c r="E482" s="52">
        <v>0</v>
      </c>
      <c r="F482" s="52">
        <f>D482*(($F$351)+1)+(IF(E482&lt;101,E482,IF(E482&lt;201,E482/2,IF(E482&lt;=301,E482/3,E482/4))))</f>
        <v>1030.4377199999999</v>
      </c>
      <c r="G482" s="94"/>
      <c r="H482" s="95"/>
      <c r="I482" s="36"/>
      <c r="L482" s="104"/>
      <c r="M482" s="104"/>
      <c r="N482" s="36"/>
    </row>
    <row r="483" spans="1:14" s="45" customFormat="1" x14ac:dyDescent="0.25">
      <c r="A483" s="99" t="s">
        <v>212</v>
      </c>
      <c r="B483" s="100"/>
      <c r="C483" s="100"/>
      <c r="D483" s="100"/>
      <c r="E483" s="100"/>
      <c r="F483" s="100"/>
      <c r="G483" s="100"/>
      <c r="H483" s="101"/>
      <c r="J483" s="36"/>
    </row>
    <row r="484" spans="1:14" s="45" customFormat="1" x14ac:dyDescent="0.25">
      <c r="A484" s="88">
        <v>1</v>
      </c>
      <c r="B484" s="89"/>
      <c r="C484" s="51" t="s">
        <v>192</v>
      </c>
      <c r="D484" s="53">
        <f>(49.15+1.5*(3.05+2.15+2.76)+0.9*3.05)*(10.764)</f>
        <v>687.11993999999993</v>
      </c>
      <c r="E484" s="52">
        <v>0</v>
      </c>
      <c r="F484" s="52">
        <f>D484*(($F$351)+1)+(IF(E484&lt;101,E484,IF(E484&lt;201,E484/2,IF(E484&lt;=301,E484/3,E484/4))))</f>
        <v>1030.6799099999998</v>
      </c>
      <c r="G484" s="90" t="str">
        <f>A483</f>
        <v>11th Floor</v>
      </c>
      <c r="H484" s="91"/>
      <c r="I484" s="36"/>
      <c r="L484" s="104"/>
      <c r="M484" s="104"/>
      <c r="N484" s="36"/>
    </row>
    <row r="485" spans="1:14" s="45" customFormat="1" x14ac:dyDescent="0.25">
      <c r="A485" s="88">
        <f t="shared" ref="A485:A489" si="71">A484+1</f>
        <v>2</v>
      </c>
      <c r="B485" s="89"/>
      <c r="C485" s="96" t="s">
        <v>200</v>
      </c>
      <c r="D485" s="97"/>
      <c r="E485" s="97"/>
      <c r="F485" s="98"/>
      <c r="G485" s="92"/>
      <c r="H485" s="93"/>
      <c r="I485" s="36"/>
      <c r="L485" s="104"/>
      <c r="M485" s="104"/>
      <c r="N485" s="36"/>
    </row>
    <row r="486" spans="1:14" s="45" customFormat="1" x14ac:dyDescent="0.25">
      <c r="A486" s="88">
        <f t="shared" si="71"/>
        <v>3</v>
      </c>
      <c r="B486" s="89"/>
      <c r="C486" s="51">
        <v>1</v>
      </c>
      <c r="D486" s="53">
        <f>(3*4.3+2.1*2.15+3*3.15+1.2*1.83+2.5*0.6+1.2*1.83+2.1*0.9+1.5*(3+2.1)+3*0.9)*(10.764)</f>
        <v>484.34770799999995</v>
      </c>
      <c r="E486" s="52">
        <v>0</v>
      </c>
      <c r="F486" s="52">
        <f>D486*(($F$351)+1)+(IF(E486&lt;101,E486,IF(E486&lt;201,E486/2,IF(E486&lt;=301,E486/3,E486/4))))</f>
        <v>726.5215619999999</v>
      </c>
      <c r="G486" s="92"/>
      <c r="H486" s="93"/>
      <c r="I486" s="36"/>
      <c r="L486" s="104"/>
      <c r="M486" s="104"/>
      <c r="N486" s="36"/>
    </row>
    <row r="487" spans="1:14" s="45" customFormat="1" x14ac:dyDescent="0.25">
      <c r="A487" s="88">
        <f t="shared" si="71"/>
        <v>4</v>
      </c>
      <c r="B487" s="89"/>
      <c r="C487" s="51">
        <v>1</v>
      </c>
      <c r="D487" s="53">
        <f>(3*4.3+2.1*2.15+3*3.15+1.2*1.83+2.5*0.6+1.2*1.83+2.1*0.9+1.5*(3+2.1)+3*0.9)*(10.764)</f>
        <v>484.34770799999995</v>
      </c>
      <c r="E487" s="52">
        <v>0</v>
      </c>
      <c r="F487" s="52">
        <f>D487*(($F$351)+1)+(IF(E487&lt;101,E487,IF(E487&lt;201,E487/2,IF(E487&lt;=301,E487/3,E487/4))))</f>
        <v>726.5215619999999</v>
      </c>
      <c r="G487" s="92"/>
      <c r="H487" s="93"/>
      <c r="I487" s="36"/>
      <c r="L487" s="104"/>
      <c r="M487" s="104"/>
      <c r="N487" s="36"/>
    </row>
    <row r="488" spans="1:14" s="45" customFormat="1" x14ac:dyDescent="0.25">
      <c r="A488" s="88">
        <f t="shared" si="71"/>
        <v>5</v>
      </c>
      <c r="B488" s="89"/>
      <c r="C488" s="51" t="s">
        <v>192</v>
      </c>
      <c r="D488" s="53">
        <f>(49.15+1.5*(3.05+2.15+2.76)+0.9*3.05)*(10.764)</f>
        <v>687.11993999999993</v>
      </c>
      <c r="E488" s="52">
        <v>0</v>
      </c>
      <c r="F488" s="52">
        <f>D488*(($F$351)+1)+(IF(E488&lt;101,E488,IF(E488&lt;201,E488/2,IF(E488&lt;=301,E488/3,E488/4))))</f>
        <v>1030.6799099999998</v>
      </c>
      <c r="G488" s="92"/>
      <c r="H488" s="93"/>
      <c r="I488" s="36"/>
      <c r="L488" s="104"/>
      <c r="M488" s="104"/>
      <c r="N488" s="36"/>
    </row>
    <row r="489" spans="1:14" s="45" customFormat="1" x14ac:dyDescent="0.25">
      <c r="A489" s="88">
        <f t="shared" si="71"/>
        <v>6</v>
      </c>
      <c r="B489" s="89"/>
      <c r="C489" s="51" t="s">
        <v>192</v>
      </c>
      <c r="D489" s="53">
        <f>(49.15+1.5*(3.05+2.15+2.76)+0.9*3.05)*(10.764)</f>
        <v>687.11993999999993</v>
      </c>
      <c r="E489" s="52">
        <v>0</v>
      </c>
      <c r="F489" s="52">
        <f>D489*(($F$351)+1)+(IF(E489&lt;101,E489,IF(E489&lt;201,E489/2,IF(E489&lt;=301,E489/3,E489/4))))</f>
        <v>1030.6799099999998</v>
      </c>
      <c r="G489" s="94"/>
      <c r="H489" s="95"/>
      <c r="I489" s="36"/>
      <c r="L489" s="104"/>
      <c r="M489" s="104"/>
      <c r="N489" s="36"/>
    </row>
    <row r="490" spans="1:14" s="45" customFormat="1" x14ac:dyDescent="0.25">
      <c r="A490" s="99" t="s">
        <v>194</v>
      </c>
      <c r="B490" s="100"/>
      <c r="C490" s="100"/>
      <c r="D490" s="100"/>
      <c r="E490" s="100"/>
      <c r="F490" s="100"/>
      <c r="G490" s="100"/>
      <c r="H490" s="101"/>
      <c r="J490" s="36"/>
    </row>
    <row r="491" spans="1:14" s="45" customFormat="1" ht="15.75" customHeight="1" x14ac:dyDescent="0.25">
      <c r="A491" s="88">
        <v>1</v>
      </c>
      <c r="B491" s="89"/>
      <c r="C491" s="51" t="s">
        <v>192</v>
      </c>
      <c r="D491" s="53">
        <f>(49.15+0.9*3.05+1.5*(2.15+2.75+3.05))*(10.764)</f>
        <v>686.95847999999989</v>
      </c>
      <c r="E491" s="52">
        <v>0</v>
      </c>
      <c r="F491" s="52">
        <f>D491*(($F$351)+1)+(IF(E491&lt;101,E491,IF(E491&lt;201,E491/2,IF(E491&lt;=301,E491/3,E491/4))))</f>
        <v>1030.4377199999999</v>
      </c>
      <c r="G491" s="90" t="str">
        <f>A490</f>
        <v>12th Floor (Part Refuge Area)</v>
      </c>
      <c r="H491" s="91"/>
      <c r="I491" s="36"/>
      <c r="L491" s="104"/>
      <c r="M491" s="104"/>
      <c r="N491" s="36"/>
    </row>
    <row r="492" spans="1:14" s="45" customFormat="1" ht="15.75" customHeight="1" x14ac:dyDescent="0.25">
      <c r="A492" s="88">
        <f t="shared" ref="A492:A496" si="72">A491+1</f>
        <v>2</v>
      </c>
      <c r="B492" s="89"/>
      <c r="C492" s="96" t="s">
        <v>200</v>
      </c>
      <c r="D492" s="97"/>
      <c r="E492" s="97"/>
      <c r="F492" s="98"/>
      <c r="G492" s="92"/>
      <c r="H492" s="93"/>
      <c r="I492" s="36"/>
      <c r="L492" s="104"/>
      <c r="M492" s="104"/>
      <c r="N492" s="36"/>
    </row>
    <row r="493" spans="1:14" s="45" customFormat="1" ht="15.75" customHeight="1" x14ac:dyDescent="0.25">
      <c r="A493" s="88">
        <f t="shared" si="72"/>
        <v>3</v>
      </c>
      <c r="B493" s="89"/>
      <c r="C493" s="51">
        <v>1</v>
      </c>
      <c r="D493" s="53">
        <f>(3*4.3+2.1*2.15+3*3.15+1.2*1.83+2.5*0.6+1.2*1.83+2.1*0.9+1.5*(3+2.1)+3*0.9)*(10.764)</f>
        <v>484.34770799999995</v>
      </c>
      <c r="E493" s="52">
        <v>0</v>
      </c>
      <c r="F493" s="52">
        <f>D493*(($F$351)+1)+(IF(E493&lt;101,E493,IF(E493&lt;201,E493/2,IF(E493&lt;=301,E493/3,E493/4))))</f>
        <v>726.5215619999999</v>
      </c>
      <c r="G493" s="92"/>
      <c r="H493" s="93"/>
      <c r="I493" s="36"/>
      <c r="L493" s="104"/>
      <c r="M493" s="104"/>
      <c r="N493" s="36"/>
    </row>
    <row r="494" spans="1:14" s="45" customFormat="1" ht="15.75" customHeight="1" x14ac:dyDescent="0.25">
      <c r="A494" s="88">
        <f t="shared" si="72"/>
        <v>4</v>
      </c>
      <c r="B494" s="89"/>
      <c r="C494" s="51">
        <v>1</v>
      </c>
      <c r="D494" s="53">
        <f>(3*4.3+2.1*2.15+3*3.15+1.2*1.83+2.5*0.6+1.2*1.83+2.1*0.9+1.5*(3+2.1)+3*0.9)*(10.764)</f>
        <v>484.34770799999995</v>
      </c>
      <c r="E494" s="52">
        <v>0</v>
      </c>
      <c r="F494" s="52">
        <f>D494*(($F$351)+1)+(IF(E494&lt;101,E494,IF(E494&lt;201,E494/2,IF(E494&lt;=301,E494/3,E494/4))))</f>
        <v>726.5215619999999</v>
      </c>
      <c r="G494" s="92"/>
      <c r="H494" s="93"/>
      <c r="I494" s="36"/>
      <c r="L494" s="104"/>
      <c r="M494" s="104"/>
      <c r="N494" s="36"/>
    </row>
    <row r="495" spans="1:14" s="45" customFormat="1" ht="15.75" customHeight="1" x14ac:dyDescent="0.25">
      <c r="A495" s="88">
        <f t="shared" si="72"/>
        <v>5</v>
      </c>
      <c r="B495" s="89"/>
      <c r="C495" s="51" t="s">
        <v>192</v>
      </c>
      <c r="D495" s="53">
        <f>(49.15+0.9*3.05+1.5*(2.15+2.75+3.05))*(10.764)</f>
        <v>686.95847999999989</v>
      </c>
      <c r="E495" s="52">
        <v>0</v>
      </c>
      <c r="F495" s="52">
        <f>D495*(($F$351)+1)+(IF(E495&lt;101,E495,IF(E495&lt;201,E495/2,IF(E495&lt;=301,E495/3,E495/4))))</f>
        <v>1030.4377199999999</v>
      </c>
      <c r="G495" s="92"/>
      <c r="H495" s="93"/>
      <c r="I495" s="36"/>
      <c r="L495" s="104"/>
      <c r="M495" s="104"/>
      <c r="N495" s="36"/>
    </row>
    <row r="496" spans="1:14" s="45" customFormat="1" ht="15.75" customHeight="1" x14ac:dyDescent="0.25">
      <c r="A496" s="88">
        <f t="shared" si="72"/>
        <v>6</v>
      </c>
      <c r="B496" s="89"/>
      <c r="C496" s="51" t="s">
        <v>192</v>
      </c>
      <c r="D496" s="53">
        <f>(49.15+0.9*3.05+1.5*(2.15+2.75+3.05))*(10.764)</f>
        <v>686.95847999999989</v>
      </c>
      <c r="E496" s="52">
        <v>0</v>
      </c>
      <c r="F496" s="52">
        <f>D496*(($F$351)+1)+(IF(E496&lt;101,E496,IF(E496&lt;201,E496/2,IF(E496&lt;=301,E496/3,E496/4))))</f>
        <v>1030.4377199999999</v>
      </c>
      <c r="G496" s="94"/>
      <c r="H496" s="95"/>
      <c r="I496" s="36"/>
      <c r="L496" s="104"/>
      <c r="M496" s="104"/>
      <c r="N496" s="36"/>
    </row>
    <row r="497" spans="1:14" s="45" customFormat="1" x14ac:dyDescent="0.25">
      <c r="A497" s="99" t="s">
        <v>207</v>
      </c>
      <c r="B497" s="100"/>
      <c r="C497" s="100"/>
      <c r="D497" s="100"/>
      <c r="E497" s="100"/>
      <c r="F497" s="100"/>
      <c r="G497" s="100"/>
      <c r="H497" s="101"/>
      <c r="J497" s="36"/>
    </row>
    <row r="498" spans="1:14" s="45" customFormat="1" ht="15.75" customHeight="1" x14ac:dyDescent="0.25">
      <c r="A498" s="88">
        <v>1</v>
      </c>
      <c r="B498" s="89"/>
      <c r="C498" s="51" t="s">
        <v>192</v>
      </c>
      <c r="D498" s="53">
        <f>(49.15+1.5*(3.05+2.15+2.76)+0.9*3.05)*(10.764)</f>
        <v>687.11993999999993</v>
      </c>
      <c r="E498" s="52">
        <v>0</v>
      </c>
      <c r="F498" s="52">
        <f t="shared" ref="F498:F503" si="73">D498*(($F$351)+1)+(IF(E498&lt;101,E498,IF(E498&lt;201,E498/2,IF(E498&lt;=301,E498/3,E498/4))))</f>
        <v>1030.6799099999998</v>
      </c>
      <c r="G498" s="90" t="str">
        <f>A497</f>
        <v>17th Floor (Part Refuge Area)</v>
      </c>
      <c r="H498" s="91"/>
      <c r="I498" s="36"/>
      <c r="L498" s="104"/>
      <c r="M498" s="104"/>
      <c r="N498" s="36"/>
    </row>
    <row r="499" spans="1:14" s="45" customFormat="1" ht="15.75" customHeight="1" x14ac:dyDescent="0.25">
      <c r="A499" s="88">
        <f t="shared" ref="A499:A503" si="74">A498+1</f>
        <v>2</v>
      </c>
      <c r="B499" s="89"/>
      <c r="C499" s="51" t="s">
        <v>192</v>
      </c>
      <c r="D499" s="53">
        <f>(49.15+1.5*(3.05+2.15+2.76)+0.9*3.05)*(10.764)</f>
        <v>687.11993999999993</v>
      </c>
      <c r="E499" s="52">
        <v>0</v>
      </c>
      <c r="F499" s="52">
        <f t="shared" si="73"/>
        <v>1030.6799099999998</v>
      </c>
      <c r="G499" s="92"/>
      <c r="H499" s="93"/>
      <c r="I499" s="36"/>
      <c r="L499" s="104"/>
      <c r="M499" s="104"/>
      <c r="N499" s="36"/>
    </row>
    <row r="500" spans="1:14" s="45" customFormat="1" ht="15.75" customHeight="1" x14ac:dyDescent="0.25">
      <c r="A500" s="88">
        <f t="shared" si="74"/>
        <v>3</v>
      </c>
      <c r="B500" s="89"/>
      <c r="C500" s="51">
        <v>1</v>
      </c>
      <c r="D500" s="53">
        <f>(3*4.3+2.1*2.15+3*3.15+1.2*1.83+2.5*0.6+1.2*1.83+2.1*0.9+1.5*(3+2.1)+3*0.9)*(10.764)</f>
        <v>484.34770799999995</v>
      </c>
      <c r="E500" s="52">
        <v>0</v>
      </c>
      <c r="F500" s="52">
        <f t="shared" si="73"/>
        <v>726.5215619999999</v>
      </c>
      <c r="G500" s="92"/>
      <c r="H500" s="93"/>
      <c r="I500" s="36"/>
      <c r="L500" s="104"/>
      <c r="M500" s="104"/>
      <c r="N500" s="36"/>
    </row>
    <row r="501" spans="1:14" s="45" customFormat="1" ht="15.75" customHeight="1" x14ac:dyDescent="0.25">
      <c r="A501" s="88">
        <f t="shared" si="74"/>
        <v>4</v>
      </c>
      <c r="B501" s="89"/>
      <c r="C501" s="51">
        <v>1</v>
      </c>
      <c r="D501" s="53">
        <f>(3*4.3+2.1*2.15+3*3.15+1.2*1.83+2.5*0.6+1.2*1.83+2.1*0.9+1.5*(3+2.1)+3*0.9)*(10.764)</f>
        <v>484.34770799999995</v>
      </c>
      <c r="E501" s="52">
        <v>0</v>
      </c>
      <c r="F501" s="52">
        <f t="shared" si="73"/>
        <v>726.5215619999999</v>
      </c>
      <c r="G501" s="92"/>
      <c r="H501" s="93"/>
      <c r="I501" s="36"/>
      <c r="L501" s="104"/>
      <c r="M501" s="104"/>
      <c r="N501" s="36"/>
    </row>
    <row r="502" spans="1:14" s="45" customFormat="1" ht="15.75" customHeight="1" x14ac:dyDescent="0.25">
      <c r="A502" s="88">
        <f t="shared" si="74"/>
        <v>5</v>
      </c>
      <c r="B502" s="89"/>
      <c r="C502" s="51" t="s">
        <v>192</v>
      </c>
      <c r="D502" s="53">
        <f>(49.15+1.5*(3.05+2.15+2.76)+0.9*3.05)*(10.764)</f>
        <v>687.11993999999993</v>
      </c>
      <c r="E502" s="52">
        <v>0</v>
      </c>
      <c r="F502" s="52">
        <f t="shared" si="73"/>
        <v>1030.6799099999998</v>
      </c>
      <c r="G502" s="92"/>
      <c r="H502" s="93"/>
      <c r="I502" s="36"/>
      <c r="L502" s="104"/>
      <c r="M502" s="104"/>
      <c r="N502" s="36"/>
    </row>
    <row r="503" spans="1:14" s="45" customFormat="1" ht="15.75" customHeight="1" x14ac:dyDescent="0.25">
      <c r="A503" s="88">
        <f t="shared" si="74"/>
        <v>6</v>
      </c>
      <c r="B503" s="89"/>
      <c r="C503" s="51" t="s">
        <v>192</v>
      </c>
      <c r="D503" s="53">
        <f>(49.15+1.5*(3.05+2.15+2.76)+0.9*3.05)*(10.764)</f>
        <v>687.11993999999993</v>
      </c>
      <c r="E503" s="52">
        <v>0</v>
      </c>
      <c r="F503" s="52">
        <f t="shared" si="73"/>
        <v>1030.6799099999998</v>
      </c>
      <c r="G503" s="94"/>
      <c r="H503" s="95"/>
      <c r="I503" s="36"/>
      <c r="L503" s="104"/>
      <c r="M503" s="104"/>
      <c r="N503" s="36"/>
    </row>
    <row r="504" spans="1:14" s="45" customFormat="1" ht="15.75" customHeight="1" x14ac:dyDescent="0.25">
      <c r="A504" s="99" t="s">
        <v>213</v>
      </c>
      <c r="B504" s="100"/>
      <c r="C504" s="100"/>
      <c r="D504" s="100"/>
      <c r="E504" s="100"/>
      <c r="F504" s="100"/>
      <c r="G504" s="100"/>
      <c r="H504" s="101"/>
      <c r="J504" s="36"/>
    </row>
    <row r="505" spans="1:14" s="45" customFormat="1" ht="15.75" customHeight="1" x14ac:dyDescent="0.25">
      <c r="A505" s="99" t="s">
        <v>190</v>
      </c>
      <c r="B505" s="100"/>
      <c r="C505" s="100"/>
      <c r="D505" s="100"/>
      <c r="E505" s="100"/>
      <c r="F505" s="100"/>
      <c r="G505" s="100"/>
      <c r="H505" s="101"/>
      <c r="J505" s="36"/>
    </row>
    <row r="506" spans="1:14" s="45" customFormat="1" x14ac:dyDescent="0.25">
      <c r="A506" s="99" t="s">
        <v>193</v>
      </c>
      <c r="B506" s="100"/>
      <c r="C506" s="100"/>
      <c r="D506" s="100"/>
      <c r="E506" s="100"/>
      <c r="F506" s="100"/>
      <c r="G506" s="100"/>
      <c r="H506" s="101"/>
      <c r="J506" s="53">
        <f>10.764</f>
        <v>10.763999999999999</v>
      </c>
    </row>
    <row r="507" spans="1:14" s="45" customFormat="1" ht="15.75" customHeight="1" x14ac:dyDescent="0.25">
      <c r="A507" s="88">
        <v>1</v>
      </c>
      <c r="B507" s="89"/>
      <c r="C507" s="51" t="s">
        <v>192</v>
      </c>
      <c r="D507" s="53">
        <f>(49.15+1.5*(3.05+2.15+2.76)+0.9*3.05)*(10.764)</f>
        <v>687.11993999999993</v>
      </c>
      <c r="E507" s="53">
        <f>(4.65*5.175+3.35*2.99+5.05*3.68+3.2*4.25)*(10.764)</f>
        <v>713.26838699999996</v>
      </c>
      <c r="F507" s="52">
        <f t="shared" ref="F507:F512" si="75">D507*(($F$351)+1)+(IF(E507&lt;101,E507,IF(E507&lt;201,E507/2,IF(E507&lt;=301,E507/3,E507/4))))</f>
        <v>1208.9970067499999</v>
      </c>
      <c r="G507" s="90" t="str">
        <f>A506</f>
        <v>1st Floor For Residential</v>
      </c>
      <c r="H507" s="91"/>
      <c r="I507" s="36"/>
      <c r="J507" s="45">
        <f>3.05*4.23+1.05*2.22+2.15*2.35+2.75*2.35+3.05*2.29+2.15*1.22+2.15*1.22+4*0.9</f>
        <v>42.577999999999996</v>
      </c>
      <c r="K507" s="45">
        <f>3.05*1+3.05*1</f>
        <v>6.1</v>
      </c>
      <c r="L507" s="104"/>
      <c r="M507" s="104"/>
      <c r="N507" s="36"/>
    </row>
    <row r="508" spans="1:14" s="45" customFormat="1" ht="15.75" customHeight="1" x14ac:dyDescent="0.25">
      <c r="A508" s="88">
        <f t="shared" ref="A508:A512" si="76">A507+1</f>
        <v>2</v>
      </c>
      <c r="B508" s="89"/>
      <c r="C508" s="51" t="s">
        <v>192</v>
      </c>
      <c r="D508" s="53">
        <f>(49.15+1.5*(3.05+2.15+2.76)+0.9*3.05)*(10.764)</f>
        <v>687.11993999999993</v>
      </c>
      <c r="E508" s="52">
        <v>0</v>
      </c>
      <c r="F508" s="52">
        <f t="shared" si="75"/>
        <v>1030.6799099999998</v>
      </c>
      <c r="G508" s="92"/>
      <c r="H508" s="93"/>
      <c r="I508" s="36"/>
      <c r="J508" s="45">
        <f>J507+K507</f>
        <v>48.677999999999997</v>
      </c>
      <c r="L508" s="104"/>
      <c r="M508" s="104"/>
      <c r="N508" s="36"/>
    </row>
    <row r="509" spans="1:14" s="45" customFormat="1" ht="15.75" customHeight="1" x14ac:dyDescent="0.25">
      <c r="A509" s="88">
        <f t="shared" si="76"/>
        <v>3</v>
      </c>
      <c r="B509" s="89"/>
      <c r="C509" s="51">
        <v>1</v>
      </c>
      <c r="D509" s="53">
        <f>(3*4.3+2.1*2.15+3*3.15+1.2*1.83+2.5*0.6+1.2*1.83+2.1*0.9+1.5*(3+2.1)+3*0.9)*(10.764)</f>
        <v>484.34770799999995</v>
      </c>
      <c r="E509" s="52">
        <v>0</v>
      </c>
      <c r="F509" s="52">
        <f t="shared" si="75"/>
        <v>726.5215619999999</v>
      </c>
      <c r="G509" s="92"/>
      <c r="H509" s="93"/>
      <c r="I509" s="36"/>
      <c r="J509" s="45">
        <f>1.5*(3.05+2.15+2.76)+0.9*3.05</f>
        <v>14.684999999999999</v>
      </c>
      <c r="L509" s="104"/>
      <c r="M509" s="104"/>
      <c r="N509" s="36"/>
    </row>
    <row r="510" spans="1:14" s="45" customFormat="1" ht="15.75" customHeight="1" x14ac:dyDescent="0.25">
      <c r="A510" s="88">
        <f t="shared" si="76"/>
        <v>4</v>
      </c>
      <c r="B510" s="89"/>
      <c r="C510" s="51">
        <v>1</v>
      </c>
      <c r="D510" s="53">
        <f>(3*4.3+2.1*2.15+3*3.15+1.2*1.83+2.5*0.6+1.2*1.83+2.1*0.9+1.5*(3+2.1)+3*0.9)*(10.764)</f>
        <v>484.34770799999995</v>
      </c>
      <c r="E510" s="52">
        <v>0</v>
      </c>
      <c r="F510" s="52">
        <f t="shared" si="75"/>
        <v>726.5215619999999</v>
      </c>
      <c r="G510" s="92"/>
      <c r="H510" s="93"/>
      <c r="I510" s="36"/>
      <c r="J510" s="45">
        <f>3*4.3+2.1*2.15+3*3.15+1.2*1.83+2.5*0.6+1.2*1.83+2.1*0.9</f>
        <v>34.646999999999998</v>
      </c>
      <c r="K510" s="45">
        <f>1.5*(3+2.1)+3*0.9</f>
        <v>10.35</v>
      </c>
      <c r="L510" s="104"/>
      <c r="M510" s="104"/>
      <c r="N510" s="36"/>
    </row>
    <row r="511" spans="1:14" s="45" customFormat="1" ht="15.75" customHeight="1" x14ac:dyDescent="0.25">
      <c r="A511" s="88">
        <f t="shared" si="76"/>
        <v>5</v>
      </c>
      <c r="B511" s="89"/>
      <c r="C511" s="51" t="s">
        <v>192</v>
      </c>
      <c r="D511" s="53">
        <f>(49.15+1.5*(3.05+2.15+2.76)+0.9*3.05)*(10.764)</f>
        <v>687.11993999999993</v>
      </c>
      <c r="E511" s="52">
        <v>0</v>
      </c>
      <c r="F511" s="52">
        <f t="shared" si="75"/>
        <v>1030.6799099999998</v>
      </c>
      <c r="G511" s="92"/>
      <c r="H511" s="93"/>
      <c r="I511" s="36"/>
      <c r="L511" s="104"/>
      <c r="M511" s="104"/>
      <c r="N511" s="36"/>
    </row>
    <row r="512" spans="1:14" s="45" customFormat="1" ht="15.75" customHeight="1" x14ac:dyDescent="0.25">
      <c r="A512" s="88">
        <f t="shared" si="76"/>
        <v>6</v>
      </c>
      <c r="B512" s="89"/>
      <c r="C512" s="51" t="s">
        <v>192</v>
      </c>
      <c r="D512" s="53">
        <f>(49.15+1.5*(3.05+2.15+2.76)+0.9*3.05)*(10.764)</f>
        <v>687.11993999999993</v>
      </c>
      <c r="E512" s="53">
        <f>(4.65*5.175+3.35*2.99+5.05*3.68+3.2*4.25)*(10.764)</f>
        <v>713.26838699999996</v>
      </c>
      <c r="F512" s="52">
        <f t="shared" si="75"/>
        <v>1208.9970067499999</v>
      </c>
      <c r="G512" s="94"/>
      <c r="H512" s="95"/>
      <c r="I512" s="36"/>
      <c r="L512" s="104"/>
      <c r="M512" s="104"/>
      <c r="N512" s="36"/>
    </row>
    <row r="513" spans="1:14" s="45" customFormat="1" x14ac:dyDescent="0.25">
      <c r="A513" s="99" t="s">
        <v>195</v>
      </c>
      <c r="B513" s="100"/>
      <c r="C513" s="100"/>
      <c r="D513" s="100"/>
      <c r="E513" s="100"/>
      <c r="F513" s="100"/>
      <c r="G513" s="100"/>
      <c r="H513" s="101"/>
      <c r="J513" s="36"/>
    </row>
    <row r="514" spans="1:14" s="45" customFormat="1" ht="15.75" customHeight="1" x14ac:dyDescent="0.25">
      <c r="A514" s="88">
        <v>1</v>
      </c>
      <c r="B514" s="89"/>
      <c r="C514" s="51" t="s">
        <v>192</v>
      </c>
      <c r="D514" s="53">
        <f>(49.15+0.9*3.05+1.5*(2.15+2.75+3.05))*(10.764)</f>
        <v>686.95847999999989</v>
      </c>
      <c r="E514" s="52">
        <v>0</v>
      </c>
      <c r="F514" s="52">
        <f t="shared" ref="F514:F519" si="77">D514*(($F$351)+1)+(IF(E514&lt;101,E514,IF(E514&lt;201,E514/2,IF(E514&lt;=301,E514/3,E514/4))))</f>
        <v>1030.4377199999999</v>
      </c>
      <c r="G514" s="90" t="str">
        <f>A513</f>
        <v>2nd, 8th, 10th, 16th &amp; 18th Floor</v>
      </c>
      <c r="H514" s="91"/>
      <c r="I514" s="36"/>
      <c r="L514" s="104"/>
      <c r="M514" s="104"/>
      <c r="N514" s="36"/>
    </row>
    <row r="515" spans="1:14" s="45" customFormat="1" ht="15.75" customHeight="1" x14ac:dyDescent="0.25">
      <c r="A515" s="88">
        <f t="shared" ref="A515:A519" si="78">A514+1</f>
        <v>2</v>
      </c>
      <c r="B515" s="89"/>
      <c r="C515" s="51" t="s">
        <v>192</v>
      </c>
      <c r="D515" s="53">
        <f>(49.15+0.9*3.05+1.5*(2.15+2.75+3.05))*(10.764)</f>
        <v>686.95847999999989</v>
      </c>
      <c r="E515" s="52">
        <v>0</v>
      </c>
      <c r="F515" s="52">
        <f t="shared" si="77"/>
        <v>1030.4377199999999</v>
      </c>
      <c r="G515" s="92"/>
      <c r="H515" s="93"/>
      <c r="I515" s="36"/>
      <c r="L515" s="104"/>
      <c r="M515" s="104"/>
      <c r="N515" s="36"/>
    </row>
    <row r="516" spans="1:14" s="45" customFormat="1" ht="15.75" customHeight="1" x14ac:dyDescent="0.25">
      <c r="A516" s="88">
        <f t="shared" si="78"/>
        <v>3</v>
      </c>
      <c r="B516" s="89"/>
      <c r="C516" s="51">
        <v>1</v>
      </c>
      <c r="D516" s="53">
        <f>(3*4.3+2.1*2.15+3*3.15+1.2*1.83+2.5*0.6+1.2*1.83+2.1*0.9+1.5*(3+2.1)+3*0.9)*(10.764)</f>
        <v>484.34770799999995</v>
      </c>
      <c r="E516" s="52">
        <v>0</v>
      </c>
      <c r="F516" s="52">
        <f t="shared" si="77"/>
        <v>726.5215619999999</v>
      </c>
      <c r="G516" s="92"/>
      <c r="H516" s="93"/>
      <c r="I516" s="36"/>
      <c r="L516" s="104"/>
      <c r="M516" s="104"/>
      <c r="N516" s="36"/>
    </row>
    <row r="517" spans="1:14" s="45" customFormat="1" ht="15.75" customHeight="1" x14ac:dyDescent="0.25">
      <c r="A517" s="88">
        <f t="shared" si="78"/>
        <v>4</v>
      </c>
      <c r="B517" s="89"/>
      <c r="C517" s="51">
        <v>1</v>
      </c>
      <c r="D517" s="53">
        <f>(3*4.3+2.1*2.15+3*3.15+1.2*1.83+2.5*0.6+1.2*1.83+2.1*0.9+1.5*(3+2.1)+3*0.9)*(10.764)</f>
        <v>484.34770799999995</v>
      </c>
      <c r="E517" s="52">
        <v>0</v>
      </c>
      <c r="F517" s="52">
        <f t="shared" si="77"/>
        <v>726.5215619999999</v>
      </c>
      <c r="G517" s="92"/>
      <c r="H517" s="93"/>
      <c r="I517" s="36"/>
      <c r="L517" s="104"/>
      <c r="M517" s="104"/>
      <c r="N517" s="36"/>
    </row>
    <row r="518" spans="1:14" s="45" customFormat="1" ht="15.75" customHeight="1" x14ac:dyDescent="0.25">
      <c r="A518" s="88">
        <f t="shared" si="78"/>
        <v>5</v>
      </c>
      <c r="B518" s="89"/>
      <c r="C518" s="51" t="s">
        <v>192</v>
      </c>
      <c r="D518" s="53">
        <f>(49.15+0.9*3.05+1.5*(2.15+2.75+3.05))*(10.764)</f>
        <v>686.95847999999989</v>
      </c>
      <c r="E518" s="52">
        <v>0</v>
      </c>
      <c r="F518" s="52">
        <f t="shared" si="77"/>
        <v>1030.4377199999999</v>
      </c>
      <c r="G518" s="92"/>
      <c r="H518" s="93"/>
      <c r="I518" s="36"/>
      <c r="L518" s="104"/>
      <c r="M518" s="104"/>
      <c r="N518" s="36"/>
    </row>
    <row r="519" spans="1:14" s="45" customFormat="1" ht="15.75" customHeight="1" x14ac:dyDescent="0.25">
      <c r="A519" s="88">
        <f t="shared" si="78"/>
        <v>6</v>
      </c>
      <c r="B519" s="89"/>
      <c r="C519" s="51" t="s">
        <v>192</v>
      </c>
      <c r="D519" s="53">
        <f>(49.15+0.9*3.05+1.5*(2.15+2.75+3.05))*(10.764)</f>
        <v>686.95847999999989</v>
      </c>
      <c r="E519" s="52">
        <v>0</v>
      </c>
      <c r="F519" s="52">
        <f t="shared" si="77"/>
        <v>1030.4377199999999</v>
      </c>
      <c r="G519" s="94"/>
      <c r="H519" s="95"/>
      <c r="I519" s="36"/>
      <c r="L519" s="104"/>
      <c r="M519" s="104"/>
      <c r="N519" s="36"/>
    </row>
    <row r="520" spans="1:14" s="45" customFormat="1" x14ac:dyDescent="0.25">
      <c r="A520" s="99" t="s">
        <v>202</v>
      </c>
      <c r="B520" s="100"/>
      <c r="C520" s="100"/>
      <c r="D520" s="100"/>
      <c r="E520" s="100"/>
      <c r="F520" s="100"/>
      <c r="G520" s="100"/>
      <c r="H520" s="101"/>
      <c r="J520" s="36"/>
    </row>
    <row r="521" spans="1:14" s="45" customFormat="1" ht="15.75" customHeight="1" x14ac:dyDescent="0.25">
      <c r="A521" s="88">
        <v>1</v>
      </c>
      <c r="B521" s="89"/>
      <c r="C521" s="51" t="s">
        <v>192</v>
      </c>
      <c r="D521" s="53">
        <f>(49.15+1.5*(3.05+2.15+2.76)+0.9*3.05)*(10.764)</f>
        <v>687.11993999999993</v>
      </c>
      <c r="E521" s="52">
        <v>0</v>
      </c>
      <c r="F521" s="52">
        <f t="shared" ref="F521:F526" si="79">D521*(($F$351)+1)+(IF(E521&lt;101,E521,IF(E521&lt;201,E521/2,IF(E521&lt;=301,E521/3,E521/4))))</f>
        <v>1030.6799099999998</v>
      </c>
      <c r="G521" s="90" t="str">
        <f>A520</f>
        <v>3rd,  9th, 11th Floor</v>
      </c>
      <c r="H521" s="91"/>
      <c r="I521" s="36"/>
      <c r="L521" s="104"/>
      <c r="M521" s="104"/>
      <c r="N521" s="36"/>
    </row>
    <row r="522" spans="1:14" s="45" customFormat="1" ht="15.75" customHeight="1" x14ac:dyDescent="0.25">
      <c r="A522" s="88">
        <f t="shared" ref="A522:A526" si="80">A521+1</f>
        <v>2</v>
      </c>
      <c r="B522" s="89"/>
      <c r="C522" s="51" t="s">
        <v>192</v>
      </c>
      <c r="D522" s="53">
        <f>(49.15+1.5*(3.05+2.15+2.76)+0.9*3.05)*(10.764)</f>
        <v>687.11993999999993</v>
      </c>
      <c r="E522" s="52">
        <v>0</v>
      </c>
      <c r="F522" s="52">
        <f t="shared" si="79"/>
        <v>1030.6799099999998</v>
      </c>
      <c r="G522" s="92"/>
      <c r="H522" s="93"/>
      <c r="I522" s="36"/>
      <c r="L522" s="104"/>
      <c r="M522" s="104"/>
      <c r="N522" s="36"/>
    </row>
    <row r="523" spans="1:14" s="45" customFormat="1" ht="15.75" customHeight="1" x14ac:dyDescent="0.25">
      <c r="A523" s="88">
        <f t="shared" si="80"/>
        <v>3</v>
      </c>
      <c r="B523" s="89"/>
      <c r="C523" s="51">
        <v>1</v>
      </c>
      <c r="D523" s="53">
        <f>(3*4.3+2.1*2.15+3*3.15+1.2*1.83+2.5*0.6+1.2*1.83+2.1*0.9+1.5*(3+2.1)+3*0.9)*(10.764)</f>
        <v>484.34770799999995</v>
      </c>
      <c r="E523" s="52">
        <v>0</v>
      </c>
      <c r="F523" s="52">
        <f t="shared" si="79"/>
        <v>726.5215619999999</v>
      </c>
      <c r="G523" s="92"/>
      <c r="H523" s="93"/>
      <c r="I523" s="36"/>
      <c r="L523" s="104"/>
      <c r="M523" s="104"/>
      <c r="N523" s="36"/>
    </row>
    <row r="524" spans="1:14" s="45" customFormat="1" ht="15.75" customHeight="1" x14ac:dyDescent="0.25">
      <c r="A524" s="88">
        <f t="shared" si="80"/>
        <v>4</v>
      </c>
      <c r="B524" s="89"/>
      <c r="C524" s="51">
        <v>1</v>
      </c>
      <c r="D524" s="53">
        <f>(3*4.3+2.1*2.15+3*3.15+1.2*1.83+2.5*0.6+1.2*1.83+2.1*0.9+1.5*(3+2.1)+3*0.9)*(10.764)</f>
        <v>484.34770799999995</v>
      </c>
      <c r="E524" s="52">
        <v>0</v>
      </c>
      <c r="F524" s="52">
        <f t="shared" si="79"/>
        <v>726.5215619999999</v>
      </c>
      <c r="G524" s="92"/>
      <c r="H524" s="93"/>
      <c r="I524" s="36"/>
      <c r="L524" s="104"/>
      <c r="M524" s="104"/>
      <c r="N524" s="36"/>
    </row>
    <row r="525" spans="1:14" s="45" customFormat="1" ht="15.75" customHeight="1" x14ac:dyDescent="0.25">
      <c r="A525" s="88">
        <f t="shared" si="80"/>
        <v>5</v>
      </c>
      <c r="B525" s="89"/>
      <c r="C525" s="51" t="s">
        <v>192</v>
      </c>
      <c r="D525" s="53">
        <f>(49.15+1.5*(3.05+2.15+2.76)+0.9*3.05)*(10.764)</f>
        <v>687.11993999999993</v>
      </c>
      <c r="E525" s="52">
        <v>0</v>
      </c>
      <c r="F525" s="52">
        <f t="shared" si="79"/>
        <v>1030.6799099999998</v>
      </c>
      <c r="G525" s="92"/>
      <c r="H525" s="93"/>
      <c r="I525" s="36"/>
      <c r="L525" s="104"/>
      <c r="M525" s="104"/>
      <c r="N525" s="36"/>
    </row>
    <row r="526" spans="1:14" s="45" customFormat="1" ht="15.75" customHeight="1" x14ac:dyDescent="0.25">
      <c r="A526" s="88">
        <f t="shared" si="80"/>
        <v>6</v>
      </c>
      <c r="B526" s="89"/>
      <c r="C526" s="51" t="s">
        <v>192</v>
      </c>
      <c r="D526" s="53">
        <f>(49.15+1.5*(3.05+2.15+2.76)+0.9*3.05)*(10.764)</f>
        <v>687.11993999999993</v>
      </c>
      <c r="E526" s="52">
        <v>0</v>
      </c>
      <c r="F526" s="52">
        <f t="shared" si="79"/>
        <v>1030.6799099999998</v>
      </c>
      <c r="G526" s="94"/>
      <c r="H526" s="95"/>
      <c r="I526" s="36"/>
      <c r="L526" s="104"/>
      <c r="M526" s="104"/>
      <c r="N526" s="36"/>
    </row>
    <row r="527" spans="1:14" s="45" customFormat="1" x14ac:dyDescent="0.25">
      <c r="A527" s="99" t="s">
        <v>198</v>
      </c>
      <c r="B527" s="100"/>
      <c r="C527" s="100"/>
      <c r="D527" s="100"/>
      <c r="E527" s="100"/>
      <c r="F527" s="100"/>
      <c r="G527" s="100"/>
      <c r="H527" s="101"/>
      <c r="J527" s="36"/>
    </row>
    <row r="528" spans="1:14" s="45" customFormat="1" ht="15.75" customHeight="1" x14ac:dyDescent="0.25">
      <c r="A528" s="88">
        <v>1</v>
      </c>
      <c r="B528" s="89"/>
      <c r="C528" s="51" t="s">
        <v>192</v>
      </c>
      <c r="D528" s="53">
        <f>(49.15+0.9*3.05+1.5*(2.15+2.75+3.05))*(10.764)</f>
        <v>686.95847999999989</v>
      </c>
      <c r="E528" s="52">
        <v>0</v>
      </c>
      <c r="F528" s="52">
        <f>D528*(($F$351)+1)+(IF(E528&lt;101,E528,IF(E528&lt;201,E528/2,IF(E528&lt;=301,E528/3,E528/4))))</f>
        <v>1030.4377199999999</v>
      </c>
      <c r="G528" s="90" t="str">
        <f>A527</f>
        <v>4th Floor (Part Terrace Area)</v>
      </c>
      <c r="H528" s="91"/>
      <c r="I528" s="36"/>
      <c r="L528" s="104"/>
      <c r="M528" s="104"/>
      <c r="N528" s="36"/>
    </row>
    <row r="529" spans="1:14" s="45" customFormat="1" ht="15.75" customHeight="1" x14ac:dyDescent="0.25">
      <c r="A529" s="88">
        <f t="shared" ref="A529:A533" si="81">A528+1</f>
        <v>2</v>
      </c>
      <c r="B529" s="89"/>
      <c r="C529" s="51" t="s">
        <v>192</v>
      </c>
      <c r="D529" s="53">
        <f>(49.15+0.9*3.05+1.5*(2.15+2.75+3.05))*(10.764)</f>
        <v>686.95847999999989</v>
      </c>
      <c r="E529" s="52">
        <v>0</v>
      </c>
      <c r="F529" s="52">
        <f>D529*(($F$351)+1)+(IF(E529&lt;101,E529,IF(E529&lt;201,E529/2,IF(E529&lt;=301,E529/3,E529/4))))</f>
        <v>1030.4377199999999</v>
      </c>
      <c r="G529" s="92"/>
      <c r="H529" s="93"/>
      <c r="I529" s="36"/>
      <c r="L529" s="104"/>
      <c r="M529" s="104"/>
      <c r="N529" s="36"/>
    </row>
    <row r="530" spans="1:14" s="45" customFormat="1" ht="15.75" customHeight="1" x14ac:dyDescent="0.25">
      <c r="A530" s="88">
        <f t="shared" si="81"/>
        <v>3</v>
      </c>
      <c r="B530" s="89"/>
      <c r="C530" s="51">
        <v>1</v>
      </c>
      <c r="D530" s="53">
        <f>(3*4.3+2.1*2.15+3*3.15+1.2*1.83+2.5*0.6+1.2*1.83+2.1*0.9+1.5*(3+2.1)+3*0.9)*(10.764)</f>
        <v>484.34770799999995</v>
      </c>
      <c r="E530" s="52">
        <v>0</v>
      </c>
      <c r="F530" s="52">
        <f>D530*(($F$351)+1)+(IF(E530&lt;101,E530,IF(E530&lt;201,E530/2,IF(E530&lt;=301,E530/3,E530/4))))</f>
        <v>726.5215619999999</v>
      </c>
      <c r="G530" s="92"/>
      <c r="H530" s="93"/>
      <c r="I530" s="36"/>
      <c r="L530" s="104"/>
      <c r="M530" s="104"/>
      <c r="N530" s="36"/>
    </row>
    <row r="531" spans="1:14" s="45" customFormat="1" ht="15.75" customHeight="1" x14ac:dyDescent="0.25">
      <c r="A531" s="88">
        <f t="shared" si="81"/>
        <v>4</v>
      </c>
      <c r="B531" s="89"/>
      <c r="C531" s="51">
        <v>1</v>
      </c>
      <c r="D531" s="53">
        <f>(3*4.3+2.1*2.15+3*3.15+1.2*1.83+2.5*0.6+1.2*1.83+2.1*0.9+1.5*(3+2.1)+3*0.9)*(10.764)</f>
        <v>484.34770799999995</v>
      </c>
      <c r="E531" s="52">
        <v>0</v>
      </c>
      <c r="F531" s="52">
        <f>D531*(($F$351)+1)+(IF(E531&lt;101,E531,IF(E531&lt;201,E531/2,IF(E531&lt;=301,E531/3,E531/4))))</f>
        <v>726.5215619999999</v>
      </c>
      <c r="G531" s="92"/>
      <c r="H531" s="93"/>
      <c r="I531" s="36"/>
      <c r="L531" s="104"/>
      <c r="M531" s="104"/>
      <c r="N531" s="36"/>
    </row>
    <row r="532" spans="1:14" s="45" customFormat="1" ht="15.75" customHeight="1" x14ac:dyDescent="0.25">
      <c r="A532" s="88">
        <f t="shared" si="81"/>
        <v>5</v>
      </c>
      <c r="B532" s="89"/>
      <c r="C532" s="96" t="s">
        <v>197</v>
      </c>
      <c r="D532" s="97"/>
      <c r="E532" s="97"/>
      <c r="F532" s="98"/>
      <c r="G532" s="92"/>
      <c r="H532" s="93"/>
      <c r="I532" s="36"/>
      <c r="L532" s="104"/>
      <c r="M532" s="104"/>
      <c r="N532" s="36"/>
    </row>
    <row r="533" spans="1:14" s="45" customFormat="1" ht="15.75" customHeight="1" x14ac:dyDescent="0.25">
      <c r="A533" s="88">
        <f t="shared" si="81"/>
        <v>6</v>
      </c>
      <c r="B533" s="89"/>
      <c r="C533" s="51" t="s">
        <v>192</v>
      </c>
      <c r="D533" s="53">
        <f>(49.15+0.9*3.05+1.5*(2.15+2.75+3.05))*(10.764)</f>
        <v>686.95847999999989</v>
      </c>
      <c r="E533" s="52">
        <v>0</v>
      </c>
      <c r="F533" s="52">
        <f>D533*(($F$351)+1)+(IF(E533&lt;101,E533,IF(E533&lt;201,E533/2,IF(E533&lt;=301,E533/3,E533/4))))</f>
        <v>1030.4377199999999</v>
      </c>
      <c r="G533" s="94"/>
      <c r="H533" s="95"/>
      <c r="I533" s="36"/>
      <c r="L533" s="104"/>
      <c r="M533" s="104"/>
      <c r="N533" s="36"/>
    </row>
    <row r="534" spans="1:14" s="45" customFormat="1" x14ac:dyDescent="0.25">
      <c r="A534" s="99" t="s">
        <v>201</v>
      </c>
      <c r="B534" s="100"/>
      <c r="C534" s="100"/>
      <c r="D534" s="100"/>
      <c r="E534" s="100"/>
      <c r="F534" s="100"/>
      <c r="G534" s="100"/>
      <c r="H534" s="101"/>
      <c r="J534" s="36"/>
    </row>
    <row r="535" spans="1:14" s="45" customFormat="1" x14ac:dyDescent="0.25">
      <c r="A535" s="88">
        <v>1</v>
      </c>
      <c r="B535" s="89"/>
      <c r="C535" s="51" t="s">
        <v>192</v>
      </c>
      <c r="D535" s="53">
        <f>(49.15+0.9*3.05+1.5*(2.15+2.75+3.05))*(10.764)</f>
        <v>686.95847999999989</v>
      </c>
      <c r="E535" s="52">
        <v>0</v>
      </c>
      <c r="F535" s="52">
        <f>D535*(($F$351)+1)+(IF(E535&lt;101,E535,IF(E535&lt;201,E535/2,IF(E535&lt;=301,E535/3,E535/4))))</f>
        <v>1030.4377199999999</v>
      </c>
      <c r="G535" s="90" t="str">
        <f>A534</f>
        <v>5th Floor</v>
      </c>
      <c r="H535" s="91"/>
      <c r="I535" s="36"/>
      <c r="L535" s="104"/>
      <c r="M535" s="104"/>
      <c r="N535" s="36"/>
    </row>
    <row r="536" spans="1:14" s="45" customFormat="1" x14ac:dyDescent="0.25">
      <c r="A536" s="88">
        <f t="shared" ref="A536:A540" si="82">A535+1</f>
        <v>2</v>
      </c>
      <c r="B536" s="89"/>
      <c r="C536" s="51" t="s">
        <v>192</v>
      </c>
      <c r="D536" s="53">
        <f>(49.15+0.9*3.05+1.5*(2.15+2.75+3.05))*(10.764)</f>
        <v>686.95847999999989</v>
      </c>
      <c r="E536" s="52">
        <v>0</v>
      </c>
      <c r="F536" s="52">
        <f>D536*(($F$351)+1)+(IF(E536&lt;101,E536,IF(E536&lt;201,E536/2,IF(E536&lt;=301,E536/3,E536/4))))</f>
        <v>1030.4377199999999</v>
      </c>
      <c r="G536" s="92"/>
      <c r="H536" s="93"/>
      <c r="I536" s="36"/>
      <c r="L536" s="104"/>
      <c r="M536" s="104"/>
      <c r="N536" s="36"/>
    </row>
    <row r="537" spans="1:14" s="45" customFormat="1" x14ac:dyDescent="0.25">
      <c r="A537" s="88">
        <f t="shared" si="82"/>
        <v>3</v>
      </c>
      <c r="B537" s="89"/>
      <c r="C537" s="51">
        <v>1</v>
      </c>
      <c r="D537" s="53">
        <f>(3*4.3+2.1*2.15+3*3.15+1.2*1.83+2.5*0.6+1.2*1.83+2.1*0.9+1.5*(3+2.1)+3*0.9)*(10.764)</f>
        <v>484.34770799999995</v>
      </c>
      <c r="E537" s="52">
        <v>0</v>
      </c>
      <c r="F537" s="52">
        <f>D537*(($F$351)+1)+(IF(E537&lt;101,E537,IF(E537&lt;201,E537/2,IF(E537&lt;=301,E537/3,E537/4))))</f>
        <v>726.5215619999999</v>
      </c>
      <c r="G537" s="92"/>
      <c r="H537" s="93"/>
      <c r="I537" s="36"/>
      <c r="L537" s="104"/>
      <c r="M537" s="104"/>
      <c r="N537" s="36"/>
    </row>
    <row r="538" spans="1:14" s="45" customFormat="1" x14ac:dyDescent="0.25">
      <c r="A538" s="88">
        <f t="shared" si="82"/>
        <v>4</v>
      </c>
      <c r="B538" s="89"/>
      <c r="C538" s="51">
        <v>1</v>
      </c>
      <c r="D538" s="53">
        <f>(3*4.3+2.1*2.15+3*3.15+1.2*1.83+2.5*0.6+1.2*1.83+2.1*0.9+1.5*(3+2.1)+3*0.9)*(10.764)</f>
        <v>484.34770799999995</v>
      </c>
      <c r="E538" s="52">
        <v>0</v>
      </c>
      <c r="F538" s="52">
        <f>D538*(($F$351)+1)+(IF(E538&lt;101,E538,IF(E538&lt;201,E538/2,IF(E538&lt;=301,E538/3,E538/4))))</f>
        <v>726.5215619999999</v>
      </c>
      <c r="G538" s="92"/>
      <c r="H538" s="93"/>
      <c r="I538" s="36"/>
      <c r="L538" s="104"/>
      <c r="M538" s="104"/>
      <c r="N538" s="36"/>
    </row>
    <row r="539" spans="1:14" s="45" customFormat="1" x14ac:dyDescent="0.25">
      <c r="A539" s="88">
        <f t="shared" si="82"/>
        <v>5</v>
      </c>
      <c r="B539" s="89"/>
      <c r="C539" s="96" t="s">
        <v>200</v>
      </c>
      <c r="D539" s="97"/>
      <c r="E539" s="97"/>
      <c r="F539" s="98"/>
      <c r="G539" s="92"/>
      <c r="H539" s="93"/>
      <c r="I539" s="36"/>
      <c r="L539" s="104"/>
      <c r="M539" s="104"/>
      <c r="N539" s="36"/>
    </row>
    <row r="540" spans="1:14" s="45" customFormat="1" x14ac:dyDescent="0.25">
      <c r="A540" s="88">
        <f t="shared" si="82"/>
        <v>6</v>
      </c>
      <c r="B540" s="89"/>
      <c r="C540" s="51" t="s">
        <v>192</v>
      </c>
      <c r="D540" s="53">
        <f>(49.15+0.9*3.05+1.5*(2.15+2.75+3.05))*(10.764)</f>
        <v>686.95847999999989</v>
      </c>
      <c r="E540" s="52">
        <v>0</v>
      </c>
      <c r="F540" s="52">
        <f>D540*(($F$351)+1)+(IF(E540&lt;101,E540,IF(E540&lt;201,E540/2,IF(E540&lt;=301,E540/3,E540/4))))</f>
        <v>1030.4377199999999</v>
      </c>
      <c r="G540" s="94"/>
      <c r="H540" s="95"/>
      <c r="I540" s="36"/>
      <c r="L540" s="104"/>
      <c r="M540" s="104"/>
      <c r="N540" s="36"/>
    </row>
    <row r="541" spans="1:14" s="45" customFormat="1" x14ac:dyDescent="0.25">
      <c r="A541" s="99" t="s">
        <v>199</v>
      </c>
      <c r="B541" s="100"/>
      <c r="C541" s="100"/>
      <c r="D541" s="100"/>
      <c r="E541" s="100"/>
      <c r="F541" s="100"/>
      <c r="G541" s="100"/>
      <c r="H541" s="101"/>
      <c r="J541" s="36"/>
    </row>
    <row r="542" spans="1:14" s="45" customFormat="1" x14ac:dyDescent="0.25">
      <c r="A542" s="88">
        <v>1</v>
      </c>
      <c r="B542" s="89"/>
      <c r="C542" s="51" t="s">
        <v>192</v>
      </c>
      <c r="D542" s="53">
        <f>(49.15+0.9*3.05+1.5*(2.15+2.75+3.05))*(10.764)</f>
        <v>686.95847999999989</v>
      </c>
      <c r="E542" s="52">
        <v>0</v>
      </c>
      <c r="F542" s="52">
        <f>D542*(($F$351)+1)+(IF(E542&lt;101,E542,IF(E542&lt;201,E542/2,IF(E542&lt;=301,E542/3,E542/4))))</f>
        <v>1030.4377199999999</v>
      </c>
      <c r="G542" s="90" t="str">
        <f>A541</f>
        <v>6th Floor</v>
      </c>
      <c r="H542" s="91"/>
      <c r="I542" s="36"/>
      <c r="L542" s="104"/>
      <c r="M542" s="104"/>
      <c r="N542" s="36"/>
    </row>
    <row r="543" spans="1:14" s="45" customFormat="1" x14ac:dyDescent="0.25">
      <c r="A543" s="88">
        <f t="shared" ref="A543:A547" si="83">A542+1</f>
        <v>2</v>
      </c>
      <c r="B543" s="89"/>
      <c r="C543" s="51" t="s">
        <v>192</v>
      </c>
      <c r="D543" s="53">
        <f>(49.15+0.9*3.05+1.5*(2.15+2.75+3.05))*(10.764)</f>
        <v>686.95847999999989</v>
      </c>
      <c r="E543" s="52">
        <v>0</v>
      </c>
      <c r="F543" s="52">
        <f>D543*(($F$351)+1)+(IF(E543&lt;101,E543,IF(E543&lt;201,E543/2,IF(E543&lt;=301,E543/3,E543/4))))</f>
        <v>1030.4377199999999</v>
      </c>
      <c r="G543" s="92"/>
      <c r="H543" s="93"/>
      <c r="I543" s="36"/>
      <c r="L543" s="104"/>
      <c r="M543" s="104"/>
      <c r="N543" s="36"/>
    </row>
    <row r="544" spans="1:14" s="45" customFormat="1" x14ac:dyDescent="0.25">
      <c r="A544" s="88">
        <f t="shared" si="83"/>
        <v>3</v>
      </c>
      <c r="B544" s="89"/>
      <c r="C544" s="51">
        <v>1</v>
      </c>
      <c r="D544" s="53">
        <f>(3*4.3+2.1*2.15+3*3.15+1.2*1.83+2.5*0.6+1.2*1.83+2.1*0.9+1.5*(3+2.1)+3*0.9)*(10.764)</f>
        <v>484.34770799999995</v>
      </c>
      <c r="E544" s="52">
        <v>0</v>
      </c>
      <c r="F544" s="52">
        <f>D544*(($F$351)+1)+(IF(E544&lt;101,E544,IF(E544&lt;201,E544/2,IF(E544&lt;=301,E544/3,E544/4))))</f>
        <v>726.5215619999999</v>
      </c>
      <c r="G544" s="92"/>
      <c r="H544" s="93"/>
      <c r="I544" s="36"/>
      <c r="L544" s="104"/>
      <c r="M544" s="104"/>
      <c r="N544" s="36"/>
    </row>
    <row r="545" spans="1:14" s="45" customFormat="1" x14ac:dyDescent="0.25">
      <c r="A545" s="88">
        <f t="shared" si="83"/>
        <v>4</v>
      </c>
      <c r="B545" s="89"/>
      <c r="C545" s="51">
        <v>1</v>
      </c>
      <c r="D545" s="53">
        <f>(3*4.3+2.1*2.15+3*3.15+1.2*1.83+2.5*0.6+1.2*1.83+2.1*0.9+1.5*(3+2.1)+3*0.9)*(10.764)</f>
        <v>484.34770799999995</v>
      </c>
      <c r="E545" s="52">
        <v>0</v>
      </c>
      <c r="F545" s="52">
        <f>D545*(($F$351)+1)+(IF(E545&lt;101,E545,IF(E545&lt;201,E545/2,IF(E545&lt;=301,E545/3,E545/4))))</f>
        <v>726.5215619999999</v>
      </c>
      <c r="G545" s="92"/>
      <c r="H545" s="93"/>
      <c r="I545" s="36"/>
      <c r="L545" s="104"/>
      <c r="M545" s="104"/>
      <c r="N545" s="36"/>
    </row>
    <row r="546" spans="1:14" s="45" customFormat="1" x14ac:dyDescent="0.25">
      <c r="A546" s="88">
        <f t="shared" si="83"/>
        <v>5</v>
      </c>
      <c r="B546" s="89"/>
      <c r="C546" s="96" t="s">
        <v>200</v>
      </c>
      <c r="D546" s="97"/>
      <c r="E546" s="97"/>
      <c r="F546" s="98"/>
      <c r="G546" s="92"/>
      <c r="H546" s="93"/>
      <c r="I546" s="36"/>
      <c r="L546" s="104"/>
      <c r="M546" s="104"/>
      <c r="N546" s="36"/>
    </row>
    <row r="547" spans="1:14" s="45" customFormat="1" x14ac:dyDescent="0.25">
      <c r="A547" s="88">
        <f t="shared" si="83"/>
        <v>6</v>
      </c>
      <c r="B547" s="89"/>
      <c r="C547" s="51" t="s">
        <v>192</v>
      </c>
      <c r="D547" s="53">
        <f>(49.15+0.9*3.05+1.5*(2.15+2.75+3.05))*(10.764)</f>
        <v>686.95847999999989</v>
      </c>
      <c r="E547" s="52">
        <v>0</v>
      </c>
      <c r="F547" s="52">
        <f>D547*(($F$351)+1)+(IF(E547&lt;101,E547,IF(E547&lt;201,E547/2,IF(E547&lt;=301,E547/3,E547/4))))</f>
        <v>1030.4377199999999</v>
      </c>
      <c r="G547" s="94"/>
      <c r="H547" s="95"/>
      <c r="I547" s="36"/>
      <c r="L547" s="104"/>
      <c r="M547" s="104"/>
      <c r="N547" s="36"/>
    </row>
    <row r="548" spans="1:14" s="45" customFormat="1" x14ac:dyDescent="0.25">
      <c r="A548" s="99" t="s">
        <v>196</v>
      </c>
      <c r="B548" s="100"/>
      <c r="C548" s="100"/>
      <c r="D548" s="100"/>
      <c r="E548" s="100"/>
      <c r="F548" s="100"/>
      <c r="G548" s="100"/>
      <c r="H548" s="101"/>
      <c r="J548" s="36"/>
    </row>
    <row r="549" spans="1:14" s="45" customFormat="1" ht="15.75" customHeight="1" x14ac:dyDescent="0.25">
      <c r="A549" s="88">
        <v>1</v>
      </c>
      <c r="B549" s="89"/>
      <c r="C549" s="51" t="s">
        <v>192</v>
      </c>
      <c r="D549" s="53">
        <f>(49.15+1.5*(3.05+2.15+2.76)+0.9*3.05)*(10.764)</f>
        <v>687.11993999999993</v>
      </c>
      <c r="E549" s="52">
        <v>0</v>
      </c>
      <c r="F549" s="52">
        <f t="shared" ref="F549:F554" si="84">D549*(($F$351)+1)+(IF(E549&lt;101,E549,IF(E549&lt;201,E549/2,IF(E549&lt;=301,E549/3,E549/4))))</f>
        <v>1030.6799099999998</v>
      </c>
      <c r="G549" s="90" t="str">
        <f>A548</f>
        <v>7th, 17th Floor (Part Refuge Area)</v>
      </c>
      <c r="H549" s="91"/>
      <c r="I549" s="36"/>
      <c r="L549" s="104"/>
      <c r="M549" s="104"/>
      <c r="N549" s="36"/>
    </row>
    <row r="550" spans="1:14" s="45" customFormat="1" ht="15.75" customHeight="1" x14ac:dyDescent="0.25">
      <c r="A550" s="88">
        <f t="shared" ref="A550:A554" si="85">A549+1</f>
        <v>2</v>
      </c>
      <c r="B550" s="89"/>
      <c r="C550" s="51" t="s">
        <v>192</v>
      </c>
      <c r="D550" s="53">
        <f>(49.15+1.5*(3.05+2.15+2.76)+0.9*3.05)*(10.764)</f>
        <v>687.11993999999993</v>
      </c>
      <c r="E550" s="52">
        <v>0</v>
      </c>
      <c r="F550" s="52">
        <f t="shared" si="84"/>
        <v>1030.6799099999998</v>
      </c>
      <c r="G550" s="92"/>
      <c r="H550" s="93"/>
      <c r="I550" s="36"/>
      <c r="L550" s="104"/>
      <c r="M550" s="104"/>
      <c r="N550" s="36"/>
    </row>
    <row r="551" spans="1:14" s="45" customFormat="1" ht="15.75" customHeight="1" x14ac:dyDescent="0.25">
      <c r="A551" s="88">
        <f t="shared" si="85"/>
        <v>3</v>
      </c>
      <c r="B551" s="89"/>
      <c r="C551" s="51">
        <v>1</v>
      </c>
      <c r="D551" s="53">
        <f>(3*4.3+2.1*2.15+3*3.15+1.2*1.83+2.5*0.6+1.2*1.83+2.1*0.9+1.5*(3+2.1)+3*0.9)*(10.764)</f>
        <v>484.34770799999995</v>
      </c>
      <c r="E551" s="52">
        <v>0</v>
      </c>
      <c r="F551" s="52">
        <f t="shared" si="84"/>
        <v>726.5215619999999</v>
      </c>
      <c r="G551" s="92"/>
      <c r="H551" s="93"/>
      <c r="I551" s="36"/>
      <c r="L551" s="104"/>
      <c r="M551" s="104"/>
      <c r="N551" s="36"/>
    </row>
    <row r="552" spans="1:14" s="45" customFormat="1" ht="15.75" customHeight="1" x14ac:dyDescent="0.25">
      <c r="A552" s="88">
        <f t="shared" si="85"/>
        <v>4</v>
      </c>
      <c r="B552" s="89"/>
      <c r="C552" s="51">
        <v>1</v>
      </c>
      <c r="D552" s="53">
        <f>(3*4.3+2.1*2.15+3*3.15+1.2*1.83+2.5*0.6+1.2*1.83+2.1*0.9+1.5*(3+2.1)+3*0.9)*(10.764)</f>
        <v>484.34770799999995</v>
      </c>
      <c r="E552" s="52">
        <v>0</v>
      </c>
      <c r="F552" s="52">
        <f t="shared" si="84"/>
        <v>726.5215619999999</v>
      </c>
      <c r="G552" s="92"/>
      <c r="H552" s="93"/>
      <c r="I552" s="36"/>
      <c r="L552" s="104"/>
      <c r="M552" s="104"/>
      <c r="N552" s="36"/>
    </row>
    <row r="553" spans="1:14" s="45" customFormat="1" ht="15.75" customHeight="1" x14ac:dyDescent="0.25">
      <c r="A553" s="88">
        <f t="shared" si="85"/>
        <v>5</v>
      </c>
      <c r="B553" s="89"/>
      <c r="C553" s="51" t="s">
        <v>192</v>
      </c>
      <c r="D553" s="53">
        <f>(49.15+1.5*(3.05+2.15+2.76)+0.9*3.05)*(10.764)</f>
        <v>687.11993999999993</v>
      </c>
      <c r="E553" s="52">
        <v>0</v>
      </c>
      <c r="F553" s="52">
        <f t="shared" si="84"/>
        <v>1030.6799099999998</v>
      </c>
      <c r="G553" s="92"/>
      <c r="H553" s="93"/>
      <c r="I553" s="36"/>
      <c r="L553" s="104"/>
      <c r="M553" s="104"/>
      <c r="N553" s="36"/>
    </row>
    <row r="554" spans="1:14" s="45" customFormat="1" ht="15.75" customHeight="1" x14ac:dyDescent="0.25">
      <c r="A554" s="88">
        <f t="shared" si="85"/>
        <v>6</v>
      </c>
      <c r="B554" s="89"/>
      <c r="C554" s="51" t="s">
        <v>192</v>
      </c>
      <c r="D554" s="53">
        <f>(49.15+1.5*(3.05+2.15+2.76)+0.9*3.05)*(10.764)</f>
        <v>687.11993999999993</v>
      </c>
      <c r="E554" s="52">
        <v>0</v>
      </c>
      <c r="F554" s="52">
        <f t="shared" si="84"/>
        <v>1030.6799099999998</v>
      </c>
      <c r="G554" s="94"/>
      <c r="H554" s="95"/>
      <c r="I554" s="36"/>
      <c r="L554" s="104"/>
      <c r="M554" s="104"/>
      <c r="N554" s="36"/>
    </row>
    <row r="555" spans="1:14" s="45" customFormat="1" x14ac:dyDescent="0.25">
      <c r="A555" s="99" t="s">
        <v>194</v>
      </c>
      <c r="B555" s="100"/>
      <c r="C555" s="100"/>
      <c r="D555" s="100"/>
      <c r="E555" s="100"/>
      <c r="F555" s="100"/>
      <c r="G555" s="100"/>
      <c r="H555" s="101"/>
      <c r="J555" s="36"/>
    </row>
    <row r="556" spans="1:14" s="45" customFormat="1" ht="15.75" customHeight="1" x14ac:dyDescent="0.25">
      <c r="A556" s="88">
        <v>1</v>
      </c>
      <c r="B556" s="89"/>
      <c r="C556" s="51" t="s">
        <v>192</v>
      </c>
      <c r="D556" s="53">
        <f>(49.15+0.9*3.05+1.5*(2.15+2.75+3.05))*(10.764)</f>
        <v>686.95847999999989</v>
      </c>
      <c r="E556" s="52">
        <v>0</v>
      </c>
      <c r="F556" s="52">
        <f t="shared" ref="F556:F561" si="86">D556*(($F$351)+1)+(IF(E556&lt;101,E556,IF(E556&lt;201,E556/2,IF(E556&lt;=301,E556/3,E556/4))))</f>
        <v>1030.4377199999999</v>
      </c>
      <c r="G556" s="90" t="str">
        <f>A555</f>
        <v>12th Floor (Part Refuge Area)</v>
      </c>
      <c r="H556" s="91"/>
      <c r="I556" s="36"/>
      <c r="L556" s="104"/>
      <c r="M556" s="104"/>
      <c r="N556" s="36"/>
    </row>
    <row r="557" spans="1:14" s="45" customFormat="1" ht="15.75" customHeight="1" x14ac:dyDescent="0.25">
      <c r="A557" s="88">
        <f t="shared" ref="A557:A561" si="87">A556+1</f>
        <v>2</v>
      </c>
      <c r="B557" s="89"/>
      <c r="C557" s="51" t="s">
        <v>192</v>
      </c>
      <c r="D557" s="53">
        <f>(49.15+0.9*3.05+1.5*(2.15+2.75+3.05))*(10.764)</f>
        <v>686.95847999999989</v>
      </c>
      <c r="E557" s="52">
        <v>0</v>
      </c>
      <c r="F557" s="52">
        <f t="shared" si="86"/>
        <v>1030.4377199999999</v>
      </c>
      <c r="G557" s="92"/>
      <c r="H557" s="93"/>
      <c r="I557" s="36"/>
      <c r="L557" s="104"/>
      <c r="M557" s="104"/>
      <c r="N557" s="36"/>
    </row>
    <row r="558" spans="1:14" s="45" customFormat="1" ht="15.75" customHeight="1" x14ac:dyDescent="0.25">
      <c r="A558" s="88">
        <f t="shared" si="87"/>
        <v>3</v>
      </c>
      <c r="B558" s="89"/>
      <c r="C558" s="51">
        <v>1</v>
      </c>
      <c r="D558" s="53">
        <f>(3*4.3+2.1*2.15+3*3.15+1.2*1.83+2.5*0.6+1.2*1.83+2.1*0.9+1.5*(3+2.1)+3*0.9)*(10.764)</f>
        <v>484.34770799999995</v>
      </c>
      <c r="E558" s="52">
        <v>0</v>
      </c>
      <c r="F558" s="52">
        <f t="shared" si="86"/>
        <v>726.5215619999999</v>
      </c>
      <c r="G558" s="92"/>
      <c r="H558" s="93"/>
      <c r="I558" s="36"/>
      <c r="L558" s="104"/>
      <c r="M558" s="104"/>
      <c r="N558" s="36"/>
    </row>
    <row r="559" spans="1:14" s="45" customFormat="1" ht="15.75" customHeight="1" x14ac:dyDescent="0.25">
      <c r="A559" s="88">
        <f t="shared" si="87"/>
        <v>4</v>
      </c>
      <c r="B559" s="89"/>
      <c r="C559" s="51">
        <v>1</v>
      </c>
      <c r="D559" s="53">
        <f>(3*4.3+2.1*2.15+3*3.15+1.2*1.83+2.5*0.6+1.2*1.83+2.1*0.9+1.5*(3+2.1)+3*0.9)*(10.764)</f>
        <v>484.34770799999995</v>
      </c>
      <c r="E559" s="52">
        <v>0</v>
      </c>
      <c r="F559" s="52">
        <f t="shared" si="86"/>
        <v>726.5215619999999</v>
      </c>
      <c r="G559" s="92"/>
      <c r="H559" s="93"/>
      <c r="I559" s="36"/>
      <c r="L559" s="104"/>
      <c r="M559" s="104"/>
      <c r="N559" s="36"/>
    </row>
    <row r="560" spans="1:14" s="45" customFormat="1" ht="15.75" customHeight="1" x14ac:dyDescent="0.25">
      <c r="A560" s="88">
        <f t="shared" si="87"/>
        <v>5</v>
      </c>
      <c r="B560" s="89"/>
      <c r="C560" s="51" t="s">
        <v>192</v>
      </c>
      <c r="D560" s="53">
        <f>(49.15+0.9*3.05+1.5*(2.15+2.75+3.05))*(10.764)</f>
        <v>686.95847999999989</v>
      </c>
      <c r="E560" s="52">
        <v>0</v>
      </c>
      <c r="F560" s="52">
        <f t="shared" si="86"/>
        <v>1030.4377199999999</v>
      </c>
      <c r="G560" s="92"/>
      <c r="H560" s="93"/>
      <c r="I560" s="36"/>
      <c r="L560" s="104"/>
      <c r="M560" s="104"/>
      <c r="N560" s="36"/>
    </row>
    <row r="561" spans="1:14" s="45" customFormat="1" ht="15.75" customHeight="1" x14ac:dyDescent="0.25">
      <c r="A561" s="88">
        <f t="shared" si="87"/>
        <v>6</v>
      </c>
      <c r="B561" s="89"/>
      <c r="C561" s="51" t="s">
        <v>192</v>
      </c>
      <c r="D561" s="53">
        <f>(49.15+0.9*3.05+1.5*(2.15+2.75+3.05))*(10.764)</f>
        <v>686.95847999999989</v>
      </c>
      <c r="E561" s="52">
        <v>0</v>
      </c>
      <c r="F561" s="52">
        <f t="shared" si="86"/>
        <v>1030.4377199999999</v>
      </c>
      <c r="G561" s="94"/>
      <c r="H561" s="95"/>
      <c r="I561" s="36"/>
      <c r="L561" s="104"/>
      <c r="M561" s="104"/>
      <c r="N561" s="36"/>
    </row>
    <row r="562" spans="1:14" s="45" customFormat="1" x14ac:dyDescent="0.25">
      <c r="A562" s="99" t="s">
        <v>203</v>
      </c>
      <c r="B562" s="100"/>
      <c r="C562" s="100"/>
      <c r="D562" s="100"/>
      <c r="E562" s="100"/>
      <c r="F562" s="100"/>
      <c r="G562" s="100"/>
      <c r="H562" s="101"/>
      <c r="J562" s="36"/>
    </row>
    <row r="563" spans="1:14" s="45" customFormat="1" ht="15.75" customHeight="1" x14ac:dyDescent="0.25">
      <c r="A563" s="88">
        <v>1</v>
      </c>
      <c r="B563" s="89"/>
      <c r="C563" s="51" t="s">
        <v>192</v>
      </c>
      <c r="D563" s="53">
        <f>(49.15+1.5*(3.05+2.15+2.76)+0.9*3.05)*(10.764)</f>
        <v>687.11993999999993</v>
      </c>
      <c r="E563" s="52">
        <v>0</v>
      </c>
      <c r="F563" s="52">
        <f t="shared" ref="F563" si="88">D563*(($F$351)+1)+(IF(E563&lt;101,E563,IF(E563&lt;201,E563/2,IF(E563&lt;=301,E563/3,E563/4))))</f>
        <v>1030.6799099999998</v>
      </c>
      <c r="G563" s="90" t="str">
        <f>A562</f>
        <v>13th Floor (Part Terrace Area)</v>
      </c>
      <c r="H563" s="91"/>
      <c r="I563" s="36"/>
      <c r="L563" s="104"/>
      <c r="M563" s="104"/>
      <c r="N563" s="36"/>
    </row>
    <row r="564" spans="1:14" s="45" customFormat="1" ht="15.75" customHeight="1" x14ac:dyDescent="0.25">
      <c r="A564" s="88">
        <f t="shared" ref="A564:A568" si="89">A563+1</f>
        <v>2</v>
      </c>
      <c r="B564" s="89"/>
      <c r="C564" s="96" t="s">
        <v>197</v>
      </c>
      <c r="D564" s="97"/>
      <c r="E564" s="97"/>
      <c r="F564" s="98"/>
      <c r="G564" s="92"/>
      <c r="H564" s="93"/>
      <c r="I564" s="36"/>
      <c r="L564" s="104"/>
      <c r="M564" s="104"/>
      <c r="N564" s="36"/>
    </row>
    <row r="565" spans="1:14" s="45" customFormat="1" ht="15.75" customHeight="1" x14ac:dyDescent="0.25">
      <c r="A565" s="88">
        <f t="shared" si="89"/>
        <v>3</v>
      </c>
      <c r="B565" s="89"/>
      <c r="C565" s="51">
        <v>1</v>
      </c>
      <c r="D565" s="53">
        <f>(3*4.3+2.1*2.15+3*3.15+1.2*1.83+2.5*0.6+1.2*1.83+2.1*0.9+1.5*(3+2.1)+3*0.9)*(10.764)</f>
        <v>484.34770799999995</v>
      </c>
      <c r="E565" s="52">
        <v>0</v>
      </c>
      <c r="F565" s="52">
        <f t="shared" ref="F565:F568" si="90">D565*(($F$351)+1)+(IF(E565&lt;101,E565,IF(E565&lt;201,E565/2,IF(E565&lt;=301,E565/3,E565/4))))</f>
        <v>726.5215619999999</v>
      </c>
      <c r="G565" s="92"/>
      <c r="H565" s="93"/>
      <c r="I565" s="36"/>
      <c r="L565" s="104"/>
      <c r="M565" s="104"/>
      <c r="N565" s="36"/>
    </row>
    <row r="566" spans="1:14" s="45" customFormat="1" ht="15.75" customHeight="1" x14ac:dyDescent="0.25">
      <c r="A566" s="88">
        <f t="shared" si="89"/>
        <v>4</v>
      </c>
      <c r="B566" s="89"/>
      <c r="C566" s="51">
        <v>1</v>
      </c>
      <c r="D566" s="53">
        <f>(3*4.3+2.1*2.15+3*3.15+1.2*1.83+2.5*0.6+1.2*1.83+2.1*0.9+1.5*(3+2.1)+3*0.9)*(10.764)</f>
        <v>484.34770799999995</v>
      </c>
      <c r="E566" s="52">
        <v>0</v>
      </c>
      <c r="F566" s="52">
        <f t="shared" si="90"/>
        <v>726.5215619999999</v>
      </c>
      <c r="G566" s="92"/>
      <c r="H566" s="93"/>
      <c r="I566" s="36"/>
      <c r="L566" s="104"/>
      <c r="M566" s="104"/>
      <c r="N566" s="36"/>
    </row>
    <row r="567" spans="1:14" s="45" customFormat="1" ht="15.75" customHeight="1" x14ac:dyDescent="0.25">
      <c r="A567" s="88">
        <f t="shared" si="89"/>
        <v>5</v>
      </c>
      <c r="B567" s="89"/>
      <c r="C567" s="51" t="s">
        <v>192</v>
      </c>
      <c r="D567" s="53">
        <f>(49.15+1.5*(3.05+2.15+2.76)+0.9*3.05)*(10.764)</f>
        <v>687.11993999999993</v>
      </c>
      <c r="E567" s="52">
        <v>0</v>
      </c>
      <c r="F567" s="52">
        <f t="shared" si="90"/>
        <v>1030.6799099999998</v>
      </c>
      <c r="G567" s="92"/>
      <c r="H567" s="93"/>
      <c r="I567" s="36"/>
      <c r="L567" s="104"/>
      <c r="M567" s="104"/>
      <c r="N567" s="36"/>
    </row>
    <row r="568" spans="1:14" s="45" customFormat="1" ht="15.75" customHeight="1" x14ac:dyDescent="0.25">
      <c r="A568" s="88">
        <f t="shared" si="89"/>
        <v>6</v>
      </c>
      <c r="B568" s="89"/>
      <c r="C568" s="51" t="s">
        <v>192</v>
      </c>
      <c r="D568" s="53">
        <f>(49.15+1.5*(3.05+2.15+2.76)+0.9*3.05)*(10.764)</f>
        <v>687.11993999999993</v>
      </c>
      <c r="E568" s="52">
        <v>0</v>
      </c>
      <c r="F568" s="52">
        <f t="shared" si="90"/>
        <v>1030.6799099999998</v>
      </c>
      <c r="G568" s="94"/>
      <c r="H568" s="95"/>
      <c r="I568" s="36"/>
      <c r="L568" s="104"/>
      <c r="M568" s="104"/>
      <c r="N568" s="36"/>
    </row>
    <row r="569" spans="1:14" s="45" customFormat="1" x14ac:dyDescent="0.25">
      <c r="A569" s="99" t="s">
        <v>204</v>
      </c>
      <c r="B569" s="100"/>
      <c r="C569" s="100"/>
      <c r="D569" s="100"/>
      <c r="E569" s="100"/>
      <c r="F569" s="100"/>
      <c r="G569" s="100"/>
      <c r="H569" s="101"/>
      <c r="J569" s="36"/>
    </row>
    <row r="570" spans="1:14" s="45" customFormat="1" x14ac:dyDescent="0.25">
      <c r="A570" s="88">
        <v>1</v>
      </c>
      <c r="B570" s="89"/>
      <c r="C570" s="51" t="s">
        <v>192</v>
      </c>
      <c r="D570" s="53">
        <f>(49.15+1.5*(3.05+2.15+2.76)+0.9*3.05)*(10.764)</f>
        <v>687.11993999999993</v>
      </c>
      <c r="E570" s="52">
        <v>0</v>
      </c>
      <c r="F570" s="52">
        <f t="shared" ref="F570" si="91">D570*(($F$351)+1)+(IF(E570&lt;101,E570,IF(E570&lt;201,E570/2,IF(E570&lt;=301,E570/3,E570/4))))</f>
        <v>1030.6799099999998</v>
      </c>
      <c r="G570" s="90" t="str">
        <f>A569</f>
        <v>14th Floor</v>
      </c>
      <c r="H570" s="91"/>
      <c r="I570" s="36"/>
      <c r="L570" s="104"/>
      <c r="M570" s="104"/>
      <c r="N570" s="36"/>
    </row>
    <row r="571" spans="1:14" s="45" customFormat="1" x14ac:dyDescent="0.25">
      <c r="A571" s="88">
        <f t="shared" ref="A571:A575" si="92">A570+1</f>
        <v>2</v>
      </c>
      <c r="B571" s="89"/>
      <c r="C571" s="96" t="s">
        <v>200</v>
      </c>
      <c r="D571" s="97"/>
      <c r="E571" s="97"/>
      <c r="F571" s="98"/>
      <c r="G571" s="92"/>
      <c r="H571" s="93"/>
      <c r="I571" s="36"/>
      <c r="L571" s="104"/>
      <c r="M571" s="104"/>
      <c r="N571" s="36"/>
    </row>
    <row r="572" spans="1:14" s="45" customFormat="1" x14ac:dyDescent="0.25">
      <c r="A572" s="88">
        <f t="shared" si="92"/>
        <v>3</v>
      </c>
      <c r="B572" s="89"/>
      <c r="C572" s="51">
        <v>1</v>
      </c>
      <c r="D572" s="53">
        <f>(3*4.3+2.1*2.15+3*3.15+1.2*1.83+2.5*0.6+1.2*1.83+2.1*0.9+1.5*(3+2.1)+3*0.9)*(10.764)</f>
        <v>484.34770799999995</v>
      </c>
      <c r="E572" s="52">
        <v>0</v>
      </c>
      <c r="F572" s="52">
        <f t="shared" ref="F572:F575" si="93">D572*(($F$351)+1)+(IF(E572&lt;101,E572,IF(E572&lt;201,E572/2,IF(E572&lt;=301,E572/3,E572/4))))</f>
        <v>726.5215619999999</v>
      </c>
      <c r="G572" s="92"/>
      <c r="H572" s="93"/>
      <c r="I572" s="36"/>
      <c r="L572" s="104"/>
      <c r="M572" s="104"/>
      <c r="N572" s="36"/>
    </row>
    <row r="573" spans="1:14" s="45" customFormat="1" x14ac:dyDescent="0.25">
      <c r="A573" s="88">
        <f t="shared" si="92"/>
        <v>4</v>
      </c>
      <c r="B573" s="89"/>
      <c r="C573" s="51">
        <v>1</v>
      </c>
      <c r="D573" s="53">
        <f>(3*4.3+2.1*2.15+3*3.15+1.2*1.83+2.5*0.6+1.2*1.83+2.1*0.9+1.5*(3+2.1)+3*0.9)*(10.764)</f>
        <v>484.34770799999995</v>
      </c>
      <c r="E573" s="52">
        <v>0</v>
      </c>
      <c r="F573" s="52">
        <f t="shared" si="93"/>
        <v>726.5215619999999</v>
      </c>
      <c r="G573" s="92"/>
      <c r="H573" s="93"/>
      <c r="I573" s="36"/>
      <c r="L573" s="104"/>
      <c r="M573" s="104"/>
      <c r="N573" s="36"/>
    </row>
    <row r="574" spans="1:14" s="45" customFormat="1" x14ac:dyDescent="0.25">
      <c r="A574" s="88">
        <f t="shared" si="92"/>
        <v>5</v>
      </c>
      <c r="B574" s="89"/>
      <c r="C574" s="51" t="s">
        <v>192</v>
      </c>
      <c r="D574" s="53">
        <f>(49.15+1.5*(3.05+2.15+2.76)+0.9*3.05)*(10.764)</f>
        <v>687.11993999999993</v>
      </c>
      <c r="E574" s="52">
        <v>0</v>
      </c>
      <c r="F574" s="52">
        <f t="shared" si="93"/>
        <v>1030.6799099999998</v>
      </c>
      <c r="G574" s="92"/>
      <c r="H574" s="93"/>
      <c r="I574" s="36"/>
      <c r="L574" s="104"/>
      <c r="M574" s="104"/>
      <c r="N574" s="36"/>
    </row>
    <row r="575" spans="1:14" s="45" customFormat="1" x14ac:dyDescent="0.25">
      <c r="A575" s="88">
        <f t="shared" si="92"/>
        <v>6</v>
      </c>
      <c r="B575" s="89"/>
      <c r="C575" s="51" t="s">
        <v>192</v>
      </c>
      <c r="D575" s="53">
        <f>(49.15+1.5*(3.05+2.15+2.76)+0.9*3.05)*(10.764)</f>
        <v>687.11993999999993</v>
      </c>
      <c r="E575" s="52">
        <v>0</v>
      </c>
      <c r="F575" s="52">
        <f t="shared" si="93"/>
        <v>1030.6799099999998</v>
      </c>
      <c r="G575" s="94"/>
      <c r="H575" s="95"/>
      <c r="I575" s="36"/>
      <c r="L575" s="104"/>
      <c r="M575" s="104"/>
      <c r="N575" s="36"/>
    </row>
    <row r="576" spans="1:14" s="45" customFormat="1" x14ac:dyDescent="0.25">
      <c r="A576" s="99" t="s">
        <v>205</v>
      </c>
      <c r="B576" s="100"/>
      <c r="C576" s="100"/>
      <c r="D576" s="100"/>
      <c r="E576" s="100"/>
      <c r="F576" s="100"/>
      <c r="G576" s="100"/>
      <c r="H576" s="101"/>
      <c r="J576" s="36"/>
    </row>
    <row r="577" spans="1:14" s="45" customFormat="1" x14ac:dyDescent="0.25">
      <c r="A577" s="88">
        <v>1</v>
      </c>
      <c r="B577" s="89"/>
      <c r="C577" s="51" t="s">
        <v>192</v>
      </c>
      <c r="D577" s="53">
        <f>(49.15+1.5*(3.05+2.15+2.76)+0.9*3.05)*(10.764)</f>
        <v>687.11993999999993</v>
      </c>
      <c r="E577" s="52">
        <v>0</v>
      </c>
      <c r="F577" s="52">
        <f t="shared" ref="F577" si="94">D577*(($F$351)+1)+(IF(E577&lt;101,E577,IF(E577&lt;201,E577/2,IF(E577&lt;=301,E577/3,E577/4))))</f>
        <v>1030.6799099999998</v>
      </c>
      <c r="G577" s="90" t="str">
        <f>A576</f>
        <v>15th Floor</v>
      </c>
      <c r="H577" s="91"/>
      <c r="I577" s="36"/>
      <c r="L577" s="104"/>
      <c r="M577" s="104"/>
      <c r="N577" s="36"/>
    </row>
    <row r="578" spans="1:14" s="45" customFormat="1" x14ac:dyDescent="0.25">
      <c r="A578" s="88">
        <f t="shared" ref="A578:A582" si="95">A577+1</f>
        <v>2</v>
      </c>
      <c r="B578" s="89"/>
      <c r="C578" s="96" t="s">
        <v>200</v>
      </c>
      <c r="D578" s="97"/>
      <c r="E578" s="97"/>
      <c r="F578" s="98"/>
      <c r="G578" s="92"/>
      <c r="H578" s="93"/>
      <c r="I578" s="36"/>
      <c r="L578" s="104"/>
      <c r="M578" s="104"/>
      <c r="N578" s="36"/>
    </row>
    <row r="579" spans="1:14" s="45" customFormat="1" x14ac:dyDescent="0.25">
      <c r="A579" s="88">
        <f t="shared" si="95"/>
        <v>3</v>
      </c>
      <c r="B579" s="89"/>
      <c r="C579" s="51">
        <v>1</v>
      </c>
      <c r="D579" s="53">
        <f>(3*4.3+2.1*2.15+3*3.15+1.2*1.83+2.5*0.6+1.2*1.83+2.1*0.9+1.5*(3+2.1)+3*0.9)*(10.764)</f>
        <v>484.34770799999995</v>
      </c>
      <c r="E579" s="52">
        <v>0</v>
      </c>
      <c r="F579" s="52">
        <f t="shared" ref="F579:F582" si="96">D579*(($F$351)+1)+(IF(E579&lt;101,E579,IF(E579&lt;201,E579/2,IF(E579&lt;=301,E579/3,E579/4))))</f>
        <v>726.5215619999999</v>
      </c>
      <c r="G579" s="92"/>
      <c r="H579" s="93"/>
      <c r="I579" s="36"/>
      <c r="L579" s="104"/>
      <c r="M579" s="104"/>
      <c r="N579" s="36"/>
    </row>
    <row r="580" spans="1:14" s="45" customFormat="1" x14ac:dyDescent="0.25">
      <c r="A580" s="88">
        <f t="shared" si="95"/>
        <v>4</v>
      </c>
      <c r="B580" s="89"/>
      <c r="C580" s="51">
        <v>1</v>
      </c>
      <c r="D580" s="53">
        <f>(3*4.3+2.1*2.15+3*3.15+1.2*1.83+2.5*0.6+1.2*1.83+2.1*0.9+1.5*(3+2.1)+3*0.9)*(10.764)</f>
        <v>484.34770799999995</v>
      </c>
      <c r="E580" s="52">
        <v>0</v>
      </c>
      <c r="F580" s="52">
        <f t="shared" si="96"/>
        <v>726.5215619999999</v>
      </c>
      <c r="G580" s="92"/>
      <c r="H580" s="93"/>
      <c r="I580" s="36"/>
      <c r="L580" s="104"/>
      <c r="M580" s="104"/>
      <c r="N580" s="36"/>
    </row>
    <row r="581" spans="1:14" s="45" customFormat="1" x14ac:dyDescent="0.25">
      <c r="A581" s="88">
        <f t="shared" si="95"/>
        <v>5</v>
      </c>
      <c r="B581" s="89"/>
      <c r="C581" s="51" t="s">
        <v>192</v>
      </c>
      <c r="D581" s="53">
        <f>(49.15+1.5*(3.05+2.15+2.76)+0.9*3.05)*(10.764)</f>
        <v>687.11993999999993</v>
      </c>
      <c r="E581" s="52">
        <v>0</v>
      </c>
      <c r="F581" s="52">
        <f t="shared" si="96"/>
        <v>1030.6799099999998</v>
      </c>
      <c r="G581" s="92"/>
      <c r="H581" s="93"/>
      <c r="I581" s="36"/>
      <c r="L581" s="104"/>
      <c r="M581" s="104"/>
      <c r="N581" s="36"/>
    </row>
    <row r="582" spans="1:14" s="45" customFormat="1" x14ac:dyDescent="0.25">
      <c r="A582" s="88">
        <f t="shared" si="95"/>
        <v>6</v>
      </c>
      <c r="B582" s="89"/>
      <c r="C582" s="51" t="s">
        <v>192</v>
      </c>
      <c r="D582" s="53">
        <f>(49.15+1.5*(3.05+2.15+2.76)+0.9*3.05)*(10.764)</f>
        <v>687.11993999999993</v>
      </c>
      <c r="E582" s="52">
        <v>0</v>
      </c>
      <c r="F582" s="52">
        <f t="shared" si="96"/>
        <v>1030.6799099999998</v>
      </c>
      <c r="G582" s="94"/>
      <c r="H582" s="95"/>
      <c r="I582" s="36"/>
      <c r="L582" s="104"/>
      <c r="M582" s="104"/>
      <c r="N582" s="36"/>
    </row>
    <row r="583" spans="1:14" s="45" customFormat="1" x14ac:dyDescent="0.25">
      <c r="A583" s="99" t="s">
        <v>215</v>
      </c>
      <c r="B583" s="100"/>
      <c r="C583" s="100"/>
      <c r="D583" s="100"/>
      <c r="E583" s="100"/>
      <c r="F583" s="100"/>
      <c r="G583" s="100"/>
      <c r="H583" s="101"/>
      <c r="J583" s="36"/>
    </row>
    <row r="584" spans="1:14" s="45" customFormat="1" x14ac:dyDescent="0.25">
      <c r="A584" s="99" t="s">
        <v>191</v>
      </c>
      <c r="B584" s="100"/>
      <c r="C584" s="100"/>
      <c r="D584" s="100"/>
      <c r="E584" s="100"/>
      <c r="F584" s="100"/>
      <c r="G584" s="100"/>
      <c r="H584" s="101"/>
      <c r="I584" s="55" t="s">
        <v>216</v>
      </c>
      <c r="J584" s="36"/>
    </row>
    <row r="585" spans="1:14" s="45" customFormat="1" ht="15.75" customHeight="1" x14ac:dyDescent="0.25">
      <c r="A585" s="99" t="s">
        <v>193</v>
      </c>
      <c r="B585" s="100"/>
      <c r="C585" s="100"/>
      <c r="D585" s="100"/>
      <c r="E585" s="100"/>
      <c r="F585" s="100"/>
      <c r="G585" s="100"/>
      <c r="H585" s="101"/>
      <c r="J585" s="36"/>
    </row>
    <row r="586" spans="1:14" s="45" customFormat="1" ht="15.75" customHeight="1" x14ac:dyDescent="0.25">
      <c r="A586" s="88">
        <v>1</v>
      </c>
      <c r="B586" s="89"/>
      <c r="C586" s="51" t="s">
        <v>192</v>
      </c>
      <c r="D586" s="53">
        <f>(49.15+1.5*(3.05+2.15+2.76)+0.9*3.05)*(10.764)</f>
        <v>687.11993999999993</v>
      </c>
      <c r="E586" s="53">
        <f>(4.65*5.175+3.35*2.99+5.05*3.68+3.2*4.25)*(10.764)</f>
        <v>713.26838699999996</v>
      </c>
      <c r="F586" s="52">
        <f t="shared" ref="F586:F591" si="97">D586*(($F$351)+1)+(IF(E586&lt;101,E586,IF(E586&lt;201,E586/2,IF(E586&lt;=301,E586/3,E586/4))))</f>
        <v>1208.9970067499999</v>
      </c>
      <c r="G586" s="90" t="str">
        <f>A585</f>
        <v>1st Floor For Residential</v>
      </c>
      <c r="H586" s="91"/>
      <c r="I586" s="36"/>
      <c r="L586" s="104"/>
      <c r="M586" s="104"/>
      <c r="N586" s="36"/>
    </row>
    <row r="587" spans="1:14" s="45" customFormat="1" ht="15.75" customHeight="1" x14ac:dyDescent="0.25">
      <c r="A587" s="88">
        <f t="shared" ref="A587:A591" si="98">A586+1</f>
        <v>2</v>
      </c>
      <c r="B587" s="89"/>
      <c r="C587" s="51" t="s">
        <v>192</v>
      </c>
      <c r="D587" s="53">
        <f>(49.15+1.5*(3.05+2.15+2.76)+0.9*3.05)*(10.764)</f>
        <v>687.11993999999993</v>
      </c>
      <c r="E587" s="52">
        <v>0</v>
      </c>
      <c r="F587" s="52">
        <f t="shared" si="97"/>
        <v>1030.6799099999998</v>
      </c>
      <c r="G587" s="92"/>
      <c r="H587" s="93"/>
      <c r="I587" s="36"/>
      <c r="L587" s="104"/>
      <c r="M587" s="104"/>
      <c r="N587" s="36"/>
    </row>
    <row r="588" spans="1:14" s="45" customFormat="1" ht="15.75" customHeight="1" x14ac:dyDescent="0.25">
      <c r="A588" s="88">
        <f t="shared" si="98"/>
        <v>3</v>
      </c>
      <c r="B588" s="89"/>
      <c r="C588" s="51">
        <v>1</v>
      </c>
      <c r="D588" s="53">
        <f>(3*4.3+2.1*2.15+3*3.15+1.2*1.83+2.5*0.6+1.2*1.83+2.1*0.9+1.5*(3+2.1)+3*0.9)*(10.764)</f>
        <v>484.34770799999995</v>
      </c>
      <c r="E588" s="52">
        <v>0</v>
      </c>
      <c r="F588" s="52">
        <f t="shared" si="97"/>
        <v>726.5215619999999</v>
      </c>
      <c r="G588" s="92"/>
      <c r="H588" s="93"/>
      <c r="I588" s="36"/>
      <c r="L588" s="104"/>
      <c r="M588" s="104"/>
      <c r="N588" s="36"/>
    </row>
    <row r="589" spans="1:14" s="45" customFormat="1" ht="15.75" customHeight="1" x14ac:dyDescent="0.25">
      <c r="A589" s="88">
        <f t="shared" si="98"/>
        <v>4</v>
      </c>
      <c r="B589" s="89"/>
      <c r="C589" s="51">
        <v>1</v>
      </c>
      <c r="D589" s="53">
        <f>(3*4.3+2.1*2.15+3*3.15+1.2*1.83+2.5*0.6+1.2*1.83+2.1*0.9+1.5*(3+2.1)+3*0.9)*(10.764)</f>
        <v>484.34770799999995</v>
      </c>
      <c r="E589" s="52">
        <v>0</v>
      </c>
      <c r="F589" s="52">
        <f t="shared" si="97"/>
        <v>726.5215619999999</v>
      </c>
      <c r="G589" s="92"/>
      <c r="H589" s="93"/>
      <c r="I589" s="36"/>
      <c r="L589" s="104"/>
      <c r="M589" s="104"/>
      <c r="N589" s="36"/>
    </row>
    <row r="590" spans="1:14" s="45" customFormat="1" ht="15.75" customHeight="1" x14ac:dyDescent="0.25">
      <c r="A590" s="88">
        <f t="shared" si="98"/>
        <v>5</v>
      </c>
      <c r="B590" s="89"/>
      <c r="C590" s="51" t="s">
        <v>192</v>
      </c>
      <c r="D590" s="53">
        <f>(49.15+1.5*(3.05+2.15+2.76)+0.9*3.05)*(10.764)</f>
        <v>687.11993999999993</v>
      </c>
      <c r="E590" s="52">
        <v>0</v>
      </c>
      <c r="F590" s="52">
        <f t="shared" si="97"/>
        <v>1030.6799099999998</v>
      </c>
      <c r="G590" s="92"/>
      <c r="H590" s="93"/>
      <c r="I590" s="36"/>
      <c r="L590" s="104"/>
      <c r="M590" s="104"/>
      <c r="N590" s="36"/>
    </row>
    <row r="591" spans="1:14" s="45" customFormat="1" ht="15.75" customHeight="1" x14ac:dyDescent="0.25">
      <c r="A591" s="88">
        <f t="shared" si="98"/>
        <v>6</v>
      </c>
      <c r="B591" s="89"/>
      <c r="C591" s="51" t="s">
        <v>192</v>
      </c>
      <c r="D591" s="53">
        <f>(49.15+1.5*(3.05+2.15+2.76)+0.9*3.05)*(10.764)</f>
        <v>687.11993999999993</v>
      </c>
      <c r="E591" s="53">
        <f>(4.65*5.175+3.35*2.99+5.05*3.68+3.2*4.25)*(10.764)</f>
        <v>713.26838699999996</v>
      </c>
      <c r="F591" s="52">
        <f t="shared" si="97"/>
        <v>1208.9970067499999</v>
      </c>
      <c r="G591" s="94"/>
      <c r="H591" s="95"/>
      <c r="I591" s="36"/>
      <c r="L591" s="104"/>
      <c r="M591" s="104"/>
      <c r="N591" s="36"/>
    </row>
    <row r="592" spans="1:14" s="45" customFormat="1" x14ac:dyDescent="0.25">
      <c r="A592" s="105" t="s">
        <v>214</v>
      </c>
      <c r="B592" s="106"/>
      <c r="C592" s="106"/>
      <c r="D592" s="106"/>
      <c r="E592" s="106"/>
      <c r="F592" s="106"/>
      <c r="G592" s="106"/>
      <c r="H592" s="107"/>
      <c r="J592" s="36"/>
    </row>
    <row r="593" spans="1:14" s="45" customFormat="1" ht="15.75" customHeight="1" x14ac:dyDescent="0.25">
      <c r="A593" s="88">
        <v>1</v>
      </c>
      <c r="B593" s="89"/>
      <c r="C593" s="51" t="s">
        <v>192</v>
      </c>
      <c r="D593" s="53">
        <f>(49.15+0.9*3.05+1.5*(2.15+2.75+3.05))*(10.764)</f>
        <v>686.95847999999989</v>
      </c>
      <c r="E593" s="52">
        <v>0</v>
      </c>
      <c r="F593" s="52">
        <f t="shared" ref="F593:F598" si="99">D593*(($F$351)+1)+(IF(E593&lt;101,E593,IF(E593&lt;201,E593/2,IF(E593&lt;=301,E593/3,E593/4))))</f>
        <v>1030.4377199999999</v>
      </c>
      <c r="G593" s="90" t="str">
        <f>A592</f>
        <v>2nd, 4th, 6th, 16th &amp; 18th Floor</v>
      </c>
      <c r="H593" s="91"/>
      <c r="I593" s="36"/>
      <c r="L593" s="104"/>
      <c r="M593" s="104"/>
      <c r="N593" s="36"/>
    </row>
    <row r="594" spans="1:14" s="45" customFormat="1" ht="15.75" customHeight="1" x14ac:dyDescent="0.25">
      <c r="A594" s="88">
        <f t="shared" ref="A594:A598" si="100">A593+1</f>
        <v>2</v>
      </c>
      <c r="B594" s="89"/>
      <c r="C594" s="51" t="s">
        <v>192</v>
      </c>
      <c r="D594" s="53">
        <f>(49.15+0.9*3.05+1.5*(2.15+2.75+3.05))*(10.764)</f>
        <v>686.95847999999989</v>
      </c>
      <c r="E594" s="52">
        <v>0</v>
      </c>
      <c r="F594" s="52">
        <f t="shared" si="99"/>
        <v>1030.4377199999999</v>
      </c>
      <c r="G594" s="92"/>
      <c r="H594" s="93"/>
      <c r="I594" s="36"/>
      <c r="L594" s="104"/>
      <c r="M594" s="104"/>
      <c r="N594" s="36"/>
    </row>
    <row r="595" spans="1:14" s="45" customFormat="1" ht="15.75" customHeight="1" x14ac:dyDescent="0.25">
      <c r="A595" s="88">
        <f t="shared" si="100"/>
        <v>3</v>
      </c>
      <c r="B595" s="89"/>
      <c r="C595" s="51">
        <v>1</v>
      </c>
      <c r="D595" s="53">
        <f>(3*4.3+2.1*2.15+3*3.15+1.2*1.83+2.5*0.6+1.2*1.83+2.1*0.9+1.5*(3+2.1)+3*0.9)*(10.764)</f>
        <v>484.34770799999995</v>
      </c>
      <c r="E595" s="52">
        <v>0</v>
      </c>
      <c r="F595" s="52">
        <f t="shared" si="99"/>
        <v>726.5215619999999</v>
      </c>
      <c r="G595" s="92"/>
      <c r="H595" s="93"/>
      <c r="I595" s="36"/>
      <c r="L595" s="104"/>
      <c r="M595" s="104"/>
      <c r="N595" s="36"/>
    </row>
    <row r="596" spans="1:14" s="45" customFormat="1" ht="15.75" customHeight="1" x14ac:dyDescent="0.25">
      <c r="A596" s="88">
        <f t="shared" si="100"/>
        <v>4</v>
      </c>
      <c r="B596" s="89"/>
      <c r="C596" s="51">
        <v>1</v>
      </c>
      <c r="D596" s="53">
        <f>(3*4.3+2.1*2.15+3*3.15+1.2*1.83+2.5*0.6+1.2*1.83+2.1*0.9+1.5*(3+2.1)+3*0.9)*(10.764)</f>
        <v>484.34770799999995</v>
      </c>
      <c r="E596" s="52">
        <v>0</v>
      </c>
      <c r="F596" s="52">
        <f t="shared" si="99"/>
        <v>726.5215619999999</v>
      </c>
      <c r="G596" s="92"/>
      <c r="H596" s="93"/>
      <c r="I596" s="36"/>
      <c r="L596" s="104"/>
      <c r="M596" s="104"/>
      <c r="N596" s="36"/>
    </row>
    <row r="597" spans="1:14" s="45" customFormat="1" ht="15.75" customHeight="1" x14ac:dyDescent="0.25">
      <c r="A597" s="88">
        <f t="shared" si="100"/>
        <v>5</v>
      </c>
      <c r="B597" s="89"/>
      <c r="C597" s="51" t="s">
        <v>192</v>
      </c>
      <c r="D597" s="53">
        <f>(49.15+0.9*3.05+1.5*(2.15+2.75+3.05))*(10.764)</f>
        <v>686.95847999999989</v>
      </c>
      <c r="E597" s="52">
        <v>0</v>
      </c>
      <c r="F597" s="52">
        <f t="shared" si="99"/>
        <v>1030.4377199999999</v>
      </c>
      <c r="G597" s="92"/>
      <c r="H597" s="93"/>
      <c r="I597" s="36"/>
      <c r="L597" s="104"/>
      <c r="M597" s="104"/>
      <c r="N597" s="36"/>
    </row>
    <row r="598" spans="1:14" s="45" customFormat="1" ht="15.75" customHeight="1" x14ac:dyDescent="0.25">
      <c r="A598" s="88">
        <f t="shared" si="100"/>
        <v>6</v>
      </c>
      <c r="B598" s="89"/>
      <c r="C598" s="51" t="s">
        <v>192</v>
      </c>
      <c r="D598" s="53">
        <f>(49.15+0.9*3.05+1.5*(2.15+2.75+3.05))*(10.764)</f>
        <v>686.95847999999989</v>
      </c>
      <c r="E598" s="52">
        <v>0</v>
      </c>
      <c r="F598" s="52">
        <f t="shared" si="99"/>
        <v>1030.4377199999999</v>
      </c>
      <c r="G598" s="94"/>
      <c r="H598" s="95"/>
      <c r="I598" s="36"/>
      <c r="L598" s="104"/>
      <c r="M598" s="104"/>
      <c r="N598" s="36"/>
    </row>
    <row r="599" spans="1:14" s="45" customFormat="1" x14ac:dyDescent="0.25">
      <c r="A599" s="99" t="s">
        <v>206</v>
      </c>
      <c r="B599" s="100"/>
      <c r="C599" s="100"/>
      <c r="D599" s="100"/>
      <c r="E599" s="100"/>
      <c r="F599" s="100"/>
      <c r="G599" s="100"/>
      <c r="H599" s="101"/>
      <c r="J599" s="36"/>
    </row>
    <row r="600" spans="1:14" s="45" customFormat="1" ht="15.75" customHeight="1" x14ac:dyDescent="0.25">
      <c r="A600" s="88">
        <v>1</v>
      </c>
      <c r="B600" s="89"/>
      <c r="C600" s="51" t="s">
        <v>192</v>
      </c>
      <c r="D600" s="53">
        <f>(49.15+1.5*(3.05+2.15+2.76)+0.9*3.05)*(10.764)</f>
        <v>687.11993999999993</v>
      </c>
      <c r="E600" s="52">
        <v>0</v>
      </c>
      <c r="F600" s="52">
        <f t="shared" ref="F600:F605" si="101">D600*(($F$351)+1)+(IF(E600&lt;101,E600,IF(E600&lt;201,E600/2,IF(E600&lt;=301,E600/3,E600/4))))</f>
        <v>1030.6799099999998</v>
      </c>
      <c r="G600" s="90" t="str">
        <f>A599</f>
        <v>3rd, 5th, 13th, 15th Floor</v>
      </c>
      <c r="H600" s="91"/>
      <c r="I600" s="36"/>
      <c r="L600" s="104"/>
      <c r="M600" s="104"/>
      <c r="N600" s="36"/>
    </row>
    <row r="601" spans="1:14" s="45" customFormat="1" ht="15.75" customHeight="1" x14ac:dyDescent="0.25">
      <c r="A601" s="88">
        <f t="shared" ref="A601:A605" si="102">A600+1</f>
        <v>2</v>
      </c>
      <c r="B601" s="89"/>
      <c r="C601" s="51" t="s">
        <v>192</v>
      </c>
      <c r="D601" s="53">
        <f>(49.15+1.5*(3.05+2.15+2.76)+0.9*3.05)*(10.764)</f>
        <v>687.11993999999993</v>
      </c>
      <c r="E601" s="52">
        <v>0</v>
      </c>
      <c r="F601" s="52">
        <f t="shared" si="101"/>
        <v>1030.6799099999998</v>
      </c>
      <c r="G601" s="92"/>
      <c r="H601" s="93"/>
      <c r="I601" s="36"/>
      <c r="L601" s="104"/>
      <c r="M601" s="104"/>
      <c r="N601" s="36"/>
    </row>
    <row r="602" spans="1:14" s="45" customFormat="1" ht="15.75" customHeight="1" x14ac:dyDescent="0.25">
      <c r="A602" s="88">
        <f t="shared" si="102"/>
        <v>3</v>
      </c>
      <c r="B602" s="89"/>
      <c r="C602" s="51">
        <v>1</v>
      </c>
      <c r="D602" s="53">
        <f>(3*4.3+2.1*2.15+3*3.15+1.2*1.83+2.5*0.6+1.2*1.83+2.1*0.9+1.5*(3+2.1)+3*0.9)*(10.764)</f>
        <v>484.34770799999995</v>
      </c>
      <c r="E602" s="52">
        <v>0</v>
      </c>
      <c r="F602" s="52">
        <f t="shared" si="101"/>
        <v>726.5215619999999</v>
      </c>
      <c r="G602" s="92"/>
      <c r="H602" s="93"/>
      <c r="I602" s="36"/>
      <c r="L602" s="104"/>
      <c r="M602" s="104"/>
      <c r="N602" s="36"/>
    </row>
    <row r="603" spans="1:14" s="45" customFormat="1" ht="15.75" customHeight="1" x14ac:dyDescent="0.25">
      <c r="A603" s="88">
        <f t="shared" si="102"/>
        <v>4</v>
      </c>
      <c r="B603" s="89"/>
      <c r="C603" s="51">
        <v>1</v>
      </c>
      <c r="D603" s="53">
        <f>(3*4.3+2.1*2.15+3*3.15+1.2*1.83+2.5*0.6+1.2*1.83+2.1*0.9+1.5*(3+2.1)+3*0.9)*(10.764)</f>
        <v>484.34770799999995</v>
      </c>
      <c r="E603" s="52">
        <v>0</v>
      </c>
      <c r="F603" s="52">
        <f t="shared" si="101"/>
        <v>726.5215619999999</v>
      </c>
      <c r="G603" s="92"/>
      <c r="H603" s="93"/>
      <c r="I603" s="36"/>
      <c r="L603" s="104"/>
      <c r="M603" s="104"/>
      <c r="N603" s="36"/>
    </row>
    <row r="604" spans="1:14" s="45" customFormat="1" ht="15.75" customHeight="1" x14ac:dyDescent="0.25">
      <c r="A604" s="88">
        <f t="shared" si="102"/>
        <v>5</v>
      </c>
      <c r="B604" s="89"/>
      <c r="C604" s="51" t="s">
        <v>192</v>
      </c>
      <c r="D604" s="53">
        <f>(49.15+1.5*(3.05+2.15+2.76)+0.9*3.05)*(10.764)</f>
        <v>687.11993999999993</v>
      </c>
      <c r="E604" s="52">
        <v>0</v>
      </c>
      <c r="F604" s="52">
        <f t="shared" si="101"/>
        <v>1030.6799099999998</v>
      </c>
      <c r="G604" s="92"/>
      <c r="H604" s="93"/>
      <c r="I604" s="36"/>
      <c r="L604" s="104"/>
      <c r="M604" s="104"/>
      <c r="N604" s="36"/>
    </row>
    <row r="605" spans="1:14" s="45" customFormat="1" ht="15.75" customHeight="1" x14ac:dyDescent="0.25">
      <c r="A605" s="88">
        <f t="shared" si="102"/>
        <v>6</v>
      </c>
      <c r="B605" s="89"/>
      <c r="C605" s="51" t="s">
        <v>192</v>
      </c>
      <c r="D605" s="53">
        <f>(49.15+1.5*(3.05+2.15+2.76)+0.9*3.05)*(10.764)</f>
        <v>687.11993999999993</v>
      </c>
      <c r="E605" s="52">
        <v>0</v>
      </c>
      <c r="F605" s="52">
        <f t="shared" si="101"/>
        <v>1030.6799099999998</v>
      </c>
      <c r="G605" s="94"/>
      <c r="H605" s="95"/>
      <c r="I605" s="36"/>
      <c r="L605" s="104"/>
      <c r="M605" s="104"/>
      <c r="N605" s="36"/>
    </row>
    <row r="606" spans="1:14" s="45" customFormat="1" x14ac:dyDescent="0.25">
      <c r="A606" s="99" t="s">
        <v>208</v>
      </c>
      <c r="B606" s="100"/>
      <c r="C606" s="100"/>
      <c r="D606" s="100"/>
      <c r="E606" s="100"/>
      <c r="F606" s="100"/>
      <c r="G606" s="100"/>
      <c r="H606" s="101"/>
      <c r="J606" s="36"/>
    </row>
    <row r="607" spans="1:14" s="45" customFormat="1" ht="15.75" customHeight="1" x14ac:dyDescent="0.25">
      <c r="A607" s="88">
        <v>1</v>
      </c>
      <c r="B607" s="89"/>
      <c r="C607" s="51" t="s">
        <v>192</v>
      </c>
      <c r="D607" s="53">
        <f>(49.15+1.5*(3.05+2.15+2.76)+0.9*3.05)*(10.764)</f>
        <v>687.11993999999993</v>
      </c>
      <c r="E607" s="52">
        <v>0</v>
      </c>
      <c r="F607" s="52">
        <f>D607*(($F$351)+1)+(IF(E607&lt;101,E607,IF(E607&lt;201,E607/2,IF(E607&lt;=301,E607/3,E607/4))))</f>
        <v>1030.6799099999998</v>
      </c>
      <c r="G607" s="90" t="str">
        <f>A606</f>
        <v>7th Floor (Part Refuge &amp; Terrace Area)</v>
      </c>
      <c r="H607" s="91"/>
      <c r="I607" s="36"/>
      <c r="L607" s="104"/>
      <c r="M607" s="104"/>
      <c r="N607" s="36"/>
    </row>
    <row r="608" spans="1:14" s="45" customFormat="1" ht="15.75" customHeight="1" x14ac:dyDescent="0.25">
      <c r="A608" s="88">
        <f t="shared" ref="A608:A612" si="103">A607+1</f>
        <v>2</v>
      </c>
      <c r="B608" s="89"/>
      <c r="C608" s="51" t="s">
        <v>192</v>
      </c>
      <c r="D608" s="53">
        <f>(49.15+1.5*(3.05+2.15+2.76)+0.9*3.05)*(10.764)</f>
        <v>687.11993999999993</v>
      </c>
      <c r="E608" s="52">
        <v>0</v>
      </c>
      <c r="F608" s="52">
        <f>D608*(($F$351)+1)+(IF(E608&lt;101,E608,IF(E608&lt;201,E608/2,IF(E608&lt;=301,E608/3,E608/4))))</f>
        <v>1030.6799099999998</v>
      </c>
      <c r="G608" s="92"/>
      <c r="H608" s="93"/>
      <c r="I608" s="36"/>
      <c r="L608" s="104"/>
      <c r="M608" s="104"/>
      <c r="N608" s="36"/>
    </row>
    <row r="609" spans="1:14" s="45" customFormat="1" ht="15.75" customHeight="1" x14ac:dyDescent="0.25">
      <c r="A609" s="88">
        <f t="shared" si="103"/>
        <v>3</v>
      </c>
      <c r="B609" s="89"/>
      <c r="C609" s="51">
        <v>1</v>
      </c>
      <c r="D609" s="53">
        <f>(3*4.3+2.1*2.15+3*3.15+1.2*1.83+2.5*0.6+1.2*1.83+2.1*0.9+1.5*(3+2.1)+3*0.9)*(10.764)</f>
        <v>484.34770799999995</v>
      </c>
      <c r="E609" s="52">
        <v>0</v>
      </c>
      <c r="F609" s="52">
        <f>D609*(($F$351)+1)+(IF(E609&lt;101,E609,IF(E609&lt;201,E609/2,IF(E609&lt;=301,E609/3,E609/4))))</f>
        <v>726.5215619999999</v>
      </c>
      <c r="G609" s="92"/>
      <c r="H609" s="93"/>
      <c r="I609" s="36"/>
      <c r="L609" s="104"/>
      <c r="M609" s="104"/>
      <c r="N609" s="36"/>
    </row>
    <row r="610" spans="1:14" s="45" customFormat="1" ht="15.75" customHeight="1" x14ac:dyDescent="0.25">
      <c r="A610" s="88">
        <f t="shared" si="103"/>
        <v>4</v>
      </c>
      <c r="B610" s="89"/>
      <c r="C610" s="51">
        <v>1</v>
      </c>
      <c r="D610" s="53">
        <f>(3*4.3+2.1*2.15+3*3.15+1.2*1.83+2.5*0.6+1.2*1.83+2.1*0.9+1.5*(3+2.1)+3*0.9)*(10.764)</f>
        <v>484.34770799999995</v>
      </c>
      <c r="E610" s="52">
        <v>0</v>
      </c>
      <c r="F610" s="52">
        <f>D610*(($F$351)+1)+(IF(E610&lt;101,E610,IF(E610&lt;201,E610/2,IF(E610&lt;=301,E610/3,E610/4))))</f>
        <v>726.5215619999999</v>
      </c>
      <c r="G610" s="92"/>
      <c r="H610" s="93"/>
      <c r="I610" s="36"/>
      <c r="L610" s="104"/>
      <c r="M610" s="104"/>
      <c r="N610" s="36"/>
    </row>
    <row r="611" spans="1:14" s="45" customFormat="1" ht="15.75" customHeight="1" x14ac:dyDescent="0.25">
      <c r="A611" s="88">
        <f t="shared" si="103"/>
        <v>5</v>
      </c>
      <c r="B611" s="89"/>
      <c r="C611" s="96" t="s">
        <v>197</v>
      </c>
      <c r="D611" s="97"/>
      <c r="E611" s="97"/>
      <c r="F611" s="98"/>
      <c r="G611" s="92"/>
      <c r="H611" s="93"/>
      <c r="I611" s="36"/>
      <c r="L611" s="104"/>
      <c r="M611" s="104"/>
      <c r="N611" s="36"/>
    </row>
    <row r="612" spans="1:14" s="45" customFormat="1" ht="15.75" customHeight="1" x14ac:dyDescent="0.25">
      <c r="A612" s="88">
        <f t="shared" si="103"/>
        <v>6</v>
      </c>
      <c r="B612" s="89"/>
      <c r="C612" s="51" t="s">
        <v>192</v>
      </c>
      <c r="D612" s="53">
        <f>(49.15+1.5*(3.05+2.15+2.76)+0.9*3.05)*(10.764)</f>
        <v>687.11993999999993</v>
      </c>
      <c r="E612" s="52">
        <v>0</v>
      </c>
      <c r="F612" s="52">
        <f>D612*(($F$351)+1)+(IF(E612&lt;101,E612,IF(E612&lt;201,E612/2,IF(E612&lt;=301,E612/3,E612/4))))</f>
        <v>1030.6799099999998</v>
      </c>
      <c r="G612" s="94"/>
      <c r="H612" s="95"/>
      <c r="I612" s="36"/>
      <c r="L612" s="104"/>
      <c r="M612" s="104"/>
      <c r="N612" s="36"/>
    </row>
    <row r="613" spans="1:14" s="45" customFormat="1" x14ac:dyDescent="0.25">
      <c r="A613" s="99" t="s">
        <v>210</v>
      </c>
      <c r="B613" s="100"/>
      <c r="C613" s="100"/>
      <c r="D613" s="100"/>
      <c r="E613" s="100"/>
      <c r="F613" s="100"/>
      <c r="G613" s="100"/>
      <c r="H613" s="101"/>
      <c r="J613" s="36"/>
    </row>
    <row r="614" spans="1:14" s="45" customFormat="1" x14ac:dyDescent="0.25">
      <c r="A614" s="88">
        <v>1</v>
      </c>
      <c r="B614" s="89"/>
      <c r="C614" s="51" t="s">
        <v>192</v>
      </c>
      <c r="D614" s="53">
        <f>(49.15+0.9*3.05+1.5*(2.15+2.75+3.05))*(10.764)</f>
        <v>686.95847999999989</v>
      </c>
      <c r="E614" s="52">
        <v>0</v>
      </c>
      <c r="F614" s="52">
        <f>D614*(($F$351)+1)+(IF(E614&lt;101,E614,IF(E614&lt;201,E614/2,IF(E614&lt;=301,E614/3,E614/4))))</f>
        <v>1030.4377199999999</v>
      </c>
      <c r="G614" s="90" t="str">
        <f>A613</f>
        <v>8th Floor</v>
      </c>
      <c r="H614" s="91"/>
      <c r="I614" s="36"/>
      <c r="L614" s="104"/>
      <c r="M614" s="104"/>
      <c r="N614" s="36"/>
    </row>
    <row r="615" spans="1:14" s="45" customFormat="1" x14ac:dyDescent="0.25">
      <c r="A615" s="88">
        <f t="shared" ref="A615:A619" si="104">A614+1</f>
        <v>2</v>
      </c>
      <c r="B615" s="89"/>
      <c r="C615" s="51" t="s">
        <v>192</v>
      </c>
      <c r="D615" s="53">
        <f>(49.15+0.9*3.05+1.5*(2.15+2.75+3.05))*(10.764)</f>
        <v>686.95847999999989</v>
      </c>
      <c r="E615" s="52">
        <v>0</v>
      </c>
      <c r="F615" s="52">
        <f>D615*(($F$351)+1)+(IF(E615&lt;101,E615,IF(E615&lt;201,E615/2,IF(E615&lt;=301,E615/3,E615/4))))</f>
        <v>1030.4377199999999</v>
      </c>
      <c r="G615" s="92"/>
      <c r="H615" s="93"/>
      <c r="I615" s="36"/>
      <c r="L615" s="104"/>
      <c r="M615" s="104"/>
      <c r="N615" s="36"/>
    </row>
    <row r="616" spans="1:14" s="45" customFormat="1" x14ac:dyDescent="0.25">
      <c r="A616" s="88">
        <f t="shared" si="104"/>
        <v>3</v>
      </c>
      <c r="B616" s="89"/>
      <c r="C616" s="51">
        <v>1</v>
      </c>
      <c r="D616" s="53">
        <f>(3*4.3+2.1*2.15+3*3.15+1.2*1.83+2.5*0.6+1.2*1.83+2.1*0.9+1.5*(3+2.1)+3*0.9)*(10.764)</f>
        <v>484.34770799999995</v>
      </c>
      <c r="E616" s="52">
        <v>0</v>
      </c>
      <c r="F616" s="52">
        <f>D616*(($F$351)+1)+(IF(E616&lt;101,E616,IF(E616&lt;201,E616/2,IF(E616&lt;=301,E616/3,E616/4))))</f>
        <v>726.5215619999999</v>
      </c>
      <c r="G616" s="92"/>
      <c r="H616" s="93"/>
      <c r="I616" s="36"/>
      <c r="L616" s="104"/>
      <c r="M616" s="104"/>
      <c r="N616" s="36"/>
    </row>
    <row r="617" spans="1:14" s="45" customFormat="1" x14ac:dyDescent="0.25">
      <c r="A617" s="88">
        <f t="shared" si="104"/>
        <v>4</v>
      </c>
      <c r="B617" s="89"/>
      <c r="C617" s="51">
        <v>1</v>
      </c>
      <c r="D617" s="53">
        <f>(3*4.3+2.1*2.15+3*3.15+1.2*1.83+2.5*0.6+1.2*1.83+2.1*0.9+1.5*(3+2.1)+3*0.9)*(10.764)</f>
        <v>484.34770799999995</v>
      </c>
      <c r="E617" s="52">
        <v>0</v>
      </c>
      <c r="F617" s="52">
        <f>D617*(($F$351)+1)+(IF(E617&lt;101,E617,IF(E617&lt;201,E617/2,IF(E617&lt;=301,E617/3,E617/4))))</f>
        <v>726.5215619999999</v>
      </c>
      <c r="G617" s="92"/>
      <c r="H617" s="93"/>
      <c r="I617" s="36"/>
      <c r="L617" s="104"/>
      <c r="M617" s="104"/>
      <c r="N617" s="36"/>
    </row>
    <row r="618" spans="1:14" s="45" customFormat="1" x14ac:dyDescent="0.25">
      <c r="A618" s="88">
        <f t="shared" si="104"/>
        <v>5</v>
      </c>
      <c r="B618" s="89"/>
      <c r="C618" s="96" t="s">
        <v>200</v>
      </c>
      <c r="D618" s="97"/>
      <c r="E618" s="97"/>
      <c r="F618" s="98"/>
      <c r="G618" s="92"/>
      <c r="H618" s="93"/>
      <c r="I618" s="36"/>
      <c r="L618" s="104"/>
      <c r="M618" s="104"/>
      <c r="N618" s="36"/>
    </row>
    <row r="619" spans="1:14" s="45" customFormat="1" x14ac:dyDescent="0.25">
      <c r="A619" s="88">
        <f t="shared" si="104"/>
        <v>6</v>
      </c>
      <c r="B619" s="89"/>
      <c r="C619" s="51" t="s">
        <v>192</v>
      </c>
      <c r="D619" s="53">
        <f>(49.15+0.9*3.05+1.5*(2.15+2.75+3.05))*(10.764)</f>
        <v>686.95847999999989</v>
      </c>
      <c r="E619" s="52">
        <v>0</v>
      </c>
      <c r="F619" s="52">
        <f>D619*(($F$351)+1)+(IF(E619&lt;101,E619,IF(E619&lt;201,E619/2,IF(E619&lt;=301,E619/3,E619/4))))</f>
        <v>1030.4377199999999</v>
      </c>
      <c r="G619" s="94"/>
      <c r="H619" s="95"/>
      <c r="I619" s="36"/>
      <c r="L619" s="104"/>
      <c r="M619" s="104"/>
      <c r="N619" s="36"/>
    </row>
    <row r="620" spans="1:14" s="45" customFormat="1" x14ac:dyDescent="0.25">
      <c r="A620" s="99" t="s">
        <v>209</v>
      </c>
      <c r="B620" s="100"/>
      <c r="C620" s="100"/>
      <c r="D620" s="100"/>
      <c r="E620" s="100"/>
      <c r="F620" s="100"/>
      <c r="G620" s="100"/>
      <c r="H620" s="101"/>
      <c r="J620" s="36"/>
    </row>
    <row r="621" spans="1:14" s="45" customFormat="1" x14ac:dyDescent="0.25">
      <c r="A621" s="88">
        <v>1</v>
      </c>
      <c r="B621" s="89"/>
      <c r="C621" s="51" t="s">
        <v>192</v>
      </c>
      <c r="D621" s="53">
        <f>(49.15+1.5*(3.05+2.15+2.76)+0.9*3.05)*(10.764)</f>
        <v>687.11993999999993</v>
      </c>
      <c r="E621" s="52">
        <v>0</v>
      </c>
      <c r="F621" s="52">
        <f>D621*(($F$351)+1)+(IF(E621&lt;101,E621,IF(E621&lt;201,E621/2,IF(E621&lt;=301,E621/3,E621/4))))</f>
        <v>1030.6799099999998</v>
      </c>
      <c r="G621" s="90" t="str">
        <f>A620</f>
        <v>9th Floor</v>
      </c>
      <c r="H621" s="91"/>
      <c r="I621" s="36"/>
      <c r="L621" s="104"/>
      <c r="M621" s="104"/>
      <c r="N621" s="36"/>
    </row>
    <row r="622" spans="1:14" s="45" customFormat="1" x14ac:dyDescent="0.25">
      <c r="A622" s="88">
        <f t="shared" ref="A622:A626" si="105">A621+1</f>
        <v>2</v>
      </c>
      <c r="B622" s="89"/>
      <c r="C622" s="51" t="s">
        <v>192</v>
      </c>
      <c r="D622" s="53">
        <f>(49.15+1.5*(3.05+2.15+2.76)+0.9*3.05)*(10.764)</f>
        <v>687.11993999999993</v>
      </c>
      <c r="E622" s="52">
        <v>0</v>
      </c>
      <c r="F622" s="52">
        <f>D622*(($F$351)+1)+(IF(E622&lt;101,E622,IF(E622&lt;201,E622/2,IF(E622&lt;=301,E622/3,E622/4))))</f>
        <v>1030.6799099999998</v>
      </c>
      <c r="G622" s="92"/>
      <c r="H622" s="93"/>
      <c r="I622" s="36"/>
      <c r="L622" s="104"/>
      <c r="M622" s="104"/>
      <c r="N622" s="36"/>
    </row>
    <row r="623" spans="1:14" s="45" customFormat="1" x14ac:dyDescent="0.25">
      <c r="A623" s="88">
        <f t="shared" si="105"/>
        <v>3</v>
      </c>
      <c r="B623" s="89"/>
      <c r="C623" s="51">
        <v>1</v>
      </c>
      <c r="D623" s="53">
        <f>(3*4.3+2.1*2.15+3*3.15+1.2*1.83+2.5*0.6+1.2*1.83+2.1*0.9+1.5*(3+2.1)+3*0.9)*(10.764)</f>
        <v>484.34770799999995</v>
      </c>
      <c r="E623" s="52">
        <v>0</v>
      </c>
      <c r="F623" s="52">
        <f>D623*(($F$351)+1)+(IF(E623&lt;101,E623,IF(E623&lt;201,E623/2,IF(E623&lt;=301,E623/3,E623/4))))</f>
        <v>726.5215619999999</v>
      </c>
      <c r="G623" s="92"/>
      <c r="H623" s="93"/>
      <c r="I623" s="36"/>
      <c r="L623" s="104"/>
      <c r="M623" s="104"/>
      <c r="N623" s="36"/>
    </row>
    <row r="624" spans="1:14" s="45" customFormat="1" x14ac:dyDescent="0.25">
      <c r="A624" s="88">
        <f t="shared" si="105"/>
        <v>4</v>
      </c>
      <c r="B624" s="89"/>
      <c r="C624" s="51">
        <v>1</v>
      </c>
      <c r="D624" s="53">
        <f>(3*4.3+2.1*2.15+3*3.15+1.2*1.83+2.5*0.6+1.2*1.83+2.1*0.9+1.5*(3+2.1)+3*0.9)*(10.764)</f>
        <v>484.34770799999995</v>
      </c>
      <c r="E624" s="52">
        <v>0</v>
      </c>
      <c r="F624" s="52">
        <f>D624*(($F$351)+1)+(IF(E624&lt;101,E624,IF(E624&lt;201,E624/2,IF(E624&lt;=301,E624/3,E624/4))))</f>
        <v>726.5215619999999</v>
      </c>
      <c r="G624" s="92"/>
      <c r="H624" s="93"/>
      <c r="I624" s="36"/>
      <c r="L624" s="104"/>
      <c r="M624" s="104"/>
      <c r="N624" s="36"/>
    </row>
    <row r="625" spans="1:14" s="45" customFormat="1" x14ac:dyDescent="0.25">
      <c r="A625" s="88">
        <f t="shared" si="105"/>
        <v>5</v>
      </c>
      <c r="B625" s="89"/>
      <c r="C625" s="96" t="s">
        <v>200</v>
      </c>
      <c r="D625" s="97"/>
      <c r="E625" s="97"/>
      <c r="F625" s="98"/>
      <c r="G625" s="92"/>
      <c r="H625" s="93"/>
      <c r="I625" s="36"/>
      <c r="L625" s="104"/>
      <c r="M625" s="104"/>
      <c r="N625" s="36"/>
    </row>
    <row r="626" spans="1:14" s="45" customFormat="1" x14ac:dyDescent="0.25">
      <c r="A626" s="88">
        <f t="shared" si="105"/>
        <v>6</v>
      </c>
      <c r="B626" s="89"/>
      <c r="C626" s="51" t="s">
        <v>192</v>
      </c>
      <c r="D626" s="53">
        <f>(49.15+1.5*(3.05+2.15+2.76)+0.9*3.05)*(10.764)</f>
        <v>687.11993999999993</v>
      </c>
      <c r="E626" s="52">
        <v>0</v>
      </c>
      <c r="F626" s="52">
        <f>D626*(($F$351)+1)+(IF(E626&lt;101,E626,IF(E626&lt;201,E626/2,IF(E626&lt;=301,E626/3,E626/4))))</f>
        <v>1030.6799099999998</v>
      </c>
      <c r="G626" s="94"/>
      <c r="H626" s="95"/>
      <c r="I626" s="36"/>
      <c r="L626" s="104"/>
      <c r="M626" s="104"/>
      <c r="N626" s="36"/>
    </row>
    <row r="627" spans="1:14" s="45" customFormat="1" x14ac:dyDescent="0.25">
      <c r="A627" s="99" t="s">
        <v>217</v>
      </c>
      <c r="B627" s="100"/>
      <c r="C627" s="100"/>
      <c r="D627" s="100"/>
      <c r="E627" s="100"/>
      <c r="F627" s="100"/>
      <c r="G627" s="100"/>
      <c r="H627" s="101"/>
      <c r="J627" s="36"/>
    </row>
    <row r="628" spans="1:14" s="45" customFormat="1" ht="15.75" customHeight="1" x14ac:dyDescent="0.25">
      <c r="A628" s="88">
        <v>1</v>
      </c>
      <c r="B628" s="89"/>
      <c r="C628" s="51" t="s">
        <v>192</v>
      </c>
      <c r="D628" s="53">
        <f>(49.15+0.9*3.05+1.5*(2.15+2.75+3.05))*(10.764)</f>
        <v>686.95847999999989</v>
      </c>
      <c r="E628" s="52">
        <v>0</v>
      </c>
      <c r="F628" s="52">
        <f>D628*(($F$351)+1)+(IF(E628&lt;101,E628,IF(E628&lt;201,E628/2,IF(E628&lt;=301,E628/3,E628/4))))</f>
        <v>1030.4377199999999</v>
      </c>
      <c r="G628" s="90" t="str">
        <f>A627</f>
        <v>10th Floor (Terrace Area)</v>
      </c>
      <c r="H628" s="91"/>
      <c r="I628" s="36"/>
      <c r="L628" s="104"/>
      <c r="M628" s="104"/>
      <c r="N628" s="36"/>
    </row>
    <row r="629" spans="1:14" s="45" customFormat="1" ht="15.75" customHeight="1" x14ac:dyDescent="0.25">
      <c r="A629" s="88">
        <f t="shared" ref="A629:A633" si="106">A628+1</f>
        <v>2</v>
      </c>
      <c r="B629" s="89"/>
      <c r="C629" s="96" t="s">
        <v>197</v>
      </c>
      <c r="D629" s="97"/>
      <c r="E629" s="97"/>
      <c r="F629" s="98"/>
      <c r="G629" s="92"/>
      <c r="H629" s="93"/>
      <c r="I629" s="36"/>
      <c r="L629" s="104"/>
      <c r="M629" s="104"/>
      <c r="N629" s="36"/>
    </row>
    <row r="630" spans="1:14" s="45" customFormat="1" ht="15.75" customHeight="1" x14ac:dyDescent="0.25">
      <c r="A630" s="88">
        <f t="shared" si="106"/>
        <v>3</v>
      </c>
      <c r="B630" s="89"/>
      <c r="C630" s="51">
        <v>1</v>
      </c>
      <c r="D630" s="53">
        <f>(3*4.3+2.1*2.15+3*3.15+1.2*1.83+2.5*0.6+1.2*1.83+2.1*0.9+1.5*(3+2.1)+3*0.9)*(10.764)</f>
        <v>484.34770799999995</v>
      </c>
      <c r="E630" s="52">
        <v>0</v>
      </c>
      <c r="F630" s="52">
        <f>D630*(($F$351)+1)+(IF(E630&lt;101,E630,IF(E630&lt;201,E630/2,IF(E630&lt;=301,E630/3,E630/4))))</f>
        <v>726.5215619999999</v>
      </c>
      <c r="G630" s="92"/>
      <c r="H630" s="93"/>
      <c r="I630" s="36"/>
      <c r="L630" s="104"/>
      <c r="M630" s="104"/>
      <c r="N630" s="36"/>
    </row>
    <row r="631" spans="1:14" s="45" customFormat="1" ht="15.75" customHeight="1" x14ac:dyDescent="0.25">
      <c r="A631" s="88">
        <f t="shared" si="106"/>
        <v>4</v>
      </c>
      <c r="B631" s="89"/>
      <c r="C631" s="51">
        <v>1</v>
      </c>
      <c r="D631" s="53">
        <f>(3*4.3+2.1*2.15+3*3.15+1.2*1.83+2.5*0.6+1.2*1.83+2.1*0.9+1.5*(3+2.1)+3*0.9)*(10.764)</f>
        <v>484.34770799999995</v>
      </c>
      <c r="E631" s="52">
        <v>0</v>
      </c>
      <c r="F631" s="52">
        <f>D631*(($F$351)+1)+(IF(E631&lt;101,E631,IF(E631&lt;201,E631/2,IF(E631&lt;=301,E631/3,E631/4))))</f>
        <v>726.5215619999999</v>
      </c>
      <c r="G631" s="92"/>
      <c r="H631" s="93"/>
      <c r="I631" s="36"/>
      <c r="L631" s="104"/>
      <c r="M631" s="104"/>
      <c r="N631" s="36"/>
    </row>
    <row r="632" spans="1:14" s="45" customFormat="1" ht="15.75" customHeight="1" x14ac:dyDescent="0.25">
      <c r="A632" s="88">
        <f t="shared" si="106"/>
        <v>5</v>
      </c>
      <c r="B632" s="89"/>
      <c r="C632" s="51" t="s">
        <v>192</v>
      </c>
      <c r="D632" s="53">
        <f>(49.15+0.9*3.05+1.5*(2.15+2.75+3.05))*(10.764)</f>
        <v>686.95847999999989</v>
      </c>
      <c r="E632" s="52">
        <v>0</v>
      </c>
      <c r="F632" s="52">
        <f>D632*(($F$351)+1)+(IF(E632&lt;101,E632,IF(E632&lt;201,E632/2,IF(E632&lt;=301,E632/3,E632/4))))</f>
        <v>1030.4377199999999</v>
      </c>
      <c r="G632" s="92"/>
      <c r="H632" s="93"/>
      <c r="I632" s="36"/>
      <c r="L632" s="104"/>
      <c r="M632" s="104"/>
      <c r="N632" s="36"/>
    </row>
    <row r="633" spans="1:14" s="45" customFormat="1" ht="15.75" customHeight="1" x14ac:dyDescent="0.25">
      <c r="A633" s="88">
        <f t="shared" si="106"/>
        <v>6</v>
      </c>
      <c r="B633" s="89"/>
      <c r="C633" s="51" t="s">
        <v>192</v>
      </c>
      <c r="D633" s="53">
        <f>(49.15+0.9*3.05+1.5*(2.15+2.75+3.05))*(10.764)</f>
        <v>686.95847999999989</v>
      </c>
      <c r="E633" s="52">
        <v>0</v>
      </c>
      <c r="F633" s="52">
        <f>D633*(($F$351)+1)+(IF(E633&lt;101,E633,IF(E633&lt;201,E633/2,IF(E633&lt;=301,E633/3,E633/4))))</f>
        <v>1030.4377199999999</v>
      </c>
      <c r="G633" s="94"/>
      <c r="H633" s="95"/>
      <c r="I633" s="36"/>
      <c r="L633" s="104"/>
      <c r="M633" s="104"/>
      <c r="N633" s="36"/>
    </row>
    <row r="634" spans="1:14" s="45" customFormat="1" x14ac:dyDescent="0.25">
      <c r="A634" s="99" t="s">
        <v>212</v>
      </c>
      <c r="B634" s="100"/>
      <c r="C634" s="100"/>
      <c r="D634" s="100"/>
      <c r="E634" s="100"/>
      <c r="F634" s="100"/>
      <c r="G634" s="100"/>
      <c r="H634" s="101"/>
      <c r="J634" s="36"/>
    </row>
    <row r="635" spans="1:14" s="45" customFormat="1" x14ac:dyDescent="0.25">
      <c r="A635" s="88">
        <v>1</v>
      </c>
      <c r="B635" s="89"/>
      <c r="C635" s="51" t="s">
        <v>192</v>
      </c>
      <c r="D635" s="53">
        <f>(49.15+1.5*(3.05+2.15+2.76)+0.9*3.05)*(10.764)</f>
        <v>687.11993999999993</v>
      </c>
      <c r="E635" s="52">
        <v>0</v>
      </c>
      <c r="F635" s="52">
        <f>D635*(($F$351)+1)+(IF(E635&lt;101,E635,IF(E635&lt;201,E635/2,IF(E635&lt;=301,E635/3,E635/4))))</f>
        <v>1030.6799099999998</v>
      </c>
      <c r="G635" s="90" t="str">
        <f>A634</f>
        <v>11th Floor</v>
      </c>
      <c r="H635" s="91"/>
      <c r="I635" s="36"/>
      <c r="L635" s="104"/>
      <c r="M635" s="104"/>
      <c r="N635" s="36"/>
    </row>
    <row r="636" spans="1:14" s="45" customFormat="1" x14ac:dyDescent="0.25">
      <c r="A636" s="88">
        <f t="shared" ref="A636:A640" si="107">A635+1</f>
        <v>2</v>
      </c>
      <c r="B636" s="89"/>
      <c r="C636" s="96" t="s">
        <v>200</v>
      </c>
      <c r="D636" s="97"/>
      <c r="E636" s="97"/>
      <c r="F636" s="98"/>
      <c r="G636" s="92"/>
      <c r="H636" s="93"/>
      <c r="I636" s="36"/>
      <c r="L636" s="104"/>
      <c r="M636" s="104"/>
      <c r="N636" s="36"/>
    </row>
    <row r="637" spans="1:14" s="45" customFormat="1" x14ac:dyDescent="0.25">
      <c r="A637" s="88">
        <f t="shared" si="107"/>
        <v>3</v>
      </c>
      <c r="B637" s="89"/>
      <c r="C637" s="51">
        <v>1</v>
      </c>
      <c r="D637" s="53">
        <f>(3*4.3+2.1*2.15+3*3.15+1.2*1.83+2.5*0.6+1.2*1.83+2.1*0.9+1.5*(3+2.1)+3*0.9)*(10.764)</f>
        <v>484.34770799999995</v>
      </c>
      <c r="E637" s="52">
        <v>0</v>
      </c>
      <c r="F637" s="52">
        <f>D637*(($F$351)+1)+(IF(E637&lt;101,E637,IF(E637&lt;201,E637/2,IF(E637&lt;=301,E637/3,E637/4))))</f>
        <v>726.5215619999999</v>
      </c>
      <c r="G637" s="92"/>
      <c r="H637" s="93"/>
      <c r="I637" s="36"/>
      <c r="L637" s="104"/>
      <c r="M637" s="104"/>
      <c r="N637" s="36"/>
    </row>
    <row r="638" spans="1:14" s="45" customFormat="1" x14ac:dyDescent="0.25">
      <c r="A638" s="88">
        <f t="shared" si="107"/>
        <v>4</v>
      </c>
      <c r="B638" s="89"/>
      <c r="C638" s="51">
        <v>1</v>
      </c>
      <c r="D638" s="53">
        <f>(3*4.3+2.1*2.15+3*3.15+1.2*1.83+2.5*0.6+1.2*1.83+2.1*0.9+1.5*(3+2.1)+3*0.9)*(10.764)</f>
        <v>484.34770799999995</v>
      </c>
      <c r="E638" s="52">
        <v>0</v>
      </c>
      <c r="F638" s="52">
        <f>D638*(($F$351)+1)+(IF(E638&lt;101,E638,IF(E638&lt;201,E638/2,IF(E638&lt;=301,E638/3,E638/4))))</f>
        <v>726.5215619999999</v>
      </c>
      <c r="G638" s="92"/>
      <c r="H638" s="93"/>
      <c r="I638" s="36"/>
      <c r="L638" s="104"/>
      <c r="M638" s="104"/>
      <c r="N638" s="36"/>
    </row>
    <row r="639" spans="1:14" s="45" customFormat="1" x14ac:dyDescent="0.25">
      <c r="A639" s="88">
        <f t="shared" si="107"/>
        <v>5</v>
      </c>
      <c r="B639" s="89"/>
      <c r="C639" s="51" t="s">
        <v>192</v>
      </c>
      <c r="D639" s="53">
        <f>(49.15+1.5*(3.05+2.15+2.76)+0.9*3.05)*(10.764)</f>
        <v>687.11993999999993</v>
      </c>
      <c r="E639" s="52">
        <v>0</v>
      </c>
      <c r="F639" s="52">
        <f>D639*(($F$351)+1)+(IF(E639&lt;101,E639,IF(E639&lt;201,E639/2,IF(E639&lt;=301,E639/3,E639/4))))</f>
        <v>1030.6799099999998</v>
      </c>
      <c r="G639" s="92"/>
      <c r="H639" s="93"/>
      <c r="I639" s="36"/>
      <c r="L639" s="104"/>
      <c r="M639" s="104"/>
      <c r="N639" s="36"/>
    </row>
    <row r="640" spans="1:14" s="45" customFormat="1" x14ac:dyDescent="0.25">
      <c r="A640" s="88">
        <f t="shared" si="107"/>
        <v>6</v>
      </c>
      <c r="B640" s="89"/>
      <c r="C640" s="51" t="s">
        <v>192</v>
      </c>
      <c r="D640" s="53">
        <f>(49.15+1.5*(3.05+2.15+2.76)+0.9*3.05)*(10.764)</f>
        <v>687.11993999999993</v>
      </c>
      <c r="E640" s="52">
        <v>0</v>
      </c>
      <c r="F640" s="52">
        <f>D640*(($F$351)+1)+(IF(E640&lt;101,E640,IF(E640&lt;201,E640/2,IF(E640&lt;=301,E640/3,E640/4))))</f>
        <v>1030.6799099999998</v>
      </c>
      <c r="G640" s="94"/>
      <c r="H640" s="95"/>
      <c r="I640" s="36"/>
      <c r="L640" s="104"/>
      <c r="M640" s="104"/>
      <c r="N640" s="36"/>
    </row>
    <row r="641" spans="1:14" s="45" customFormat="1" x14ac:dyDescent="0.25">
      <c r="A641" s="99" t="s">
        <v>194</v>
      </c>
      <c r="B641" s="100"/>
      <c r="C641" s="100"/>
      <c r="D641" s="100"/>
      <c r="E641" s="100"/>
      <c r="F641" s="100"/>
      <c r="G641" s="100"/>
      <c r="H641" s="101"/>
      <c r="J641" s="36"/>
    </row>
    <row r="642" spans="1:14" s="45" customFormat="1" ht="15.75" customHeight="1" x14ac:dyDescent="0.25">
      <c r="A642" s="88">
        <v>1</v>
      </c>
      <c r="B642" s="89"/>
      <c r="C642" s="51" t="s">
        <v>192</v>
      </c>
      <c r="D642" s="53">
        <f>(49.15+0.9*3.05+1.5*(2.15+2.75+3.05))*(10.764)</f>
        <v>686.95847999999989</v>
      </c>
      <c r="E642" s="52">
        <v>0</v>
      </c>
      <c r="F642" s="52">
        <f>D642*(($F$351)+1)+(IF(E642&lt;101,E642,IF(E642&lt;201,E642/2,IF(E642&lt;=301,E642/3,E642/4))))</f>
        <v>1030.4377199999999</v>
      </c>
      <c r="G642" s="90" t="str">
        <f>A641</f>
        <v>12th Floor (Part Refuge Area)</v>
      </c>
      <c r="H642" s="91"/>
      <c r="I642" s="36"/>
      <c r="L642" s="104"/>
      <c r="M642" s="104"/>
      <c r="N642" s="36"/>
    </row>
    <row r="643" spans="1:14" s="45" customFormat="1" ht="15.75" customHeight="1" x14ac:dyDescent="0.25">
      <c r="A643" s="88">
        <f t="shared" ref="A643:A647" si="108">A642+1</f>
        <v>2</v>
      </c>
      <c r="B643" s="89"/>
      <c r="C643" s="96" t="s">
        <v>200</v>
      </c>
      <c r="D643" s="97"/>
      <c r="E643" s="97"/>
      <c r="F643" s="98"/>
      <c r="G643" s="92"/>
      <c r="H643" s="93"/>
      <c r="I643" s="36"/>
      <c r="L643" s="104"/>
      <c r="M643" s="104"/>
      <c r="N643" s="36"/>
    </row>
    <row r="644" spans="1:14" s="45" customFormat="1" ht="15.75" customHeight="1" x14ac:dyDescent="0.25">
      <c r="A644" s="88">
        <f t="shared" si="108"/>
        <v>3</v>
      </c>
      <c r="B644" s="89"/>
      <c r="C644" s="51">
        <v>1</v>
      </c>
      <c r="D644" s="53">
        <f>(3*4.3+2.1*2.15+3*3.15+1.2*1.83+2.5*0.6+1.2*1.83+2.1*0.9+1.5*(3+2.1)+3*0.9)*(10.764)</f>
        <v>484.34770799999995</v>
      </c>
      <c r="E644" s="52">
        <v>0</v>
      </c>
      <c r="F644" s="52">
        <f>D644*(($F$351)+1)+(IF(E644&lt;101,E644,IF(E644&lt;201,E644/2,IF(E644&lt;=301,E644/3,E644/4))))</f>
        <v>726.5215619999999</v>
      </c>
      <c r="G644" s="92"/>
      <c r="H644" s="93"/>
      <c r="I644" s="36"/>
      <c r="L644" s="104"/>
      <c r="M644" s="104"/>
      <c r="N644" s="36"/>
    </row>
    <row r="645" spans="1:14" s="45" customFormat="1" ht="15.75" customHeight="1" x14ac:dyDescent="0.25">
      <c r="A645" s="88">
        <f t="shared" si="108"/>
        <v>4</v>
      </c>
      <c r="B645" s="89"/>
      <c r="C645" s="51">
        <v>1</v>
      </c>
      <c r="D645" s="53">
        <f>(3*4.3+2.1*2.15+3*3.15+1.2*1.83+2.5*0.6+1.2*1.83+2.1*0.9+1.5*(3+2.1)+3*0.9)*(10.764)</f>
        <v>484.34770799999995</v>
      </c>
      <c r="E645" s="52">
        <v>0</v>
      </c>
      <c r="F645" s="52">
        <f>D645*(($F$351)+1)+(IF(E645&lt;101,E645,IF(E645&lt;201,E645/2,IF(E645&lt;=301,E645/3,E645/4))))</f>
        <v>726.5215619999999</v>
      </c>
      <c r="G645" s="92"/>
      <c r="H645" s="93"/>
      <c r="I645" s="36"/>
      <c r="L645" s="104"/>
      <c r="M645" s="104"/>
      <c r="N645" s="36"/>
    </row>
    <row r="646" spans="1:14" s="45" customFormat="1" ht="15.75" customHeight="1" x14ac:dyDescent="0.25">
      <c r="A646" s="88">
        <f t="shared" si="108"/>
        <v>5</v>
      </c>
      <c r="B646" s="89"/>
      <c r="C646" s="51" t="s">
        <v>192</v>
      </c>
      <c r="D646" s="53">
        <f>(49.15+0.9*3.05+1.5*(2.15+2.75+3.05))*(10.764)</f>
        <v>686.95847999999989</v>
      </c>
      <c r="E646" s="52">
        <v>0</v>
      </c>
      <c r="F646" s="52">
        <f>D646*(($F$351)+1)+(IF(E646&lt;101,E646,IF(E646&lt;201,E646/2,IF(E646&lt;=301,E646/3,E646/4))))</f>
        <v>1030.4377199999999</v>
      </c>
      <c r="G646" s="92"/>
      <c r="H646" s="93"/>
      <c r="I646" s="36"/>
      <c r="L646" s="104"/>
      <c r="M646" s="104"/>
      <c r="N646" s="36"/>
    </row>
    <row r="647" spans="1:14" s="45" customFormat="1" ht="15.75" customHeight="1" x14ac:dyDescent="0.25">
      <c r="A647" s="88">
        <f t="shared" si="108"/>
        <v>6</v>
      </c>
      <c r="B647" s="89"/>
      <c r="C647" s="51" t="s">
        <v>192</v>
      </c>
      <c r="D647" s="53">
        <f>(49.15+0.9*3.05+1.5*(2.15+2.75+3.05))*(10.764)</f>
        <v>686.95847999999989</v>
      </c>
      <c r="E647" s="52">
        <v>0</v>
      </c>
      <c r="F647" s="52">
        <f>D647*(($F$351)+1)+(IF(E647&lt;101,E647,IF(E647&lt;201,E647/2,IF(E647&lt;=301,E647/3,E647/4))))</f>
        <v>1030.4377199999999</v>
      </c>
      <c r="G647" s="94"/>
      <c r="H647" s="95"/>
      <c r="I647" s="36"/>
      <c r="L647" s="104"/>
      <c r="M647" s="104"/>
      <c r="N647" s="36"/>
    </row>
    <row r="648" spans="1:14" s="45" customFormat="1" x14ac:dyDescent="0.25">
      <c r="A648" s="99" t="s">
        <v>207</v>
      </c>
      <c r="B648" s="100"/>
      <c r="C648" s="100"/>
      <c r="D648" s="100"/>
      <c r="E648" s="100"/>
      <c r="F648" s="100"/>
      <c r="G648" s="100"/>
      <c r="H648" s="101"/>
      <c r="J648" s="36"/>
    </row>
    <row r="649" spans="1:14" s="45" customFormat="1" ht="15.75" customHeight="1" x14ac:dyDescent="0.25">
      <c r="A649" s="88">
        <v>1</v>
      </c>
      <c r="B649" s="89"/>
      <c r="C649" s="51" t="s">
        <v>192</v>
      </c>
      <c r="D649" s="53">
        <f>(49.15+1.5*(3.05+2.15+2.76)+0.9*3.05)*(10.764)</f>
        <v>687.11993999999993</v>
      </c>
      <c r="E649" s="52">
        <v>0</v>
      </c>
      <c r="F649" s="52">
        <f t="shared" ref="F649:F654" si="109">D649*(($F$351)+1)+(IF(E649&lt;101,E649,IF(E649&lt;201,E649/2,IF(E649&lt;=301,E649/3,E649/4))))</f>
        <v>1030.6799099999998</v>
      </c>
      <c r="G649" s="90" t="str">
        <f>A648</f>
        <v>17th Floor (Part Refuge Area)</v>
      </c>
      <c r="H649" s="91"/>
      <c r="I649" s="36"/>
      <c r="L649" s="104"/>
      <c r="M649" s="104"/>
      <c r="N649" s="36"/>
    </row>
    <row r="650" spans="1:14" s="45" customFormat="1" ht="15.75" customHeight="1" x14ac:dyDescent="0.25">
      <c r="A650" s="88">
        <f t="shared" ref="A650:A654" si="110">A649+1</f>
        <v>2</v>
      </c>
      <c r="B650" s="89"/>
      <c r="C650" s="51" t="s">
        <v>192</v>
      </c>
      <c r="D650" s="53">
        <f>(49.15+1.5*(3.05+2.15+2.76)+0.9*3.05)*(10.764)</f>
        <v>687.11993999999993</v>
      </c>
      <c r="E650" s="52">
        <v>0</v>
      </c>
      <c r="F650" s="52">
        <f t="shared" si="109"/>
        <v>1030.6799099999998</v>
      </c>
      <c r="G650" s="92"/>
      <c r="H650" s="93"/>
      <c r="I650" s="36"/>
      <c r="L650" s="104"/>
      <c r="M650" s="104"/>
      <c r="N650" s="36"/>
    </row>
    <row r="651" spans="1:14" s="45" customFormat="1" ht="15.75" customHeight="1" x14ac:dyDescent="0.25">
      <c r="A651" s="88">
        <f t="shared" si="110"/>
        <v>3</v>
      </c>
      <c r="B651" s="89"/>
      <c r="C651" s="51">
        <v>1</v>
      </c>
      <c r="D651" s="53">
        <f>(3*4.3+2.1*2.15+3*3.15+1.2*1.83+2.5*0.6+1.2*1.83+2.1*0.9+1.5*(3+2.1)+3*0.9)*(10.764)</f>
        <v>484.34770799999995</v>
      </c>
      <c r="E651" s="52">
        <v>0</v>
      </c>
      <c r="F651" s="52">
        <f t="shared" si="109"/>
        <v>726.5215619999999</v>
      </c>
      <c r="G651" s="92"/>
      <c r="H651" s="93"/>
      <c r="I651" s="36"/>
      <c r="L651" s="104"/>
      <c r="M651" s="104"/>
      <c r="N651" s="36"/>
    </row>
    <row r="652" spans="1:14" s="45" customFormat="1" ht="15.75" customHeight="1" x14ac:dyDescent="0.25">
      <c r="A652" s="88">
        <f t="shared" si="110"/>
        <v>4</v>
      </c>
      <c r="B652" s="89"/>
      <c r="C652" s="51">
        <v>1</v>
      </c>
      <c r="D652" s="53">
        <f>(3*4.3+2.1*2.15+3*3.15+1.2*1.83+2.5*0.6+1.2*1.83+2.1*0.9+1.5*(3+2.1)+3*0.9)*(10.764)</f>
        <v>484.34770799999995</v>
      </c>
      <c r="E652" s="52">
        <v>0</v>
      </c>
      <c r="F652" s="52">
        <f t="shared" si="109"/>
        <v>726.5215619999999</v>
      </c>
      <c r="G652" s="92"/>
      <c r="H652" s="93"/>
      <c r="I652" s="36"/>
      <c r="L652" s="104"/>
      <c r="M652" s="104"/>
      <c r="N652" s="36"/>
    </row>
    <row r="653" spans="1:14" s="45" customFormat="1" ht="15.75" customHeight="1" x14ac:dyDescent="0.25">
      <c r="A653" s="88">
        <f t="shared" si="110"/>
        <v>5</v>
      </c>
      <c r="B653" s="89"/>
      <c r="C653" s="51" t="s">
        <v>192</v>
      </c>
      <c r="D653" s="53">
        <f>(49.15+1.5*(3.05+2.15+2.76)+0.9*3.05)*(10.764)</f>
        <v>687.11993999999993</v>
      </c>
      <c r="E653" s="52">
        <v>0</v>
      </c>
      <c r="F653" s="52">
        <f t="shared" si="109"/>
        <v>1030.6799099999998</v>
      </c>
      <c r="G653" s="92"/>
      <c r="H653" s="93"/>
      <c r="I653" s="36"/>
      <c r="L653" s="104"/>
      <c r="M653" s="104"/>
      <c r="N653" s="36"/>
    </row>
    <row r="654" spans="1:14" s="45" customFormat="1" ht="15.75" customHeight="1" x14ac:dyDescent="0.25">
      <c r="A654" s="88">
        <f t="shared" si="110"/>
        <v>6</v>
      </c>
      <c r="B654" s="89"/>
      <c r="C654" s="51" t="s">
        <v>192</v>
      </c>
      <c r="D654" s="53">
        <f>(49.15+1.5*(3.05+2.15+2.76)+0.9*3.05)*(10.764)</f>
        <v>687.11993999999993</v>
      </c>
      <c r="E654" s="52">
        <v>0</v>
      </c>
      <c r="F654" s="52">
        <f t="shared" si="109"/>
        <v>1030.6799099999998</v>
      </c>
      <c r="G654" s="94"/>
      <c r="H654" s="95"/>
      <c r="I654" s="36"/>
      <c r="L654" s="104"/>
      <c r="M654" s="104"/>
      <c r="N654" s="36"/>
    </row>
    <row r="655" spans="1:14" s="45" customFormat="1" x14ac:dyDescent="0.25">
      <c r="A655" s="99" t="s">
        <v>243</v>
      </c>
      <c r="B655" s="100"/>
      <c r="C655" s="100"/>
      <c r="D655" s="100"/>
      <c r="E655" s="100"/>
      <c r="F655" s="100"/>
      <c r="G655" s="100"/>
      <c r="H655" s="101"/>
      <c r="J655" s="36"/>
    </row>
    <row r="656" spans="1:14" s="45" customFormat="1" x14ac:dyDescent="0.25">
      <c r="A656" s="99" t="s">
        <v>242</v>
      </c>
      <c r="B656" s="100"/>
      <c r="C656" s="100"/>
      <c r="D656" s="100"/>
      <c r="E656" s="100"/>
      <c r="F656" s="100"/>
      <c r="G656" s="100"/>
      <c r="H656" s="101"/>
      <c r="J656" s="36"/>
    </row>
    <row r="657" spans="1:14" s="45" customFormat="1" x14ac:dyDescent="0.25">
      <c r="A657" s="99" t="s">
        <v>244</v>
      </c>
      <c r="B657" s="100"/>
      <c r="C657" s="100"/>
      <c r="D657" s="100"/>
      <c r="E657" s="100"/>
      <c r="F657" s="100"/>
      <c r="G657" s="100"/>
      <c r="H657" s="101"/>
      <c r="I657" s="55"/>
      <c r="J657" s="36"/>
    </row>
    <row r="658" spans="1:14" s="45" customFormat="1" ht="15.75" customHeight="1" x14ac:dyDescent="0.25">
      <c r="A658" s="99" t="s">
        <v>246</v>
      </c>
      <c r="B658" s="100"/>
      <c r="C658" s="100"/>
      <c r="D658" s="100"/>
      <c r="E658" s="100"/>
      <c r="F658" s="100"/>
      <c r="G658" s="100"/>
      <c r="H658" s="101"/>
      <c r="J658" s="36"/>
    </row>
    <row r="659" spans="1:14" s="45" customFormat="1" ht="15.75" customHeight="1" x14ac:dyDescent="0.25">
      <c r="A659" s="99" t="s">
        <v>247</v>
      </c>
      <c r="B659" s="100"/>
      <c r="C659" s="100"/>
      <c r="D659" s="100"/>
      <c r="E659" s="100"/>
      <c r="F659" s="100"/>
      <c r="G659" s="100"/>
      <c r="H659" s="101"/>
      <c r="J659" s="36"/>
    </row>
    <row r="660" spans="1:14" s="45" customFormat="1" ht="15.75" customHeight="1" x14ac:dyDescent="0.25">
      <c r="A660" s="88">
        <v>1</v>
      </c>
      <c r="B660" s="89"/>
      <c r="C660" s="51" t="s">
        <v>192</v>
      </c>
      <c r="D660" s="53">
        <f>(43.38+0.9*2.9+1.15*(2.16+2.45)+1.5*2.9)*(10.764)</f>
        <v>598.92510599999991</v>
      </c>
      <c r="E660" s="53">
        <v>0</v>
      </c>
      <c r="F660" s="52">
        <f t="shared" ref="F660:F665" si="111">D660*(($F$351)+1)+(IF(E660&lt;101,E660,IF(E660&lt;201,E660/2,IF(E660&lt;=301,E660/3,E660/4))))</f>
        <v>898.38765899999987</v>
      </c>
      <c r="G660" s="90" t="str">
        <f>A659</f>
        <v>1st, 3rd, 9th &amp; 11th Floor For Residential</v>
      </c>
      <c r="H660" s="91"/>
      <c r="I660" s="36"/>
      <c r="J660" s="45">
        <f>2.9*3.68+1.2*2.23+2.16*2.1+2.45*2.1+2.9*2.36+1.85*1.22+1.85*1.22+3.45*0.9+1*(2.9+2.9)</f>
        <v>43.291999999999987</v>
      </c>
      <c r="K660" s="45">
        <f>0.9*2.9+1.15*(2.16+2.45)+1.5*2.9</f>
        <v>12.2615</v>
      </c>
      <c r="L660" s="104"/>
      <c r="M660" s="104"/>
      <c r="N660" s="36"/>
    </row>
    <row r="661" spans="1:14" s="45" customFormat="1" ht="15.75" customHeight="1" x14ac:dyDescent="0.25">
      <c r="A661" s="88">
        <f t="shared" ref="A661:A665" si="112">A660+1</f>
        <v>2</v>
      </c>
      <c r="B661" s="89"/>
      <c r="C661" s="51" t="s">
        <v>192</v>
      </c>
      <c r="D661" s="53">
        <f>(43.38+0.9*2.9+1.15*(2.16+2.45)+1.5*2.9)*(10.764)</f>
        <v>598.92510599999991</v>
      </c>
      <c r="E661" s="52">
        <v>0</v>
      </c>
      <c r="F661" s="52">
        <f t="shared" si="111"/>
        <v>898.38765899999987</v>
      </c>
      <c r="G661" s="92"/>
      <c r="H661" s="93"/>
      <c r="I661" s="36"/>
      <c r="L661" s="104"/>
      <c r="M661" s="104"/>
      <c r="N661" s="36"/>
    </row>
    <row r="662" spans="1:14" s="45" customFormat="1" ht="15.75" customHeight="1" x14ac:dyDescent="0.25">
      <c r="A662" s="88">
        <f t="shared" si="112"/>
        <v>3</v>
      </c>
      <c r="B662" s="89"/>
      <c r="C662" s="51">
        <v>1</v>
      </c>
      <c r="D662" s="53">
        <f>(3*4.3+2.1*2.15+3*3.15+1.2*1.83+2.5*0.6+1.2*1.83+2.1*0.9+1.5*(3+2.1)+3*0.9)*(10.764)</f>
        <v>484.34770799999995</v>
      </c>
      <c r="E662" s="52">
        <v>0</v>
      </c>
      <c r="F662" s="52">
        <f t="shared" si="111"/>
        <v>726.5215619999999</v>
      </c>
      <c r="G662" s="92"/>
      <c r="H662" s="93"/>
      <c r="I662" s="36"/>
      <c r="J662" s="45">
        <f>3*4.3+2.1*2.15+3*3.15+1.2*1.83+1.2*1.83+2.6*0.6+2.1*0.9</f>
        <v>34.707000000000001</v>
      </c>
      <c r="K662" s="45">
        <f>1.5*(3+2.1)+3*0.9</f>
        <v>10.35</v>
      </c>
      <c r="L662" s="104"/>
      <c r="M662" s="104"/>
      <c r="N662" s="36"/>
    </row>
    <row r="663" spans="1:14" s="45" customFormat="1" ht="15.75" customHeight="1" x14ac:dyDescent="0.25">
      <c r="A663" s="88">
        <f t="shared" si="112"/>
        <v>4</v>
      </c>
      <c r="B663" s="89"/>
      <c r="C663" s="51">
        <v>1</v>
      </c>
      <c r="D663" s="53">
        <f>(3*4.3+2.1*2.15+3*3.15+1.2*1.83+2.5*0.6+1.2*1.83+2.1*0.9+1.5*(3+2.1)+3*0.9)*(10.764)</f>
        <v>484.34770799999995</v>
      </c>
      <c r="E663" s="52">
        <v>0</v>
      </c>
      <c r="F663" s="52">
        <f t="shared" si="111"/>
        <v>726.5215619999999</v>
      </c>
      <c r="G663" s="92"/>
      <c r="H663" s="93"/>
      <c r="I663" s="36"/>
      <c r="L663" s="104"/>
      <c r="M663" s="104"/>
      <c r="N663" s="36"/>
    </row>
    <row r="664" spans="1:14" s="45" customFormat="1" ht="15.75" customHeight="1" x14ac:dyDescent="0.25">
      <c r="A664" s="88">
        <f t="shared" si="112"/>
        <v>5</v>
      </c>
      <c r="B664" s="89"/>
      <c r="C664" s="51" t="s">
        <v>192</v>
      </c>
      <c r="D664" s="53">
        <f t="shared" ref="D664:D665" si="113">(43.38+0.9*2.9+1.15*(2.16+2.45)+1.5*2.9)*(10.764)</f>
        <v>598.92510599999991</v>
      </c>
      <c r="E664" s="52">
        <v>0</v>
      </c>
      <c r="F664" s="52">
        <f t="shared" si="111"/>
        <v>898.38765899999987</v>
      </c>
      <c r="G664" s="92"/>
      <c r="H664" s="93"/>
      <c r="I664" s="36"/>
      <c r="L664" s="104"/>
      <c r="M664" s="104"/>
      <c r="N664" s="36"/>
    </row>
    <row r="665" spans="1:14" s="45" customFormat="1" ht="15.75" customHeight="1" x14ac:dyDescent="0.25">
      <c r="A665" s="88">
        <f t="shared" si="112"/>
        <v>6</v>
      </c>
      <c r="B665" s="89"/>
      <c r="C665" s="51" t="s">
        <v>192</v>
      </c>
      <c r="D665" s="53">
        <f t="shared" si="113"/>
        <v>598.92510599999991</v>
      </c>
      <c r="E665" s="53">
        <v>0</v>
      </c>
      <c r="F665" s="52">
        <f t="shared" si="111"/>
        <v>898.38765899999987</v>
      </c>
      <c r="G665" s="94"/>
      <c r="H665" s="95"/>
      <c r="I665" s="36"/>
      <c r="L665" s="104"/>
      <c r="M665" s="104"/>
      <c r="N665" s="36"/>
    </row>
    <row r="666" spans="1:14" s="45" customFormat="1" ht="15.75" customHeight="1" x14ac:dyDescent="0.25">
      <c r="A666" s="99" t="s">
        <v>249</v>
      </c>
      <c r="B666" s="100"/>
      <c r="C666" s="100"/>
      <c r="D666" s="100"/>
      <c r="E666" s="100"/>
      <c r="F666" s="100"/>
      <c r="G666" s="100"/>
      <c r="H666" s="101"/>
      <c r="J666" s="36"/>
    </row>
    <row r="667" spans="1:14" s="45" customFormat="1" ht="15.75" customHeight="1" x14ac:dyDescent="0.25">
      <c r="A667" s="88">
        <v>1</v>
      </c>
      <c r="B667" s="89"/>
      <c r="C667" s="51" t="s">
        <v>192</v>
      </c>
      <c r="D667" s="53">
        <f>(43.38+0.9*2.9+1.15*(2.16+2.45)+1.5*2.9)*(10.764)</f>
        <v>598.92510599999991</v>
      </c>
      <c r="E667" s="53">
        <v>0</v>
      </c>
      <c r="F667" s="52">
        <f t="shared" ref="F667:F672" si="114">D667*(($F$351)+1)+(IF(E667&lt;101,E667,IF(E667&lt;201,E667/2,IF(E667&lt;=301,E667/3,E667/4))))</f>
        <v>898.38765899999987</v>
      </c>
      <c r="G667" s="90" t="str">
        <f>A666</f>
        <v>7th &amp; 17th Floor (Part Refuge Balcony Area @ Staircase)</v>
      </c>
      <c r="H667" s="91"/>
      <c r="I667" s="36"/>
      <c r="L667" s="104"/>
      <c r="M667" s="104"/>
      <c r="N667" s="36"/>
    </row>
    <row r="668" spans="1:14" s="45" customFormat="1" ht="15.75" customHeight="1" x14ac:dyDescent="0.25">
      <c r="A668" s="88">
        <f t="shared" ref="A668:A672" si="115">A667+1</f>
        <v>2</v>
      </c>
      <c r="B668" s="89"/>
      <c r="C668" s="51" t="s">
        <v>192</v>
      </c>
      <c r="D668" s="53">
        <f>(43.38+0.9*2.9+1.15*(2.16+2.45)+1.5*2.9)*(10.764)</f>
        <v>598.92510599999991</v>
      </c>
      <c r="E668" s="52">
        <v>0</v>
      </c>
      <c r="F668" s="52">
        <f t="shared" si="114"/>
        <v>898.38765899999987</v>
      </c>
      <c r="G668" s="92"/>
      <c r="H668" s="93"/>
      <c r="I668" s="36"/>
      <c r="L668" s="104"/>
      <c r="M668" s="104"/>
      <c r="N668" s="36"/>
    </row>
    <row r="669" spans="1:14" s="45" customFormat="1" ht="15.75" customHeight="1" x14ac:dyDescent="0.25">
      <c r="A669" s="88">
        <f t="shared" si="115"/>
        <v>3</v>
      </c>
      <c r="B669" s="89"/>
      <c r="C669" s="51">
        <v>1</v>
      </c>
      <c r="D669" s="53">
        <f>(3*4.3+2.1*2.15+3*3.15+1.2*1.83+2.5*0.6+1.2*1.83+2.1*0.9+1.5*(3+2.1)+3*0.9)*(10.764)</f>
        <v>484.34770799999995</v>
      </c>
      <c r="E669" s="52">
        <v>0</v>
      </c>
      <c r="F669" s="52">
        <f t="shared" si="114"/>
        <v>726.5215619999999</v>
      </c>
      <c r="G669" s="92"/>
      <c r="H669" s="93"/>
      <c r="I669" s="36"/>
      <c r="L669" s="104"/>
      <c r="M669" s="104"/>
      <c r="N669" s="36"/>
    </row>
    <row r="670" spans="1:14" s="45" customFormat="1" ht="15.75" customHeight="1" x14ac:dyDescent="0.25">
      <c r="A670" s="88">
        <f t="shared" si="115"/>
        <v>4</v>
      </c>
      <c r="B670" s="89"/>
      <c r="C670" s="51">
        <v>1</v>
      </c>
      <c r="D670" s="53">
        <f>(3*4.3+2.1*2.15+3*3.15+1.2*1.83+2.5*0.6+1.2*1.83+2.1*0.9+1.5*(3+2.1)+3*0.9)*(10.764)</f>
        <v>484.34770799999995</v>
      </c>
      <c r="E670" s="52">
        <v>0</v>
      </c>
      <c r="F670" s="52">
        <f t="shared" si="114"/>
        <v>726.5215619999999</v>
      </c>
      <c r="G670" s="92"/>
      <c r="H670" s="93"/>
      <c r="I670" s="36"/>
      <c r="L670" s="104"/>
      <c r="M670" s="104"/>
      <c r="N670" s="36"/>
    </row>
    <row r="671" spans="1:14" s="45" customFormat="1" ht="15.75" customHeight="1" x14ac:dyDescent="0.25">
      <c r="A671" s="88">
        <f t="shared" si="115"/>
        <v>5</v>
      </c>
      <c r="B671" s="89"/>
      <c r="C671" s="51" t="s">
        <v>192</v>
      </c>
      <c r="D671" s="53">
        <f t="shared" ref="D671:D672" si="116">(43.38+0.9*2.9+1.15*(2.16+2.45)+1.5*2.9)*(10.764)</f>
        <v>598.92510599999991</v>
      </c>
      <c r="E671" s="52">
        <v>0</v>
      </c>
      <c r="F671" s="52">
        <f t="shared" si="114"/>
        <v>898.38765899999987</v>
      </c>
      <c r="G671" s="92"/>
      <c r="H671" s="93"/>
      <c r="I671" s="36"/>
      <c r="L671" s="104"/>
      <c r="M671" s="104"/>
      <c r="N671" s="36"/>
    </row>
    <row r="672" spans="1:14" s="45" customFormat="1" ht="15.75" customHeight="1" x14ac:dyDescent="0.25">
      <c r="A672" s="88">
        <f t="shared" si="115"/>
        <v>6</v>
      </c>
      <c r="B672" s="89"/>
      <c r="C672" s="51" t="s">
        <v>192</v>
      </c>
      <c r="D672" s="53">
        <f t="shared" si="116"/>
        <v>598.92510599999991</v>
      </c>
      <c r="E672" s="53">
        <v>0</v>
      </c>
      <c r="F672" s="52">
        <f t="shared" si="114"/>
        <v>898.38765899999987</v>
      </c>
      <c r="G672" s="94"/>
      <c r="H672" s="95"/>
      <c r="I672" s="36"/>
      <c r="L672" s="104"/>
      <c r="M672" s="104"/>
      <c r="N672" s="36"/>
    </row>
    <row r="673" spans="1:14" s="45" customFormat="1" ht="15.75" customHeight="1" x14ac:dyDescent="0.25">
      <c r="A673" s="99" t="s">
        <v>195</v>
      </c>
      <c r="B673" s="100"/>
      <c r="C673" s="100"/>
      <c r="D673" s="100"/>
      <c r="E673" s="100"/>
      <c r="F673" s="100"/>
      <c r="G673" s="100"/>
      <c r="H673" s="101"/>
      <c r="J673" s="36"/>
    </row>
    <row r="674" spans="1:14" s="45" customFormat="1" ht="15.75" customHeight="1" x14ac:dyDescent="0.25">
      <c r="A674" s="88">
        <v>1</v>
      </c>
      <c r="B674" s="89"/>
      <c r="C674" s="51" t="s">
        <v>192</v>
      </c>
      <c r="D674" s="53">
        <f>(43.38+0.9*2.9+1.15*(2.16+2.45)+1.5*2.9)*(10.764)</f>
        <v>598.92510599999991</v>
      </c>
      <c r="E674" s="53">
        <v>0</v>
      </c>
      <c r="F674" s="52">
        <f t="shared" ref="F674:F679" si="117">D674*(($F$351)+1)+(IF(E674&lt;101,E674,IF(E674&lt;201,E674/2,IF(E674&lt;=301,E674/3,E674/4))))</f>
        <v>898.38765899999987</v>
      </c>
      <c r="G674" s="90" t="str">
        <f>A673</f>
        <v>2nd, 8th, 10th, 16th &amp; 18th Floor</v>
      </c>
      <c r="H674" s="91"/>
      <c r="I674" s="36"/>
      <c r="L674" s="104"/>
      <c r="M674" s="104"/>
      <c r="N674" s="36"/>
    </row>
    <row r="675" spans="1:14" s="45" customFormat="1" ht="15.75" customHeight="1" x14ac:dyDescent="0.25">
      <c r="A675" s="88">
        <f t="shared" ref="A675:A679" si="118">A674+1</f>
        <v>2</v>
      </c>
      <c r="B675" s="89"/>
      <c r="C675" s="51" t="s">
        <v>192</v>
      </c>
      <c r="D675" s="53">
        <f>(43.38+0.9*2.9+1.15*(2.16+2.45)+1.5*2.9)*(10.764)</f>
        <v>598.92510599999991</v>
      </c>
      <c r="E675" s="52">
        <v>0</v>
      </c>
      <c r="F675" s="52">
        <f t="shared" si="117"/>
        <v>898.38765899999987</v>
      </c>
      <c r="G675" s="92"/>
      <c r="H675" s="93"/>
      <c r="I675" s="36"/>
      <c r="L675" s="104"/>
      <c r="M675" s="104"/>
      <c r="N675" s="36"/>
    </row>
    <row r="676" spans="1:14" s="45" customFormat="1" ht="15.75" customHeight="1" x14ac:dyDescent="0.25">
      <c r="A676" s="88">
        <f t="shared" si="118"/>
        <v>3</v>
      </c>
      <c r="B676" s="89"/>
      <c r="C676" s="51">
        <v>1</v>
      </c>
      <c r="D676" s="53">
        <f>(3*4.3+2.1*2.15+3*3.15+1.2*1.83+2.5*0.6+1.2*1.83+2.1*0.9+1.5*(3+2.1)+3*0.9)*(10.764)</f>
        <v>484.34770799999995</v>
      </c>
      <c r="E676" s="52">
        <v>0</v>
      </c>
      <c r="F676" s="52">
        <f t="shared" si="117"/>
        <v>726.5215619999999</v>
      </c>
      <c r="G676" s="92"/>
      <c r="H676" s="93"/>
      <c r="I676" s="36"/>
      <c r="L676" s="104"/>
      <c r="M676" s="104"/>
      <c r="N676" s="36"/>
    </row>
    <row r="677" spans="1:14" s="45" customFormat="1" ht="15.75" customHeight="1" x14ac:dyDescent="0.25">
      <c r="A677" s="88">
        <f t="shared" si="118"/>
        <v>4</v>
      </c>
      <c r="B677" s="89"/>
      <c r="C677" s="51">
        <v>1</v>
      </c>
      <c r="D677" s="53">
        <f>(3*4.3+2.1*2.15+3*3.15+1.2*1.83+2.5*0.6+1.2*1.83+2.1*0.9+1.5*(3+2.1)+3*0.9)*(10.764)</f>
        <v>484.34770799999995</v>
      </c>
      <c r="E677" s="52">
        <v>0</v>
      </c>
      <c r="F677" s="52">
        <f t="shared" si="117"/>
        <v>726.5215619999999</v>
      </c>
      <c r="G677" s="92"/>
      <c r="H677" s="93"/>
      <c r="I677" s="36"/>
      <c r="L677" s="104"/>
      <c r="M677" s="104"/>
      <c r="N677" s="36"/>
    </row>
    <row r="678" spans="1:14" s="45" customFormat="1" ht="15.75" customHeight="1" x14ac:dyDescent="0.25">
      <c r="A678" s="88">
        <f t="shared" si="118"/>
        <v>5</v>
      </c>
      <c r="B678" s="89"/>
      <c r="C678" s="51" t="s">
        <v>192</v>
      </c>
      <c r="D678" s="53">
        <f t="shared" ref="D678:D679" si="119">(43.38+0.9*2.9+1.15*(2.16+2.45)+1.5*2.9)*(10.764)</f>
        <v>598.92510599999991</v>
      </c>
      <c r="E678" s="52">
        <v>0</v>
      </c>
      <c r="F678" s="52">
        <f t="shared" si="117"/>
        <v>898.38765899999987</v>
      </c>
      <c r="G678" s="92"/>
      <c r="H678" s="93"/>
      <c r="I678" s="36"/>
      <c r="L678" s="104"/>
      <c r="M678" s="104"/>
      <c r="N678" s="36"/>
    </row>
    <row r="679" spans="1:14" s="45" customFormat="1" ht="15.75" customHeight="1" x14ac:dyDescent="0.25">
      <c r="A679" s="88">
        <f t="shared" si="118"/>
        <v>6</v>
      </c>
      <c r="B679" s="89"/>
      <c r="C679" s="51" t="s">
        <v>192</v>
      </c>
      <c r="D679" s="53">
        <f t="shared" si="119"/>
        <v>598.92510599999991</v>
      </c>
      <c r="E679" s="53">
        <v>0</v>
      </c>
      <c r="F679" s="52">
        <f t="shared" si="117"/>
        <v>898.38765899999987</v>
      </c>
      <c r="G679" s="94"/>
      <c r="H679" s="95"/>
      <c r="I679" s="36"/>
      <c r="L679" s="104"/>
      <c r="M679" s="104"/>
      <c r="N679" s="36"/>
    </row>
    <row r="680" spans="1:14" s="45" customFormat="1" ht="15.75" customHeight="1" x14ac:dyDescent="0.25">
      <c r="A680" s="99" t="s">
        <v>248</v>
      </c>
      <c r="B680" s="100"/>
      <c r="C680" s="100"/>
      <c r="D680" s="100"/>
      <c r="E680" s="100"/>
      <c r="F680" s="100"/>
      <c r="G680" s="100"/>
      <c r="H680" s="101"/>
      <c r="J680" s="36"/>
    </row>
    <row r="681" spans="1:14" s="45" customFormat="1" ht="15.75" customHeight="1" x14ac:dyDescent="0.25">
      <c r="A681" s="88">
        <v>1</v>
      </c>
      <c r="B681" s="89"/>
      <c r="C681" s="51" t="s">
        <v>192</v>
      </c>
      <c r="D681" s="53">
        <f>(43.38+0.9*2.9+1.15*(2.16+2.45)+1.5*2.9)*(10.764)</f>
        <v>598.92510599999991</v>
      </c>
      <c r="E681" s="53">
        <v>0</v>
      </c>
      <c r="F681" s="52">
        <f t="shared" ref="F681:F686" si="120">D681*(($F$351)+1)+(IF(E681&lt;101,E681,IF(E681&lt;201,E681/2,IF(E681&lt;=301,E681/3,E681/4))))</f>
        <v>898.38765899999987</v>
      </c>
      <c r="G681" s="90" t="str">
        <f>A680</f>
        <v>12th Floor (Part Refuge Balcony Area @ Staircase)</v>
      </c>
      <c r="H681" s="91"/>
      <c r="I681" s="36"/>
      <c r="L681" s="104"/>
      <c r="M681" s="104"/>
      <c r="N681" s="36"/>
    </row>
    <row r="682" spans="1:14" s="45" customFormat="1" ht="15.75" customHeight="1" x14ac:dyDescent="0.25">
      <c r="A682" s="88">
        <f t="shared" ref="A682:A686" si="121">A681+1</f>
        <v>2</v>
      </c>
      <c r="B682" s="89"/>
      <c r="C682" s="51" t="s">
        <v>192</v>
      </c>
      <c r="D682" s="53">
        <f>(43.38+0.9*2.9+1.15*(2.16+2.45)+1.5*2.9)*(10.764)</f>
        <v>598.92510599999991</v>
      </c>
      <c r="E682" s="52">
        <v>0</v>
      </c>
      <c r="F682" s="52">
        <f t="shared" si="120"/>
        <v>898.38765899999987</v>
      </c>
      <c r="G682" s="92"/>
      <c r="H682" s="93"/>
      <c r="I682" s="36"/>
      <c r="L682" s="104"/>
      <c r="M682" s="104"/>
      <c r="N682" s="36"/>
    </row>
    <row r="683" spans="1:14" s="45" customFormat="1" ht="15.75" customHeight="1" x14ac:dyDescent="0.25">
      <c r="A683" s="88">
        <f t="shared" si="121"/>
        <v>3</v>
      </c>
      <c r="B683" s="89"/>
      <c r="C683" s="51">
        <v>1</v>
      </c>
      <c r="D683" s="53">
        <f>(3*4.3+2.1*2.15+3*3.15+1.2*1.83+2.5*0.6+1.2*1.83+2.1*0.9+1.5*(3+2.1)+3*0.9)*(10.764)</f>
        <v>484.34770799999995</v>
      </c>
      <c r="E683" s="52">
        <v>0</v>
      </c>
      <c r="F683" s="52">
        <f t="shared" si="120"/>
        <v>726.5215619999999</v>
      </c>
      <c r="G683" s="92"/>
      <c r="H683" s="93"/>
      <c r="I683" s="36"/>
      <c r="L683" s="104"/>
      <c r="M683" s="104"/>
      <c r="N683" s="36"/>
    </row>
    <row r="684" spans="1:14" s="45" customFormat="1" ht="15.75" customHeight="1" x14ac:dyDescent="0.25">
      <c r="A684" s="88">
        <f t="shared" si="121"/>
        <v>4</v>
      </c>
      <c r="B684" s="89"/>
      <c r="C684" s="51">
        <v>1</v>
      </c>
      <c r="D684" s="53">
        <f>(3*4.3+2.1*2.15+3*3.15+1.2*1.83+2.5*0.6+1.2*1.83+2.1*0.9+1.5*(3+2.1)+3*0.9)*(10.764)</f>
        <v>484.34770799999995</v>
      </c>
      <c r="E684" s="52">
        <v>0</v>
      </c>
      <c r="F684" s="52">
        <f t="shared" si="120"/>
        <v>726.5215619999999</v>
      </c>
      <c r="G684" s="92"/>
      <c r="H684" s="93"/>
      <c r="I684" s="36"/>
      <c r="L684" s="104"/>
      <c r="M684" s="104"/>
      <c r="N684" s="36"/>
    </row>
    <row r="685" spans="1:14" s="45" customFormat="1" ht="15.75" customHeight="1" x14ac:dyDescent="0.25">
      <c r="A685" s="88">
        <f t="shared" si="121"/>
        <v>5</v>
      </c>
      <c r="B685" s="89"/>
      <c r="C685" s="51" t="s">
        <v>192</v>
      </c>
      <c r="D685" s="53">
        <f t="shared" ref="D685:D686" si="122">(43.38+0.9*2.9+1.15*(2.16+2.45)+1.5*2.9)*(10.764)</f>
        <v>598.92510599999991</v>
      </c>
      <c r="E685" s="52">
        <v>0</v>
      </c>
      <c r="F685" s="52">
        <f t="shared" si="120"/>
        <v>898.38765899999987</v>
      </c>
      <c r="G685" s="92"/>
      <c r="H685" s="93"/>
      <c r="I685" s="36"/>
      <c r="L685" s="104"/>
      <c r="M685" s="104"/>
      <c r="N685" s="36"/>
    </row>
    <row r="686" spans="1:14" s="45" customFormat="1" ht="15.75" customHeight="1" x14ac:dyDescent="0.25">
      <c r="A686" s="88">
        <f t="shared" si="121"/>
        <v>6</v>
      </c>
      <c r="B686" s="89"/>
      <c r="C686" s="51" t="s">
        <v>192</v>
      </c>
      <c r="D686" s="53">
        <f t="shared" si="122"/>
        <v>598.92510599999991</v>
      </c>
      <c r="E686" s="53">
        <v>0</v>
      </c>
      <c r="F686" s="52">
        <f t="shared" si="120"/>
        <v>898.38765899999987</v>
      </c>
      <c r="G686" s="94"/>
      <c r="H686" s="95"/>
      <c r="I686" s="36"/>
      <c r="L686" s="104"/>
      <c r="M686" s="104"/>
      <c r="N686" s="36"/>
    </row>
    <row r="687" spans="1:14" s="45" customFormat="1" ht="15.75" customHeight="1" x14ac:dyDescent="0.25">
      <c r="A687" s="99" t="s">
        <v>198</v>
      </c>
      <c r="B687" s="100"/>
      <c r="C687" s="100"/>
      <c r="D687" s="100"/>
      <c r="E687" s="100"/>
      <c r="F687" s="100"/>
      <c r="G687" s="100"/>
      <c r="H687" s="101"/>
      <c r="J687" s="36"/>
    </row>
    <row r="688" spans="1:14" s="45" customFormat="1" ht="15.75" customHeight="1" x14ac:dyDescent="0.25">
      <c r="A688" s="88">
        <v>1</v>
      </c>
      <c r="B688" s="89"/>
      <c r="C688" s="51" t="s">
        <v>192</v>
      </c>
      <c r="D688" s="53">
        <f>(43.38+0.9*2.9+1.15*(2.16+2.45)+1.5*2.9)*(10.764)</f>
        <v>598.92510599999991</v>
      </c>
      <c r="E688" s="53">
        <v>0</v>
      </c>
      <c r="F688" s="52">
        <f t="shared" ref="F688:F693" si="123">D688*(($F$351)+1)+(IF(E688&lt;101,E688,IF(E688&lt;201,E688/2,IF(E688&lt;=301,E688/3,E688/4))))</f>
        <v>898.38765899999987</v>
      </c>
      <c r="G688" s="90" t="str">
        <f>A687</f>
        <v>4th Floor (Part Terrace Area)</v>
      </c>
      <c r="H688" s="91"/>
      <c r="I688" s="36"/>
      <c r="L688" s="104"/>
      <c r="M688" s="104"/>
      <c r="N688" s="36"/>
    </row>
    <row r="689" spans="1:14" s="45" customFormat="1" ht="15.75" customHeight="1" x14ac:dyDescent="0.25">
      <c r="A689" s="88">
        <f t="shared" ref="A689:A693" si="124">A688+1</f>
        <v>2</v>
      </c>
      <c r="B689" s="89"/>
      <c r="C689" s="51" t="s">
        <v>192</v>
      </c>
      <c r="D689" s="53">
        <f>(43.38+0.9*2.9+1.15*(2.16+2.45)+1.5*2.9)*(10.764)</f>
        <v>598.92510599999991</v>
      </c>
      <c r="E689" s="52">
        <v>0</v>
      </c>
      <c r="F689" s="52">
        <f t="shared" si="123"/>
        <v>898.38765899999987</v>
      </c>
      <c r="G689" s="92"/>
      <c r="H689" s="93"/>
      <c r="I689" s="36"/>
      <c r="L689" s="104"/>
      <c r="M689" s="104"/>
      <c r="N689" s="36"/>
    </row>
    <row r="690" spans="1:14" s="45" customFormat="1" ht="15.75" customHeight="1" x14ac:dyDescent="0.25">
      <c r="A690" s="88">
        <f t="shared" si="124"/>
        <v>3</v>
      </c>
      <c r="B690" s="89"/>
      <c r="C690" s="51">
        <v>1</v>
      </c>
      <c r="D690" s="53">
        <f>(3*4.3+2.1*2.15+3*3.15+1.2*1.83+2.5*0.6+1.2*1.83+2.1*0.9+1.5*(3+2.1)+3*0.9)*(10.764)</f>
        <v>484.34770799999995</v>
      </c>
      <c r="E690" s="52">
        <v>0</v>
      </c>
      <c r="F690" s="52">
        <f t="shared" si="123"/>
        <v>726.5215619999999</v>
      </c>
      <c r="G690" s="92"/>
      <c r="H690" s="93"/>
      <c r="I690" s="36"/>
      <c r="L690" s="104"/>
      <c r="M690" s="104"/>
      <c r="N690" s="36"/>
    </row>
    <row r="691" spans="1:14" s="45" customFormat="1" ht="15.75" customHeight="1" x14ac:dyDescent="0.25">
      <c r="A691" s="88">
        <f t="shared" si="124"/>
        <v>4</v>
      </c>
      <c r="B691" s="89"/>
      <c r="C691" s="51">
        <v>1</v>
      </c>
      <c r="D691" s="53">
        <f>(3*4.3+2.1*2.15+3*3.15+1.2*1.83+2.5*0.6+1.2*1.83+2.1*0.9+1.5*(3+2.1)+3*0.9)*(10.764)</f>
        <v>484.34770799999995</v>
      </c>
      <c r="E691" s="52">
        <v>0</v>
      </c>
      <c r="F691" s="52">
        <f t="shared" si="123"/>
        <v>726.5215619999999</v>
      </c>
      <c r="G691" s="92"/>
      <c r="H691" s="93"/>
      <c r="I691" s="36"/>
      <c r="L691" s="104"/>
      <c r="M691" s="104"/>
      <c r="N691" s="36"/>
    </row>
    <row r="692" spans="1:14" s="45" customFormat="1" ht="15.75" customHeight="1" x14ac:dyDescent="0.25">
      <c r="A692" s="88">
        <f t="shared" si="124"/>
        <v>5</v>
      </c>
      <c r="B692" s="89"/>
      <c r="C692" s="96" t="s">
        <v>197</v>
      </c>
      <c r="D692" s="97"/>
      <c r="E692" s="97"/>
      <c r="F692" s="98"/>
      <c r="G692" s="92"/>
      <c r="H692" s="93"/>
      <c r="I692" s="36"/>
      <c r="L692" s="104"/>
      <c r="M692" s="104"/>
      <c r="N692" s="36"/>
    </row>
    <row r="693" spans="1:14" s="45" customFormat="1" ht="15.75" customHeight="1" x14ac:dyDescent="0.25">
      <c r="A693" s="88">
        <f t="shared" si="124"/>
        <v>6</v>
      </c>
      <c r="B693" s="89"/>
      <c r="C693" s="51" t="s">
        <v>192</v>
      </c>
      <c r="D693" s="53">
        <f t="shared" ref="D693" si="125">(43.38+0.9*2.9+1.15*(2.16+2.45)+1.5*2.9)*(10.764)</f>
        <v>598.92510599999991</v>
      </c>
      <c r="E693" s="53">
        <v>0</v>
      </c>
      <c r="F693" s="52">
        <f t="shared" si="123"/>
        <v>898.38765899999987</v>
      </c>
      <c r="G693" s="94"/>
      <c r="H693" s="95"/>
      <c r="I693" s="36"/>
      <c r="L693" s="104"/>
      <c r="M693" s="104"/>
      <c r="N693" s="36"/>
    </row>
    <row r="694" spans="1:14" s="45" customFormat="1" ht="15.75" customHeight="1" x14ac:dyDescent="0.25">
      <c r="A694" s="99" t="s">
        <v>199</v>
      </c>
      <c r="B694" s="100"/>
      <c r="C694" s="100"/>
      <c r="D694" s="100"/>
      <c r="E694" s="100"/>
      <c r="F694" s="100"/>
      <c r="G694" s="100"/>
      <c r="H694" s="101"/>
      <c r="J694" s="36"/>
    </row>
    <row r="695" spans="1:14" s="45" customFormat="1" ht="15.75" customHeight="1" x14ac:dyDescent="0.25">
      <c r="A695" s="88">
        <v>1</v>
      </c>
      <c r="B695" s="89"/>
      <c r="C695" s="51" t="s">
        <v>192</v>
      </c>
      <c r="D695" s="53">
        <f>(43.38+0.9*2.9+1.15*(2.16+2.45)+1.5*2.9)*(10.764)</f>
        <v>598.92510599999991</v>
      </c>
      <c r="E695" s="53">
        <v>0</v>
      </c>
      <c r="F695" s="52">
        <f t="shared" ref="F695:F698" si="126">D695*(($F$351)+1)+(IF(E695&lt;101,E695,IF(E695&lt;201,E695/2,IF(E695&lt;=301,E695/3,E695/4))))</f>
        <v>898.38765899999987</v>
      </c>
      <c r="G695" s="90" t="str">
        <f>A694</f>
        <v>6th Floor</v>
      </c>
      <c r="H695" s="91"/>
      <c r="I695" s="36"/>
      <c r="L695" s="104"/>
      <c r="M695" s="104"/>
      <c r="N695" s="36"/>
    </row>
    <row r="696" spans="1:14" s="45" customFormat="1" ht="15.75" customHeight="1" x14ac:dyDescent="0.25">
      <c r="A696" s="88">
        <f t="shared" ref="A696:A700" si="127">A695+1</f>
        <v>2</v>
      </c>
      <c r="B696" s="89"/>
      <c r="C696" s="51" t="s">
        <v>192</v>
      </c>
      <c r="D696" s="53">
        <f>(43.38+0.9*2.9+1.15*(2.16+2.45)+1.5*2.9)*(10.764)</f>
        <v>598.92510599999991</v>
      </c>
      <c r="E696" s="52">
        <v>0</v>
      </c>
      <c r="F696" s="52">
        <f t="shared" si="126"/>
        <v>898.38765899999987</v>
      </c>
      <c r="G696" s="92"/>
      <c r="H696" s="93"/>
      <c r="I696" s="36"/>
      <c r="L696" s="104"/>
      <c r="M696" s="104"/>
      <c r="N696" s="36"/>
    </row>
    <row r="697" spans="1:14" s="45" customFormat="1" ht="15.75" customHeight="1" x14ac:dyDescent="0.25">
      <c r="A697" s="88">
        <f t="shared" si="127"/>
        <v>3</v>
      </c>
      <c r="B697" s="89"/>
      <c r="C697" s="51">
        <v>1</v>
      </c>
      <c r="D697" s="53">
        <f>(3*4.3+2.1*2.15+3*3.15+1.2*1.83+2.5*0.6+1.2*1.83+2.1*0.9+1.5*(3+2.1)+3*0.9)*(10.764)</f>
        <v>484.34770799999995</v>
      </c>
      <c r="E697" s="52">
        <v>0</v>
      </c>
      <c r="F697" s="52">
        <f t="shared" si="126"/>
        <v>726.5215619999999</v>
      </c>
      <c r="G697" s="92"/>
      <c r="H697" s="93"/>
      <c r="I697" s="36"/>
      <c r="L697" s="104"/>
      <c r="M697" s="104"/>
      <c r="N697" s="36"/>
    </row>
    <row r="698" spans="1:14" s="45" customFormat="1" ht="15.75" customHeight="1" x14ac:dyDescent="0.25">
      <c r="A698" s="88">
        <f t="shared" si="127"/>
        <v>4</v>
      </c>
      <c r="B698" s="89"/>
      <c r="C698" s="51">
        <v>1</v>
      </c>
      <c r="D698" s="53">
        <f>(3*4.3+2.1*2.15+3*3.15+1.2*1.83+2.5*0.6+1.2*1.83+2.1*0.9+1.5*(3+2.1)+3*0.9)*(10.764)</f>
        <v>484.34770799999995</v>
      </c>
      <c r="E698" s="52">
        <v>0</v>
      </c>
      <c r="F698" s="52">
        <f t="shared" si="126"/>
        <v>726.5215619999999</v>
      </c>
      <c r="G698" s="92"/>
      <c r="H698" s="93"/>
      <c r="I698" s="36"/>
      <c r="L698" s="104"/>
      <c r="M698" s="104"/>
      <c r="N698" s="36"/>
    </row>
    <row r="699" spans="1:14" s="45" customFormat="1" ht="15.75" customHeight="1" x14ac:dyDescent="0.25">
      <c r="A699" s="88">
        <f t="shared" si="127"/>
        <v>5</v>
      </c>
      <c r="B699" s="89"/>
      <c r="C699" s="96" t="s">
        <v>200</v>
      </c>
      <c r="D699" s="97"/>
      <c r="E699" s="97"/>
      <c r="F699" s="98"/>
      <c r="G699" s="92"/>
      <c r="H699" s="93"/>
      <c r="I699" s="36"/>
      <c r="L699" s="104"/>
      <c r="M699" s="104"/>
      <c r="N699" s="36"/>
    </row>
    <row r="700" spans="1:14" s="45" customFormat="1" ht="15.75" customHeight="1" x14ac:dyDescent="0.25">
      <c r="A700" s="88">
        <f t="shared" si="127"/>
        <v>6</v>
      </c>
      <c r="B700" s="89"/>
      <c r="C700" s="51" t="s">
        <v>192</v>
      </c>
      <c r="D700" s="53">
        <f t="shared" ref="D700" si="128">(43.38+0.9*2.9+1.15*(2.16+2.45)+1.5*2.9)*(10.764)</f>
        <v>598.92510599999991</v>
      </c>
      <c r="E700" s="53">
        <v>0</v>
      </c>
      <c r="F700" s="52">
        <f t="shared" ref="F700" si="129">D700*(($F$351)+1)+(IF(E700&lt;101,E700,IF(E700&lt;201,E700/2,IF(E700&lt;=301,E700/3,E700/4))))</f>
        <v>898.38765899999987</v>
      </c>
      <c r="G700" s="94"/>
      <c r="H700" s="95"/>
      <c r="I700" s="36"/>
      <c r="L700" s="104"/>
      <c r="M700" s="104"/>
      <c r="N700" s="36"/>
    </row>
    <row r="701" spans="1:14" s="45" customFormat="1" ht="15.75" customHeight="1" x14ac:dyDescent="0.25">
      <c r="A701" s="99" t="s">
        <v>201</v>
      </c>
      <c r="B701" s="100"/>
      <c r="C701" s="100"/>
      <c r="D701" s="100"/>
      <c r="E701" s="100"/>
      <c r="F701" s="100"/>
      <c r="G701" s="100"/>
      <c r="H701" s="101"/>
      <c r="J701" s="36"/>
    </row>
    <row r="702" spans="1:14" s="45" customFormat="1" ht="15.75" customHeight="1" x14ac:dyDescent="0.25">
      <c r="A702" s="88">
        <v>1</v>
      </c>
      <c r="B702" s="89"/>
      <c r="C702" s="51" t="s">
        <v>192</v>
      </c>
      <c r="D702" s="53">
        <f>(43.38+0.9*2.9+1.15*(2.16+2.45)+1.5*2.9)*(10.764)</f>
        <v>598.92510599999991</v>
      </c>
      <c r="E702" s="53">
        <v>0</v>
      </c>
      <c r="F702" s="52">
        <f t="shared" ref="F702:F705" si="130">D702*(($F$351)+1)+(IF(E702&lt;101,E702,IF(E702&lt;201,E702/2,IF(E702&lt;=301,E702/3,E702/4))))</f>
        <v>898.38765899999987</v>
      </c>
      <c r="G702" s="90" t="str">
        <f>A701</f>
        <v>5th Floor</v>
      </c>
      <c r="H702" s="91"/>
      <c r="I702" s="36"/>
      <c r="L702" s="104"/>
      <c r="M702" s="104"/>
      <c r="N702" s="36"/>
    </row>
    <row r="703" spans="1:14" s="45" customFormat="1" ht="15.75" customHeight="1" x14ac:dyDescent="0.25">
      <c r="A703" s="88">
        <f t="shared" ref="A703:A707" si="131">A702+1</f>
        <v>2</v>
      </c>
      <c r="B703" s="89"/>
      <c r="C703" s="51" t="s">
        <v>192</v>
      </c>
      <c r="D703" s="53">
        <f>(43.38+0.9*2.9+1.15*(2.16+2.45)+1.5*2.9)*(10.764)</f>
        <v>598.92510599999991</v>
      </c>
      <c r="E703" s="52">
        <v>0</v>
      </c>
      <c r="F703" s="52">
        <f t="shared" si="130"/>
        <v>898.38765899999987</v>
      </c>
      <c r="G703" s="92"/>
      <c r="H703" s="93"/>
      <c r="I703" s="36"/>
      <c r="L703" s="104"/>
      <c r="M703" s="104"/>
      <c r="N703" s="36"/>
    </row>
    <row r="704" spans="1:14" s="45" customFormat="1" ht="15.75" customHeight="1" x14ac:dyDescent="0.25">
      <c r="A704" s="88">
        <f t="shared" si="131"/>
        <v>3</v>
      </c>
      <c r="B704" s="89"/>
      <c r="C704" s="51">
        <v>1</v>
      </c>
      <c r="D704" s="53">
        <f>(3*4.3+2.1*2.15+3*3.15+1.2*1.83+2.5*0.6+1.2*1.83+2.1*0.9+1.5*(3+2.1)+3*0.9)*(10.764)</f>
        <v>484.34770799999995</v>
      </c>
      <c r="E704" s="52">
        <v>0</v>
      </c>
      <c r="F704" s="52">
        <f t="shared" si="130"/>
        <v>726.5215619999999</v>
      </c>
      <c r="G704" s="92"/>
      <c r="H704" s="93"/>
      <c r="I704" s="36"/>
      <c r="L704" s="104"/>
      <c r="M704" s="104"/>
      <c r="N704" s="36"/>
    </row>
    <row r="705" spans="1:14" s="45" customFormat="1" ht="15.75" customHeight="1" x14ac:dyDescent="0.25">
      <c r="A705" s="88">
        <f t="shared" si="131"/>
        <v>4</v>
      </c>
      <c r="B705" s="89"/>
      <c r="C705" s="51">
        <v>1</v>
      </c>
      <c r="D705" s="53">
        <f>(3*4.3+2.1*2.15+3*3.15+1.2*1.83+2.5*0.6+1.2*1.83+2.1*0.9+1.5*(3+2.1)+3*0.9)*(10.764)</f>
        <v>484.34770799999995</v>
      </c>
      <c r="E705" s="52">
        <v>0</v>
      </c>
      <c r="F705" s="52">
        <f t="shared" si="130"/>
        <v>726.5215619999999</v>
      </c>
      <c r="G705" s="92"/>
      <c r="H705" s="93"/>
      <c r="I705" s="36"/>
      <c r="L705" s="104"/>
      <c r="M705" s="104"/>
      <c r="N705" s="36"/>
    </row>
    <row r="706" spans="1:14" s="45" customFormat="1" ht="15.75" customHeight="1" x14ac:dyDescent="0.25">
      <c r="A706" s="88">
        <f t="shared" si="131"/>
        <v>5</v>
      </c>
      <c r="B706" s="89"/>
      <c r="C706" s="96" t="s">
        <v>200</v>
      </c>
      <c r="D706" s="97"/>
      <c r="E706" s="97"/>
      <c r="F706" s="98"/>
      <c r="G706" s="92"/>
      <c r="H706" s="93"/>
      <c r="I706" s="36"/>
      <c r="L706" s="104"/>
      <c r="M706" s="104"/>
      <c r="N706" s="36"/>
    </row>
    <row r="707" spans="1:14" s="45" customFormat="1" ht="15.75" customHeight="1" x14ac:dyDescent="0.25">
      <c r="A707" s="88">
        <f t="shared" si="131"/>
        <v>6</v>
      </c>
      <c r="B707" s="89"/>
      <c r="C707" s="51" t="s">
        <v>192</v>
      </c>
      <c r="D707" s="53">
        <f t="shared" ref="D707" si="132">(43.38+0.9*2.9+1.15*(2.16+2.45)+1.5*2.9)*(10.764)</f>
        <v>598.92510599999991</v>
      </c>
      <c r="E707" s="53">
        <v>0</v>
      </c>
      <c r="F707" s="52">
        <f t="shared" ref="F707" si="133">D707*(($F$351)+1)+(IF(E707&lt;101,E707,IF(E707&lt;201,E707/2,IF(E707&lt;=301,E707/3,E707/4))))</f>
        <v>898.38765899999987</v>
      </c>
      <c r="G707" s="94"/>
      <c r="H707" s="95"/>
      <c r="I707" s="36"/>
      <c r="L707" s="104"/>
      <c r="M707" s="104"/>
      <c r="N707" s="36"/>
    </row>
    <row r="708" spans="1:14" s="45" customFormat="1" ht="15.75" customHeight="1" x14ac:dyDescent="0.25">
      <c r="A708" s="99" t="s">
        <v>203</v>
      </c>
      <c r="B708" s="100"/>
      <c r="C708" s="100"/>
      <c r="D708" s="100"/>
      <c r="E708" s="100"/>
      <c r="F708" s="100"/>
      <c r="G708" s="100"/>
      <c r="H708" s="101"/>
      <c r="J708" s="36"/>
    </row>
    <row r="709" spans="1:14" s="45" customFormat="1" ht="15.75" customHeight="1" x14ac:dyDescent="0.25">
      <c r="A709" s="88">
        <v>1</v>
      </c>
      <c r="B709" s="89"/>
      <c r="C709" s="51" t="s">
        <v>192</v>
      </c>
      <c r="D709" s="53">
        <f>(43.38+0.9*2.9+1.15*(2.16+2.45)+1.5*2.9)*(10.764)</f>
        <v>598.92510599999991</v>
      </c>
      <c r="E709" s="53">
        <v>0</v>
      </c>
      <c r="F709" s="52">
        <f t="shared" ref="F709:F712" si="134">D709*(($F$351)+1)+(IF(E709&lt;101,E709,IF(E709&lt;201,E709/2,IF(E709&lt;=301,E709/3,E709/4))))</f>
        <v>898.38765899999987</v>
      </c>
      <c r="G709" s="90" t="str">
        <f>A708</f>
        <v>13th Floor (Part Terrace Area)</v>
      </c>
      <c r="H709" s="91"/>
      <c r="I709" s="36"/>
      <c r="L709" s="104"/>
      <c r="M709" s="104"/>
      <c r="N709" s="36"/>
    </row>
    <row r="710" spans="1:14" s="45" customFormat="1" ht="15.75" customHeight="1" x14ac:dyDescent="0.25">
      <c r="A710" s="88">
        <f t="shared" ref="A710:A713" si="135">A709+1</f>
        <v>2</v>
      </c>
      <c r="B710" s="89"/>
      <c r="C710" s="96" t="s">
        <v>197</v>
      </c>
      <c r="D710" s="97"/>
      <c r="E710" s="97"/>
      <c r="F710" s="98"/>
      <c r="G710" s="92"/>
      <c r="H710" s="93"/>
      <c r="I710" s="36"/>
      <c r="L710" s="104"/>
      <c r="M710" s="104"/>
      <c r="N710" s="36"/>
    </row>
    <row r="711" spans="1:14" s="45" customFormat="1" ht="15.75" customHeight="1" x14ac:dyDescent="0.25">
      <c r="A711" s="88">
        <f t="shared" si="135"/>
        <v>3</v>
      </c>
      <c r="B711" s="89"/>
      <c r="C711" s="51">
        <v>1</v>
      </c>
      <c r="D711" s="53">
        <f>(3*4.3+2.1*2.15+3*3.15+1.2*1.83+2.5*0.6+1.2*1.83+2.1*0.9+1.5*(3+2.1)+3*0.9)*(10.764)</f>
        <v>484.34770799999995</v>
      </c>
      <c r="E711" s="52">
        <v>0</v>
      </c>
      <c r="F711" s="52">
        <f t="shared" si="134"/>
        <v>726.5215619999999</v>
      </c>
      <c r="G711" s="92"/>
      <c r="H711" s="93"/>
      <c r="I711" s="36"/>
      <c r="L711" s="104"/>
      <c r="M711" s="104"/>
      <c r="N711" s="36"/>
    </row>
    <row r="712" spans="1:14" s="45" customFormat="1" ht="15.75" customHeight="1" x14ac:dyDescent="0.25">
      <c r="A712" s="88">
        <f t="shared" si="135"/>
        <v>4</v>
      </c>
      <c r="B712" s="89"/>
      <c r="C712" s="51">
        <v>1</v>
      </c>
      <c r="D712" s="53">
        <f>(3*4.3+2.1*2.15+3*3.15+1.2*1.83+2.5*0.6+1.2*1.83+2.1*0.9+1.5*(3+2.1)+3*0.9)*(10.764)</f>
        <v>484.34770799999995</v>
      </c>
      <c r="E712" s="52">
        <v>0</v>
      </c>
      <c r="F712" s="52">
        <f t="shared" si="134"/>
        <v>726.5215619999999</v>
      </c>
      <c r="G712" s="92"/>
      <c r="H712" s="93"/>
      <c r="I712" s="36"/>
      <c r="L712" s="104"/>
      <c r="M712" s="104"/>
      <c r="N712" s="36"/>
    </row>
    <row r="713" spans="1:14" s="45" customFormat="1" ht="15.75" customHeight="1" x14ac:dyDescent="0.25">
      <c r="A713" s="88">
        <f t="shared" si="135"/>
        <v>5</v>
      </c>
      <c r="B713" s="89"/>
      <c r="C713" s="51" t="s">
        <v>192</v>
      </c>
      <c r="D713" s="53">
        <f>(43.38+0.9*2.9+1.15*(2.16+2.45)+1.5*2.9)*(10.764)</f>
        <v>598.92510599999991</v>
      </c>
      <c r="E713" s="52">
        <v>0</v>
      </c>
      <c r="F713" s="52">
        <f t="shared" ref="F713" si="136">D713*(($F$351)+1)+(IF(E713&lt;101,E713,IF(E713&lt;201,E713/2,IF(E713&lt;=301,E713/3,E713/4))))</f>
        <v>898.38765899999987</v>
      </c>
      <c r="G713" s="92"/>
      <c r="H713" s="93"/>
      <c r="I713" s="36"/>
      <c r="L713" s="104"/>
      <c r="M713" s="104"/>
      <c r="N713" s="36"/>
    </row>
    <row r="714" spans="1:14" s="45" customFormat="1" ht="15.75" customHeight="1" x14ac:dyDescent="0.25">
      <c r="A714" s="88">
        <v>6</v>
      </c>
      <c r="B714" s="89"/>
      <c r="C714" s="51" t="s">
        <v>192</v>
      </c>
      <c r="D714" s="53">
        <f t="shared" ref="D714" si="137">(43.38+0.9*2.9+1.15*(2.16+2.45)+1.5*2.9)*(10.764)</f>
        <v>598.92510599999991</v>
      </c>
      <c r="E714" s="53">
        <v>0</v>
      </c>
      <c r="F714" s="52">
        <f t="shared" ref="F714" si="138">D714*(($F$351)+1)+(IF(E714&lt;101,E714,IF(E714&lt;201,E714/2,IF(E714&lt;=301,E714/3,E714/4))))</f>
        <v>898.38765899999987</v>
      </c>
      <c r="G714" s="94"/>
      <c r="H714" s="95"/>
      <c r="I714" s="36"/>
      <c r="L714" s="104"/>
      <c r="M714" s="104"/>
      <c r="N714" s="36"/>
    </row>
    <row r="715" spans="1:14" s="45" customFormat="1" ht="15.75" customHeight="1" x14ac:dyDescent="0.25">
      <c r="A715" s="99" t="s">
        <v>204</v>
      </c>
      <c r="B715" s="100"/>
      <c r="C715" s="100"/>
      <c r="D715" s="100"/>
      <c r="E715" s="100"/>
      <c r="F715" s="100"/>
      <c r="G715" s="100"/>
      <c r="H715" s="101"/>
      <c r="J715" s="36"/>
    </row>
    <row r="716" spans="1:14" s="45" customFormat="1" ht="15.75" customHeight="1" x14ac:dyDescent="0.25">
      <c r="A716" s="88">
        <v>1</v>
      </c>
      <c r="B716" s="89"/>
      <c r="C716" s="51" t="s">
        <v>192</v>
      </c>
      <c r="D716" s="53">
        <f>(43.38+0.9*2.9+1.15*(2.16+2.45)+1.5*2.9)*(10.764)</f>
        <v>598.92510599999991</v>
      </c>
      <c r="E716" s="53">
        <v>0</v>
      </c>
      <c r="F716" s="52">
        <f t="shared" ref="F716:F719" si="139">D716*(($F$351)+1)+(IF(E716&lt;101,E716,IF(E716&lt;201,E716/2,IF(E716&lt;=301,E716/3,E716/4))))</f>
        <v>898.38765899999987</v>
      </c>
      <c r="G716" s="90" t="str">
        <f>A715</f>
        <v>14th Floor</v>
      </c>
      <c r="H716" s="91"/>
      <c r="I716" s="36"/>
      <c r="L716" s="104"/>
      <c r="M716" s="104"/>
      <c r="N716" s="36"/>
    </row>
    <row r="717" spans="1:14" s="45" customFormat="1" ht="15.75" customHeight="1" x14ac:dyDescent="0.25">
      <c r="A717" s="88">
        <f t="shared" ref="A717:A719" si="140">A716+1</f>
        <v>2</v>
      </c>
      <c r="B717" s="89"/>
      <c r="C717" s="96" t="s">
        <v>200</v>
      </c>
      <c r="D717" s="97"/>
      <c r="E717" s="97"/>
      <c r="F717" s="98"/>
      <c r="G717" s="92"/>
      <c r="H717" s="93"/>
      <c r="I717" s="36"/>
      <c r="L717" s="104"/>
      <c r="M717" s="104"/>
      <c r="N717" s="36"/>
    </row>
    <row r="718" spans="1:14" s="45" customFormat="1" ht="15.75" customHeight="1" x14ac:dyDescent="0.25">
      <c r="A718" s="88">
        <v>3</v>
      </c>
      <c r="B718" s="89"/>
      <c r="C718" s="51">
        <v>1</v>
      </c>
      <c r="D718" s="53">
        <f>(3*4.3+2.1*2.15+3*3.15+1.2*1.83+2.5*0.6+1.2*1.83+2.1*0.9+1.5*(3+2.1)+3*0.9)*(10.764)</f>
        <v>484.34770799999995</v>
      </c>
      <c r="E718" s="52">
        <v>0</v>
      </c>
      <c r="F718" s="52">
        <f t="shared" si="139"/>
        <v>726.5215619999999</v>
      </c>
      <c r="G718" s="92"/>
      <c r="H718" s="93"/>
      <c r="I718" s="36"/>
      <c r="L718" s="104"/>
      <c r="M718" s="104"/>
      <c r="N718" s="36"/>
    </row>
    <row r="719" spans="1:14" s="45" customFormat="1" ht="15.75" customHeight="1" x14ac:dyDescent="0.25">
      <c r="A719" s="88">
        <f t="shared" si="140"/>
        <v>4</v>
      </c>
      <c r="B719" s="89"/>
      <c r="C719" s="51">
        <v>1</v>
      </c>
      <c r="D719" s="53">
        <f>(3*4.3+2.1*2.15+3*3.15+1.2*1.83+2.5*0.6+1.2*1.83+2.1*0.9+1.5*(3+2.1)+3*0.9)*(10.764)</f>
        <v>484.34770799999995</v>
      </c>
      <c r="E719" s="52">
        <v>0</v>
      </c>
      <c r="F719" s="52">
        <f t="shared" si="139"/>
        <v>726.5215619999999</v>
      </c>
      <c r="G719" s="92"/>
      <c r="H719" s="93"/>
      <c r="I719" s="36"/>
      <c r="L719" s="104"/>
      <c r="M719" s="104"/>
      <c r="N719" s="36"/>
    </row>
    <row r="720" spans="1:14" s="45" customFormat="1" ht="15.75" customHeight="1" x14ac:dyDescent="0.25">
      <c r="A720" s="88">
        <v>5</v>
      </c>
      <c r="B720" s="89"/>
      <c r="C720" s="51" t="s">
        <v>192</v>
      </c>
      <c r="D720" s="53">
        <f>(43.38+0.9*2.9+1.15*(2.16+2.45)+1.5*2.9)*(10.764)</f>
        <v>598.92510599999991</v>
      </c>
      <c r="E720" s="52">
        <v>0</v>
      </c>
      <c r="F720" s="52">
        <f t="shared" ref="F720" si="141">D720*(($F$351)+1)+(IF(E720&lt;101,E720,IF(E720&lt;201,E720/2,IF(E720&lt;=301,E720/3,E720/4))))</f>
        <v>898.38765899999987</v>
      </c>
      <c r="G720" s="92"/>
      <c r="H720" s="93"/>
      <c r="I720" s="36"/>
      <c r="L720" s="104"/>
      <c r="M720" s="104"/>
      <c r="N720" s="36"/>
    </row>
    <row r="721" spans="1:14" s="45" customFormat="1" ht="15.75" customHeight="1" x14ac:dyDescent="0.25">
      <c r="A721" s="88">
        <v>6</v>
      </c>
      <c r="B721" s="89"/>
      <c r="C721" s="51" t="s">
        <v>192</v>
      </c>
      <c r="D721" s="53">
        <f t="shared" ref="D721" si="142">(43.38+0.9*2.9+1.15*(2.16+2.45)+1.5*2.9)*(10.764)</f>
        <v>598.92510599999991</v>
      </c>
      <c r="E721" s="53">
        <v>0</v>
      </c>
      <c r="F721" s="52">
        <f t="shared" ref="F721" si="143">D721*(($F$351)+1)+(IF(E721&lt;101,E721,IF(E721&lt;201,E721/2,IF(E721&lt;=301,E721/3,E721/4))))</f>
        <v>898.38765899999987</v>
      </c>
      <c r="G721" s="94"/>
      <c r="H721" s="95"/>
      <c r="I721" s="36"/>
      <c r="L721" s="104"/>
      <c r="M721" s="104"/>
      <c r="N721" s="36"/>
    </row>
    <row r="722" spans="1:14" s="45" customFormat="1" ht="15.75" customHeight="1" x14ac:dyDescent="0.25">
      <c r="A722" s="99" t="s">
        <v>205</v>
      </c>
      <c r="B722" s="100"/>
      <c r="C722" s="100"/>
      <c r="D722" s="100"/>
      <c r="E722" s="100"/>
      <c r="F722" s="100"/>
      <c r="G722" s="100"/>
      <c r="H722" s="101"/>
      <c r="J722" s="36"/>
    </row>
    <row r="723" spans="1:14" s="45" customFormat="1" ht="15.75" customHeight="1" x14ac:dyDescent="0.25">
      <c r="A723" s="88">
        <v>1</v>
      </c>
      <c r="B723" s="89"/>
      <c r="C723" s="51" t="s">
        <v>192</v>
      </c>
      <c r="D723" s="53">
        <f>(43.38+0.9*2.9+1.15*(2.16+2.45)+1.5*2.9)*(10.764)</f>
        <v>598.92510599999991</v>
      </c>
      <c r="E723" s="53">
        <v>0</v>
      </c>
      <c r="F723" s="52">
        <f t="shared" ref="F723" si="144">D723*(($F$351)+1)+(IF(E723&lt;101,E723,IF(E723&lt;201,E723/2,IF(E723&lt;=301,E723/3,E723/4))))</f>
        <v>898.38765899999987</v>
      </c>
      <c r="G723" s="90" t="str">
        <f>A722</f>
        <v>15th Floor</v>
      </c>
      <c r="H723" s="91"/>
      <c r="I723" s="36"/>
      <c r="L723" s="104"/>
      <c r="M723" s="104"/>
      <c r="N723" s="36"/>
    </row>
    <row r="724" spans="1:14" s="45" customFormat="1" ht="15.75" customHeight="1" x14ac:dyDescent="0.25">
      <c r="A724" s="88">
        <f t="shared" ref="A724:A726" si="145">A723+1</f>
        <v>2</v>
      </c>
      <c r="B724" s="89"/>
      <c r="C724" s="96" t="s">
        <v>200</v>
      </c>
      <c r="D724" s="97"/>
      <c r="E724" s="97"/>
      <c r="F724" s="98"/>
      <c r="G724" s="92"/>
      <c r="H724" s="93"/>
      <c r="I724" s="36"/>
      <c r="L724" s="104"/>
      <c r="M724" s="104"/>
      <c r="N724" s="36"/>
    </row>
    <row r="725" spans="1:14" s="45" customFormat="1" ht="15.75" customHeight="1" x14ac:dyDescent="0.25">
      <c r="A725" s="88">
        <v>3</v>
      </c>
      <c r="B725" s="89"/>
      <c r="C725" s="51">
        <v>1</v>
      </c>
      <c r="D725" s="53">
        <f>(3*4.3+2.1*2.15+3*3.15+1.2*1.83+2.5*0.6+1.2*1.83+2.1*0.9+1.5*(3+2.1)+3*0.9)*(10.764)</f>
        <v>484.34770799999995</v>
      </c>
      <c r="E725" s="52">
        <v>0</v>
      </c>
      <c r="F725" s="52">
        <f t="shared" ref="F725:F728" si="146">D725*(($F$351)+1)+(IF(E725&lt;101,E725,IF(E725&lt;201,E725/2,IF(E725&lt;=301,E725/3,E725/4))))</f>
        <v>726.5215619999999</v>
      </c>
      <c r="G725" s="92"/>
      <c r="H725" s="93"/>
      <c r="I725" s="36"/>
      <c r="L725" s="104"/>
      <c r="M725" s="104"/>
      <c r="N725" s="36"/>
    </row>
    <row r="726" spans="1:14" s="45" customFormat="1" ht="15.75" customHeight="1" x14ac:dyDescent="0.25">
      <c r="A726" s="88">
        <f t="shared" si="145"/>
        <v>4</v>
      </c>
      <c r="B726" s="89"/>
      <c r="C726" s="51">
        <v>1</v>
      </c>
      <c r="D726" s="53">
        <f>(3*4.3+2.1*2.15+3*3.15+1.2*1.83+2.5*0.6+1.2*1.83+2.1*0.9+1.5*(3+2.1)+3*0.9)*(10.764)</f>
        <v>484.34770799999995</v>
      </c>
      <c r="E726" s="52">
        <v>0</v>
      </c>
      <c r="F726" s="52">
        <f t="shared" si="146"/>
        <v>726.5215619999999</v>
      </c>
      <c r="G726" s="92"/>
      <c r="H726" s="93"/>
      <c r="I726" s="36"/>
      <c r="L726" s="104"/>
      <c r="M726" s="104"/>
      <c r="N726" s="36"/>
    </row>
    <row r="727" spans="1:14" s="45" customFormat="1" ht="15.75" customHeight="1" x14ac:dyDescent="0.25">
      <c r="A727" s="88">
        <v>5</v>
      </c>
      <c r="B727" s="89"/>
      <c r="C727" s="51" t="s">
        <v>192</v>
      </c>
      <c r="D727" s="53">
        <f>(43.38+0.9*2.9+1.15*(2.16+2.45)+1.5*2.9)*(10.764)</f>
        <v>598.92510599999991</v>
      </c>
      <c r="E727" s="52">
        <v>0</v>
      </c>
      <c r="F727" s="52">
        <f t="shared" si="146"/>
        <v>898.38765899999987</v>
      </c>
      <c r="G727" s="92"/>
      <c r="H727" s="93"/>
      <c r="I727" s="36"/>
      <c r="L727" s="104"/>
      <c r="M727" s="104"/>
      <c r="N727" s="36"/>
    </row>
    <row r="728" spans="1:14" s="45" customFormat="1" ht="15.75" customHeight="1" x14ac:dyDescent="0.25">
      <c r="A728" s="88">
        <v>6</v>
      </c>
      <c r="B728" s="89"/>
      <c r="C728" s="51" t="s">
        <v>192</v>
      </c>
      <c r="D728" s="53">
        <f t="shared" ref="D728" si="147">(43.38+0.9*2.9+1.15*(2.16+2.45)+1.5*2.9)*(10.764)</f>
        <v>598.92510599999991</v>
      </c>
      <c r="E728" s="53">
        <v>0</v>
      </c>
      <c r="F728" s="52">
        <f t="shared" si="146"/>
        <v>898.38765899999987</v>
      </c>
      <c r="G728" s="94"/>
      <c r="H728" s="95"/>
      <c r="I728" s="36"/>
      <c r="L728" s="104"/>
      <c r="M728" s="104"/>
      <c r="N728" s="36"/>
    </row>
    <row r="729" spans="1:14" s="45" customFormat="1" ht="15.75" customHeight="1" x14ac:dyDescent="0.25">
      <c r="A729" s="99" t="s">
        <v>213</v>
      </c>
      <c r="B729" s="100"/>
      <c r="C729" s="100"/>
      <c r="D729" s="100"/>
      <c r="E729" s="100"/>
      <c r="F729" s="100"/>
      <c r="G729" s="100"/>
      <c r="H729" s="101"/>
      <c r="J729" s="36"/>
    </row>
    <row r="730" spans="1:14" s="45" customFormat="1" ht="15.75" customHeight="1" x14ac:dyDescent="0.25">
      <c r="A730" s="99" t="s">
        <v>264</v>
      </c>
      <c r="B730" s="100"/>
      <c r="C730" s="100"/>
      <c r="D730" s="100"/>
      <c r="E730" s="100"/>
      <c r="F730" s="100"/>
      <c r="G730" s="100"/>
      <c r="H730" s="101"/>
      <c r="J730" s="36"/>
    </row>
    <row r="731" spans="1:14" s="45" customFormat="1" x14ac:dyDescent="0.25">
      <c r="A731" s="99" t="s">
        <v>193</v>
      </c>
      <c r="B731" s="100"/>
      <c r="C731" s="100"/>
      <c r="D731" s="100"/>
      <c r="E731" s="100"/>
      <c r="F731" s="100"/>
      <c r="G731" s="100"/>
      <c r="H731" s="101"/>
      <c r="J731" s="53">
        <f>10.764</f>
        <v>10.763999999999999</v>
      </c>
    </row>
    <row r="732" spans="1:14" s="45" customFormat="1" ht="15.75" customHeight="1" x14ac:dyDescent="0.25">
      <c r="A732" s="88">
        <v>1</v>
      </c>
      <c r="B732" s="89"/>
      <c r="C732" s="51" t="s">
        <v>192</v>
      </c>
      <c r="D732" s="53">
        <f>(49.15+1.5*(3.05+2.15+2.76)+0.9*3.05)*(10.764)</f>
        <v>687.11993999999993</v>
      </c>
      <c r="E732" s="53">
        <f>(4.65*5.175+3.35*2.99+5.05*3.68+3.2*4.25)*(10.764)</f>
        <v>713.26838699999996</v>
      </c>
      <c r="F732" s="52">
        <f t="shared" ref="F732:F737" si="148">D732*(($F$351)+1)+(IF(E732&lt;101,E732,IF(E732&lt;201,E732/2,IF(E732&lt;=301,E732/3,E732/4))))</f>
        <v>1208.9970067499999</v>
      </c>
      <c r="G732" s="90" t="str">
        <f>A731</f>
        <v>1st Floor For Residential</v>
      </c>
      <c r="H732" s="91"/>
      <c r="I732" s="36"/>
      <c r="J732" s="45">
        <f>3.05*4.23+1.05*2.22+2.15*2.35+2.75*2.35+3.05*2.29+2.15*1.22+2.15*1.22+4*0.9</f>
        <v>42.577999999999996</v>
      </c>
      <c r="K732" s="45">
        <f>3.05*1+3.05*1</f>
        <v>6.1</v>
      </c>
      <c r="L732" s="104"/>
      <c r="M732" s="104"/>
      <c r="N732" s="36"/>
    </row>
    <row r="733" spans="1:14" s="45" customFormat="1" ht="15.75" customHeight="1" x14ac:dyDescent="0.25">
      <c r="A733" s="88">
        <f t="shared" ref="A733:A737" si="149">A732+1</f>
        <v>2</v>
      </c>
      <c r="B733" s="89"/>
      <c r="C733" s="51" t="s">
        <v>192</v>
      </c>
      <c r="D733" s="53">
        <f>(49.15+1.5*(3.05+2.15+2.76)+0.9*3.05)*(10.764)</f>
        <v>687.11993999999993</v>
      </c>
      <c r="E733" s="52">
        <v>0</v>
      </c>
      <c r="F733" s="52">
        <f t="shared" si="148"/>
        <v>1030.6799099999998</v>
      </c>
      <c r="G733" s="92"/>
      <c r="H733" s="93"/>
      <c r="I733" s="36"/>
      <c r="J733" s="45">
        <f>J732+K732</f>
        <v>48.677999999999997</v>
      </c>
      <c r="L733" s="104"/>
      <c r="M733" s="104"/>
      <c r="N733" s="36"/>
    </row>
    <row r="734" spans="1:14" s="45" customFormat="1" ht="15.75" customHeight="1" x14ac:dyDescent="0.25">
      <c r="A734" s="88">
        <f t="shared" si="149"/>
        <v>3</v>
      </c>
      <c r="B734" s="89"/>
      <c r="C734" s="51">
        <v>1</v>
      </c>
      <c r="D734" s="53">
        <f>(3*4.3+2.1*2.15+3*3.15+1.2*1.83+2.5*0.6+1.2*1.83+2.1*0.9+1.5*(3+2.1)+3*0.9)*(10.764)</f>
        <v>484.34770799999995</v>
      </c>
      <c r="E734" s="52">
        <v>0</v>
      </c>
      <c r="F734" s="52">
        <f t="shared" si="148"/>
        <v>726.5215619999999</v>
      </c>
      <c r="G734" s="92"/>
      <c r="H734" s="93"/>
      <c r="I734" s="36"/>
      <c r="J734" s="45">
        <f>1.5*(3.05+2.15+2.76)+0.9*3.05</f>
        <v>14.684999999999999</v>
      </c>
      <c r="L734" s="104"/>
      <c r="M734" s="104"/>
      <c r="N734" s="36"/>
    </row>
    <row r="735" spans="1:14" s="45" customFormat="1" ht="15.75" customHeight="1" x14ac:dyDescent="0.25">
      <c r="A735" s="88">
        <f t="shared" si="149"/>
        <v>4</v>
      </c>
      <c r="B735" s="89"/>
      <c r="C735" s="51">
        <v>1</v>
      </c>
      <c r="D735" s="53">
        <f>(3*4.3+2.1*2.15+3*3.15+1.2*1.83+2.5*0.6+1.2*1.83+2.1*0.9+1.5*(3+2.1)+3*0.9)*(10.764)</f>
        <v>484.34770799999995</v>
      </c>
      <c r="E735" s="52">
        <v>0</v>
      </c>
      <c r="F735" s="52">
        <f t="shared" si="148"/>
        <v>726.5215619999999</v>
      </c>
      <c r="G735" s="92"/>
      <c r="H735" s="93"/>
      <c r="I735" s="36"/>
      <c r="J735" s="45">
        <f>3*4.3+2.1*2.15+3*3.15+1.2*1.83+2.5*0.6+1.2*1.83+2.1*0.9</f>
        <v>34.646999999999998</v>
      </c>
      <c r="K735" s="45">
        <f>1.5*(3+2.1)+3*0.9</f>
        <v>10.35</v>
      </c>
      <c r="L735" s="104"/>
      <c r="M735" s="104"/>
      <c r="N735" s="36"/>
    </row>
    <row r="736" spans="1:14" s="45" customFormat="1" ht="15.75" customHeight="1" x14ac:dyDescent="0.25">
      <c r="A736" s="88">
        <f t="shared" si="149"/>
        <v>5</v>
      </c>
      <c r="B736" s="89"/>
      <c r="C736" s="51" t="s">
        <v>192</v>
      </c>
      <c r="D736" s="53">
        <f>(49.15+1.5*(3.05+2.15+2.76)+0.9*3.05)*(10.764)</f>
        <v>687.11993999999993</v>
      </c>
      <c r="E736" s="52">
        <v>0</v>
      </c>
      <c r="F736" s="52">
        <f t="shared" si="148"/>
        <v>1030.6799099999998</v>
      </c>
      <c r="G736" s="92"/>
      <c r="H736" s="93"/>
      <c r="I736" s="36"/>
      <c r="L736" s="104"/>
      <c r="M736" s="104"/>
      <c r="N736" s="36"/>
    </row>
    <row r="737" spans="1:14" s="45" customFormat="1" ht="15.75" customHeight="1" x14ac:dyDescent="0.25">
      <c r="A737" s="88">
        <f t="shared" si="149"/>
        <v>6</v>
      </c>
      <c r="B737" s="89"/>
      <c r="C737" s="51" t="s">
        <v>192</v>
      </c>
      <c r="D737" s="53">
        <f>(49.15+1.5*(3.05+2.15+2.76)+0.9*3.05)*(10.764)</f>
        <v>687.11993999999993</v>
      </c>
      <c r="E737" s="53">
        <f>(4.65*5.175+3.35*2.99+5.05*3.68+3.2*4.25)*(10.764)</f>
        <v>713.26838699999996</v>
      </c>
      <c r="F737" s="52">
        <f t="shared" si="148"/>
        <v>1208.9970067499999</v>
      </c>
      <c r="G737" s="94"/>
      <c r="H737" s="95"/>
      <c r="I737" s="36"/>
      <c r="L737" s="104"/>
      <c r="M737" s="104"/>
      <c r="N737" s="36"/>
    </row>
    <row r="738" spans="1:14" s="45" customFormat="1" x14ac:dyDescent="0.25">
      <c r="A738" s="99" t="s">
        <v>195</v>
      </c>
      <c r="B738" s="100"/>
      <c r="C738" s="100"/>
      <c r="D738" s="100"/>
      <c r="E738" s="100"/>
      <c r="F738" s="100"/>
      <c r="G738" s="100"/>
      <c r="H738" s="101"/>
      <c r="J738" s="36"/>
    </row>
    <row r="739" spans="1:14" s="45" customFormat="1" ht="15.75" customHeight="1" x14ac:dyDescent="0.25">
      <c r="A739" s="88">
        <v>1</v>
      </c>
      <c r="B739" s="89"/>
      <c r="C739" s="51" t="s">
        <v>192</v>
      </c>
      <c r="D739" s="53">
        <f>(49.15+0.9*3.05+1.5*(2.15+2.75+3.05))*(10.764)</f>
        <v>686.95847999999989</v>
      </c>
      <c r="E739" s="52">
        <v>0</v>
      </c>
      <c r="F739" s="52">
        <f t="shared" ref="F739:F744" si="150">D739*(($F$351)+1)+(IF(E739&lt;101,E739,IF(E739&lt;201,E739/2,IF(E739&lt;=301,E739/3,E739/4))))</f>
        <v>1030.4377199999999</v>
      </c>
      <c r="G739" s="90" t="str">
        <f>A738</f>
        <v>2nd, 8th, 10th, 16th &amp; 18th Floor</v>
      </c>
      <c r="H739" s="91"/>
      <c r="I739" s="36"/>
      <c r="L739" s="104"/>
      <c r="M739" s="104"/>
      <c r="N739" s="36"/>
    </row>
    <row r="740" spans="1:14" s="45" customFormat="1" ht="15.75" customHeight="1" x14ac:dyDescent="0.25">
      <c r="A740" s="88">
        <f t="shared" ref="A740:A744" si="151">A739+1</f>
        <v>2</v>
      </c>
      <c r="B740" s="89"/>
      <c r="C740" s="51" t="s">
        <v>192</v>
      </c>
      <c r="D740" s="53">
        <f>(49.15+0.9*3.05+1.5*(2.15+2.75+3.05))*(10.764)</f>
        <v>686.95847999999989</v>
      </c>
      <c r="E740" s="52">
        <v>0</v>
      </c>
      <c r="F740" s="52">
        <f t="shared" si="150"/>
        <v>1030.4377199999999</v>
      </c>
      <c r="G740" s="92" t="str">
        <f t="shared" ref="G740:G744" si="152">G739</f>
        <v>2nd, 8th, 10th, 16th &amp; 18th Floor</v>
      </c>
      <c r="H740" s="93"/>
      <c r="I740" s="36"/>
      <c r="L740" s="104"/>
      <c r="M740" s="104"/>
      <c r="N740" s="36"/>
    </row>
    <row r="741" spans="1:14" s="45" customFormat="1" ht="15.75" customHeight="1" x14ac:dyDescent="0.25">
      <c r="A741" s="88">
        <f t="shared" si="151"/>
        <v>3</v>
      </c>
      <c r="B741" s="89"/>
      <c r="C741" s="51">
        <v>1</v>
      </c>
      <c r="D741" s="53">
        <f>(3*4.3+2.1*2.15+3*3.15+1.2*1.83+2.5*0.6+1.2*1.83+2.1*0.9+1.5*(3+2.1)+3*0.9)*(10.764)</f>
        <v>484.34770799999995</v>
      </c>
      <c r="E741" s="52">
        <v>0</v>
      </c>
      <c r="F741" s="52">
        <f t="shared" si="150"/>
        <v>726.5215619999999</v>
      </c>
      <c r="G741" s="92" t="str">
        <f t="shared" si="152"/>
        <v>2nd, 8th, 10th, 16th &amp; 18th Floor</v>
      </c>
      <c r="H741" s="93"/>
      <c r="I741" s="36">
        <f>3555000/F741</f>
        <v>4893.178930868401</v>
      </c>
      <c r="L741" s="104"/>
      <c r="M741" s="104"/>
      <c r="N741" s="36"/>
    </row>
    <row r="742" spans="1:14" s="45" customFormat="1" ht="15.75" customHeight="1" x14ac:dyDescent="0.25">
      <c r="A742" s="88">
        <f t="shared" si="151"/>
        <v>4</v>
      </c>
      <c r="B742" s="89"/>
      <c r="C742" s="51">
        <v>1</v>
      </c>
      <c r="D742" s="53">
        <f>(3*4.3+2.1*2.15+3*3.15+1.2*1.83+2.5*0.6+1.2*1.83+2.1*0.9+1.5*(3+2.1)+3*0.9)*(10.764)</f>
        <v>484.34770799999995</v>
      </c>
      <c r="E742" s="52">
        <v>0</v>
      </c>
      <c r="F742" s="52">
        <f t="shared" si="150"/>
        <v>726.5215619999999</v>
      </c>
      <c r="G742" s="92" t="str">
        <f t="shared" si="152"/>
        <v>2nd, 8th, 10th, 16th &amp; 18th Floor</v>
      </c>
      <c r="H742" s="93"/>
      <c r="I742" s="36"/>
      <c r="L742" s="104"/>
      <c r="M742" s="104"/>
      <c r="N742" s="36"/>
    </row>
    <row r="743" spans="1:14" s="45" customFormat="1" ht="15.75" customHeight="1" x14ac:dyDescent="0.25">
      <c r="A743" s="88">
        <f t="shared" si="151"/>
        <v>5</v>
      </c>
      <c r="B743" s="89"/>
      <c r="C743" s="51" t="s">
        <v>192</v>
      </c>
      <c r="D743" s="53">
        <f>(49.15+0.9*3.05+1.5*(2.15+2.75+3.05))*(10.764)</f>
        <v>686.95847999999989</v>
      </c>
      <c r="E743" s="52">
        <v>0</v>
      </c>
      <c r="F743" s="52">
        <f t="shared" si="150"/>
        <v>1030.4377199999999</v>
      </c>
      <c r="G743" s="92" t="str">
        <f t="shared" si="152"/>
        <v>2nd, 8th, 10th, 16th &amp; 18th Floor</v>
      </c>
      <c r="H743" s="93"/>
      <c r="I743" s="36"/>
      <c r="L743" s="104"/>
      <c r="M743" s="104"/>
      <c r="N743" s="36"/>
    </row>
    <row r="744" spans="1:14" s="45" customFormat="1" ht="15.75" customHeight="1" x14ac:dyDescent="0.25">
      <c r="A744" s="88">
        <f t="shared" si="151"/>
        <v>6</v>
      </c>
      <c r="B744" s="89"/>
      <c r="C744" s="51" t="s">
        <v>192</v>
      </c>
      <c r="D744" s="53">
        <f>(49.15+0.9*3.05+1.5*(2.15+2.75+3.05))*(10.764)</f>
        <v>686.95847999999989</v>
      </c>
      <c r="E744" s="52">
        <v>0</v>
      </c>
      <c r="F744" s="52">
        <f t="shared" si="150"/>
        <v>1030.4377199999999</v>
      </c>
      <c r="G744" s="94" t="str">
        <f t="shared" si="152"/>
        <v>2nd, 8th, 10th, 16th &amp; 18th Floor</v>
      </c>
      <c r="H744" s="95"/>
      <c r="I744" s="36"/>
      <c r="L744" s="104"/>
      <c r="M744" s="104"/>
      <c r="N744" s="36"/>
    </row>
    <row r="745" spans="1:14" s="45" customFormat="1" x14ac:dyDescent="0.25">
      <c r="A745" s="99" t="s">
        <v>202</v>
      </c>
      <c r="B745" s="100"/>
      <c r="C745" s="100"/>
      <c r="D745" s="100"/>
      <c r="E745" s="100"/>
      <c r="F745" s="100"/>
      <c r="G745" s="100"/>
      <c r="H745" s="101"/>
      <c r="J745" s="36"/>
    </row>
    <row r="746" spans="1:14" s="45" customFormat="1" ht="15.75" customHeight="1" x14ac:dyDescent="0.25">
      <c r="A746" s="88">
        <v>1</v>
      </c>
      <c r="B746" s="89"/>
      <c r="C746" s="51" t="s">
        <v>192</v>
      </c>
      <c r="D746" s="53">
        <f>(49.15+1.5*(3.05+2.15+2.76)+0.9*3.05)*(10.764)</f>
        <v>687.11993999999993</v>
      </c>
      <c r="E746" s="52">
        <v>0</v>
      </c>
      <c r="F746" s="52">
        <f t="shared" ref="F746:F751" si="153">D746*(($F$351)+1)+(IF(E746&lt;101,E746,IF(E746&lt;201,E746/2,IF(E746&lt;=301,E746/3,E746/4))))</f>
        <v>1030.6799099999998</v>
      </c>
      <c r="G746" s="90" t="str">
        <f>A745</f>
        <v>3rd,  9th, 11th Floor</v>
      </c>
      <c r="H746" s="91"/>
      <c r="I746" s="36"/>
      <c r="L746" s="104"/>
      <c r="M746" s="104"/>
      <c r="N746" s="36"/>
    </row>
    <row r="747" spans="1:14" s="45" customFormat="1" ht="15.75" customHeight="1" x14ac:dyDescent="0.25">
      <c r="A747" s="88">
        <f t="shared" ref="A747:A751" si="154">A746+1</f>
        <v>2</v>
      </c>
      <c r="B747" s="89"/>
      <c r="C747" s="51" t="s">
        <v>192</v>
      </c>
      <c r="D747" s="53">
        <f>(49.15+1.5*(3.05+2.15+2.76)+0.9*3.05)*(10.764)</f>
        <v>687.11993999999993</v>
      </c>
      <c r="E747" s="52">
        <v>0</v>
      </c>
      <c r="F747" s="52">
        <f t="shared" si="153"/>
        <v>1030.6799099999998</v>
      </c>
      <c r="G747" s="92" t="str">
        <f t="shared" ref="G747:G751" si="155">G746</f>
        <v>3rd,  9th, 11th Floor</v>
      </c>
      <c r="H747" s="93"/>
      <c r="I747" s="36"/>
      <c r="L747" s="104"/>
      <c r="M747" s="104"/>
      <c r="N747" s="36"/>
    </row>
    <row r="748" spans="1:14" s="45" customFormat="1" ht="15.75" customHeight="1" x14ac:dyDescent="0.25">
      <c r="A748" s="88">
        <f t="shared" si="154"/>
        <v>3</v>
      </c>
      <c r="B748" s="89"/>
      <c r="C748" s="51">
        <v>1</v>
      </c>
      <c r="D748" s="53">
        <f>(3*4.3+2.1*2.15+3*3.15+1.2*1.83+2.5*0.6+1.2*1.83+2.1*0.9+1.5*(3+2.1)+3*0.9)*(10.764)</f>
        <v>484.34770799999995</v>
      </c>
      <c r="E748" s="52">
        <v>0</v>
      </c>
      <c r="F748" s="52">
        <f t="shared" si="153"/>
        <v>726.5215619999999</v>
      </c>
      <c r="G748" s="92" t="str">
        <f t="shared" si="155"/>
        <v>3rd,  9th, 11th Floor</v>
      </c>
      <c r="H748" s="93"/>
      <c r="I748" s="36"/>
      <c r="L748" s="104"/>
      <c r="M748" s="104"/>
      <c r="N748" s="36"/>
    </row>
    <row r="749" spans="1:14" s="45" customFormat="1" ht="15.75" customHeight="1" x14ac:dyDescent="0.25">
      <c r="A749" s="88">
        <f t="shared" si="154"/>
        <v>4</v>
      </c>
      <c r="B749" s="89"/>
      <c r="C749" s="51">
        <v>1</v>
      </c>
      <c r="D749" s="53">
        <f>(3*4.3+2.1*2.15+3*3.15+1.2*1.83+2.5*0.6+1.2*1.83+2.1*0.9+1.5*(3+2.1)+3*0.9)*(10.764)</f>
        <v>484.34770799999995</v>
      </c>
      <c r="E749" s="52">
        <v>0</v>
      </c>
      <c r="F749" s="52">
        <f t="shared" si="153"/>
        <v>726.5215619999999</v>
      </c>
      <c r="G749" s="92" t="str">
        <f t="shared" si="155"/>
        <v>3rd,  9th, 11th Floor</v>
      </c>
      <c r="H749" s="93"/>
      <c r="I749" s="36"/>
      <c r="L749" s="104"/>
      <c r="M749" s="104"/>
      <c r="N749" s="36"/>
    </row>
    <row r="750" spans="1:14" s="45" customFormat="1" ht="15.75" customHeight="1" x14ac:dyDescent="0.25">
      <c r="A750" s="88">
        <f t="shared" si="154"/>
        <v>5</v>
      </c>
      <c r="B750" s="89"/>
      <c r="C750" s="51" t="s">
        <v>192</v>
      </c>
      <c r="D750" s="53">
        <f>(49.15+1.5*(3.05+2.15+2.76)+0.9*3.05)*(10.764)</f>
        <v>687.11993999999993</v>
      </c>
      <c r="E750" s="52">
        <v>0</v>
      </c>
      <c r="F750" s="52">
        <f t="shared" si="153"/>
        <v>1030.6799099999998</v>
      </c>
      <c r="G750" s="92" t="str">
        <f t="shared" si="155"/>
        <v>3rd,  9th, 11th Floor</v>
      </c>
      <c r="H750" s="93"/>
      <c r="I750" s="36"/>
      <c r="L750" s="104"/>
      <c r="M750" s="104"/>
      <c r="N750" s="36"/>
    </row>
    <row r="751" spans="1:14" s="45" customFormat="1" ht="15.75" customHeight="1" x14ac:dyDescent="0.25">
      <c r="A751" s="88">
        <f t="shared" si="154"/>
        <v>6</v>
      </c>
      <c r="B751" s="89"/>
      <c r="C751" s="51" t="s">
        <v>192</v>
      </c>
      <c r="D751" s="53">
        <f>(49.15+1.5*(3.05+2.15+2.76)+0.9*3.05)*(10.764)</f>
        <v>687.11993999999993</v>
      </c>
      <c r="E751" s="52">
        <v>0</v>
      </c>
      <c r="F751" s="52">
        <f t="shared" si="153"/>
        <v>1030.6799099999998</v>
      </c>
      <c r="G751" s="94" t="str">
        <f t="shared" si="155"/>
        <v>3rd,  9th, 11th Floor</v>
      </c>
      <c r="H751" s="95"/>
      <c r="I751" s="36"/>
      <c r="L751" s="104"/>
      <c r="M751" s="104"/>
      <c r="N751" s="36"/>
    </row>
    <row r="752" spans="1:14" s="45" customFormat="1" x14ac:dyDescent="0.25">
      <c r="A752" s="99" t="s">
        <v>198</v>
      </c>
      <c r="B752" s="100"/>
      <c r="C752" s="100"/>
      <c r="D752" s="100"/>
      <c r="E752" s="100"/>
      <c r="F752" s="100"/>
      <c r="G752" s="100"/>
      <c r="H752" s="101"/>
      <c r="J752" s="36"/>
    </row>
    <row r="753" spans="1:14" s="45" customFormat="1" ht="15.75" customHeight="1" x14ac:dyDescent="0.25">
      <c r="A753" s="88">
        <v>1</v>
      </c>
      <c r="B753" s="89"/>
      <c r="C753" s="51" t="s">
        <v>192</v>
      </c>
      <c r="D753" s="53">
        <f>(49.15+0.9*3.05+1.5*(2.15+2.75+3.05))*(10.764)</f>
        <v>686.95847999999989</v>
      </c>
      <c r="E753" s="52">
        <v>0</v>
      </c>
      <c r="F753" s="52">
        <f>D753*(($F$351)+1)+(IF(E753&lt;101,E753,IF(E753&lt;201,E753/2,IF(E753&lt;=301,E753/3,E753/4))))</f>
        <v>1030.4377199999999</v>
      </c>
      <c r="G753" s="90" t="str">
        <f>A752</f>
        <v>4th Floor (Part Terrace Area)</v>
      </c>
      <c r="H753" s="91"/>
      <c r="I753" s="36"/>
      <c r="L753" s="104"/>
      <c r="M753" s="104"/>
      <c r="N753" s="36"/>
    </row>
    <row r="754" spans="1:14" s="45" customFormat="1" ht="15.75" customHeight="1" x14ac:dyDescent="0.25">
      <c r="A754" s="88">
        <f t="shared" ref="A754:A758" si="156">A753+1</f>
        <v>2</v>
      </c>
      <c r="B754" s="89"/>
      <c r="C754" s="51" t="s">
        <v>192</v>
      </c>
      <c r="D754" s="53">
        <f>(49.15+0.9*3.05+1.5*(2.15+2.75+3.05))*(10.764)</f>
        <v>686.95847999999989</v>
      </c>
      <c r="E754" s="52">
        <v>0</v>
      </c>
      <c r="F754" s="52">
        <f>D754*(($F$351)+1)+(IF(E754&lt;101,E754,IF(E754&lt;201,E754/2,IF(E754&lt;=301,E754/3,E754/4))))</f>
        <v>1030.4377199999999</v>
      </c>
      <c r="G754" s="92" t="str">
        <f t="shared" ref="G754:G758" si="157">G753</f>
        <v>4th Floor (Part Terrace Area)</v>
      </c>
      <c r="H754" s="93"/>
      <c r="I754" s="36"/>
      <c r="L754" s="104"/>
      <c r="M754" s="104"/>
      <c r="N754" s="36"/>
    </row>
    <row r="755" spans="1:14" s="45" customFormat="1" ht="15.75" customHeight="1" x14ac:dyDescent="0.25">
      <c r="A755" s="88">
        <f t="shared" si="156"/>
        <v>3</v>
      </c>
      <c r="B755" s="89"/>
      <c r="C755" s="51">
        <v>1</v>
      </c>
      <c r="D755" s="53">
        <f>(3*4.3+2.1*2.15+3*3.15+1.2*1.83+2.5*0.6+1.2*1.83+2.1*0.9+1.5*(3+2.1)+3*0.9)*(10.764)</f>
        <v>484.34770799999995</v>
      </c>
      <c r="E755" s="52">
        <v>0</v>
      </c>
      <c r="F755" s="52">
        <f>D755*(($F$351)+1)+(IF(E755&lt;101,E755,IF(E755&lt;201,E755/2,IF(E755&lt;=301,E755/3,E755/4))))</f>
        <v>726.5215619999999</v>
      </c>
      <c r="G755" s="92" t="str">
        <f t="shared" si="157"/>
        <v>4th Floor (Part Terrace Area)</v>
      </c>
      <c r="H755" s="93"/>
      <c r="I755" s="36"/>
      <c r="L755" s="104"/>
      <c r="M755" s="104"/>
      <c r="N755" s="36"/>
    </row>
    <row r="756" spans="1:14" s="45" customFormat="1" ht="15.75" customHeight="1" x14ac:dyDescent="0.25">
      <c r="A756" s="88">
        <f t="shared" si="156"/>
        <v>4</v>
      </c>
      <c r="B756" s="89"/>
      <c r="C756" s="51">
        <v>1</v>
      </c>
      <c r="D756" s="53">
        <f>(3*4.3+2.1*2.15+3*3.15+1.2*1.83+2.5*0.6+1.2*1.83+2.1*0.9+1.5*(3+2.1)+3*0.9)*(10.764)</f>
        <v>484.34770799999995</v>
      </c>
      <c r="E756" s="52">
        <v>0</v>
      </c>
      <c r="F756" s="52">
        <f>D756*(($F$351)+1)+(IF(E756&lt;101,E756,IF(E756&lt;201,E756/2,IF(E756&lt;=301,E756/3,E756/4))))</f>
        <v>726.5215619999999</v>
      </c>
      <c r="G756" s="92" t="str">
        <f t="shared" si="157"/>
        <v>4th Floor (Part Terrace Area)</v>
      </c>
      <c r="H756" s="93"/>
      <c r="I756" s="36"/>
      <c r="L756" s="104"/>
      <c r="M756" s="104"/>
      <c r="N756" s="36"/>
    </row>
    <row r="757" spans="1:14" s="45" customFormat="1" ht="15.75" customHeight="1" x14ac:dyDescent="0.25">
      <c r="A757" s="88">
        <f t="shared" si="156"/>
        <v>5</v>
      </c>
      <c r="B757" s="89"/>
      <c r="C757" s="96" t="s">
        <v>197</v>
      </c>
      <c r="D757" s="97"/>
      <c r="E757" s="97"/>
      <c r="F757" s="98"/>
      <c r="G757" s="92" t="str">
        <f t="shared" si="157"/>
        <v>4th Floor (Part Terrace Area)</v>
      </c>
      <c r="H757" s="93"/>
      <c r="I757" s="36"/>
      <c r="L757" s="104"/>
      <c r="M757" s="104"/>
      <c r="N757" s="36"/>
    </row>
    <row r="758" spans="1:14" s="45" customFormat="1" ht="15.75" customHeight="1" x14ac:dyDescent="0.25">
      <c r="A758" s="88">
        <f t="shared" si="156"/>
        <v>6</v>
      </c>
      <c r="B758" s="89"/>
      <c r="C758" s="51" t="s">
        <v>192</v>
      </c>
      <c r="D758" s="53">
        <f>(49.15+0.9*3.05+1.5*(2.15+2.75+3.05))*(10.764)</f>
        <v>686.95847999999989</v>
      </c>
      <c r="E758" s="52">
        <v>0</v>
      </c>
      <c r="F758" s="52">
        <f>D758*(($F$351)+1)+(IF(E758&lt;101,E758,IF(E758&lt;201,E758/2,IF(E758&lt;=301,E758/3,E758/4))))</f>
        <v>1030.4377199999999</v>
      </c>
      <c r="G758" s="94" t="str">
        <f t="shared" si="157"/>
        <v>4th Floor (Part Terrace Area)</v>
      </c>
      <c r="H758" s="95"/>
      <c r="I758" s="36"/>
      <c r="L758" s="104"/>
      <c r="M758" s="104"/>
      <c r="N758" s="36"/>
    </row>
    <row r="759" spans="1:14" s="45" customFormat="1" x14ac:dyDescent="0.25">
      <c r="A759" s="99" t="s">
        <v>201</v>
      </c>
      <c r="B759" s="100"/>
      <c r="C759" s="100"/>
      <c r="D759" s="100"/>
      <c r="E759" s="100"/>
      <c r="F759" s="100"/>
      <c r="G759" s="100"/>
      <c r="H759" s="101"/>
      <c r="J759" s="36"/>
    </row>
    <row r="760" spans="1:14" s="45" customFormat="1" x14ac:dyDescent="0.25">
      <c r="A760" s="88">
        <v>1</v>
      </c>
      <c r="B760" s="89"/>
      <c r="C760" s="51" t="s">
        <v>192</v>
      </c>
      <c r="D760" s="53">
        <f>(49.15+0.9*3.05+1.5*(2.15+2.75+3.05))*(10.764)</f>
        <v>686.95847999999989</v>
      </c>
      <c r="E760" s="52">
        <v>0</v>
      </c>
      <c r="F760" s="52">
        <f>D760*(($F$351)+1)+(IF(E760&lt;101,E760,IF(E760&lt;201,E760/2,IF(E760&lt;=301,E760/3,E760/4))))</f>
        <v>1030.4377199999999</v>
      </c>
      <c r="G760" s="90" t="str">
        <f>A759</f>
        <v>5th Floor</v>
      </c>
      <c r="H760" s="91"/>
      <c r="I760" s="36"/>
      <c r="L760" s="104"/>
      <c r="M760" s="104"/>
      <c r="N760" s="36"/>
    </row>
    <row r="761" spans="1:14" s="45" customFormat="1" x14ac:dyDescent="0.25">
      <c r="A761" s="88">
        <f t="shared" ref="A761:A765" si="158">A760+1</f>
        <v>2</v>
      </c>
      <c r="B761" s="89"/>
      <c r="C761" s="51" t="s">
        <v>192</v>
      </c>
      <c r="D761" s="53">
        <f>(49.15+0.9*3.05+1.5*(2.15+2.75+3.05))*(10.764)</f>
        <v>686.95847999999989</v>
      </c>
      <c r="E761" s="52">
        <v>0</v>
      </c>
      <c r="F761" s="52">
        <f>D761*(($F$351)+1)+(IF(E761&lt;101,E761,IF(E761&lt;201,E761/2,IF(E761&lt;=301,E761/3,E761/4))))</f>
        <v>1030.4377199999999</v>
      </c>
      <c r="G761" s="92" t="str">
        <f t="shared" ref="G761:G765" si="159">G760</f>
        <v>5th Floor</v>
      </c>
      <c r="H761" s="93"/>
      <c r="I761" s="36"/>
      <c r="L761" s="104"/>
      <c r="M761" s="104"/>
      <c r="N761" s="36"/>
    </row>
    <row r="762" spans="1:14" s="45" customFormat="1" x14ac:dyDescent="0.25">
      <c r="A762" s="88">
        <f t="shared" si="158"/>
        <v>3</v>
      </c>
      <c r="B762" s="89"/>
      <c r="C762" s="51">
        <v>1</v>
      </c>
      <c r="D762" s="53">
        <f>(3*4.3+2.1*2.15+3*3.15+1.2*1.83+2.5*0.6+1.2*1.83+2.1*0.9+1.5*(3+2.1)+3*0.9)*(10.764)</f>
        <v>484.34770799999995</v>
      </c>
      <c r="E762" s="52">
        <v>0</v>
      </c>
      <c r="F762" s="52">
        <f>D762*(($F$351)+1)+(IF(E762&lt;101,E762,IF(E762&lt;201,E762/2,IF(E762&lt;=301,E762/3,E762/4))))</f>
        <v>726.5215619999999</v>
      </c>
      <c r="G762" s="92" t="str">
        <f t="shared" si="159"/>
        <v>5th Floor</v>
      </c>
      <c r="H762" s="93"/>
      <c r="I762" s="36"/>
      <c r="L762" s="104"/>
      <c r="M762" s="104"/>
      <c r="N762" s="36"/>
    </row>
    <row r="763" spans="1:14" s="45" customFormat="1" x14ac:dyDescent="0.25">
      <c r="A763" s="88">
        <f t="shared" si="158"/>
        <v>4</v>
      </c>
      <c r="B763" s="89"/>
      <c r="C763" s="51">
        <v>1</v>
      </c>
      <c r="D763" s="53">
        <f>(3*4.3+2.1*2.15+3*3.15+1.2*1.83+2.5*0.6+1.2*1.83+2.1*0.9+1.5*(3+2.1)+3*0.9)*(10.764)</f>
        <v>484.34770799999995</v>
      </c>
      <c r="E763" s="52">
        <v>0</v>
      </c>
      <c r="F763" s="52">
        <f>D763*(($F$351)+1)+(IF(E763&lt;101,E763,IF(E763&lt;201,E763/2,IF(E763&lt;=301,E763/3,E763/4))))</f>
        <v>726.5215619999999</v>
      </c>
      <c r="G763" s="92" t="str">
        <f t="shared" si="159"/>
        <v>5th Floor</v>
      </c>
      <c r="H763" s="93"/>
      <c r="I763" s="36"/>
      <c r="L763" s="104"/>
      <c r="M763" s="104"/>
      <c r="N763" s="36"/>
    </row>
    <row r="764" spans="1:14" s="45" customFormat="1" x14ac:dyDescent="0.25">
      <c r="A764" s="88">
        <f t="shared" si="158"/>
        <v>5</v>
      </c>
      <c r="B764" s="89"/>
      <c r="C764" s="96" t="s">
        <v>200</v>
      </c>
      <c r="D764" s="97"/>
      <c r="E764" s="97"/>
      <c r="F764" s="98"/>
      <c r="G764" s="92" t="str">
        <f t="shared" si="159"/>
        <v>5th Floor</v>
      </c>
      <c r="H764" s="93"/>
      <c r="I764" s="36"/>
      <c r="L764" s="104"/>
      <c r="M764" s="104"/>
      <c r="N764" s="36"/>
    </row>
    <row r="765" spans="1:14" s="45" customFormat="1" x14ac:dyDescent="0.25">
      <c r="A765" s="88">
        <f t="shared" si="158"/>
        <v>6</v>
      </c>
      <c r="B765" s="89"/>
      <c r="C765" s="51" t="s">
        <v>192</v>
      </c>
      <c r="D765" s="53">
        <f>(49.15+0.9*3.05+1.5*(2.15+2.75+3.05))*(10.764)</f>
        <v>686.95847999999989</v>
      </c>
      <c r="E765" s="52">
        <v>0</v>
      </c>
      <c r="F765" s="52">
        <f>D765*(($F$351)+1)+(IF(E765&lt;101,E765,IF(E765&lt;201,E765/2,IF(E765&lt;=301,E765/3,E765/4))))</f>
        <v>1030.4377199999999</v>
      </c>
      <c r="G765" s="94" t="str">
        <f t="shared" si="159"/>
        <v>5th Floor</v>
      </c>
      <c r="H765" s="95"/>
      <c r="I765" s="36"/>
      <c r="L765" s="104"/>
      <c r="M765" s="104"/>
      <c r="N765" s="36"/>
    </row>
    <row r="766" spans="1:14" s="45" customFormat="1" x14ac:dyDescent="0.25">
      <c r="A766" s="99" t="s">
        <v>199</v>
      </c>
      <c r="B766" s="100"/>
      <c r="C766" s="100"/>
      <c r="D766" s="100"/>
      <c r="E766" s="100"/>
      <c r="F766" s="100"/>
      <c r="G766" s="100"/>
      <c r="H766" s="101"/>
      <c r="J766" s="36"/>
    </row>
    <row r="767" spans="1:14" s="45" customFormat="1" x14ac:dyDescent="0.25">
      <c r="A767" s="88">
        <v>1</v>
      </c>
      <c r="B767" s="89"/>
      <c r="C767" s="51" t="s">
        <v>192</v>
      </c>
      <c r="D767" s="53">
        <f>(49.15+0.9*3.05+1.5*(2.15+2.75+3.05))*(10.764)</f>
        <v>686.95847999999989</v>
      </c>
      <c r="E767" s="52">
        <v>0</v>
      </c>
      <c r="F767" s="52">
        <f>D767*(($F$351)+1)+(IF(E767&lt;101,E767,IF(E767&lt;201,E767/2,IF(E767&lt;=301,E767/3,E767/4))))</f>
        <v>1030.4377199999999</v>
      </c>
      <c r="G767" s="90" t="str">
        <f>A766</f>
        <v>6th Floor</v>
      </c>
      <c r="H767" s="91"/>
      <c r="I767" s="36"/>
      <c r="L767" s="104"/>
      <c r="M767" s="104"/>
      <c r="N767" s="36"/>
    </row>
    <row r="768" spans="1:14" s="45" customFormat="1" x14ac:dyDescent="0.25">
      <c r="A768" s="88">
        <f t="shared" ref="A768:A772" si="160">A767+1</f>
        <v>2</v>
      </c>
      <c r="B768" s="89"/>
      <c r="C768" s="51" t="s">
        <v>192</v>
      </c>
      <c r="D768" s="53">
        <f>(49.15+0.9*3.05+1.5*(2.15+2.75+3.05))*(10.764)</f>
        <v>686.95847999999989</v>
      </c>
      <c r="E768" s="52">
        <v>0</v>
      </c>
      <c r="F768" s="52">
        <f>D768*(($F$351)+1)+(IF(E768&lt;101,E768,IF(E768&lt;201,E768/2,IF(E768&lt;=301,E768/3,E768/4))))</f>
        <v>1030.4377199999999</v>
      </c>
      <c r="G768" s="92" t="str">
        <f t="shared" ref="G768:G772" si="161">G767</f>
        <v>6th Floor</v>
      </c>
      <c r="H768" s="93"/>
      <c r="I768" s="36"/>
      <c r="L768" s="104"/>
      <c r="M768" s="104"/>
      <c r="N768" s="36"/>
    </row>
    <row r="769" spans="1:14" s="45" customFormat="1" x14ac:dyDescent="0.25">
      <c r="A769" s="88">
        <f t="shared" si="160"/>
        <v>3</v>
      </c>
      <c r="B769" s="89"/>
      <c r="C769" s="51">
        <v>1</v>
      </c>
      <c r="D769" s="53">
        <f>(3*4.3+2.1*2.15+3*3.15+1.2*1.83+2.5*0.6+1.2*1.83+2.1*0.9+1.5*(3+2.1)+3*0.9)*(10.764)</f>
        <v>484.34770799999995</v>
      </c>
      <c r="E769" s="52">
        <v>0</v>
      </c>
      <c r="F769" s="52">
        <f>D769*(($F$351)+1)+(IF(E769&lt;101,E769,IF(E769&lt;201,E769/2,IF(E769&lt;=301,E769/3,E769/4))))</f>
        <v>726.5215619999999</v>
      </c>
      <c r="G769" s="92" t="str">
        <f t="shared" si="161"/>
        <v>6th Floor</v>
      </c>
      <c r="H769" s="93"/>
      <c r="I769" s="36"/>
      <c r="L769" s="104"/>
      <c r="M769" s="104"/>
      <c r="N769" s="36"/>
    </row>
    <row r="770" spans="1:14" s="45" customFormat="1" x14ac:dyDescent="0.25">
      <c r="A770" s="88">
        <f t="shared" si="160"/>
        <v>4</v>
      </c>
      <c r="B770" s="89"/>
      <c r="C770" s="51">
        <v>1</v>
      </c>
      <c r="D770" s="53">
        <f>(3*4.3+2.1*2.15+3*3.15+1.2*1.83+2.5*0.6+1.2*1.83+2.1*0.9+1.5*(3+2.1)+3*0.9)*(10.764)</f>
        <v>484.34770799999995</v>
      </c>
      <c r="E770" s="52">
        <v>0</v>
      </c>
      <c r="F770" s="52">
        <f>D770*(($F$351)+1)+(IF(E770&lt;101,E770,IF(E770&lt;201,E770/2,IF(E770&lt;=301,E770/3,E770/4))))</f>
        <v>726.5215619999999</v>
      </c>
      <c r="G770" s="92" t="str">
        <f t="shared" si="161"/>
        <v>6th Floor</v>
      </c>
      <c r="H770" s="93"/>
      <c r="I770" s="36"/>
      <c r="L770" s="104"/>
      <c r="M770" s="104"/>
      <c r="N770" s="36"/>
    </row>
    <row r="771" spans="1:14" s="45" customFormat="1" x14ac:dyDescent="0.25">
      <c r="A771" s="88">
        <f t="shared" si="160"/>
        <v>5</v>
      </c>
      <c r="B771" s="89"/>
      <c r="C771" s="96" t="s">
        <v>200</v>
      </c>
      <c r="D771" s="97"/>
      <c r="E771" s="97"/>
      <c r="F771" s="98"/>
      <c r="G771" s="92" t="str">
        <f t="shared" si="161"/>
        <v>6th Floor</v>
      </c>
      <c r="H771" s="93"/>
      <c r="I771" s="36"/>
      <c r="L771" s="104"/>
      <c r="M771" s="104"/>
      <c r="N771" s="36"/>
    </row>
    <row r="772" spans="1:14" s="45" customFormat="1" x14ac:dyDescent="0.25">
      <c r="A772" s="88">
        <f t="shared" si="160"/>
        <v>6</v>
      </c>
      <c r="B772" s="89"/>
      <c r="C772" s="51" t="s">
        <v>192</v>
      </c>
      <c r="D772" s="53">
        <f>(49.15+0.9*3.05+1.5*(2.15+2.75+3.05))*(10.764)</f>
        <v>686.95847999999989</v>
      </c>
      <c r="E772" s="52">
        <v>0</v>
      </c>
      <c r="F772" s="52">
        <f>D772*(($F$351)+1)+(IF(E772&lt;101,E772,IF(E772&lt;201,E772/2,IF(E772&lt;=301,E772/3,E772/4))))</f>
        <v>1030.4377199999999</v>
      </c>
      <c r="G772" s="94" t="str">
        <f t="shared" si="161"/>
        <v>6th Floor</v>
      </c>
      <c r="H772" s="95"/>
      <c r="I772" s="36"/>
      <c r="L772" s="104"/>
      <c r="M772" s="104"/>
      <c r="N772" s="36"/>
    </row>
    <row r="773" spans="1:14" s="45" customFormat="1" x14ac:dyDescent="0.25">
      <c r="A773" s="99" t="s">
        <v>196</v>
      </c>
      <c r="B773" s="100"/>
      <c r="C773" s="100"/>
      <c r="D773" s="100"/>
      <c r="E773" s="100"/>
      <c r="F773" s="100"/>
      <c r="G773" s="100"/>
      <c r="H773" s="101"/>
      <c r="J773" s="36"/>
    </row>
    <row r="774" spans="1:14" s="45" customFormat="1" ht="15.75" customHeight="1" x14ac:dyDescent="0.25">
      <c r="A774" s="88">
        <v>1</v>
      </c>
      <c r="B774" s="89"/>
      <c r="C774" s="51" t="s">
        <v>192</v>
      </c>
      <c r="D774" s="53">
        <f>(49.15+1.5*(3.05+2.15+2.76)+0.9*3.05)*(10.764)</f>
        <v>687.11993999999993</v>
      </c>
      <c r="E774" s="52">
        <v>0</v>
      </c>
      <c r="F774" s="52">
        <f t="shared" ref="F774:F779" si="162">D774*(($F$351)+1)+(IF(E774&lt;101,E774,IF(E774&lt;201,E774/2,IF(E774&lt;=301,E774/3,E774/4))))</f>
        <v>1030.6799099999998</v>
      </c>
      <c r="G774" s="90" t="str">
        <f>A773</f>
        <v>7th, 17th Floor (Part Refuge Area)</v>
      </c>
      <c r="H774" s="91"/>
      <c r="I774" s="36"/>
      <c r="L774" s="104"/>
      <c r="M774" s="104"/>
      <c r="N774" s="36"/>
    </row>
    <row r="775" spans="1:14" s="45" customFormat="1" ht="15.75" customHeight="1" x14ac:dyDescent="0.25">
      <c r="A775" s="88">
        <f t="shared" ref="A775:A779" si="163">A774+1</f>
        <v>2</v>
      </c>
      <c r="B775" s="89"/>
      <c r="C775" s="51" t="s">
        <v>192</v>
      </c>
      <c r="D775" s="53">
        <f>(49.15+1.5*(3.05+2.15+2.76)+0.9*3.05)*(10.764)</f>
        <v>687.11993999999993</v>
      </c>
      <c r="E775" s="52">
        <v>0</v>
      </c>
      <c r="F775" s="52">
        <f t="shared" si="162"/>
        <v>1030.6799099999998</v>
      </c>
      <c r="G775" s="92" t="str">
        <f t="shared" ref="G775:G779" si="164">G774</f>
        <v>7th, 17th Floor (Part Refuge Area)</v>
      </c>
      <c r="H775" s="93"/>
      <c r="I775" s="36"/>
      <c r="L775" s="104"/>
      <c r="M775" s="104"/>
      <c r="N775" s="36"/>
    </row>
    <row r="776" spans="1:14" s="45" customFormat="1" ht="15.75" customHeight="1" x14ac:dyDescent="0.25">
      <c r="A776" s="88">
        <f t="shared" si="163"/>
        <v>3</v>
      </c>
      <c r="B776" s="89"/>
      <c r="C776" s="51">
        <v>1</v>
      </c>
      <c r="D776" s="53">
        <f>(3*4.3+2.1*2.15+3*3.15+1.2*1.83+2.5*0.6+1.2*1.83+2.1*0.9+1.5*(3+2.1)+3*0.9)*(10.764)</f>
        <v>484.34770799999995</v>
      </c>
      <c r="E776" s="52">
        <v>0</v>
      </c>
      <c r="F776" s="52">
        <f t="shared" si="162"/>
        <v>726.5215619999999</v>
      </c>
      <c r="G776" s="92" t="str">
        <f t="shared" si="164"/>
        <v>7th, 17th Floor (Part Refuge Area)</v>
      </c>
      <c r="H776" s="93"/>
      <c r="I776" s="36"/>
      <c r="L776" s="104"/>
      <c r="M776" s="104"/>
      <c r="N776" s="36"/>
    </row>
    <row r="777" spans="1:14" s="45" customFormat="1" ht="15.75" customHeight="1" x14ac:dyDescent="0.25">
      <c r="A777" s="88">
        <f t="shared" si="163"/>
        <v>4</v>
      </c>
      <c r="B777" s="89"/>
      <c r="C777" s="51">
        <v>1</v>
      </c>
      <c r="D777" s="53">
        <f>(3*4.3+2.1*2.15+3*3.15+1.2*1.83+2.5*0.6+1.2*1.83+2.1*0.9+1.5*(3+2.1)+3*0.9)*(10.764)</f>
        <v>484.34770799999995</v>
      </c>
      <c r="E777" s="52">
        <v>0</v>
      </c>
      <c r="F777" s="52">
        <f t="shared" si="162"/>
        <v>726.5215619999999</v>
      </c>
      <c r="G777" s="92" t="str">
        <f t="shared" si="164"/>
        <v>7th, 17th Floor (Part Refuge Area)</v>
      </c>
      <c r="H777" s="93"/>
      <c r="I777" s="36"/>
      <c r="L777" s="104"/>
      <c r="M777" s="104"/>
      <c r="N777" s="36"/>
    </row>
    <row r="778" spans="1:14" s="45" customFormat="1" ht="15.75" customHeight="1" x14ac:dyDescent="0.25">
      <c r="A778" s="88">
        <f t="shared" si="163"/>
        <v>5</v>
      </c>
      <c r="B778" s="89"/>
      <c r="C778" s="51" t="s">
        <v>192</v>
      </c>
      <c r="D778" s="53">
        <f>(49.15+1.5*(3.05+2.15+2.76)+0.9*3.05)*(10.764)</f>
        <v>687.11993999999993</v>
      </c>
      <c r="E778" s="52">
        <v>0</v>
      </c>
      <c r="F778" s="52">
        <f t="shared" si="162"/>
        <v>1030.6799099999998</v>
      </c>
      <c r="G778" s="92" t="str">
        <f t="shared" si="164"/>
        <v>7th, 17th Floor (Part Refuge Area)</v>
      </c>
      <c r="H778" s="93"/>
      <c r="I778" s="36"/>
      <c r="L778" s="104"/>
      <c r="M778" s="104"/>
      <c r="N778" s="36"/>
    </row>
    <row r="779" spans="1:14" s="45" customFormat="1" ht="15.75" customHeight="1" x14ac:dyDescent="0.25">
      <c r="A779" s="88">
        <f t="shared" si="163"/>
        <v>6</v>
      </c>
      <c r="B779" s="89"/>
      <c r="C779" s="51" t="s">
        <v>192</v>
      </c>
      <c r="D779" s="53">
        <f>(49.15+1.5*(3.05+2.15+2.76)+0.9*3.05)*(10.764)</f>
        <v>687.11993999999993</v>
      </c>
      <c r="E779" s="52">
        <v>0</v>
      </c>
      <c r="F779" s="52">
        <f t="shared" si="162"/>
        <v>1030.6799099999998</v>
      </c>
      <c r="G779" s="94" t="str">
        <f t="shared" si="164"/>
        <v>7th, 17th Floor (Part Refuge Area)</v>
      </c>
      <c r="H779" s="95"/>
      <c r="I779" s="36"/>
      <c r="L779" s="104"/>
      <c r="M779" s="104"/>
      <c r="N779" s="36"/>
    </row>
    <row r="780" spans="1:14" s="45" customFormat="1" x14ac:dyDescent="0.25">
      <c r="A780" s="99" t="s">
        <v>194</v>
      </c>
      <c r="B780" s="100"/>
      <c r="C780" s="100"/>
      <c r="D780" s="100"/>
      <c r="E780" s="100"/>
      <c r="F780" s="100"/>
      <c r="G780" s="100"/>
      <c r="H780" s="101"/>
      <c r="J780" s="36"/>
    </row>
    <row r="781" spans="1:14" s="45" customFormat="1" ht="15.75" customHeight="1" x14ac:dyDescent="0.25">
      <c r="A781" s="88">
        <v>1</v>
      </c>
      <c r="B781" s="89"/>
      <c r="C781" s="51" t="s">
        <v>192</v>
      </c>
      <c r="D781" s="53">
        <f>(49.15+0.9*3.05+1.5*(2.15+2.75+3.05))*(10.764)</f>
        <v>686.95847999999989</v>
      </c>
      <c r="E781" s="52">
        <v>0</v>
      </c>
      <c r="F781" s="52">
        <f t="shared" ref="F781:F786" si="165">D781*(($F$351)+1)+(IF(E781&lt;101,E781,IF(E781&lt;201,E781/2,IF(E781&lt;=301,E781/3,E781/4))))</f>
        <v>1030.4377199999999</v>
      </c>
      <c r="G781" s="90" t="str">
        <f>A780</f>
        <v>12th Floor (Part Refuge Area)</v>
      </c>
      <c r="H781" s="91"/>
      <c r="I781" s="36"/>
      <c r="L781" s="104"/>
      <c r="M781" s="104"/>
      <c r="N781" s="36"/>
    </row>
    <row r="782" spans="1:14" s="45" customFormat="1" ht="15.75" customHeight="1" x14ac:dyDescent="0.25">
      <c r="A782" s="88">
        <f t="shared" ref="A782:A786" si="166">A781+1</f>
        <v>2</v>
      </c>
      <c r="B782" s="89"/>
      <c r="C782" s="51" t="s">
        <v>192</v>
      </c>
      <c r="D782" s="53">
        <f>(49.15+0.9*3.05+1.5*(2.15+2.75+3.05))*(10.764)</f>
        <v>686.95847999999989</v>
      </c>
      <c r="E782" s="52">
        <v>0</v>
      </c>
      <c r="F782" s="52">
        <f t="shared" si="165"/>
        <v>1030.4377199999999</v>
      </c>
      <c r="G782" s="92" t="str">
        <f t="shared" ref="G782:G786" si="167">G781</f>
        <v>12th Floor (Part Refuge Area)</v>
      </c>
      <c r="H782" s="93"/>
      <c r="I782" s="36"/>
      <c r="L782" s="104"/>
      <c r="M782" s="104"/>
      <c r="N782" s="36"/>
    </row>
    <row r="783" spans="1:14" s="45" customFormat="1" ht="15.75" customHeight="1" x14ac:dyDescent="0.25">
      <c r="A783" s="88">
        <f t="shared" si="166"/>
        <v>3</v>
      </c>
      <c r="B783" s="89"/>
      <c r="C783" s="51">
        <v>1</v>
      </c>
      <c r="D783" s="53">
        <f>(3*4.3+2.1*2.15+3*3.15+1.2*1.83+2.5*0.6+1.2*1.83+2.1*0.9+1.5*(3+2.1)+3*0.9)*(10.764)</f>
        <v>484.34770799999995</v>
      </c>
      <c r="E783" s="52">
        <v>0</v>
      </c>
      <c r="F783" s="52">
        <f t="shared" si="165"/>
        <v>726.5215619999999</v>
      </c>
      <c r="G783" s="92" t="str">
        <f t="shared" si="167"/>
        <v>12th Floor (Part Refuge Area)</v>
      </c>
      <c r="H783" s="93"/>
      <c r="I783" s="36"/>
      <c r="L783" s="104"/>
      <c r="M783" s="104"/>
      <c r="N783" s="36"/>
    </row>
    <row r="784" spans="1:14" s="45" customFormat="1" ht="15.75" customHeight="1" x14ac:dyDescent="0.25">
      <c r="A784" s="88">
        <f t="shared" si="166"/>
        <v>4</v>
      </c>
      <c r="B784" s="89"/>
      <c r="C784" s="51">
        <v>1</v>
      </c>
      <c r="D784" s="53">
        <f>(3*4.3+2.1*2.15+3*3.15+1.2*1.83+2.5*0.6+1.2*1.83+2.1*0.9+1.5*(3+2.1)+3*0.9)*(10.764)</f>
        <v>484.34770799999995</v>
      </c>
      <c r="E784" s="52">
        <v>0</v>
      </c>
      <c r="F784" s="52">
        <f t="shared" si="165"/>
        <v>726.5215619999999</v>
      </c>
      <c r="G784" s="92" t="str">
        <f t="shared" si="167"/>
        <v>12th Floor (Part Refuge Area)</v>
      </c>
      <c r="H784" s="93"/>
      <c r="I784" s="36"/>
      <c r="L784" s="104"/>
      <c r="M784" s="104"/>
      <c r="N784" s="36"/>
    </row>
    <row r="785" spans="1:14" s="45" customFormat="1" ht="15.75" customHeight="1" x14ac:dyDescent="0.25">
      <c r="A785" s="88">
        <f t="shared" si="166"/>
        <v>5</v>
      </c>
      <c r="B785" s="89"/>
      <c r="C785" s="51" t="s">
        <v>192</v>
      </c>
      <c r="D785" s="53">
        <f>(49.15+0.9*3.05+1.5*(2.15+2.75+3.05))*(10.764)</f>
        <v>686.95847999999989</v>
      </c>
      <c r="E785" s="52">
        <v>0</v>
      </c>
      <c r="F785" s="52">
        <f t="shared" si="165"/>
        <v>1030.4377199999999</v>
      </c>
      <c r="G785" s="92" t="str">
        <f t="shared" si="167"/>
        <v>12th Floor (Part Refuge Area)</v>
      </c>
      <c r="H785" s="93"/>
      <c r="I785" s="36"/>
      <c r="L785" s="104"/>
      <c r="M785" s="104"/>
      <c r="N785" s="36"/>
    </row>
    <row r="786" spans="1:14" s="45" customFormat="1" ht="15.75" customHeight="1" x14ac:dyDescent="0.25">
      <c r="A786" s="88">
        <f t="shared" si="166"/>
        <v>6</v>
      </c>
      <c r="B786" s="89"/>
      <c r="C786" s="51" t="s">
        <v>192</v>
      </c>
      <c r="D786" s="53">
        <f>(49.15+0.9*3.05+1.5*(2.15+2.75+3.05))*(10.764)</f>
        <v>686.95847999999989</v>
      </c>
      <c r="E786" s="52">
        <v>0</v>
      </c>
      <c r="F786" s="52">
        <f t="shared" si="165"/>
        <v>1030.4377199999999</v>
      </c>
      <c r="G786" s="94" t="str">
        <f t="shared" si="167"/>
        <v>12th Floor (Part Refuge Area)</v>
      </c>
      <c r="H786" s="95"/>
      <c r="I786" s="36"/>
      <c r="L786" s="104"/>
      <c r="M786" s="104"/>
      <c r="N786" s="36"/>
    </row>
    <row r="787" spans="1:14" s="45" customFormat="1" x14ac:dyDescent="0.25">
      <c r="A787" s="99" t="s">
        <v>203</v>
      </c>
      <c r="B787" s="100"/>
      <c r="C787" s="100"/>
      <c r="D787" s="100"/>
      <c r="E787" s="100"/>
      <c r="F787" s="100"/>
      <c r="G787" s="100"/>
      <c r="H787" s="101"/>
      <c r="J787" s="36"/>
    </row>
    <row r="788" spans="1:14" s="45" customFormat="1" ht="15.75" customHeight="1" x14ac:dyDescent="0.25">
      <c r="A788" s="88">
        <v>1</v>
      </c>
      <c r="B788" s="89"/>
      <c r="C788" s="51" t="s">
        <v>192</v>
      </c>
      <c r="D788" s="53">
        <f>(49.15+1.5*(3.05+2.15+2.76)+0.9*3.05)*(10.764)</f>
        <v>687.11993999999993</v>
      </c>
      <c r="E788" s="52">
        <v>0</v>
      </c>
      <c r="F788" s="52">
        <f t="shared" ref="F788" si="168">D788*(($F$351)+1)+(IF(E788&lt;101,E788,IF(E788&lt;201,E788/2,IF(E788&lt;=301,E788/3,E788/4))))</f>
        <v>1030.6799099999998</v>
      </c>
      <c r="G788" s="90" t="str">
        <f>A787</f>
        <v>13th Floor (Part Terrace Area)</v>
      </c>
      <c r="H788" s="91"/>
      <c r="I788" s="36"/>
      <c r="L788" s="104"/>
      <c r="M788" s="104"/>
      <c r="N788" s="36"/>
    </row>
    <row r="789" spans="1:14" s="45" customFormat="1" ht="15.75" customHeight="1" x14ac:dyDescent="0.25">
      <c r="A789" s="88">
        <f t="shared" ref="A789:A793" si="169">A788+1</f>
        <v>2</v>
      </c>
      <c r="B789" s="89"/>
      <c r="C789" s="96" t="s">
        <v>197</v>
      </c>
      <c r="D789" s="97"/>
      <c r="E789" s="97"/>
      <c r="F789" s="98"/>
      <c r="G789" s="92" t="str">
        <f t="shared" ref="G789:G793" si="170">G788</f>
        <v>13th Floor (Part Terrace Area)</v>
      </c>
      <c r="H789" s="93"/>
      <c r="I789" s="36"/>
      <c r="L789" s="104"/>
      <c r="M789" s="104"/>
      <c r="N789" s="36"/>
    </row>
    <row r="790" spans="1:14" s="45" customFormat="1" ht="15.75" customHeight="1" x14ac:dyDescent="0.25">
      <c r="A790" s="88">
        <f t="shared" si="169"/>
        <v>3</v>
      </c>
      <c r="B790" s="89"/>
      <c r="C790" s="51">
        <v>1</v>
      </c>
      <c r="D790" s="53">
        <f>(3*4.3+2.1*2.15+3*3.15+1.2*1.83+2.5*0.6+1.2*1.83+2.1*0.9+1.5*(3+2.1)+3*0.9)*(10.764)</f>
        <v>484.34770799999995</v>
      </c>
      <c r="E790" s="52">
        <v>0</v>
      </c>
      <c r="F790" s="52">
        <f t="shared" ref="F790:F793" si="171">D790*(($F$351)+1)+(IF(E790&lt;101,E790,IF(E790&lt;201,E790/2,IF(E790&lt;=301,E790/3,E790/4))))</f>
        <v>726.5215619999999</v>
      </c>
      <c r="G790" s="92" t="str">
        <f t="shared" si="170"/>
        <v>13th Floor (Part Terrace Area)</v>
      </c>
      <c r="H790" s="93"/>
      <c r="I790" s="36"/>
      <c r="L790" s="104"/>
      <c r="M790" s="104"/>
      <c r="N790" s="36"/>
    </row>
    <row r="791" spans="1:14" s="45" customFormat="1" ht="15.75" customHeight="1" x14ac:dyDescent="0.25">
      <c r="A791" s="88">
        <f t="shared" si="169"/>
        <v>4</v>
      </c>
      <c r="B791" s="89"/>
      <c r="C791" s="51">
        <v>1</v>
      </c>
      <c r="D791" s="53">
        <f>(3*4.3+2.1*2.15+3*3.15+1.2*1.83+2.5*0.6+1.2*1.83+2.1*0.9+1.5*(3+2.1)+3*0.9)*(10.764)</f>
        <v>484.34770799999995</v>
      </c>
      <c r="E791" s="52">
        <v>0</v>
      </c>
      <c r="F791" s="52">
        <f t="shared" si="171"/>
        <v>726.5215619999999</v>
      </c>
      <c r="G791" s="92" t="str">
        <f t="shared" si="170"/>
        <v>13th Floor (Part Terrace Area)</v>
      </c>
      <c r="H791" s="93"/>
      <c r="I791" s="36"/>
      <c r="L791" s="104"/>
      <c r="M791" s="104"/>
      <c r="N791" s="36"/>
    </row>
    <row r="792" spans="1:14" s="45" customFormat="1" ht="15.75" customHeight="1" x14ac:dyDescent="0.25">
      <c r="A792" s="88">
        <f t="shared" si="169"/>
        <v>5</v>
      </c>
      <c r="B792" s="89"/>
      <c r="C792" s="51" t="s">
        <v>192</v>
      </c>
      <c r="D792" s="53">
        <f>(49.15+1.5*(3.05+2.15+2.76)+0.9*3.05)*(10.764)</f>
        <v>687.11993999999993</v>
      </c>
      <c r="E792" s="52">
        <v>0</v>
      </c>
      <c r="F792" s="52">
        <f t="shared" si="171"/>
        <v>1030.6799099999998</v>
      </c>
      <c r="G792" s="92" t="str">
        <f t="shared" si="170"/>
        <v>13th Floor (Part Terrace Area)</v>
      </c>
      <c r="H792" s="93"/>
      <c r="I792" s="36"/>
      <c r="L792" s="104"/>
      <c r="M792" s="104"/>
      <c r="N792" s="36"/>
    </row>
    <row r="793" spans="1:14" s="45" customFormat="1" ht="15.75" customHeight="1" x14ac:dyDescent="0.25">
      <c r="A793" s="88">
        <f t="shared" si="169"/>
        <v>6</v>
      </c>
      <c r="B793" s="89"/>
      <c r="C793" s="51" t="s">
        <v>192</v>
      </c>
      <c r="D793" s="53">
        <f>(49.15+1.5*(3.05+2.15+2.76)+0.9*3.05)*(10.764)</f>
        <v>687.11993999999993</v>
      </c>
      <c r="E793" s="52">
        <v>0</v>
      </c>
      <c r="F793" s="52">
        <f t="shared" si="171"/>
        <v>1030.6799099999998</v>
      </c>
      <c r="G793" s="94" t="str">
        <f t="shared" si="170"/>
        <v>13th Floor (Part Terrace Area)</v>
      </c>
      <c r="H793" s="95"/>
      <c r="I793" s="36"/>
      <c r="L793" s="104"/>
      <c r="M793" s="104"/>
      <c r="N793" s="36"/>
    </row>
    <row r="794" spans="1:14" s="45" customFormat="1" x14ac:dyDescent="0.25">
      <c r="A794" s="99" t="s">
        <v>204</v>
      </c>
      <c r="B794" s="100"/>
      <c r="C794" s="100"/>
      <c r="D794" s="100"/>
      <c r="E794" s="100"/>
      <c r="F794" s="100"/>
      <c r="G794" s="100"/>
      <c r="H794" s="101"/>
      <c r="J794" s="36"/>
    </row>
    <row r="795" spans="1:14" s="45" customFormat="1" x14ac:dyDescent="0.25">
      <c r="A795" s="88">
        <v>1</v>
      </c>
      <c r="B795" s="89"/>
      <c r="C795" s="51" t="s">
        <v>192</v>
      </c>
      <c r="D795" s="53">
        <f>(49.15+1.5*(3.05+2.15+2.76)+0.9*3.05)*(10.764)</f>
        <v>687.11993999999993</v>
      </c>
      <c r="E795" s="52">
        <v>0</v>
      </c>
      <c r="F795" s="52">
        <f t="shared" ref="F795" si="172">D795*(($F$351)+1)+(IF(E795&lt;101,E795,IF(E795&lt;201,E795/2,IF(E795&lt;=301,E795/3,E795/4))))</f>
        <v>1030.6799099999998</v>
      </c>
      <c r="G795" s="90" t="str">
        <f>A794</f>
        <v>14th Floor</v>
      </c>
      <c r="H795" s="91"/>
      <c r="I795" s="36"/>
      <c r="L795" s="104"/>
      <c r="M795" s="104"/>
      <c r="N795" s="36"/>
    </row>
    <row r="796" spans="1:14" s="45" customFormat="1" x14ac:dyDescent="0.25">
      <c r="A796" s="88">
        <f t="shared" ref="A796:A800" si="173">A795+1</f>
        <v>2</v>
      </c>
      <c r="B796" s="89"/>
      <c r="C796" s="96" t="s">
        <v>200</v>
      </c>
      <c r="D796" s="97"/>
      <c r="E796" s="97"/>
      <c r="F796" s="98"/>
      <c r="G796" s="92" t="str">
        <f t="shared" ref="G796:G800" si="174">G795</f>
        <v>14th Floor</v>
      </c>
      <c r="H796" s="93"/>
      <c r="I796" s="36"/>
      <c r="L796" s="104"/>
      <c r="M796" s="104"/>
      <c r="N796" s="36"/>
    </row>
    <row r="797" spans="1:14" s="45" customFormat="1" x14ac:dyDescent="0.25">
      <c r="A797" s="88">
        <f t="shared" si="173"/>
        <v>3</v>
      </c>
      <c r="B797" s="89"/>
      <c r="C797" s="51">
        <v>1</v>
      </c>
      <c r="D797" s="53">
        <f>(3*4.3+2.1*2.15+3*3.15+1.2*1.83+2.5*0.6+1.2*1.83+2.1*0.9+1.5*(3+2.1)+3*0.9)*(10.764)</f>
        <v>484.34770799999995</v>
      </c>
      <c r="E797" s="52">
        <v>0</v>
      </c>
      <c r="F797" s="52">
        <f t="shared" ref="F797:F800" si="175">D797*(($F$351)+1)+(IF(E797&lt;101,E797,IF(E797&lt;201,E797/2,IF(E797&lt;=301,E797/3,E797/4))))</f>
        <v>726.5215619999999</v>
      </c>
      <c r="G797" s="92" t="str">
        <f t="shared" si="174"/>
        <v>14th Floor</v>
      </c>
      <c r="H797" s="93"/>
      <c r="I797" s="36"/>
      <c r="L797" s="104"/>
      <c r="M797" s="104"/>
      <c r="N797" s="36"/>
    </row>
    <row r="798" spans="1:14" s="45" customFormat="1" x14ac:dyDescent="0.25">
      <c r="A798" s="88">
        <f t="shared" si="173"/>
        <v>4</v>
      </c>
      <c r="B798" s="89"/>
      <c r="C798" s="51">
        <v>1</v>
      </c>
      <c r="D798" s="53">
        <f>(3*4.3+2.1*2.15+3*3.15+1.2*1.83+2.5*0.6+1.2*1.83+2.1*0.9+1.5*(3+2.1)+3*0.9)*(10.764)</f>
        <v>484.34770799999995</v>
      </c>
      <c r="E798" s="52">
        <v>0</v>
      </c>
      <c r="F798" s="52">
        <f t="shared" si="175"/>
        <v>726.5215619999999</v>
      </c>
      <c r="G798" s="92" t="str">
        <f t="shared" si="174"/>
        <v>14th Floor</v>
      </c>
      <c r="H798" s="93"/>
      <c r="I798" s="36"/>
      <c r="L798" s="104"/>
      <c r="M798" s="104"/>
      <c r="N798" s="36"/>
    </row>
    <row r="799" spans="1:14" s="45" customFormat="1" x14ac:dyDescent="0.25">
      <c r="A799" s="88">
        <f t="shared" si="173"/>
        <v>5</v>
      </c>
      <c r="B799" s="89"/>
      <c r="C799" s="51" t="s">
        <v>192</v>
      </c>
      <c r="D799" s="53">
        <f>(49.15+1.5*(3.05+2.15+2.76)+0.9*3.05)*(10.764)</f>
        <v>687.11993999999993</v>
      </c>
      <c r="E799" s="52">
        <v>0</v>
      </c>
      <c r="F799" s="52">
        <f t="shared" si="175"/>
        <v>1030.6799099999998</v>
      </c>
      <c r="G799" s="92" t="str">
        <f t="shared" si="174"/>
        <v>14th Floor</v>
      </c>
      <c r="H799" s="93"/>
      <c r="I799" s="36"/>
      <c r="L799" s="104"/>
      <c r="M799" s="104"/>
      <c r="N799" s="36"/>
    </row>
    <row r="800" spans="1:14" s="45" customFormat="1" x14ac:dyDescent="0.25">
      <c r="A800" s="88">
        <f t="shared" si="173"/>
        <v>6</v>
      </c>
      <c r="B800" s="89"/>
      <c r="C800" s="51" t="s">
        <v>192</v>
      </c>
      <c r="D800" s="53">
        <f>(49.15+1.5*(3.05+2.15+2.76)+0.9*3.05)*(10.764)</f>
        <v>687.11993999999993</v>
      </c>
      <c r="E800" s="52">
        <v>0</v>
      </c>
      <c r="F800" s="52">
        <f t="shared" si="175"/>
        <v>1030.6799099999998</v>
      </c>
      <c r="G800" s="94" t="str">
        <f t="shared" si="174"/>
        <v>14th Floor</v>
      </c>
      <c r="H800" s="95"/>
      <c r="I800" s="36"/>
      <c r="L800" s="104"/>
      <c r="M800" s="104"/>
      <c r="N800" s="36"/>
    </row>
    <row r="801" spans="1:14" s="45" customFormat="1" x14ac:dyDescent="0.25">
      <c r="A801" s="99" t="s">
        <v>205</v>
      </c>
      <c r="B801" s="100"/>
      <c r="C801" s="100"/>
      <c r="D801" s="100"/>
      <c r="E801" s="100"/>
      <c r="F801" s="100"/>
      <c r="G801" s="100"/>
      <c r="H801" s="101"/>
      <c r="J801" s="36"/>
    </row>
    <row r="802" spans="1:14" s="45" customFormat="1" x14ac:dyDescent="0.25">
      <c r="A802" s="88">
        <v>1</v>
      </c>
      <c r="B802" s="89"/>
      <c r="C802" s="51" t="s">
        <v>192</v>
      </c>
      <c r="D802" s="53">
        <f>(49.15+1.5*(3.05+2.15+2.76)+0.9*3.05)*(10.764)</f>
        <v>687.11993999999993</v>
      </c>
      <c r="E802" s="52">
        <v>0</v>
      </c>
      <c r="F802" s="52">
        <f t="shared" ref="F802" si="176">D802*(($F$351)+1)+(IF(E802&lt;101,E802,IF(E802&lt;201,E802/2,IF(E802&lt;=301,E802/3,E802/4))))</f>
        <v>1030.6799099999998</v>
      </c>
      <c r="G802" s="90" t="str">
        <f>A801</f>
        <v>15th Floor</v>
      </c>
      <c r="H802" s="91"/>
      <c r="I802" s="36"/>
      <c r="L802" s="104"/>
      <c r="M802" s="104"/>
      <c r="N802" s="36"/>
    </row>
    <row r="803" spans="1:14" s="45" customFormat="1" x14ac:dyDescent="0.25">
      <c r="A803" s="88">
        <f t="shared" ref="A803:A807" si="177">A802+1</f>
        <v>2</v>
      </c>
      <c r="B803" s="89"/>
      <c r="C803" s="96" t="s">
        <v>200</v>
      </c>
      <c r="D803" s="97"/>
      <c r="E803" s="97"/>
      <c r="F803" s="98"/>
      <c r="G803" s="92" t="str">
        <f t="shared" ref="G803:G807" si="178">G802</f>
        <v>15th Floor</v>
      </c>
      <c r="H803" s="93"/>
      <c r="I803" s="36"/>
      <c r="L803" s="104"/>
      <c r="M803" s="104"/>
      <c r="N803" s="36"/>
    </row>
    <row r="804" spans="1:14" s="45" customFormat="1" x14ac:dyDescent="0.25">
      <c r="A804" s="88">
        <f t="shared" si="177"/>
        <v>3</v>
      </c>
      <c r="B804" s="89"/>
      <c r="C804" s="51">
        <v>1</v>
      </c>
      <c r="D804" s="53">
        <f>(3*4.3+2.1*2.15+3*3.15+1.2*1.83+2.5*0.6+1.2*1.83+2.1*0.9+1.5*(3+2.1)+3*0.9)*(10.764)</f>
        <v>484.34770799999995</v>
      </c>
      <c r="E804" s="52">
        <v>0</v>
      </c>
      <c r="F804" s="52">
        <f t="shared" ref="F804:F807" si="179">D804*(($F$351)+1)+(IF(E804&lt;101,E804,IF(E804&lt;201,E804/2,IF(E804&lt;=301,E804/3,E804/4))))</f>
        <v>726.5215619999999</v>
      </c>
      <c r="G804" s="92" t="str">
        <f t="shared" si="178"/>
        <v>15th Floor</v>
      </c>
      <c r="H804" s="93"/>
      <c r="I804" s="36"/>
      <c r="L804" s="104"/>
      <c r="M804" s="104"/>
      <c r="N804" s="36"/>
    </row>
    <row r="805" spans="1:14" s="45" customFormat="1" x14ac:dyDescent="0.25">
      <c r="A805" s="88">
        <f t="shared" si="177"/>
        <v>4</v>
      </c>
      <c r="B805" s="89"/>
      <c r="C805" s="51">
        <v>1</v>
      </c>
      <c r="D805" s="53">
        <f>(3*4.3+2.1*2.15+3*3.15+1.2*1.83+2.5*0.6+1.2*1.83+2.1*0.9+1.5*(3+2.1)+3*0.9)*(10.764)</f>
        <v>484.34770799999995</v>
      </c>
      <c r="E805" s="52">
        <v>0</v>
      </c>
      <c r="F805" s="52">
        <f t="shared" si="179"/>
        <v>726.5215619999999</v>
      </c>
      <c r="G805" s="92" t="str">
        <f t="shared" si="178"/>
        <v>15th Floor</v>
      </c>
      <c r="H805" s="93"/>
      <c r="I805" s="36"/>
      <c r="L805" s="104"/>
      <c r="M805" s="104"/>
      <c r="N805" s="36"/>
    </row>
    <row r="806" spans="1:14" s="45" customFormat="1" x14ac:dyDescent="0.25">
      <c r="A806" s="88">
        <f t="shared" si="177"/>
        <v>5</v>
      </c>
      <c r="B806" s="89"/>
      <c r="C806" s="51" t="s">
        <v>192</v>
      </c>
      <c r="D806" s="53">
        <f>(49.15+1.5*(3.05+2.15+2.76)+0.9*3.05)*(10.764)</f>
        <v>687.11993999999993</v>
      </c>
      <c r="E806" s="52">
        <v>0</v>
      </c>
      <c r="F806" s="52">
        <f t="shared" si="179"/>
        <v>1030.6799099999998</v>
      </c>
      <c r="G806" s="92" t="str">
        <f t="shared" si="178"/>
        <v>15th Floor</v>
      </c>
      <c r="H806" s="93"/>
      <c r="I806" s="36"/>
      <c r="L806" s="104"/>
      <c r="M806" s="104"/>
      <c r="N806" s="36"/>
    </row>
    <row r="807" spans="1:14" s="45" customFormat="1" x14ac:dyDescent="0.25">
      <c r="A807" s="88">
        <f t="shared" si="177"/>
        <v>6</v>
      </c>
      <c r="B807" s="89"/>
      <c r="C807" s="51" t="s">
        <v>192</v>
      </c>
      <c r="D807" s="53">
        <f>(49.15+1.5*(3.05+2.15+2.76)+0.9*3.05)*(10.764)</f>
        <v>687.11993999999993</v>
      </c>
      <c r="E807" s="52">
        <v>0</v>
      </c>
      <c r="F807" s="52">
        <f t="shared" si="179"/>
        <v>1030.6799099999998</v>
      </c>
      <c r="G807" s="94" t="str">
        <f t="shared" si="178"/>
        <v>15th Floor</v>
      </c>
      <c r="H807" s="95"/>
      <c r="I807" s="36"/>
      <c r="L807" s="104"/>
      <c r="M807" s="104"/>
      <c r="N807" s="36"/>
    </row>
    <row r="808" spans="1:14" s="45" customFormat="1" x14ac:dyDescent="0.25">
      <c r="A808" s="99" t="s">
        <v>215</v>
      </c>
      <c r="B808" s="100"/>
      <c r="C808" s="100"/>
      <c r="D808" s="100"/>
      <c r="E808" s="100"/>
      <c r="F808" s="100"/>
      <c r="G808" s="100"/>
      <c r="H808" s="101"/>
      <c r="J808" s="36"/>
    </row>
    <row r="809" spans="1:14" s="45" customFormat="1" x14ac:dyDescent="0.25">
      <c r="A809" s="99" t="s">
        <v>265</v>
      </c>
      <c r="B809" s="100"/>
      <c r="C809" s="100"/>
      <c r="D809" s="100"/>
      <c r="E809" s="100"/>
      <c r="F809" s="100"/>
      <c r="G809" s="100"/>
      <c r="H809" s="101"/>
      <c r="I809" s="55" t="s">
        <v>216</v>
      </c>
      <c r="J809" s="36"/>
    </row>
    <row r="810" spans="1:14" s="45" customFormat="1" ht="15.75" customHeight="1" x14ac:dyDescent="0.25">
      <c r="A810" s="99" t="s">
        <v>193</v>
      </c>
      <c r="B810" s="100"/>
      <c r="C810" s="100"/>
      <c r="D810" s="100"/>
      <c r="E810" s="100"/>
      <c r="F810" s="100"/>
      <c r="G810" s="100"/>
      <c r="H810" s="101"/>
      <c r="J810" s="36"/>
    </row>
    <row r="811" spans="1:14" s="45" customFormat="1" ht="15.75" customHeight="1" x14ac:dyDescent="0.25">
      <c r="A811" s="88">
        <v>1</v>
      </c>
      <c r="B811" s="89"/>
      <c r="C811" s="51" t="s">
        <v>192</v>
      </c>
      <c r="D811" s="53">
        <f>(49.15+1.5*(3.05+2.15+2.76)+0.9*3.05)*(10.764)</f>
        <v>687.11993999999993</v>
      </c>
      <c r="E811" s="53">
        <f>(4.65*5.175+3.35*2.99+5.05*3.68+3.2*4.25)*(10.764)</f>
        <v>713.26838699999996</v>
      </c>
      <c r="F811" s="52">
        <f t="shared" ref="F811:F816" si="180">D811*(($F$351)+1)+(IF(E811&lt;101,E811,IF(E811&lt;201,E811/2,IF(E811&lt;=301,E811/3,E811/4))))</f>
        <v>1208.9970067499999</v>
      </c>
      <c r="G811" s="90" t="str">
        <f>A810</f>
        <v>1st Floor For Residential</v>
      </c>
      <c r="H811" s="91"/>
      <c r="I811" s="36"/>
      <c r="L811" s="104"/>
      <c r="M811" s="104"/>
      <c r="N811" s="36"/>
    </row>
    <row r="812" spans="1:14" s="45" customFormat="1" ht="15.75" customHeight="1" x14ac:dyDescent="0.25">
      <c r="A812" s="88">
        <f t="shared" ref="A812:A816" si="181">A811+1</f>
        <v>2</v>
      </c>
      <c r="B812" s="89"/>
      <c r="C812" s="51" t="s">
        <v>192</v>
      </c>
      <c r="D812" s="53">
        <f>(49.15+1.5*(3.05+2.15+2.76)+0.9*3.05)*(10.764)</f>
        <v>687.11993999999993</v>
      </c>
      <c r="E812" s="52">
        <v>0</v>
      </c>
      <c r="F812" s="52">
        <f t="shared" si="180"/>
        <v>1030.6799099999998</v>
      </c>
      <c r="G812" s="92" t="str">
        <f t="shared" ref="G812:G816" si="182">G811</f>
        <v>1st Floor For Residential</v>
      </c>
      <c r="H812" s="93"/>
      <c r="I812" s="36"/>
      <c r="L812" s="104"/>
      <c r="M812" s="104"/>
      <c r="N812" s="36"/>
    </row>
    <row r="813" spans="1:14" s="45" customFormat="1" ht="15.75" customHeight="1" x14ac:dyDescent="0.25">
      <c r="A813" s="88">
        <f t="shared" si="181"/>
        <v>3</v>
      </c>
      <c r="B813" s="89"/>
      <c r="C813" s="51">
        <v>1</v>
      </c>
      <c r="D813" s="53">
        <f>(3*4.3+2.1*2.15+3*3.15+1.2*1.83+2.5*0.6+1.2*1.83+2.1*0.9+1.5*(3+2.1)+3*0.9)*(10.764)</f>
        <v>484.34770799999995</v>
      </c>
      <c r="E813" s="52">
        <v>0</v>
      </c>
      <c r="F813" s="52">
        <f t="shared" si="180"/>
        <v>726.5215619999999</v>
      </c>
      <c r="G813" s="92" t="str">
        <f t="shared" si="182"/>
        <v>1st Floor For Residential</v>
      </c>
      <c r="H813" s="93"/>
      <c r="I813" s="36"/>
      <c r="L813" s="104"/>
      <c r="M813" s="104"/>
      <c r="N813" s="36"/>
    </row>
    <row r="814" spans="1:14" s="45" customFormat="1" ht="15.75" customHeight="1" x14ac:dyDescent="0.25">
      <c r="A814" s="88">
        <f t="shared" si="181"/>
        <v>4</v>
      </c>
      <c r="B814" s="89"/>
      <c r="C814" s="51">
        <v>1</v>
      </c>
      <c r="D814" s="53">
        <f>(3*4.3+2.1*2.15+3*3.15+1.2*1.83+2.5*0.6+1.2*1.83+2.1*0.9+1.5*(3+2.1)+3*0.9)*(10.764)</f>
        <v>484.34770799999995</v>
      </c>
      <c r="E814" s="52">
        <v>0</v>
      </c>
      <c r="F814" s="52">
        <f t="shared" si="180"/>
        <v>726.5215619999999</v>
      </c>
      <c r="G814" s="92" t="str">
        <f t="shared" si="182"/>
        <v>1st Floor For Residential</v>
      </c>
      <c r="H814" s="93"/>
      <c r="I814" s="36"/>
      <c r="L814" s="104"/>
      <c r="M814" s="104"/>
      <c r="N814" s="36"/>
    </row>
    <row r="815" spans="1:14" s="45" customFormat="1" ht="15.75" customHeight="1" x14ac:dyDescent="0.25">
      <c r="A815" s="88">
        <f t="shared" si="181"/>
        <v>5</v>
      </c>
      <c r="B815" s="89"/>
      <c r="C815" s="51" t="s">
        <v>192</v>
      </c>
      <c r="D815" s="53">
        <f>(49.15+1.5*(3.05+2.15+2.76)+0.9*3.05)*(10.764)</f>
        <v>687.11993999999993</v>
      </c>
      <c r="E815" s="52">
        <v>0</v>
      </c>
      <c r="F815" s="52">
        <f t="shared" si="180"/>
        <v>1030.6799099999998</v>
      </c>
      <c r="G815" s="92" t="str">
        <f t="shared" si="182"/>
        <v>1st Floor For Residential</v>
      </c>
      <c r="H815" s="93"/>
      <c r="I815" s="36"/>
      <c r="L815" s="104"/>
      <c r="M815" s="104"/>
      <c r="N815" s="36"/>
    </row>
    <row r="816" spans="1:14" s="45" customFormat="1" ht="15.75" customHeight="1" x14ac:dyDescent="0.25">
      <c r="A816" s="88">
        <f t="shared" si="181"/>
        <v>6</v>
      </c>
      <c r="B816" s="89"/>
      <c r="C816" s="51" t="s">
        <v>192</v>
      </c>
      <c r="D816" s="53">
        <f>(49.15+1.5*(3.05+2.15+2.76)+0.9*3.05)*(10.764)</f>
        <v>687.11993999999993</v>
      </c>
      <c r="E816" s="53">
        <f>(4.65*5.175+3.35*2.99+5.05*3.68+3.2*4.25)*(10.764)</f>
        <v>713.26838699999996</v>
      </c>
      <c r="F816" s="52">
        <f t="shared" si="180"/>
        <v>1208.9970067499999</v>
      </c>
      <c r="G816" s="94" t="str">
        <f t="shared" si="182"/>
        <v>1st Floor For Residential</v>
      </c>
      <c r="H816" s="95"/>
      <c r="I816" s="36"/>
      <c r="L816" s="104"/>
      <c r="M816" s="104"/>
      <c r="N816" s="36"/>
    </row>
    <row r="817" spans="1:14" s="45" customFormat="1" x14ac:dyDescent="0.25">
      <c r="A817" s="105" t="s">
        <v>214</v>
      </c>
      <c r="B817" s="106"/>
      <c r="C817" s="106"/>
      <c r="D817" s="106"/>
      <c r="E817" s="106"/>
      <c r="F817" s="106"/>
      <c r="G817" s="106"/>
      <c r="H817" s="107"/>
      <c r="J817" s="36"/>
    </row>
    <row r="818" spans="1:14" s="45" customFormat="1" ht="15.75" customHeight="1" x14ac:dyDescent="0.25">
      <c r="A818" s="88">
        <v>1</v>
      </c>
      <c r="B818" s="89"/>
      <c r="C818" s="51" t="s">
        <v>192</v>
      </c>
      <c r="D818" s="53">
        <f>(49.15+0.9*3.05+1.5*(2.15+2.75+3.05))*(10.764)</f>
        <v>686.95847999999989</v>
      </c>
      <c r="E818" s="52">
        <v>0</v>
      </c>
      <c r="F818" s="52">
        <f t="shared" ref="F818:F823" si="183">D818*(($F$351)+1)+(IF(E818&lt;101,E818,IF(E818&lt;201,E818/2,IF(E818&lt;=301,E818/3,E818/4))))</f>
        <v>1030.4377199999999</v>
      </c>
      <c r="G818" s="90" t="str">
        <f>A817</f>
        <v>2nd, 4th, 6th, 16th &amp; 18th Floor</v>
      </c>
      <c r="H818" s="91"/>
      <c r="I818" s="36"/>
      <c r="L818" s="104"/>
      <c r="M818" s="104"/>
      <c r="N818" s="36"/>
    </row>
    <row r="819" spans="1:14" s="45" customFormat="1" ht="15.75" customHeight="1" x14ac:dyDescent="0.25">
      <c r="A819" s="88">
        <f t="shared" ref="A819:A823" si="184">A818+1</f>
        <v>2</v>
      </c>
      <c r="B819" s="89"/>
      <c r="C819" s="51" t="s">
        <v>192</v>
      </c>
      <c r="D819" s="53">
        <f>(49.15+0.9*3.05+1.5*(2.15+2.75+3.05))*(10.764)</f>
        <v>686.95847999999989</v>
      </c>
      <c r="E819" s="52">
        <v>0</v>
      </c>
      <c r="F819" s="52">
        <f t="shared" si="183"/>
        <v>1030.4377199999999</v>
      </c>
      <c r="G819" s="92"/>
      <c r="H819" s="93"/>
      <c r="I819" s="36"/>
      <c r="L819" s="104"/>
      <c r="M819" s="104"/>
      <c r="N819" s="36"/>
    </row>
    <row r="820" spans="1:14" s="45" customFormat="1" ht="15.75" customHeight="1" x14ac:dyDescent="0.25">
      <c r="A820" s="88">
        <f t="shared" si="184"/>
        <v>3</v>
      </c>
      <c r="B820" s="89"/>
      <c r="C820" s="51">
        <v>1</v>
      </c>
      <c r="D820" s="53">
        <f>(3*4.3+2.1*2.15+3*3.15+1.2*1.83+2.5*0.6+1.2*1.83+2.1*0.9+1.5*(3+2.1)+3*0.9)*(10.764)</f>
        <v>484.34770799999995</v>
      </c>
      <c r="E820" s="52">
        <v>0</v>
      </c>
      <c r="F820" s="52">
        <f t="shared" si="183"/>
        <v>726.5215619999999</v>
      </c>
      <c r="G820" s="92"/>
      <c r="H820" s="93"/>
      <c r="I820" s="36"/>
      <c r="L820" s="104"/>
      <c r="M820" s="104"/>
      <c r="N820" s="36"/>
    </row>
    <row r="821" spans="1:14" s="45" customFormat="1" ht="15.75" customHeight="1" x14ac:dyDescent="0.25">
      <c r="A821" s="88">
        <f t="shared" si="184"/>
        <v>4</v>
      </c>
      <c r="B821" s="89"/>
      <c r="C821" s="51">
        <v>1</v>
      </c>
      <c r="D821" s="53">
        <f>(3*4.3+2.1*2.15+3*3.15+1.2*1.83+2.5*0.6+1.2*1.83+2.1*0.9+1.5*(3+2.1)+3*0.9)*(10.764)</f>
        <v>484.34770799999995</v>
      </c>
      <c r="E821" s="52">
        <v>0</v>
      </c>
      <c r="F821" s="52">
        <f t="shared" si="183"/>
        <v>726.5215619999999</v>
      </c>
      <c r="G821" s="92"/>
      <c r="H821" s="93"/>
      <c r="I821" s="36"/>
      <c r="L821" s="104"/>
      <c r="M821" s="104"/>
      <c r="N821" s="36"/>
    </row>
    <row r="822" spans="1:14" s="45" customFormat="1" ht="15.75" customHeight="1" x14ac:dyDescent="0.25">
      <c r="A822" s="88">
        <f t="shared" si="184"/>
        <v>5</v>
      </c>
      <c r="B822" s="89"/>
      <c r="C822" s="51" t="s">
        <v>192</v>
      </c>
      <c r="D822" s="53">
        <f>(49.15+0.9*3.05+1.5*(2.15+2.75+3.05))*(10.764)</f>
        <v>686.95847999999989</v>
      </c>
      <c r="E822" s="52">
        <v>0</v>
      </c>
      <c r="F822" s="52">
        <f t="shared" si="183"/>
        <v>1030.4377199999999</v>
      </c>
      <c r="G822" s="92"/>
      <c r="H822" s="93"/>
      <c r="I822" s="36"/>
      <c r="L822" s="104"/>
      <c r="M822" s="104"/>
      <c r="N822" s="36"/>
    </row>
    <row r="823" spans="1:14" s="45" customFormat="1" ht="15.75" customHeight="1" x14ac:dyDescent="0.25">
      <c r="A823" s="88">
        <f t="shared" si="184"/>
        <v>6</v>
      </c>
      <c r="B823" s="89"/>
      <c r="C823" s="51" t="s">
        <v>192</v>
      </c>
      <c r="D823" s="53">
        <f>(49.15+0.9*3.05+1.5*(2.15+2.75+3.05))*(10.764)</f>
        <v>686.95847999999989</v>
      </c>
      <c r="E823" s="52">
        <v>0</v>
      </c>
      <c r="F823" s="52">
        <f t="shared" si="183"/>
        <v>1030.4377199999999</v>
      </c>
      <c r="G823" s="94"/>
      <c r="H823" s="95"/>
      <c r="I823" s="36"/>
      <c r="L823" s="104"/>
      <c r="M823" s="104"/>
      <c r="N823" s="36"/>
    </row>
    <row r="824" spans="1:14" s="45" customFormat="1" x14ac:dyDescent="0.25">
      <c r="A824" s="99" t="s">
        <v>206</v>
      </c>
      <c r="B824" s="100"/>
      <c r="C824" s="100"/>
      <c r="D824" s="100"/>
      <c r="E824" s="100"/>
      <c r="F824" s="100"/>
      <c r="G824" s="100"/>
      <c r="H824" s="101"/>
      <c r="J824" s="36"/>
    </row>
    <row r="825" spans="1:14" s="45" customFormat="1" ht="15.75" customHeight="1" x14ac:dyDescent="0.25">
      <c r="A825" s="88">
        <v>1</v>
      </c>
      <c r="B825" s="89"/>
      <c r="C825" s="51" t="s">
        <v>192</v>
      </c>
      <c r="D825" s="53">
        <f>(49.15+1.5*(3.05+2.15+2.76)+0.9*3.05)*(10.764)</f>
        <v>687.11993999999993</v>
      </c>
      <c r="E825" s="52">
        <v>0</v>
      </c>
      <c r="F825" s="52">
        <f t="shared" ref="F825:F830" si="185">D825*(($F$351)+1)+(IF(E825&lt;101,E825,IF(E825&lt;201,E825/2,IF(E825&lt;=301,E825/3,E825/4))))</f>
        <v>1030.6799099999998</v>
      </c>
      <c r="G825" s="90" t="str">
        <f>A824</f>
        <v>3rd, 5th, 13th, 15th Floor</v>
      </c>
      <c r="H825" s="91"/>
      <c r="I825" s="36"/>
      <c r="L825" s="104"/>
      <c r="M825" s="104"/>
      <c r="N825" s="36"/>
    </row>
    <row r="826" spans="1:14" s="45" customFormat="1" ht="15.75" customHeight="1" x14ac:dyDescent="0.25">
      <c r="A826" s="88">
        <f t="shared" ref="A826:A830" si="186">A825+1</f>
        <v>2</v>
      </c>
      <c r="B826" s="89"/>
      <c r="C826" s="51" t="s">
        <v>192</v>
      </c>
      <c r="D826" s="53">
        <f>(49.15+1.5*(3.05+2.15+2.76)+0.9*3.05)*(10.764)</f>
        <v>687.11993999999993</v>
      </c>
      <c r="E826" s="52">
        <v>0</v>
      </c>
      <c r="F826" s="52">
        <f t="shared" si="185"/>
        <v>1030.6799099999998</v>
      </c>
      <c r="G826" s="92"/>
      <c r="H826" s="93"/>
      <c r="I826" s="36"/>
      <c r="L826" s="104"/>
      <c r="M826" s="104"/>
      <c r="N826" s="36"/>
    </row>
    <row r="827" spans="1:14" s="45" customFormat="1" ht="15.75" customHeight="1" x14ac:dyDescent="0.25">
      <c r="A827" s="88">
        <f t="shared" si="186"/>
        <v>3</v>
      </c>
      <c r="B827" s="89"/>
      <c r="C827" s="51">
        <v>1</v>
      </c>
      <c r="D827" s="53">
        <f>(3*4.3+2.1*2.15+3*3.15+1.2*1.83+2.5*0.6+1.2*1.83+2.1*0.9+1.5*(3+2.1)+3*0.9)*(10.764)</f>
        <v>484.34770799999995</v>
      </c>
      <c r="E827" s="52">
        <v>0</v>
      </c>
      <c r="F827" s="52">
        <f t="shared" si="185"/>
        <v>726.5215619999999</v>
      </c>
      <c r="G827" s="92"/>
      <c r="H827" s="93"/>
      <c r="I827" s="36"/>
      <c r="L827" s="104"/>
      <c r="M827" s="104"/>
      <c r="N827" s="36"/>
    </row>
    <row r="828" spans="1:14" s="45" customFormat="1" ht="15.75" customHeight="1" x14ac:dyDescent="0.25">
      <c r="A828" s="88">
        <f t="shared" si="186"/>
        <v>4</v>
      </c>
      <c r="B828" s="89"/>
      <c r="C828" s="51">
        <v>1</v>
      </c>
      <c r="D828" s="53">
        <f>(3*4.3+2.1*2.15+3*3.15+1.2*1.83+2.5*0.6+1.2*1.83+2.1*0.9+1.5*(3+2.1)+3*0.9)*(10.764)</f>
        <v>484.34770799999995</v>
      </c>
      <c r="E828" s="52">
        <v>0</v>
      </c>
      <c r="F828" s="52">
        <f t="shared" si="185"/>
        <v>726.5215619999999</v>
      </c>
      <c r="G828" s="92"/>
      <c r="H828" s="93"/>
      <c r="I828" s="36"/>
      <c r="L828" s="104"/>
      <c r="M828" s="104"/>
      <c r="N828" s="36"/>
    </row>
    <row r="829" spans="1:14" s="45" customFormat="1" ht="15.75" customHeight="1" x14ac:dyDescent="0.25">
      <c r="A829" s="88">
        <f t="shared" si="186"/>
        <v>5</v>
      </c>
      <c r="B829" s="89"/>
      <c r="C829" s="51" t="s">
        <v>192</v>
      </c>
      <c r="D829" s="53">
        <f>(49.15+1.5*(3.05+2.15+2.76)+0.9*3.05)*(10.764)</f>
        <v>687.11993999999993</v>
      </c>
      <c r="E829" s="52">
        <v>0</v>
      </c>
      <c r="F829" s="52">
        <f t="shared" si="185"/>
        <v>1030.6799099999998</v>
      </c>
      <c r="G829" s="92"/>
      <c r="H829" s="93"/>
      <c r="I829" s="36"/>
      <c r="L829" s="104"/>
      <c r="M829" s="104"/>
      <c r="N829" s="36"/>
    </row>
    <row r="830" spans="1:14" s="45" customFormat="1" ht="15.75" customHeight="1" x14ac:dyDescent="0.25">
      <c r="A830" s="88">
        <f t="shared" si="186"/>
        <v>6</v>
      </c>
      <c r="B830" s="89"/>
      <c r="C830" s="51" t="s">
        <v>192</v>
      </c>
      <c r="D830" s="53">
        <f>(49.15+1.5*(3.05+2.15+2.76)+0.9*3.05)*(10.764)</f>
        <v>687.11993999999993</v>
      </c>
      <c r="E830" s="52">
        <v>0</v>
      </c>
      <c r="F830" s="52">
        <f t="shared" si="185"/>
        <v>1030.6799099999998</v>
      </c>
      <c r="G830" s="94"/>
      <c r="H830" s="95"/>
      <c r="I830" s="36"/>
      <c r="L830" s="104"/>
      <c r="M830" s="104"/>
      <c r="N830" s="36"/>
    </row>
    <row r="831" spans="1:14" s="45" customFormat="1" x14ac:dyDescent="0.25">
      <c r="A831" s="99" t="s">
        <v>208</v>
      </c>
      <c r="B831" s="100"/>
      <c r="C831" s="100"/>
      <c r="D831" s="100"/>
      <c r="E831" s="100"/>
      <c r="F831" s="100"/>
      <c r="G831" s="100"/>
      <c r="H831" s="101"/>
      <c r="J831" s="36"/>
    </row>
    <row r="832" spans="1:14" s="45" customFormat="1" ht="15.75" customHeight="1" x14ac:dyDescent="0.25">
      <c r="A832" s="88">
        <v>1</v>
      </c>
      <c r="B832" s="89"/>
      <c r="C832" s="51" t="s">
        <v>192</v>
      </c>
      <c r="D832" s="53">
        <f>(49.15+1.5*(3.05+2.15+2.76)+0.9*3.05)*(10.764)</f>
        <v>687.11993999999993</v>
      </c>
      <c r="E832" s="52">
        <v>0</v>
      </c>
      <c r="F832" s="52">
        <f>D832*(($F$351)+1)+(IF(E832&lt;101,E832,IF(E832&lt;201,E832/2,IF(E832&lt;=301,E832/3,E832/4))))</f>
        <v>1030.6799099999998</v>
      </c>
      <c r="G832" s="90" t="str">
        <f>A831</f>
        <v>7th Floor (Part Refuge &amp; Terrace Area)</v>
      </c>
      <c r="H832" s="91"/>
      <c r="I832" s="36"/>
      <c r="L832" s="104"/>
      <c r="M832" s="104"/>
      <c r="N832" s="36"/>
    </row>
    <row r="833" spans="1:14" s="45" customFormat="1" ht="15.75" customHeight="1" x14ac:dyDescent="0.25">
      <c r="A833" s="88">
        <f t="shared" ref="A833:A837" si="187">A832+1</f>
        <v>2</v>
      </c>
      <c r="B833" s="89"/>
      <c r="C833" s="51" t="s">
        <v>192</v>
      </c>
      <c r="D833" s="53">
        <f>(49.15+1.5*(3.05+2.15+2.76)+0.9*3.05)*(10.764)</f>
        <v>687.11993999999993</v>
      </c>
      <c r="E833" s="52">
        <v>0</v>
      </c>
      <c r="F833" s="52">
        <f>D833*(($F$351)+1)+(IF(E833&lt;101,E833,IF(E833&lt;201,E833/2,IF(E833&lt;=301,E833/3,E833/4))))</f>
        <v>1030.6799099999998</v>
      </c>
      <c r="G833" s="92"/>
      <c r="H833" s="93"/>
      <c r="I833" s="36"/>
      <c r="L833" s="104"/>
      <c r="M833" s="104"/>
      <c r="N833" s="36"/>
    </row>
    <row r="834" spans="1:14" s="45" customFormat="1" ht="15.75" customHeight="1" x14ac:dyDescent="0.25">
      <c r="A834" s="88">
        <f t="shared" si="187"/>
        <v>3</v>
      </c>
      <c r="B834" s="89"/>
      <c r="C834" s="51">
        <v>1</v>
      </c>
      <c r="D834" s="53">
        <f>(3*4.3+2.1*2.15+3*3.15+1.2*1.83+2.5*0.6+1.2*1.83+2.1*0.9+1.5*(3+2.1)+3*0.9)*(10.764)</f>
        <v>484.34770799999995</v>
      </c>
      <c r="E834" s="52">
        <v>0</v>
      </c>
      <c r="F834" s="52">
        <f>D834*(($F$351)+1)+(IF(E834&lt;101,E834,IF(E834&lt;201,E834/2,IF(E834&lt;=301,E834/3,E834/4))))</f>
        <v>726.5215619999999</v>
      </c>
      <c r="G834" s="92"/>
      <c r="H834" s="93"/>
      <c r="I834" s="36"/>
      <c r="L834" s="104"/>
      <c r="M834" s="104"/>
      <c r="N834" s="36"/>
    </row>
    <row r="835" spans="1:14" s="45" customFormat="1" ht="15.75" customHeight="1" x14ac:dyDescent="0.25">
      <c r="A835" s="88">
        <f t="shared" si="187"/>
        <v>4</v>
      </c>
      <c r="B835" s="89"/>
      <c r="C835" s="51">
        <v>1</v>
      </c>
      <c r="D835" s="53">
        <f>(3*4.3+2.1*2.15+3*3.15+1.2*1.83+2.5*0.6+1.2*1.83+2.1*0.9+1.5*(3+2.1)+3*0.9)*(10.764)</f>
        <v>484.34770799999995</v>
      </c>
      <c r="E835" s="52">
        <v>0</v>
      </c>
      <c r="F835" s="52">
        <f>D835*(($F$351)+1)+(IF(E835&lt;101,E835,IF(E835&lt;201,E835/2,IF(E835&lt;=301,E835/3,E835/4))))</f>
        <v>726.5215619999999</v>
      </c>
      <c r="G835" s="92"/>
      <c r="H835" s="93"/>
      <c r="I835" s="36"/>
      <c r="L835" s="104"/>
      <c r="M835" s="104"/>
      <c r="N835" s="36"/>
    </row>
    <row r="836" spans="1:14" s="45" customFormat="1" ht="15.75" customHeight="1" x14ac:dyDescent="0.25">
      <c r="A836" s="88">
        <f t="shared" si="187"/>
        <v>5</v>
      </c>
      <c r="B836" s="89"/>
      <c r="C836" s="96" t="s">
        <v>197</v>
      </c>
      <c r="D836" s="97"/>
      <c r="E836" s="97"/>
      <c r="F836" s="98"/>
      <c r="G836" s="92"/>
      <c r="H836" s="93"/>
      <c r="I836" s="36"/>
      <c r="L836" s="104"/>
      <c r="M836" s="104"/>
      <c r="N836" s="36"/>
    </row>
    <row r="837" spans="1:14" s="45" customFormat="1" ht="15.75" customHeight="1" x14ac:dyDescent="0.25">
      <c r="A837" s="88">
        <f t="shared" si="187"/>
        <v>6</v>
      </c>
      <c r="B837" s="89"/>
      <c r="C837" s="51" t="s">
        <v>192</v>
      </c>
      <c r="D837" s="53">
        <f>(49.15+1.5*(3.05+2.15+2.76)+0.9*3.05)*(10.764)</f>
        <v>687.11993999999993</v>
      </c>
      <c r="E837" s="52">
        <v>0</v>
      </c>
      <c r="F837" s="52">
        <f>D837*(($F$351)+1)+(IF(E837&lt;101,E837,IF(E837&lt;201,E837/2,IF(E837&lt;=301,E837/3,E837/4))))</f>
        <v>1030.6799099999998</v>
      </c>
      <c r="G837" s="94"/>
      <c r="H837" s="95"/>
      <c r="I837" s="36"/>
      <c r="L837" s="104"/>
      <c r="M837" s="104"/>
      <c r="N837" s="36"/>
    </row>
    <row r="838" spans="1:14" s="45" customFormat="1" x14ac:dyDescent="0.25">
      <c r="A838" s="99" t="s">
        <v>210</v>
      </c>
      <c r="B838" s="100"/>
      <c r="C838" s="100"/>
      <c r="D838" s="100"/>
      <c r="E838" s="100"/>
      <c r="F838" s="100"/>
      <c r="G838" s="100"/>
      <c r="H838" s="101"/>
      <c r="J838" s="36"/>
    </row>
    <row r="839" spans="1:14" s="45" customFormat="1" x14ac:dyDescent="0.25">
      <c r="A839" s="88">
        <v>1</v>
      </c>
      <c r="B839" s="89"/>
      <c r="C839" s="51" t="s">
        <v>192</v>
      </c>
      <c r="D839" s="53">
        <f>(49.15+0.9*3.05+1.5*(2.15+2.75+3.05))*(10.764)</f>
        <v>686.95847999999989</v>
      </c>
      <c r="E839" s="52">
        <v>0</v>
      </c>
      <c r="F839" s="52">
        <f>D839*(($F$351)+1)+(IF(E839&lt;101,E839,IF(E839&lt;201,E839/2,IF(E839&lt;=301,E839/3,E839/4))))</f>
        <v>1030.4377199999999</v>
      </c>
      <c r="G839" s="90" t="str">
        <f>A838</f>
        <v>8th Floor</v>
      </c>
      <c r="H839" s="91"/>
      <c r="I839" s="36"/>
      <c r="L839" s="104"/>
      <c r="M839" s="104"/>
      <c r="N839" s="36"/>
    </row>
    <row r="840" spans="1:14" s="45" customFormat="1" x14ac:dyDescent="0.25">
      <c r="A840" s="88">
        <f t="shared" ref="A840:A844" si="188">A839+1</f>
        <v>2</v>
      </c>
      <c r="B840" s="89"/>
      <c r="C840" s="51" t="s">
        <v>192</v>
      </c>
      <c r="D840" s="53">
        <f>(49.15+0.9*3.05+1.5*(2.15+2.75+3.05))*(10.764)</f>
        <v>686.95847999999989</v>
      </c>
      <c r="E840" s="52">
        <v>0</v>
      </c>
      <c r="F840" s="52">
        <f>D840*(($F$351)+1)+(IF(E840&lt;101,E840,IF(E840&lt;201,E840/2,IF(E840&lt;=301,E840/3,E840/4))))</f>
        <v>1030.4377199999999</v>
      </c>
      <c r="G840" s="92"/>
      <c r="H840" s="93"/>
      <c r="I840" s="36"/>
      <c r="L840" s="104"/>
      <c r="M840" s="104"/>
      <c r="N840" s="36"/>
    </row>
    <row r="841" spans="1:14" s="45" customFormat="1" x14ac:dyDescent="0.25">
      <c r="A841" s="88">
        <f t="shared" si="188"/>
        <v>3</v>
      </c>
      <c r="B841" s="89"/>
      <c r="C841" s="51">
        <v>1</v>
      </c>
      <c r="D841" s="53">
        <f>(3*4.3+2.1*2.15+3*3.15+1.2*1.83+2.5*0.6+1.2*1.83+2.1*0.9+1.5*(3+2.1)+3*0.9)*(10.764)</f>
        <v>484.34770799999995</v>
      </c>
      <c r="E841" s="52">
        <v>0</v>
      </c>
      <c r="F841" s="52">
        <f>D841*(($F$351)+1)+(IF(E841&lt;101,E841,IF(E841&lt;201,E841/2,IF(E841&lt;=301,E841/3,E841/4))))</f>
        <v>726.5215619999999</v>
      </c>
      <c r="G841" s="92"/>
      <c r="H841" s="93"/>
      <c r="I841" s="36"/>
      <c r="L841" s="104"/>
      <c r="M841" s="104"/>
      <c r="N841" s="36"/>
    </row>
    <row r="842" spans="1:14" s="45" customFormat="1" x14ac:dyDescent="0.25">
      <c r="A842" s="88">
        <f t="shared" si="188"/>
        <v>4</v>
      </c>
      <c r="B842" s="89"/>
      <c r="C842" s="51">
        <v>1</v>
      </c>
      <c r="D842" s="53">
        <f>(3*4.3+2.1*2.15+3*3.15+1.2*1.83+2.5*0.6+1.2*1.83+2.1*0.9+1.5*(3+2.1)+3*0.9)*(10.764)</f>
        <v>484.34770799999995</v>
      </c>
      <c r="E842" s="52">
        <v>0</v>
      </c>
      <c r="F842" s="52">
        <f>D842*(($F$351)+1)+(IF(E842&lt;101,E842,IF(E842&lt;201,E842/2,IF(E842&lt;=301,E842/3,E842/4))))</f>
        <v>726.5215619999999</v>
      </c>
      <c r="G842" s="92"/>
      <c r="H842" s="93"/>
      <c r="I842" s="36"/>
      <c r="L842" s="104"/>
      <c r="M842" s="104"/>
      <c r="N842" s="36"/>
    </row>
    <row r="843" spans="1:14" s="45" customFormat="1" x14ac:dyDescent="0.25">
      <c r="A843" s="88">
        <f t="shared" si="188"/>
        <v>5</v>
      </c>
      <c r="B843" s="89"/>
      <c r="C843" s="96" t="s">
        <v>200</v>
      </c>
      <c r="D843" s="97"/>
      <c r="E843" s="97"/>
      <c r="F843" s="98"/>
      <c r="G843" s="92"/>
      <c r="H843" s="93"/>
      <c r="I843" s="36"/>
      <c r="L843" s="104"/>
      <c r="M843" s="104"/>
      <c r="N843" s="36"/>
    </row>
    <row r="844" spans="1:14" s="45" customFormat="1" x14ac:dyDescent="0.25">
      <c r="A844" s="88">
        <f t="shared" si="188"/>
        <v>6</v>
      </c>
      <c r="B844" s="89"/>
      <c r="C844" s="51" t="s">
        <v>192</v>
      </c>
      <c r="D844" s="53">
        <f>(49.15+0.9*3.05+1.5*(2.15+2.75+3.05))*(10.764)</f>
        <v>686.95847999999989</v>
      </c>
      <c r="E844" s="52">
        <v>0</v>
      </c>
      <c r="F844" s="52">
        <f>D844*(($F$351)+1)+(IF(E844&lt;101,E844,IF(E844&lt;201,E844/2,IF(E844&lt;=301,E844/3,E844/4))))</f>
        <v>1030.4377199999999</v>
      </c>
      <c r="G844" s="94"/>
      <c r="H844" s="95"/>
      <c r="I844" s="36"/>
      <c r="L844" s="104"/>
      <c r="M844" s="104"/>
      <c r="N844" s="36"/>
    </row>
    <row r="845" spans="1:14" s="45" customFormat="1" x14ac:dyDescent="0.25">
      <c r="A845" s="99" t="s">
        <v>209</v>
      </c>
      <c r="B845" s="100"/>
      <c r="C845" s="100"/>
      <c r="D845" s="100"/>
      <c r="E845" s="100"/>
      <c r="F845" s="100"/>
      <c r="G845" s="100"/>
      <c r="H845" s="101"/>
      <c r="J845" s="36"/>
    </row>
    <row r="846" spans="1:14" s="45" customFormat="1" x14ac:dyDescent="0.25">
      <c r="A846" s="88">
        <v>1</v>
      </c>
      <c r="B846" s="89"/>
      <c r="C846" s="51" t="s">
        <v>192</v>
      </c>
      <c r="D846" s="53">
        <f>(49.15+1.5*(3.05+2.15+2.76)+0.9*3.05)*(10.764)</f>
        <v>687.11993999999993</v>
      </c>
      <c r="E846" s="52">
        <v>0</v>
      </c>
      <c r="F846" s="52">
        <f>D846*(($F$351)+1)+(IF(E846&lt;101,E846,IF(E846&lt;201,E846/2,IF(E846&lt;=301,E846/3,E846/4))))</f>
        <v>1030.6799099999998</v>
      </c>
      <c r="G846" s="90" t="str">
        <f>A845</f>
        <v>9th Floor</v>
      </c>
      <c r="H846" s="91"/>
      <c r="I846" s="36"/>
      <c r="L846" s="104"/>
      <c r="M846" s="104"/>
      <c r="N846" s="36"/>
    </row>
    <row r="847" spans="1:14" s="45" customFormat="1" x14ac:dyDescent="0.25">
      <c r="A847" s="88">
        <f t="shared" ref="A847:A851" si="189">A846+1</f>
        <v>2</v>
      </c>
      <c r="B847" s="89"/>
      <c r="C847" s="51" t="s">
        <v>192</v>
      </c>
      <c r="D847" s="53">
        <f>(49.15+1.5*(3.05+2.15+2.76)+0.9*3.05)*(10.764)</f>
        <v>687.11993999999993</v>
      </c>
      <c r="E847" s="52">
        <v>0</v>
      </c>
      <c r="F847" s="52">
        <f>D847*(($F$351)+1)+(IF(E847&lt;101,E847,IF(E847&lt;201,E847/2,IF(E847&lt;=301,E847/3,E847/4))))</f>
        <v>1030.6799099999998</v>
      </c>
      <c r="G847" s="92"/>
      <c r="H847" s="93"/>
      <c r="I847" s="36"/>
      <c r="L847" s="104"/>
      <c r="M847" s="104"/>
      <c r="N847" s="36"/>
    </row>
    <row r="848" spans="1:14" s="45" customFormat="1" x14ac:dyDescent="0.25">
      <c r="A848" s="88">
        <f t="shared" si="189"/>
        <v>3</v>
      </c>
      <c r="B848" s="89"/>
      <c r="C848" s="51">
        <v>1</v>
      </c>
      <c r="D848" s="53">
        <f>(3*4.3+2.1*2.15+3*3.15+1.2*1.83+2.5*0.6+1.2*1.83+2.1*0.9+1.5*(3+2.1)+3*0.9)*(10.764)</f>
        <v>484.34770799999995</v>
      </c>
      <c r="E848" s="52">
        <v>0</v>
      </c>
      <c r="F848" s="52">
        <f>D848*(($F$351)+1)+(IF(E848&lt;101,E848,IF(E848&lt;201,E848/2,IF(E848&lt;=301,E848/3,E848/4))))</f>
        <v>726.5215619999999</v>
      </c>
      <c r="G848" s="92"/>
      <c r="H848" s="93"/>
      <c r="I848" s="36"/>
      <c r="L848" s="104"/>
      <c r="M848" s="104"/>
      <c r="N848" s="36"/>
    </row>
    <row r="849" spans="1:14" s="45" customFormat="1" x14ac:dyDescent="0.25">
      <c r="A849" s="88">
        <f t="shared" si="189"/>
        <v>4</v>
      </c>
      <c r="B849" s="89"/>
      <c r="C849" s="51">
        <v>1</v>
      </c>
      <c r="D849" s="53">
        <f>(3*4.3+2.1*2.15+3*3.15+1.2*1.83+2.5*0.6+1.2*1.83+2.1*0.9+1.5*(3+2.1)+3*0.9)*(10.764)</f>
        <v>484.34770799999995</v>
      </c>
      <c r="E849" s="52">
        <v>0</v>
      </c>
      <c r="F849" s="52">
        <f>D849*(($F$351)+1)+(IF(E849&lt;101,E849,IF(E849&lt;201,E849/2,IF(E849&lt;=301,E849/3,E849/4))))</f>
        <v>726.5215619999999</v>
      </c>
      <c r="G849" s="92"/>
      <c r="H849" s="93"/>
      <c r="I849" s="36"/>
      <c r="L849" s="104"/>
      <c r="M849" s="104"/>
      <c r="N849" s="36"/>
    </row>
    <row r="850" spans="1:14" s="45" customFormat="1" x14ac:dyDescent="0.25">
      <c r="A850" s="88">
        <f t="shared" si="189"/>
        <v>5</v>
      </c>
      <c r="B850" s="89"/>
      <c r="C850" s="96" t="s">
        <v>200</v>
      </c>
      <c r="D850" s="97"/>
      <c r="E850" s="97"/>
      <c r="F850" s="98"/>
      <c r="G850" s="92"/>
      <c r="H850" s="93"/>
      <c r="I850" s="36"/>
      <c r="L850" s="104"/>
      <c r="M850" s="104"/>
      <c r="N850" s="36"/>
    </row>
    <row r="851" spans="1:14" s="45" customFormat="1" x14ac:dyDescent="0.25">
      <c r="A851" s="88">
        <f t="shared" si="189"/>
        <v>6</v>
      </c>
      <c r="B851" s="89"/>
      <c r="C851" s="51" t="s">
        <v>192</v>
      </c>
      <c r="D851" s="53">
        <f>(49.15+1.5*(3.05+2.15+2.76)+0.9*3.05)*(10.764)</f>
        <v>687.11993999999993</v>
      </c>
      <c r="E851" s="52">
        <v>0</v>
      </c>
      <c r="F851" s="52">
        <f>D851*(($F$351)+1)+(IF(E851&lt;101,E851,IF(E851&lt;201,E851/2,IF(E851&lt;=301,E851/3,E851/4))))</f>
        <v>1030.6799099999998</v>
      </c>
      <c r="G851" s="94"/>
      <c r="H851" s="95"/>
      <c r="I851" s="36"/>
      <c r="L851" s="104"/>
      <c r="M851" s="104"/>
      <c r="N851" s="36"/>
    </row>
    <row r="852" spans="1:14" s="45" customFormat="1" x14ac:dyDescent="0.25">
      <c r="A852" s="99" t="s">
        <v>211</v>
      </c>
      <c r="B852" s="100"/>
      <c r="C852" s="100"/>
      <c r="D852" s="100"/>
      <c r="E852" s="100"/>
      <c r="F852" s="100"/>
      <c r="G852" s="100"/>
      <c r="H852" s="101"/>
      <c r="J852" s="36"/>
    </row>
    <row r="853" spans="1:14" s="45" customFormat="1" ht="15.75" customHeight="1" x14ac:dyDescent="0.25">
      <c r="A853" s="88">
        <v>1</v>
      </c>
      <c r="B853" s="89"/>
      <c r="C853" s="51" t="s">
        <v>192</v>
      </c>
      <c r="D853" s="53">
        <f>(49.15+0.9*3.05+1.5*(2.15+2.75+3.05))*(10.764)</f>
        <v>686.95847999999989</v>
      </c>
      <c r="E853" s="52">
        <v>0</v>
      </c>
      <c r="F853" s="52">
        <f>D853*(($F$351)+1)+(IF(E853&lt;101,E853,IF(E853&lt;201,E853/2,IF(E853&lt;=301,E853/3,E853/4))))</f>
        <v>1030.4377199999999</v>
      </c>
      <c r="G853" s="90" t="str">
        <f>A852</f>
        <v>10th Floor (Part Refuge &amp; Terrace Area)</v>
      </c>
      <c r="H853" s="91"/>
      <c r="I853" s="36"/>
      <c r="L853" s="104"/>
      <c r="M853" s="104"/>
      <c r="N853" s="36"/>
    </row>
    <row r="854" spans="1:14" s="45" customFormat="1" ht="15.75" customHeight="1" x14ac:dyDescent="0.25">
      <c r="A854" s="88">
        <f t="shared" ref="A854:A858" si="190">A853+1</f>
        <v>2</v>
      </c>
      <c r="B854" s="89"/>
      <c r="C854" s="96" t="s">
        <v>197</v>
      </c>
      <c r="D854" s="97"/>
      <c r="E854" s="97"/>
      <c r="F854" s="98"/>
      <c r="G854" s="92"/>
      <c r="H854" s="93"/>
      <c r="I854" s="36"/>
      <c r="L854" s="104"/>
      <c r="M854" s="104"/>
      <c r="N854" s="36"/>
    </row>
    <row r="855" spans="1:14" s="45" customFormat="1" ht="15.75" customHeight="1" x14ac:dyDescent="0.25">
      <c r="A855" s="88">
        <f t="shared" si="190"/>
        <v>3</v>
      </c>
      <c r="B855" s="89"/>
      <c r="C855" s="51">
        <v>1</v>
      </c>
      <c r="D855" s="53">
        <f>(3*4.3+2.1*2.15+3*3.15+1.2*1.83+2.5*0.6+1.2*1.83+2.1*0.9+1.5*(3+2.1)+3*0.9)*(10.764)</f>
        <v>484.34770799999995</v>
      </c>
      <c r="E855" s="52">
        <v>0</v>
      </c>
      <c r="F855" s="52">
        <f>D855*(($F$351)+1)+(IF(E855&lt;101,E855,IF(E855&lt;201,E855/2,IF(E855&lt;=301,E855/3,E855/4))))</f>
        <v>726.5215619999999</v>
      </c>
      <c r="G855" s="92"/>
      <c r="H855" s="93"/>
      <c r="I855" s="36"/>
      <c r="L855" s="104"/>
      <c r="M855" s="104"/>
      <c r="N855" s="36"/>
    </row>
    <row r="856" spans="1:14" s="45" customFormat="1" ht="15.75" customHeight="1" x14ac:dyDescent="0.25">
      <c r="A856" s="88">
        <f t="shared" si="190"/>
        <v>4</v>
      </c>
      <c r="B856" s="89"/>
      <c r="C856" s="51">
        <v>1</v>
      </c>
      <c r="D856" s="53">
        <f>(3*4.3+2.1*2.15+3*3.15+1.2*1.83+2.5*0.6+1.2*1.83+2.1*0.9+1.5*(3+2.1)+3*0.9)*(10.764)</f>
        <v>484.34770799999995</v>
      </c>
      <c r="E856" s="52">
        <v>0</v>
      </c>
      <c r="F856" s="52">
        <f>D856*(($F$351)+1)+(IF(E856&lt;101,E856,IF(E856&lt;201,E856/2,IF(E856&lt;=301,E856/3,E856/4))))</f>
        <v>726.5215619999999</v>
      </c>
      <c r="G856" s="92"/>
      <c r="H856" s="93"/>
      <c r="I856" s="36"/>
      <c r="L856" s="104"/>
      <c r="M856" s="104"/>
      <c r="N856" s="36"/>
    </row>
    <row r="857" spans="1:14" s="45" customFormat="1" ht="15.75" customHeight="1" x14ac:dyDescent="0.25">
      <c r="A857" s="88">
        <f t="shared" si="190"/>
        <v>5</v>
      </c>
      <c r="B857" s="89"/>
      <c r="C857" s="51" t="s">
        <v>192</v>
      </c>
      <c r="D857" s="53">
        <f>(49.15+0.9*3.05+1.5*(2.15+2.75+3.05))*(10.764)</f>
        <v>686.95847999999989</v>
      </c>
      <c r="E857" s="52">
        <v>0</v>
      </c>
      <c r="F857" s="52">
        <f>D857*(($F$351)+1)+(IF(E857&lt;101,E857,IF(E857&lt;201,E857/2,IF(E857&lt;=301,E857/3,E857/4))))</f>
        <v>1030.4377199999999</v>
      </c>
      <c r="G857" s="92"/>
      <c r="H857" s="93"/>
      <c r="I857" s="36"/>
      <c r="L857" s="104"/>
      <c r="M857" s="104"/>
      <c r="N857" s="36"/>
    </row>
    <row r="858" spans="1:14" s="45" customFormat="1" ht="15.75" customHeight="1" x14ac:dyDescent="0.25">
      <c r="A858" s="88">
        <f t="shared" si="190"/>
        <v>6</v>
      </c>
      <c r="B858" s="89"/>
      <c r="C858" s="51" t="s">
        <v>192</v>
      </c>
      <c r="D858" s="53">
        <f>(49.15+0.9*3.05+1.5*(2.15+2.75+3.05))*(10.764)</f>
        <v>686.95847999999989</v>
      </c>
      <c r="E858" s="52">
        <v>0</v>
      </c>
      <c r="F858" s="52">
        <f>D858*(($F$351)+1)+(IF(E858&lt;101,E858,IF(E858&lt;201,E858/2,IF(E858&lt;=301,E858/3,E858/4))))</f>
        <v>1030.4377199999999</v>
      </c>
      <c r="G858" s="94"/>
      <c r="H858" s="95"/>
      <c r="I858" s="36"/>
      <c r="L858" s="104"/>
      <c r="M858" s="104"/>
      <c r="N858" s="36"/>
    </row>
    <row r="859" spans="1:14" s="45" customFormat="1" x14ac:dyDescent="0.25">
      <c r="A859" s="99" t="s">
        <v>212</v>
      </c>
      <c r="B859" s="100"/>
      <c r="C859" s="100"/>
      <c r="D859" s="100"/>
      <c r="E859" s="100"/>
      <c r="F859" s="100"/>
      <c r="G859" s="100"/>
      <c r="H859" s="101"/>
      <c r="J859" s="36"/>
    </row>
    <row r="860" spans="1:14" s="45" customFormat="1" x14ac:dyDescent="0.25">
      <c r="A860" s="88">
        <v>1</v>
      </c>
      <c r="B860" s="89"/>
      <c r="C860" s="51" t="s">
        <v>192</v>
      </c>
      <c r="D860" s="53">
        <f>(49.15+1.5*(3.05+2.15+2.76)+0.9*3.05)*(10.764)</f>
        <v>687.11993999999993</v>
      </c>
      <c r="E860" s="52">
        <v>0</v>
      </c>
      <c r="F860" s="52">
        <f>D860*(($F$351)+1)+(IF(E860&lt;101,E860,IF(E860&lt;201,E860/2,IF(E860&lt;=301,E860/3,E860/4))))</f>
        <v>1030.6799099999998</v>
      </c>
      <c r="G860" s="90" t="str">
        <f>A859</f>
        <v>11th Floor</v>
      </c>
      <c r="H860" s="91"/>
      <c r="I860" s="36"/>
      <c r="L860" s="104"/>
      <c r="M860" s="104"/>
      <c r="N860" s="36"/>
    </row>
    <row r="861" spans="1:14" s="45" customFormat="1" x14ac:dyDescent="0.25">
      <c r="A861" s="88">
        <f t="shared" ref="A861:A865" si="191">A860+1</f>
        <v>2</v>
      </c>
      <c r="B861" s="89"/>
      <c r="C861" s="96" t="s">
        <v>200</v>
      </c>
      <c r="D861" s="97"/>
      <c r="E861" s="97"/>
      <c r="F861" s="98"/>
      <c r="G861" s="92"/>
      <c r="H861" s="93"/>
      <c r="I861" s="36"/>
      <c r="L861" s="104"/>
      <c r="M861" s="104"/>
      <c r="N861" s="36"/>
    </row>
    <row r="862" spans="1:14" s="45" customFormat="1" x14ac:dyDescent="0.25">
      <c r="A862" s="88">
        <f t="shared" si="191"/>
        <v>3</v>
      </c>
      <c r="B862" s="89"/>
      <c r="C862" s="51">
        <v>1</v>
      </c>
      <c r="D862" s="53">
        <f>(3*4.3+2.1*2.15+3*3.15+1.2*1.83+2.5*0.6+1.2*1.83+2.1*0.9+1.5*(3+2.1)+3*0.9)*(10.764)</f>
        <v>484.34770799999995</v>
      </c>
      <c r="E862" s="52">
        <v>0</v>
      </c>
      <c r="F862" s="52">
        <f>D862*(($F$351)+1)+(IF(E862&lt;101,E862,IF(E862&lt;201,E862/2,IF(E862&lt;=301,E862/3,E862/4))))</f>
        <v>726.5215619999999</v>
      </c>
      <c r="G862" s="92"/>
      <c r="H862" s="93"/>
      <c r="I862" s="36"/>
      <c r="L862" s="104"/>
      <c r="M862" s="104"/>
      <c r="N862" s="36"/>
    </row>
    <row r="863" spans="1:14" s="45" customFormat="1" x14ac:dyDescent="0.25">
      <c r="A863" s="88">
        <f t="shared" si="191"/>
        <v>4</v>
      </c>
      <c r="B863" s="89"/>
      <c r="C863" s="51">
        <v>1</v>
      </c>
      <c r="D863" s="53">
        <f>(3*4.3+2.1*2.15+3*3.15+1.2*1.83+2.5*0.6+1.2*1.83+2.1*0.9+1.5*(3+2.1)+3*0.9)*(10.764)</f>
        <v>484.34770799999995</v>
      </c>
      <c r="E863" s="52">
        <v>0</v>
      </c>
      <c r="F863" s="52">
        <f>D863*(($F$351)+1)+(IF(E863&lt;101,E863,IF(E863&lt;201,E863/2,IF(E863&lt;=301,E863/3,E863/4))))</f>
        <v>726.5215619999999</v>
      </c>
      <c r="G863" s="92"/>
      <c r="H863" s="93"/>
      <c r="I863" s="36"/>
      <c r="L863" s="104"/>
      <c r="M863" s="104"/>
      <c r="N863" s="36"/>
    </row>
    <row r="864" spans="1:14" s="45" customFormat="1" x14ac:dyDescent="0.25">
      <c r="A864" s="88">
        <f t="shared" si="191"/>
        <v>5</v>
      </c>
      <c r="B864" s="89"/>
      <c r="C864" s="51" t="s">
        <v>192</v>
      </c>
      <c r="D864" s="53">
        <f>(49.15+1.5*(3.05+2.15+2.76)+0.9*3.05)*(10.764)</f>
        <v>687.11993999999993</v>
      </c>
      <c r="E864" s="52">
        <v>0</v>
      </c>
      <c r="F864" s="52">
        <f>D864*(($F$351)+1)+(IF(E864&lt;101,E864,IF(E864&lt;201,E864/2,IF(E864&lt;=301,E864/3,E864/4))))</f>
        <v>1030.6799099999998</v>
      </c>
      <c r="G864" s="92"/>
      <c r="H864" s="93"/>
      <c r="I864" s="36"/>
      <c r="L864" s="104"/>
      <c r="M864" s="104"/>
      <c r="N864" s="36"/>
    </row>
    <row r="865" spans="1:14" s="45" customFormat="1" x14ac:dyDescent="0.25">
      <c r="A865" s="88">
        <f t="shared" si="191"/>
        <v>6</v>
      </c>
      <c r="B865" s="89"/>
      <c r="C865" s="51" t="s">
        <v>192</v>
      </c>
      <c r="D865" s="53">
        <f>(49.15+1.5*(3.05+2.15+2.76)+0.9*3.05)*(10.764)</f>
        <v>687.11993999999993</v>
      </c>
      <c r="E865" s="52">
        <v>0</v>
      </c>
      <c r="F865" s="52">
        <f>D865*(($F$351)+1)+(IF(E865&lt;101,E865,IF(E865&lt;201,E865/2,IF(E865&lt;=301,E865/3,E865/4))))</f>
        <v>1030.6799099999998</v>
      </c>
      <c r="G865" s="94"/>
      <c r="H865" s="95"/>
      <c r="I865" s="36"/>
      <c r="L865" s="104"/>
      <c r="M865" s="104"/>
      <c r="N865" s="36"/>
    </row>
    <row r="866" spans="1:14" s="45" customFormat="1" x14ac:dyDescent="0.25">
      <c r="A866" s="99" t="s">
        <v>194</v>
      </c>
      <c r="B866" s="100"/>
      <c r="C866" s="100"/>
      <c r="D866" s="100"/>
      <c r="E866" s="100"/>
      <c r="F866" s="100"/>
      <c r="G866" s="100"/>
      <c r="H866" s="101"/>
      <c r="J866" s="36"/>
    </row>
    <row r="867" spans="1:14" s="45" customFormat="1" ht="15.75" customHeight="1" x14ac:dyDescent="0.25">
      <c r="A867" s="88">
        <v>1</v>
      </c>
      <c r="B867" s="89"/>
      <c r="C867" s="51" t="s">
        <v>192</v>
      </c>
      <c r="D867" s="53">
        <f>(49.15+0.9*3.05+1.5*(2.15+2.75+3.05))*(10.764)</f>
        <v>686.95847999999989</v>
      </c>
      <c r="E867" s="52">
        <v>0</v>
      </c>
      <c r="F867" s="52">
        <f>D867*(($F$351)+1)+(IF(E867&lt;101,E867,IF(E867&lt;201,E867/2,IF(E867&lt;=301,E867/3,E867/4))))</f>
        <v>1030.4377199999999</v>
      </c>
      <c r="G867" s="90" t="str">
        <f>A866</f>
        <v>12th Floor (Part Refuge Area)</v>
      </c>
      <c r="H867" s="91"/>
      <c r="I867" s="36"/>
      <c r="L867" s="104"/>
      <c r="M867" s="104"/>
      <c r="N867" s="36"/>
    </row>
    <row r="868" spans="1:14" s="45" customFormat="1" ht="15.75" customHeight="1" x14ac:dyDescent="0.25">
      <c r="A868" s="88">
        <f t="shared" ref="A868:A872" si="192">A867+1</f>
        <v>2</v>
      </c>
      <c r="B868" s="89"/>
      <c r="C868" s="96" t="s">
        <v>200</v>
      </c>
      <c r="D868" s="97"/>
      <c r="E868" s="97"/>
      <c r="F868" s="98"/>
      <c r="G868" s="92"/>
      <c r="H868" s="93"/>
      <c r="I868" s="36"/>
      <c r="L868" s="104"/>
      <c r="M868" s="104"/>
      <c r="N868" s="36"/>
    </row>
    <row r="869" spans="1:14" s="45" customFormat="1" ht="15.75" customHeight="1" x14ac:dyDescent="0.25">
      <c r="A869" s="88">
        <f t="shared" si="192"/>
        <v>3</v>
      </c>
      <c r="B869" s="89"/>
      <c r="C869" s="51">
        <v>1</v>
      </c>
      <c r="D869" s="53">
        <f>(3*4.3+2.1*2.15+3*3.15+1.2*1.83+2.5*0.6+1.2*1.83+2.1*0.9+1.5*(3+2.1)+3*0.9)*(10.764)</f>
        <v>484.34770799999995</v>
      </c>
      <c r="E869" s="52">
        <v>0</v>
      </c>
      <c r="F869" s="52">
        <f>D869*(($F$351)+1)+(IF(E869&lt;101,E869,IF(E869&lt;201,E869/2,IF(E869&lt;=301,E869/3,E869/4))))</f>
        <v>726.5215619999999</v>
      </c>
      <c r="G869" s="92"/>
      <c r="H869" s="93"/>
      <c r="I869" s="36"/>
      <c r="L869" s="104"/>
      <c r="M869" s="104"/>
      <c r="N869" s="36"/>
    </row>
    <row r="870" spans="1:14" s="45" customFormat="1" ht="15.75" customHeight="1" x14ac:dyDescent="0.25">
      <c r="A870" s="88">
        <f t="shared" si="192"/>
        <v>4</v>
      </c>
      <c r="B870" s="89"/>
      <c r="C870" s="51">
        <v>1</v>
      </c>
      <c r="D870" s="53">
        <f>(3*4.3+2.1*2.15+3*3.15+1.2*1.83+2.5*0.6+1.2*1.83+2.1*0.9+1.5*(3+2.1)+3*0.9)*(10.764)</f>
        <v>484.34770799999995</v>
      </c>
      <c r="E870" s="52">
        <v>0</v>
      </c>
      <c r="F870" s="52">
        <f>D870*(($F$351)+1)+(IF(E870&lt;101,E870,IF(E870&lt;201,E870/2,IF(E870&lt;=301,E870/3,E870/4))))</f>
        <v>726.5215619999999</v>
      </c>
      <c r="G870" s="92"/>
      <c r="H870" s="93"/>
      <c r="I870" s="36"/>
      <c r="L870" s="104"/>
      <c r="M870" s="104"/>
      <c r="N870" s="36"/>
    </row>
    <row r="871" spans="1:14" s="45" customFormat="1" ht="15.75" customHeight="1" x14ac:dyDescent="0.25">
      <c r="A871" s="88">
        <f t="shared" si="192"/>
        <v>5</v>
      </c>
      <c r="B871" s="89"/>
      <c r="C871" s="51" t="s">
        <v>192</v>
      </c>
      <c r="D871" s="53">
        <f>(49.15+0.9*3.05+1.5*(2.15+2.75+3.05))*(10.764)</f>
        <v>686.95847999999989</v>
      </c>
      <c r="E871" s="52">
        <v>0</v>
      </c>
      <c r="F871" s="52">
        <f>D871*(($F$351)+1)+(IF(E871&lt;101,E871,IF(E871&lt;201,E871/2,IF(E871&lt;=301,E871/3,E871/4))))</f>
        <v>1030.4377199999999</v>
      </c>
      <c r="G871" s="92"/>
      <c r="H871" s="93"/>
      <c r="I871" s="36"/>
      <c r="L871" s="104"/>
      <c r="M871" s="104"/>
      <c r="N871" s="36"/>
    </row>
    <row r="872" spans="1:14" s="45" customFormat="1" ht="15.75" customHeight="1" x14ac:dyDescent="0.25">
      <c r="A872" s="88">
        <f t="shared" si="192"/>
        <v>6</v>
      </c>
      <c r="B872" s="89"/>
      <c r="C872" s="51" t="s">
        <v>192</v>
      </c>
      <c r="D872" s="53">
        <f>(49.15+0.9*3.05+1.5*(2.15+2.75+3.05))*(10.764)</f>
        <v>686.95847999999989</v>
      </c>
      <c r="E872" s="52">
        <v>0</v>
      </c>
      <c r="F872" s="52">
        <f>D872*(($F$351)+1)+(IF(E872&lt;101,E872,IF(E872&lt;201,E872/2,IF(E872&lt;=301,E872/3,E872/4))))</f>
        <v>1030.4377199999999</v>
      </c>
      <c r="G872" s="94"/>
      <c r="H872" s="95"/>
      <c r="I872" s="36"/>
      <c r="L872" s="104"/>
      <c r="M872" s="104"/>
      <c r="N872" s="36"/>
    </row>
    <row r="873" spans="1:14" s="45" customFormat="1" x14ac:dyDescent="0.25">
      <c r="A873" s="99" t="s">
        <v>207</v>
      </c>
      <c r="B873" s="100"/>
      <c r="C873" s="100"/>
      <c r="D873" s="100"/>
      <c r="E873" s="100"/>
      <c r="F873" s="100"/>
      <c r="G873" s="100"/>
      <c r="H873" s="101"/>
      <c r="J873" s="36"/>
    </row>
    <row r="874" spans="1:14" s="45" customFormat="1" ht="15.75" customHeight="1" x14ac:dyDescent="0.25">
      <c r="A874" s="88">
        <v>1</v>
      </c>
      <c r="B874" s="89"/>
      <c r="C874" s="51" t="s">
        <v>192</v>
      </c>
      <c r="D874" s="53">
        <f>(49.15+1.5*(3.05+2.15+2.76)+0.9*3.05)*(10.764)</f>
        <v>687.11993999999993</v>
      </c>
      <c r="E874" s="52">
        <v>0</v>
      </c>
      <c r="F874" s="52">
        <f t="shared" ref="F874:F879" si="193">D874*(($F$351)+1)+(IF(E874&lt;101,E874,IF(E874&lt;201,E874/2,IF(E874&lt;=301,E874/3,E874/4))))</f>
        <v>1030.6799099999998</v>
      </c>
      <c r="G874" s="90" t="str">
        <f>A873</f>
        <v>17th Floor (Part Refuge Area)</v>
      </c>
      <c r="H874" s="91"/>
      <c r="I874" s="36"/>
      <c r="L874" s="104"/>
      <c r="M874" s="104"/>
      <c r="N874" s="36"/>
    </row>
    <row r="875" spans="1:14" s="45" customFormat="1" ht="15.75" customHeight="1" x14ac:dyDescent="0.25">
      <c r="A875" s="88">
        <f t="shared" ref="A875:A879" si="194">A874+1</f>
        <v>2</v>
      </c>
      <c r="B875" s="89"/>
      <c r="C875" s="51" t="s">
        <v>192</v>
      </c>
      <c r="D875" s="53">
        <f>(49.15+1.5*(3.05+2.15+2.76)+0.9*3.05)*(10.764)</f>
        <v>687.11993999999993</v>
      </c>
      <c r="E875" s="52">
        <v>0</v>
      </c>
      <c r="F875" s="52">
        <f t="shared" si="193"/>
        <v>1030.6799099999998</v>
      </c>
      <c r="G875" s="92"/>
      <c r="H875" s="93"/>
      <c r="I875" s="36"/>
      <c r="L875" s="104"/>
      <c r="M875" s="104"/>
      <c r="N875" s="36"/>
    </row>
    <row r="876" spans="1:14" s="45" customFormat="1" ht="15.75" customHeight="1" x14ac:dyDescent="0.25">
      <c r="A876" s="88">
        <f t="shared" si="194"/>
        <v>3</v>
      </c>
      <c r="B876" s="89"/>
      <c r="C876" s="51">
        <v>1</v>
      </c>
      <c r="D876" s="53">
        <f>(3*4.3+2.1*2.15+3*3.15+1.2*1.83+2.5*0.6+1.2*1.83+2.1*0.9+1.5*(3+2.1)+3*0.9)*(10.764)</f>
        <v>484.34770799999995</v>
      </c>
      <c r="E876" s="52">
        <v>0</v>
      </c>
      <c r="F876" s="52">
        <f t="shared" si="193"/>
        <v>726.5215619999999</v>
      </c>
      <c r="G876" s="92"/>
      <c r="H876" s="93"/>
      <c r="I876" s="36"/>
      <c r="L876" s="104"/>
      <c r="M876" s="104"/>
      <c r="N876" s="36"/>
    </row>
    <row r="877" spans="1:14" s="45" customFormat="1" ht="15.75" customHeight="1" x14ac:dyDescent="0.25">
      <c r="A877" s="88">
        <f t="shared" si="194"/>
        <v>4</v>
      </c>
      <c r="B877" s="89"/>
      <c r="C877" s="51">
        <v>1</v>
      </c>
      <c r="D877" s="53">
        <f>(3*4.3+2.1*2.15+3*3.15+1.2*1.83+2.5*0.6+1.2*1.83+2.1*0.9+1.5*(3+2.1)+3*0.9)*(10.764)</f>
        <v>484.34770799999995</v>
      </c>
      <c r="E877" s="52">
        <v>0</v>
      </c>
      <c r="F877" s="52">
        <f t="shared" si="193"/>
        <v>726.5215619999999</v>
      </c>
      <c r="G877" s="92"/>
      <c r="H877" s="93"/>
      <c r="I877" s="36"/>
      <c r="L877" s="104"/>
      <c r="M877" s="104"/>
      <c r="N877" s="36"/>
    </row>
    <row r="878" spans="1:14" s="45" customFormat="1" ht="15.75" customHeight="1" x14ac:dyDescent="0.25">
      <c r="A878" s="88">
        <f t="shared" si="194"/>
        <v>5</v>
      </c>
      <c r="B878" s="89"/>
      <c r="C878" s="51" t="s">
        <v>192</v>
      </c>
      <c r="D878" s="53">
        <f>(49.15+1.5*(3.05+2.15+2.76)+0.9*3.05)*(10.764)</f>
        <v>687.11993999999993</v>
      </c>
      <c r="E878" s="52">
        <v>0</v>
      </c>
      <c r="F878" s="52">
        <f t="shared" si="193"/>
        <v>1030.6799099999998</v>
      </c>
      <c r="G878" s="92"/>
      <c r="H878" s="93"/>
      <c r="I878" s="36"/>
      <c r="L878" s="104"/>
      <c r="M878" s="104"/>
      <c r="N878" s="36"/>
    </row>
    <row r="879" spans="1:14" s="45" customFormat="1" ht="15.75" customHeight="1" x14ac:dyDescent="0.25">
      <c r="A879" s="88">
        <f t="shared" si="194"/>
        <v>6</v>
      </c>
      <c r="B879" s="89"/>
      <c r="C879" s="51" t="s">
        <v>192</v>
      </c>
      <c r="D879" s="53">
        <f>(49.15+1.5*(3.05+2.15+2.76)+0.9*3.05)*(10.764)</f>
        <v>687.11993999999993</v>
      </c>
      <c r="E879" s="52">
        <v>0</v>
      </c>
      <c r="F879" s="52">
        <f t="shared" si="193"/>
        <v>1030.6799099999998</v>
      </c>
      <c r="G879" s="94"/>
      <c r="H879" s="95"/>
      <c r="I879" s="36"/>
      <c r="L879" s="104"/>
      <c r="M879" s="104"/>
      <c r="N879" s="36"/>
    </row>
    <row r="880" spans="1:14" s="45" customFormat="1" ht="15.75" customHeight="1" x14ac:dyDescent="0.25">
      <c r="A880" s="99" t="s">
        <v>213</v>
      </c>
      <c r="B880" s="100"/>
      <c r="C880" s="100"/>
      <c r="D880" s="100"/>
      <c r="E880" s="100"/>
      <c r="F880" s="100"/>
      <c r="G880" s="100"/>
      <c r="H880" s="101"/>
      <c r="J880" s="36"/>
    </row>
    <row r="881" spans="1:14" s="45" customFormat="1" ht="15.75" customHeight="1" x14ac:dyDescent="0.25">
      <c r="A881" s="99" t="s">
        <v>266</v>
      </c>
      <c r="B881" s="100"/>
      <c r="C881" s="100"/>
      <c r="D881" s="100"/>
      <c r="E881" s="100"/>
      <c r="F881" s="100"/>
      <c r="G881" s="100"/>
      <c r="H881" s="101"/>
      <c r="J881" s="36"/>
    </row>
    <row r="882" spans="1:14" s="45" customFormat="1" x14ac:dyDescent="0.25">
      <c r="A882" s="99" t="s">
        <v>193</v>
      </c>
      <c r="B882" s="100"/>
      <c r="C882" s="100"/>
      <c r="D882" s="100"/>
      <c r="E882" s="100"/>
      <c r="F882" s="100"/>
      <c r="G882" s="100"/>
      <c r="H882" s="101"/>
      <c r="J882" s="53">
        <f>10.764</f>
        <v>10.763999999999999</v>
      </c>
    </row>
    <row r="883" spans="1:14" s="45" customFormat="1" ht="15.75" customHeight="1" x14ac:dyDescent="0.25">
      <c r="A883" s="88">
        <v>1</v>
      </c>
      <c r="B883" s="89"/>
      <c r="C883" s="51" t="s">
        <v>192</v>
      </c>
      <c r="D883" s="53">
        <f>(49.15+1.5*(3.05+2.15+2.76)+0.9*3.05)*(10.764)</f>
        <v>687.11993999999993</v>
      </c>
      <c r="E883" s="53">
        <f>(4.65*5.175+3.35*2.99+5.05*3.68+3.2*4.25)*(10.764)</f>
        <v>713.26838699999996</v>
      </c>
      <c r="F883" s="52">
        <f t="shared" ref="F883:F888" si="195">D883*(($F$351)+1)+(IF(E883&lt;101,E883,IF(E883&lt;201,E883/2,IF(E883&lt;=301,E883/3,E883/4))))</f>
        <v>1208.9970067499999</v>
      </c>
      <c r="G883" s="90" t="str">
        <f>A882</f>
        <v>1st Floor For Residential</v>
      </c>
      <c r="H883" s="91"/>
      <c r="I883" s="36"/>
      <c r="J883" s="45">
        <f>3.05*4.23+1.05*2.22+2.15*2.35+2.75*2.35+3.05*2.29+2.15*1.22+2.15*1.22+4*0.9</f>
        <v>42.577999999999996</v>
      </c>
      <c r="K883" s="45">
        <f>3.05*1+3.05*1</f>
        <v>6.1</v>
      </c>
      <c r="L883" s="104"/>
      <c r="M883" s="104"/>
      <c r="N883" s="36"/>
    </row>
    <row r="884" spans="1:14" s="45" customFormat="1" ht="15.75" customHeight="1" x14ac:dyDescent="0.25">
      <c r="A884" s="88">
        <f t="shared" ref="A884:A888" si="196">A883+1</f>
        <v>2</v>
      </c>
      <c r="B884" s="89"/>
      <c r="C884" s="51" t="s">
        <v>192</v>
      </c>
      <c r="D884" s="53">
        <f>(49.15+1.5*(3.05+2.15+2.76)+0.9*3.05)*(10.764)</f>
        <v>687.11993999999993</v>
      </c>
      <c r="E884" s="52">
        <v>0</v>
      </c>
      <c r="F884" s="52">
        <f t="shared" si="195"/>
        <v>1030.6799099999998</v>
      </c>
      <c r="G884" s="92"/>
      <c r="H884" s="93"/>
      <c r="I884" s="36"/>
      <c r="J884" s="45">
        <f>J883+K883</f>
        <v>48.677999999999997</v>
      </c>
      <c r="L884" s="104"/>
      <c r="M884" s="104"/>
      <c r="N884" s="36"/>
    </row>
    <row r="885" spans="1:14" s="45" customFormat="1" ht="15.75" customHeight="1" x14ac:dyDescent="0.25">
      <c r="A885" s="88">
        <f t="shared" si="196"/>
        <v>3</v>
      </c>
      <c r="B885" s="89"/>
      <c r="C885" s="51">
        <v>1</v>
      </c>
      <c r="D885" s="53">
        <f>(3*4.3+2.1*2.15+3*3.15+1.2*1.83+2.5*0.6+1.2*1.83+2.1*0.9+1.5*(3+2.1)+3*0.9)*(10.764)</f>
        <v>484.34770799999995</v>
      </c>
      <c r="E885" s="52">
        <v>0</v>
      </c>
      <c r="F885" s="52">
        <f t="shared" si="195"/>
        <v>726.5215619999999</v>
      </c>
      <c r="G885" s="92"/>
      <c r="H885" s="93"/>
      <c r="I885" s="36"/>
      <c r="J885" s="45">
        <f>1.5*(3.05+2.15+2.76)+0.9*3.05</f>
        <v>14.684999999999999</v>
      </c>
      <c r="L885" s="104"/>
      <c r="M885" s="104"/>
      <c r="N885" s="36"/>
    </row>
    <row r="886" spans="1:14" s="45" customFormat="1" ht="15.75" customHeight="1" x14ac:dyDescent="0.25">
      <c r="A886" s="88">
        <f t="shared" si="196"/>
        <v>4</v>
      </c>
      <c r="B886" s="89"/>
      <c r="C886" s="51">
        <v>1</v>
      </c>
      <c r="D886" s="53">
        <f>(3*4.3+2.1*2.15+3*3.15+1.2*1.83+2.5*0.6+1.2*1.83+2.1*0.9+1.5*(3+2.1)+3*0.9)*(10.764)</f>
        <v>484.34770799999995</v>
      </c>
      <c r="E886" s="52">
        <v>0</v>
      </c>
      <c r="F886" s="52">
        <f t="shared" si="195"/>
        <v>726.5215619999999</v>
      </c>
      <c r="G886" s="92"/>
      <c r="H886" s="93"/>
      <c r="I886" s="36"/>
      <c r="J886" s="45">
        <f>3*4.3+2.1*2.15+3*3.15+1.2*1.83+2.5*0.6+1.2*1.83+2.1*0.9</f>
        <v>34.646999999999998</v>
      </c>
      <c r="K886" s="45">
        <f>1.5*(3+2.1)+3*0.9</f>
        <v>10.35</v>
      </c>
      <c r="L886" s="104"/>
      <c r="M886" s="104"/>
      <c r="N886" s="36"/>
    </row>
    <row r="887" spans="1:14" s="45" customFormat="1" ht="15.75" customHeight="1" x14ac:dyDescent="0.25">
      <c r="A887" s="88">
        <f t="shared" si="196"/>
        <v>5</v>
      </c>
      <c r="B887" s="89"/>
      <c r="C887" s="51" t="s">
        <v>192</v>
      </c>
      <c r="D887" s="53">
        <f>(49.15+1.5*(3.05+2.15+2.76)+0.9*3.05)*(10.764)</f>
        <v>687.11993999999993</v>
      </c>
      <c r="E887" s="52">
        <v>0</v>
      </c>
      <c r="F887" s="52">
        <f t="shared" si="195"/>
        <v>1030.6799099999998</v>
      </c>
      <c r="G887" s="92"/>
      <c r="H887" s="93"/>
      <c r="I887" s="36"/>
      <c r="L887" s="104"/>
      <c r="M887" s="104"/>
      <c r="N887" s="36"/>
    </row>
    <row r="888" spans="1:14" s="45" customFormat="1" ht="15.75" customHeight="1" x14ac:dyDescent="0.25">
      <c r="A888" s="88">
        <f t="shared" si="196"/>
        <v>6</v>
      </c>
      <c r="B888" s="89"/>
      <c r="C888" s="51" t="s">
        <v>192</v>
      </c>
      <c r="D888" s="53">
        <f>(49.15+1.5*(3.05+2.15+2.76)+0.9*3.05)*(10.764)</f>
        <v>687.11993999999993</v>
      </c>
      <c r="E888" s="53">
        <f>(4.65*5.175+3.35*2.99+5.05*3.68+3.2*4.25)*(10.764)</f>
        <v>713.26838699999996</v>
      </c>
      <c r="F888" s="52">
        <f t="shared" si="195"/>
        <v>1208.9970067499999</v>
      </c>
      <c r="G888" s="94"/>
      <c r="H888" s="95"/>
      <c r="I888" s="36"/>
      <c r="L888" s="104"/>
      <c r="M888" s="104"/>
      <c r="N888" s="36"/>
    </row>
    <row r="889" spans="1:14" s="45" customFormat="1" x14ac:dyDescent="0.25">
      <c r="A889" s="99" t="s">
        <v>195</v>
      </c>
      <c r="B889" s="100"/>
      <c r="C889" s="100"/>
      <c r="D889" s="100"/>
      <c r="E889" s="100"/>
      <c r="F889" s="100"/>
      <c r="G889" s="100"/>
      <c r="H889" s="101"/>
      <c r="J889" s="36"/>
    </row>
    <row r="890" spans="1:14" s="45" customFormat="1" ht="15.75" customHeight="1" x14ac:dyDescent="0.25">
      <c r="A890" s="88">
        <v>1</v>
      </c>
      <c r="B890" s="89"/>
      <c r="C890" s="51" t="s">
        <v>192</v>
      </c>
      <c r="D890" s="53">
        <f>(49.15+0.9*3.05+1.5*(2.15+2.75+3.05))*(10.764)</f>
        <v>686.95847999999989</v>
      </c>
      <c r="E890" s="52">
        <v>0</v>
      </c>
      <c r="F890" s="52">
        <f t="shared" ref="F890:F895" si="197">D890*(($F$351)+1)+(IF(E890&lt;101,E890,IF(E890&lt;201,E890/2,IF(E890&lt;=301,E890/3,E890/4))))</f>
        <v>1030.4377199999999</v>
      </c>
      <c r="G890" s="90" t="str">
        <f>A889</f>
        <v>2nd, 8th, 10th, 16th &amp; 18th Floor</v>
      </c>
      <c r="H890" s="91"/>
      <c r="I890" s="36"/>
      <c r="L890" s="104"/>
      <c r="M890" s="104"/>
      <c r="N890" s="36"/>
    </row>
    <row r="891" spans="1:14" s="45" customFormat="1" ht="15.75" customHeight="1" x14ac:dyDescent="0.25">
      <c r="A891" s="88">
        <f t="shared" ref="A891:A895" si="198">A890+1</f>
        <v>2</v>
      </c>
      <c r="B891" s="89"/>
      <c r="C891" s="51" t="s">
        <v>192</v>
      </c>
      <c r="D891" s="53">
        <f>(49.15+0.9*3.05+1.5*(2.15+2.75+3.05))*(10.764)</f>
        <v>686.95847999999989</v>
      </c>
      <c r="E891" s="52">
        <v>0</v>
      </c>
      <c r="F891" s="52">
        <f t="shared" si="197"/>
        <v>1030.4377199999999</v>
      </c>
      <c r="G891" s="92"/>
      <c r="H891" s="93"/>
      <c r="I891" s="36"/>
      <c r="L891" s="104"/>
      <c r="M891" s="104"/>
      <c r="N891" s="36"/>
    </row>
    <row r="892" spans="1:14" s="45" customFormat="1" ht="15.75" customHeight="1" x14ac:dyDescent="0.25">
      <c r="A892" s="88">
        <f t="shared" si="198"/>
        <v>3</v>
      </c>
      <c r="B892" s="89"/>
      <c r="C892" s="51">
        <v>1</v>
      </c>
      <c r="D892" s="53">
        <f>(3*4.3+2.1*2.15+3*3.15+1.2*1.83+2.5*0.6+1.2*1.83+2.1*0.9+1.5*(3+2.1)+3*0.9)*(10.764)</f>
        <v>484.34770799999995</v>
      </c>
      <c r="E892" s="52">
        <v>0</v>
      </c>
      <c r="F892" s="52">
        <f t="shared" si="197"/>
        <v>726.5215619999999</v>
      </c>
      <c r="G892" s="92"/>
      <c r="H892" s="93"/>
      <c r="I892" s="36"/>
      <c r="L892" s="104"/>
      <c r="M892" s="104"/>
      <c r="N892" s="36"/>
    </row>
    <row r="893" spans="1:14" s="45" customFormat="1" ht="15.75" customHeight="1" x14ac:dyDescent="0.25">
      <c r="A893" s="88">
        <f t="shared" si="198"/>
        <v>4</v>
      </c>
      <c r="B893" s="89"/>
      <c r="C893" s="51">
        <v>1</v>
      </c>
      <c r="D893" s="53">
        <f>(3*4.3+2.1*2.15+3*3.15+1.2*1.83+2.5*0.6+1.2*1.83+2.1*0.9+1.5*(3+2.1)+3*0.9)*(10.764)</f>
        <v>484.34770799999995</v>
      </c>
      <c r="E893" s="52">
        <v>0</v>
      </c>
      <c r="F893" s="52">
        <f t="shared" si="197"/>
        <v>726.5215619999999</v>
      </c>
      <c r="G893" s="92"/>
      <c r="H893" s="93"/>
      <c r="I893" s="36"/>
      <c r="L893" s="104"/>
      <c r="M893" s="104"/>
      <c r="N893" s="36"/>
    </row>
    <row r="894" spans="1:14" s="45" customFormat="1" ht="15.75" customHeight="1" x14ac:dyDescent="0.25">
      <c r="A894" s="88">
        <f t="shared" si="198"/>
        <v>5</v>
      </c>
      <c r="B894" s="89"/>
      <c r="C894" s="51" t="s">
        <v>192</v>
      </c>
      <c r="D894" s="53">
        <f>(49.15+0.9*3.05+1.5*(2.15+2.75+3.05))*(10.764)</f>
        <v>686.95847999999989</v>
      </c>
      <c r="E894" s="52">
        <v>0</v>
      </c>
      <c r="F894" s="52">
        <f t="shared" si="197"/>
        <v>1030.4377199999999</v>
      </c>
      <c r="G894" s="92"/>
      <c r="H894" s="93"/>
      <c r="I894" s="36"/>
      <c r="L894" s="104"/>
      <c r="M894" s="104"/>
      <c r="N894" s="36"/>
    </row>
    <row r="895" spans="1:14" s="45" customFormat="1" ht="15.75" customHeight="1" x14ac:dyDescent="0.25">
      <c r="A895" s="88">
        <f t="shared" si="198"/>
        <v>6</v>
      </c>
      <c r="B895" s="89"/>
      <c r="C895" s="51" t="s">
        <v>192</v>
      </c>
      <c r="D895" s="53">
        <f>(49.15+0.9*3.05+1.5*(2.15+2.75+3.05))*(10.764)</f>
        <v>686.95847999999989</v>
      </c>
      <c r="E895" s="52">
        <v>0</v>
      </c>
      <c r="F895" s="52">
        <f t="shared" si="197"/>
        <v>1030.4377199999999</v>
      </c>
      <c r="G895" s="94"/>
      <c r="H895" s="95"/>
      <c r="I895" s="36"/>
      <c r="L895" s="104"/>
      <c r="M895" s="104"/>
      <c r="N895" s="36"/>
    </row>
    <row r="896" spans="1:14" s="45" customFormat="1" x14ac:dyDescent="0.25">
      <c r="A896" s="99" t="s">
        <v>202</v>
      </c>
      <c r="B896" s="100"/>
      <c r="C896" s="100"/>
      <c r="D896" s="100"/>
      <c r="E896" s="100"/>
      <c r="F896" s="100"/>
      <c r="G896" s="100"/>
      <c r="H896" s="101"/>
      <c r="J896" s="36"/>
    </row>
    <row r="897" spans="1:14" s="45" customFormat="1" ht="15.75" customHeight="1" x14ac:dyDescent="0.25">
      <c r="A897" s="88">
        <v>1</v>
      </c>
      <c r="B897" s="89"/>
      <c r="C897" s="51" t="s">
        <v>192</v>
      </c>
      <c r="D897" s="53">
        <f>(49.15+1.5*(3.05+2.15+2.76)+0.9*3.05)*(10.764)</f>
        <v>687.11993999999993</v>
      </c>
      <c r="E897" s="52">
        <v>0</v>
      </c>
      <c r="F897" s="52">
        <f t="shared" ref="F897:F902" si="199">D897*(($F$351)+1)+(IF(E897&lt;101,E897,IF(E897&lt;201,E897/2,IF(E897&lt;=301,E897/3,E897/4))))</f>
        <v>1030.6799099999998</v>
      </c>
      <c r="G897" s="90" t="str">
        <f>A896</f>
        <v>3rd,  9th, 11th Floor</v>
      </c>
      <c r="H897" s="91"/>
      <c r="I897" s="36"/>
      <c r="L897" s="104"/>
      <c r="M897" s="104"/>
      <c r="N897" s="36"/>
    </row>
    <row r="898" spans="1:14" s="45" customFormat="1" ht="15.75" customHeight="1" x14ac:dyDescent="0.25">
      <c r="A898" s="88">
        <f t="shared" ref="A898:A902" si="200">A897+1</f>
        <v>2</v>
      </c>
      <c r="B898" s="89"/>
      <c r="C898" s="51" t="s">
        <v>192</v>
      </c>
      <c r="D898" s="53">
        <f>(49.15+1.5*(3.05+2.15+2.76)+0.9*3.05)*(10.764)</f>
        <v>687.11993999999993</v>
      </c>
      <c r="E898" s="52">
        <v>0</v>
      </c>
      <c r="F898" s="52">
        <f t="shared" si="199"/>
        <v>1030.6799099999998</v>
      </c>
      <c r="G898" s="92"/>
      <c r="H898" s="93"/>
      <c r="I898" s="36"/>
      <c r="L898" s="104"/>
      <c r="M898" s="104"/>
      <c r="N898" s="36"/>
    </row>
    <row r="899" spans="1:14" s="45" customFormat="1" ht="15.75" customHeight="1" x14ac:dyDescent="0.25">
      <c r="A899" s="88">
        <f t="shared" si="200"/>
        <v>3</v>
      </c>
      <c r="B899" s="89"/>
      <c r="C899" s="51">
        <v>1</v>
      </c>
      <c r="D899" s="53">
        <f>(3*4.3+2.1*2.15+3*3.15+1.2*1.83+2.5*0.6+1.2*1.83+2.1*0.9+1.5*(3+2.1)+3*0.9)*(10.764)</f>
        <v>484.34770799999995</v>
      </c>
      <c r="E899" s="52">
        <v>0</v>
      </c>
      <c r="F899" s="52">
        <f t="shared" si="199"/>
        <v>726.5215619999999</v>
      </c>
      <c r="G899" s="92"/>
      <c r="H899" s="93"/>
      <c r="I899" s="36"/>
      <c r="L899" s="104"/>
      <c r="M899" s="104"/>
      <c r="N899" s="36"/>
    </row>
    <row r="900" spans="1:14" s="45" customFormat="1" ht="15.75" customHeight="1" x14ac:dyDescent="0.25">
      <c r="A900" s="88">
        <f t="shared" si="200"/>
        <v>4</v>
      </c>
      <c r="B900" s="89"/>
      <c r="C900" s="51">
        <v>1</v>
      </c>
      <c r="D900" s="53">
        <f>(3*4.3+2.1*2.15+3*3.15+1.2*1.83+2.5*0.6+1.2*1.83+2.1*0.9+1.5*(3+2.1)+3*0.9)*(10.764)</f>
        <v>484.34770799999995</v>
      </c>
      <c r="E900" s="52">
        <v>0</v>
      </c>
      <c r="F900" s="52">
        <f t="shared" si="199"/>
        <v>726.5215619999999</v>
      </c>
      <c r="G900" s="92"/>
      <c r="H900" s="93"/>
      <c r="I900" s="36"/>
      <c r="L900" s="104"/>
      <c r="M900" s="104"/>
      <c r="N900" s="36"/>
    </row>
    <row r="901" spans="1:14" s="45" customFormat="1" ht="15.75" customHeight="1" x14ac:dyDescent="0.25">
      <c r="A901" s="88">
        <f t="shared" si="200"/>
        <v>5</v>
      </c>
      <c r="B901" s="89"/>
      <c r="C901" s="51" t="s">
        <v>192</v>
      </c>
      <c r="D901" s="53">
        <f>(49.15+1.5*(3.05+2.15+2.76)+0.9*3.05)*(10.764)</f>
        <v>687.11993999999993</v>
      </c>
      <c r="E901" s="52">
        <v>0</v>
      </c>
      <c r="F901" s="52">
        <f t="shared" si="199"/>
        <v>1030.6799099999998</v>
      </c>
      <c r="G901" s="92"/>
      <c r="H901" s="93"/>
      <c r="I901" s="36"/>
      <c r="L901" s="104"/>
      <c r="M901" s="104"/>
      <c r="N901" s="36"/>
    </row>
    <row r="902" spans="1:14" s="45" customFormat="1" ht="15.75" customHeight="1" x14ac:dyDescent="0.25">
      <c r="A902" s="88">
        <f t="shared" si="200"/>
        <v>6</v>
      </c>
      <c r="B902" s="89"/>
      <c r="C902" s="51" t="s">
        <v>192</v>
      </c>
      <c r="D902" s="53">
        <f>(49.15+1.5*(3.05+2.15+2.76)+0.9*3.05)*(10.764)</f>
        <v>687.11993999999993</v>
      </c>
      <c r="E902" s="52">
        <v>0</v>
      </c>
      <c r="F902" s="52">
        <f t="shared" si="199"/>
        <v>1030.6799099999998</v>
      </c>
      <c r="G902" s="94"/>
      <c r="H902" s="95"/>
      <c r="I902" s="36"/>
      <c r="L902" s="104"/>
      <c r="M902" s="104"/>
      <c r="N902" s="36"/>
    </row>
    <row r="903" spans="1:14" s="45" customFormat="1" x14ac:dyDescent="0.25">
      <c r="A903" s="99" t="s">
        <v>198</v>
      </c>
      <c r="B903" s="100"/>
      <c r="C903" s="100"/>
      <c r="D903" s="100"/>
      <c r="E903" s="100"/>
      <c r="F903" s="100"/>
      <c r="G903" s="100"/>
      <c r="H903" s="101"/>
      <c r="J903" s="36"/>
    </row>
    <row r="904" spans="1:14" s="45" customFormat="1" ht="15.75" customHeight="1" x14ac:dyDescent="0.25">
      <c r="A904" s="88">
        <v>1</v>
      </c>
      <c r="B904" s="89"/>
      <c r="C904" s="51" t="s">
        <v>192</v>
      </c>
      <c r="D904" s="53">
        <f>(49.15+0.9*3.05+1.5*(2.15+2.75+3.05))*(10.764)</f>
        <v>686.95847999999989</v>
      </c>
      <c r="E904" s="52">
        <v>0</v>
      </c>
      <c r="F904" s="52">
        <f>D904*(($F$351)+1)+(IF(E904&lt;101,E904,IF(E904&lt;201,E904/2,IF(E904&lt;=301,E904/3,E904/4))))</f>
        <v>1030.4377199999999</v>
      </c>
      <c r="G904" s="90" t="str">
        <f>A903</f>
        <v>4th Floor (Part Terrace Area)</v>
      </c>
      <c r="H904" s="91"/>
      <c r="I904" s="36"/>
      <c r="L904" s="104"/>
      <c r="M904" s="104"/>
      <c r="N904" s="36"/>
    </row>
    <row r="905" spans="1:14" s="45" customFormat="1" ht="15.75" customHeight="1" x14ac:dyDescent="0.25">
      <c r="A905" s="88">
        <f t="shared" ref="A905:A909" si="201">A904+1</f>
        <v>2</v>
      </c>
      <c r="B905" s="89"/>
      <c r="C905" s="51" t="s">
        <v>192</v>
      </c>
      <c r="D905" s="53">
        <f>(49.15+0.9*3.05+1.5*(2.15+2.75+3.05))*(10.764)</f>
        <v>686.95847999999989</v>
      </c>
      <c r="E905" s="52">
        <v>0</v>
      </c>
      <c r="F905" s="52">
        <f>D905*(($F$351)+1)+(IF(E905&lt;101,E905,IF(E905&lt;201,E905/2,IF(E905&lt;=301,E905/3,E905/4))))</f>
        <v>1030.4377199999999</v>
      </c>
      <c r="G905" s="92"/>
      <c r="H905" s="93"/>
      <c r="I905" s="36"/>
      <c r="L905" s="104"/>
      <c r="M905" s="104"/>
      <c r="N905" s="36"/>
    </row>
    <row r="906" spans="1:14" s="45" customFormat="1" ht="15.75" customHeight="1" x14ac:dyDescent="0.25">
      <c r="A906" s="88">
        <f t="shared" si="201"/>
        <v>3</v>
      </c>
      <c r="B906" s="89"/>
      <c r="C906" s="51">
        <v>1</v>
      </c>
      <c r="D906" s="53">
        <f>(3*4.3+2.1*2.15+3*3.15+1.2*1.83+2.5*0.6+1.2*1.83+2.1*0.9+1.5*(3+2.1)+3*0.9)*(10.764)</f>
        <v>484.34770799999995</v>
      </c>
      <c r="E906" s="52">
        <v>0</v>
      </c>
      <c r="F906" s="52">
        <f>D906*(($F$351)+1)+(IF(E906&lt;101,E906,IF(E906&lt;201,E906/2,IF(E906&lt;=301,E906/3,E906/4))))</f>
        <v>726.5215619999999</v>
      </c>
      <c r="G906" s="92"/>
      <c r="H906" s="93"/>
      <c r="I906" s="36"/>
      <c r="L906" s="104"/>
      <c r="M906" s="104"/>
      <c r="N906" s="36"/>
    </row>
    <row r="907" spans="1:14" s="45" customFormat="1" ht="15.75" customHeight="1" x14ac:dyDescent="0.25">
      <c r="A907" s="88">
        <f t="shared" si="201"/>
        <v>4</v>
      </c>
      <c r="B907" s="89"/>
      <c r="C907" s="51">
        <v>1</v>
      </c>
      <c r="D907" s="53">
        <f>(3*4.3+2.1*2.15+3*3.15+1.2*1.83+2.5*0.6+1.2*1.83+2.1*0.9+1.5*(3+2.1)+3*0.9)*(10.764)</f>
        <v>484.34770799999995</v>
      </c>
      <c r="E907" s="52">
        <v>0</v>
      </c>
      <c r="F907" s="52">
        <f>D907*(($F$351)+1)+(IF(E907&lt;101,E907,IF(E907&lt;201,E907/2,IF(E907&lt;=301,E907/3,E907/4))))</f>
        <v>726.5215619999999</v>
      </c>
      <c r="G907" s="92"/>
      <c r="H907" s="93"/>
      <c r="I907" s="36"/>
      <c r="L907" s="104"/>
      <c r="M907" s="104"/>
      <c r="N907" s="36"/>
    </row>
    <row r="908" spans="1:14" s="45" customFormat="1" ht="15.75" customHeight="1" x14ac:dyDescent="0.25">
      <c r="A908" s="88">
        <f t="shared" si="201"/>
        <v>5</v>
      </c>
      <c r="B908" s="89"/>
      <c r="C908" s="96" t="s">
        <v>197</v>
      </c>
      <c r="D908" s="97"/>
      <c r="E908" s="97"/>
      <c r="F908" s="98"/>
      <c r="G908" s="92"/>
      <c r="H908" s="93"/>
      <c r="I908" s="36"/>
      <c r="L908" s="104"/>
      <c r="M908" s="104"/>
      <c r="N908" s="36"/>
    </row>
    <row r="909" spans="1:14" s="45" customFormat="1" ht="15.75" customHeight="1" x14ac:dyDescent="0.25">
      <c r="A909" s="88">
        <f t="shared" si="201"/>
        <v>6</v>
      </c>
      <c r="B909" s="89"/>
      <c r="C909" s="51" t="s">
        <v>192</v>
      </c>
      <c r="D909" s="53">
        <f>(49.15+0.9*3.05+1.5*(2.15+2.75+3.05))*(10.764)</f>
        <v>686.95847999999989</v>
      </c>
      <c r="E909" s="52">
        <v>0</v>
      </c>
      <c r="F909" s="52">
        <f>D909*(($F$351)+1)+(IF(E909&lt;101,E909,IF(E909&lt;201,E909/2,IF(E909&lt;=301,E909/3,E909/4))))</f>
        <v>1030.4377199999999</v>
      </c>
      <c r="G909" s="94"/>
      <c r="H909" s="95"/>
      <c r="I909" s="36"/>
      <c r="L909" s="104"/>
      <c r="M909" s="104"/>
      <c r="N909" s="36"/>
    </row>
    <row r="910" spans="1:14" s="45" customFormat="1" x14ac:dyDescent="0.25">
      <c r="A910" s="99" t="s">
        <v>201</v>
      </c>
      <c r="B910" s="100"/>
      <c r="C910" s="100"/>
      <c r="D910" s="100"/>
      <c r="E910" s="100"/>
      <c r="F910" s="100"/>
      <c r="G910" s="100"/>
      <c r="H910" s="101"/>
      <c r="J910" s="36"/>
    </row>
    <row r="911" spans="1:14" s="45" customFormat="1" x14ac:dyDescent="0.25">
      <c r="A911" s="88">
        <v>1</v>
      </c>
      <c r="B911" s="89"/>
      <c r="C911" s="51" t="s">
        <v>192</v>
      </c>
      <c r="D911" s="53">
        <f>(49.15+0.9*3.05+1.5*(2.15+2.75+3.05))*(10.764)</f>
        <v>686.95847999999989</v>
      </c>
      <c r="E911" s="52">
        <v>0</v>
      </c>
      <c r="F911" s="52">
        <f>D911*(($F$351)+1)+(IF(E911&lt;101,E911,IF(E911&lt;201,E911/2,IF(E911&lt;=301,E911/3,E911/4))))</f>
        <v>1030.4377199999999</v>
      </c>
      <c r="G911" s="90" t="str">
        <f>A910</f>
        <v>5th Floor</v>
      </c>
      <c r="H911" s="91"/>
      <c r="I911" s="36"/>
      <c r="L911" s="104"/>
      <c r="M911" s="104"/>
      <c r="N911" s="36"/>
    </row>
    <row r="912" spans="1:14" s="45" customFormat="1" x14ac:dyDescent="0.25">
      <c r="A912" s="88">
        <f t="shared" ref="A912:A916" si="202">A911+1</f>
        <v>2</v>
      </c>
      <c r="B912" s="89"/>
      <c r="C912" s="51" t="s">
        <v>192</v>
      </c>
      <c r="D912" s="53">
        <f>(49.15+0.9*3.05+1.5*(2.15+2.75+3.05))*(10.764)</f>
        <v>686.95847999999989</v>
      </c>
      <c r="E912" s="52">
        <v>0</v>
      </c>
      <c r="F912" s="52">
        <f>D912*(($F$351)+1)+(IF(E912&lt;101,E912,IF(E912&lt;201,E912/2,IF(E912&lt;=301,E912/3,E912/4))))</f>
        <v>1030.4377199999999</v>
      </c>
      <c r="G912" s="92"/>
      <c r="H912" s="93"/>
      <c r="I912" s="36"/>
      <c r="L912" s="104"/>
      <c r="M912" s="104"/>
      <c r="N912" s="36"/>
    </row>
    <row r="913" spans="1:14" s="45" customFormat="1" x14ac:dyDescent="0.25">
      <c r="A913" s="88">
        <f t="shared" si="202"/>
        <v>3</v>
      </c>
      <c r="B913" s="89"/>
      <c r="C913" s="51">
        <v>1</v>
      </c>
      <c r="D913" s="53">
        <f>(3*4.3+2.1*2.15+3*3.15+1.2*1.83+2.5*0.6+1.2*1.83+2.1*0.9+1.5*(3+2.1)+3*0.9)*(10.764)</f>
        <v>484.34770799999995</v>
      </c>
      <c r="E913" s="52">
        <v>0</v>
      </c>
      <c r="F913" s="52">
        <f>D913*(($F$351)+1)+(IF(E913&lt;101,E913,IF(E913&lt;201,E913/2,IF(E913&lt;=301,E913/3,E913/4))))</f>
        <v>726.5215619999999</v>
      </c>
      <c r="G913" s="92"/>
      <c r="H913" s="93"/>
      <c r="I913" s="36"/>
      <c r="L913" s="104"/>
      <c r="M913" s="104"/>
      <c r="N913" s="36"/>
    </row>
    <row r="914" spans="1:14" s="45" customFormat="1" x14ac:dyDescent="0.25">
      <c r="A914" s="88">
        <f t="shared" si="202"/>
        <v>4</v>
      </c>
      <c r="B914" s="89"/>
      <c r="C914" s="51">
        <v>1</v>
      </c>
      <c r="D914" s="53">
        <f>(3*4.3+2.1*2.15+3*3.15+1.2*1.83+2.5*0.6+1.2*1.83+2.1*0.9+1.5*(3+2.1)+3*0.9)*(10.764)</f>
        <v>484.34770799999995</v>
      </c>
      <c r="E914" s="52">
        <v>0</v>
      </c>
      <c r="F914" s="52">
        <f>D914*(($F$351)+1)+(IF(E914&lt;101,E914,IF(E914&lt;201,E914/2,IF(E914&lt;=301,E914/3,E914/4))))</f>
        <v>726.5215619999999</v>
      </c>
      <c r="G914" s="92"/>
      <c r="H914" s="93"/>
      <c r="I914" s="36"/>
      <c r="L914" s="104"/>
      <c r="M914" s="104"/>
      <c r="N914" s="36"/>
    </row>
    <row r="915" spans="1:14" s="45" customFormat="1" x14ac:dyDescent="0.25">
      <c r="A915" s="88">
        <f t="shared" si="202"/>
        <v>5</v>
      </c>
      <c r="B915" s="89"/>
      <c r="C915" s="96" t="s">
        <v>200</v>
      </c>
      <c r="D915" s="97"/>
      <c r="E915" s="97"/>
      <c r="F915" s="98"/>
      <c r="G915" s="92"/>
      <c r="H915" s="93"/>
      <c r="I915" s="36"/>
      <c r="L915" s="104"/>
      <c r="M915" s="104"/>
      <c r="N915" s="36"/>
    </row>
    <row r="916" spans="1:14" s="45" customFormat="1" x14ac:dyDescent="0.25">
      <c r="A916" s="88">
        <f t="shared" si="202"/>
        <v>6</v>
      </c>
      <c r="B916" s="89"/>
      <c r="C916" s="51" t="s">
        <v>192</v>
      </c>
      <c r="D916" s="53">
        <f>(49.15+0.9*3.05+1.5*(2.15+2.75+3.05))*(10.764)</f>
        <v>686.95847999999989</v>
      </c>
      <c r="E916" s="52">
        <v>0</v>
      </c>
      <c r="F916" s="52">
        <f>D916*(($F$351)+1)+(IF(E916&lt;101,E916,IF(E916&lt;201,E916/2,IF(E916&lt;=301,E916/3,E916/4))))</f>
        <v>1030.4377199999999</v>
      </c>
      <c r="G916" s="94"/>
      <c r="H916" s="95"/>
      <c r="I916" s="36"/>
      <c r="L916" s="104"/>
      <c r="M916" s="104"/>
      <c r="N916" s="36"/>
    </row>
    <row r="917" spans="1:14" s="45" customFormat="1" x14ac:dyDescent="0.25">
      <c r="A917" s="99" t="s">
        <v>199</v>
      </c>
      <c r="B917" s="100"/>
      <c r="C917" s="100"/>
      <c r="D917" s="100"/>
      <c r="E917" s="100"/>
      <c r="F917" s="100"/>
      <c r="G917" s="100"/>
      <c r="H917" s="101"/>
      <c r="J917" s="36"/>
    </row>
    <row r="918" spans="1:14" s="45" customFormat="1" x14ac:dyDescent="0.25">
      <c r="A918" s="88">
        <v>1</v>
      </c>
      <c r="B918" s="89"/>
      <c r="C918" s="51" t="s">
        <v>192</v>
      </c>
      <c r="D918" s="53">
        <f>(49.15+0.9*3.05+1.5*(2.15+2.75+3.05))*(10.764)</f>
        <v>686.95847999999989</v>
      </c>
      <c r="E918" s="52">
        <v>0</v>
      </c>
      <c r="F918" s="52">
        <f>D918*(($F$351)+1)+(IF(E918&lt;101,E918,IF(E918&lt;201,E918/2,IF(E918&lt;=301,E918/3,E918/4))))</f>
        <v>1030.4377199999999</v>
      </c>
      <c r="G918" s="90" t="str">
        <f>A917</f>
        <v>6th Floor</v>
      </c>
      <c r="H918" s="91"/>
      <c r="I918" s="36"/>
      <c r="L918" s="104"/>
      <c r="M918" s="104"/>
      <c r="N918" s="36"/>
    </row>
    <row r="919" spans="1:14" s="45" customFormat="1" x14ac:dyDescent="0.25">
      <c r="A919" s="88">
        <f t="shared" ref="A919:A923" si="203">A918+1</f>
        <v>2</v>
      </c>
      <c r="B919" s="89"/>
      <c r="C919" s="51" t="s">
        <v>192</v>
      </c>
      <c r="D919" s="53">
        <f>(49.15+0.9*3.05+1.5*(2.15+2.75+3.05))*(10.764)</f>
        <v>686.95847999999989</v>
      </c>
      <c r="E919" s="52">
        <v>0</v>
      </c>
      <c r="F919" s="52">
        <f>D919*(($F$351)+1)+(IF(E919&lt;101,E919,IF(E919&lt;201,E919/2,IF(E919&lt;=301,E919/3,E919/4))))</f>
        <v>1030.4377199999999</v>
      </c>
      <c r="G919" s="92"/>
      <c r="H919" s="93"/>
      <c r="I919" s="36"/>
      <c r="L919" s="104"/>
      <c r="M919" s="104"/>
      <c r="N919" s="36"/>
    </row>
    <row r="920" spans="1:14" s="45" customFormat="1" x14ac:dyDescent="0.25">
      <c r="A920" s="88">
        <f t="shared" si="203"/>
        <v>3</v>
      </c>
      <c r="B920" s="89"/>
      <c r="C920" s="51">
        <v>1</v>
      </c>
      <c r="D920" s="53">
        <f>(3*4.3+2.1*2.15+3*3.15+1.2*1.83+2.5*0.6+1.2*1.83+2.1*0.9+1.5*(3+2.1)+3*0.9)*(10.764)</f>
        <v>484.34770799999995</v>
      </c>
      <c r="E920" s="52">
        <v>0</v>
      </c>
      <c r="F920" s="52">
        <f>D920*(($F$351)+1)+(IF(E920&lt;101,E920,IF(E920&lt;201,E920/2,IF(E920&lt;=301,E920/3,E920/4))))</f>
        <v>726.5215619999999</v>
      </c>
      <c r="G920" s="92"/>
      <c r="H920" s="93"/>
      <c r="I920" s="36"/>
      <c r="L920" s="104"/>
      <c r="M920" s="104"/>
      <c r="N920" s="36"/>
    </row>
    <row r="921" spans="1:14" s="45" customFormat="1" x14ac:dyDescent="0.25">
      <c r="A921" s="88">
        <f t="shared" si="203"/>
        <v>4</v>
      </c>
      <c r="B921" s="89"/>
      <c r="C921" s="51">
        <v>1</v>
      </c>
      <c r="D921" s="53">
        <f>(3*4.3+2.1*2.15+3*3.15+1.2*1.83+2.5*0.6+1.2*1.83+2.1*0.9+1.5*(3+2.1)+3*0.9)*(10.764)</f>
        <v>484.34770799999995</v>
      </c>
      <c r="E921" s="52">
        <v>0</v>
      </c>
      <c r="F921" s="52">
        <f>D921*(($F$351)+1)+(IF(E921&lt;101,E921,IF(E921&lt;201,E921/2,IF(E921&lt;=301,E921/3,E921/4))))</f>
        <v>726.5215619999999</v>
      </c>
      <c r="G921" s="92"/>
      <c r="H921" s="93"/>
      <c r="I921" s="36"/>
      <c r="L921" s="104"/>
      <c r="M921" s="104"/>
      <c r="N921" s="36"/>
    </row>
    <row r="922" spans="1:14" s="45" customFormat="1" x14ac:dyDescent="0.25">
      <c r="A922" s="88">
        <f t="shared" si="203"/>
        <v>5</v>
      </c>
      <c r="B922" s="89"/>
      <c r="C922" s="96" t="s">
        <v>200</v>
      </c>
      <c r="D922" s="97"/>
      <c r="E922" s="97"/>
      <c r="F922" s="98"/>
      <c r="G922" s="92"/>
      <c r="H922" s="93"/>
      <c r="I922" s="36"/>
      <c r="L922" s="104"/>
      <c r="M922" s="104"/>
      <c r="N922" s="36"/>
    </row>
    <row r="923" spans="1:14" s="45" customFormat="1" x14ac:dyDescent="0.25">
      <c r="A923" s="88">
        <f t="shared" si="203"/>
        <v>6</v>
      </c>
      <c r="B923" s="89"/>
      <c r="C923" s="51" t="s">
        <v>192</v>
      </c>
      <c r="D923" s="53">
        <f>(49.15+0.9*3.05+1.5*(2.15+2.75+3.05))*(10.764)</f>
        <v>686.95847999999989</v>
      </c>
      <c r="E923" s="52">
        <v>0</v>
      </c>
      <c r="F923" s="52">
        <f>D923*(($F$351)+1)+(IF(E923&lt;101,E923,IF(E923&lt;201,E923/2,IF(E923&lt;=301,E923/3,E923/4))))</f>
        <v>1030.4377199999999</v>
      </c>
      <c r="G923" s="94"/>
      <c r="H923" s="95"/>
      <c r="I923" s="36"/>
      <c r="L923" s="104"/>
      <c r="M923" s="104"/>
      <c r="N923" s="36"/>
    </row>
    <row r="924" spans="1:14" s="45" customFormat="1" x14ac:dyDescent="0.25">
      <c r="A924" s="99" t="s">
        <v>196</v>
      </c>
      <c r="B924" s="100"/>
      <c r="C924" s="100"/>
      <c r="D924" s="100"/>
      <c r="E924" s="100"/>
      <c r="F924" s="100"/>
      <c r="G924" s="100"/>
      <c r="H924" s="101"/>
      <c r="J924" s="36"/>
    </row>
    <row r="925" spans="1:14" s="45" customFormat="1" ht="15.75" customHeight="1" x14ac:dyDescent="0.25">
      <c r="A925" s="88">
        <v>1</v>
      </c>
      <c r="B925" s="89"/>
      <c r="C925" s="51" t="s">
        <v>192</v>
      </c>
      <c r="D925" s="53">
        <f>(49.15+1.5*(3.05+2.15+2.76)+0.9*3.05)*(10.764)</f>
        <v>687.11993999999993</v>
      </c>
      <c r="E925" s="52">
        <v>0</v>
      </c>
      <c r="F925" s="52">
        <f t="shared" ref="F925:F930" si="204">D925*(($F$351)+1)+(IF(E925&lt;101,E925,IF(E925&lt;201,E925/2,IF(E925&lt;=301,E925/3,E925/4))))</f>
        <v>1030.6799099999998</v>
      </c>
      <c r="G925" s="90" t="str">
        <f>A924</f>
        <v>7th, 17th Floor (Part Refuge Area)</v>
      </c>
      <c r="H925" s="91"/>
      <c r="I925" s="36"/>
      <c r="L925" s="104"/>
      <c r="M925" s="104"/>
      <c r="N925" s="36"/>
    </row>
    <row r="926" spans="1:14" s="45" customFormat="1" ht="15.75" customHeight="1" x14ac:dyDescent="0.25">
      <c r="A926" s="88">
        <f t="shared" ref="A926:A930" si="205">A925+1</f>
        <v>2</v>
      </c>
      <c r="B926" s="89"/>
      <c r="C926" s="51" t="s">
        <v>192</v>
      </c>
      <c r="D926" s="53">
        <f>(49.15+1.5*(3.05+2.15+2.76)+0.9*3.05)*(10.764)</f>
        <v>687.11993999999993</v>
      </c>
      <c r="E926" s="52">
        <v>0</v>
      </c>
      <c r="F926" s="52">
        <f t="shared" si="204"/>
        <v>1030.6799099999998</v>
      </c>
      <c r="G926" s="92"/>
      <c r="H926" s="93"/>
      <c r="I926" s="36"/>
      <c r="L926" s="104"/>
      <c r="M926" s="104"/>
      <c r="N926" s="36"/>
    </row>
    <row r="927" spans="1:14" s="45" customFormat="1" ht="15.75" customHeight="1" x14ac:dyDescent="0.25">
      <c r="A927" s="88">
        <f t="shared" si="205"/>
        <v>3</v>
      </c>
      <c r="B927" s="89"/>
      <c r="C927" s="51">
        <v>1</v>
      </c>
      <c r="D927" s="53">
        <f>(3*4.3+2.1*2.15+3*3.15+1.2*1.83+2.5*0.6+1.2*1.83+2.1*0.9+1.5*(3+2.1)+3*0.9)*(10.764)</f>
        <v>484.34770799999995</v>
      </c>
      <c r="E927" s="52">
        <v>0</v>
      </c>
      <c r="F927" s="52">
        <f t="shared" si="204"/>
        <v>726.5215619999999</v>
      </c>
      <c r="G927" s="92"/>
      <c r="H927" s="93"/>
      <c r="I927" s="36"/>
      <c r="L927" s="104"/>
      <c r="M927" s="104"/>
      <c r="N927" s="36"/>
    </row>
    <row r="928" spans="1:14" s="45" customFormat="1" ht="15.75" customHeight="1" x14ac:dyDescent="0.25">
      <c r="A928" s="88">
        <f t="shared" si="205"/>
        <v>4</v>
      </c>
      <c r="B928" s="89"/>
      <c r="C928" s="51">
        <v>1</v>
      </c>
      <c r="D928" s="53">
        <f>(3*4.3+2.1*2.15+3*3.15+1.2*1.83+2.5*0.6+1.2*1.83+2.1*0.9+1.5*(3+2.1)+3*0.9)*(10.764)</f>
        <v>484.34770799999995</v>
      </c>
      <c r="E928" s="52">
        <v>0</v>
      </c>
      <c r="F928" s="52">
        <f t="shared" si="204"/>
        <v>726.5215619999999</v>
      </c>
      <c r="G928" s="92"/>
      <c r="H928" s="93"/>
      <c r="I928" s="36"/>
      <c r="L928" s="104"/>
      <c r="M928" s="104"/>
      <c r="N928" s="36"/>
    </row>
    <row r="929" spans="1:14" s="45" customFormat="1" ht="15.75" customHeight="1" x14ac:dyDescent="0.25">
      <c r="A929" s="88">
        <f t="shared" si="205"/>
        <v>5</v>
      </c>
      <c r="B929" s="89"/>
      <c r="C929" s="51" t="s">
        <v>192</v>
      </c>
      <c r="D929" s="53">
        <f>(49.15+1.5*(3.05+2.15+2.76)+0.9*3.05)*(10.764)</f>
        <v>687.11993999999993</v>
      </c>
      <c r="E929" s="52">
        <v>0</v>
      </c>
      <c r="F929" s="52">
        <f t="shared" si="204"/>
        <v>1030.6799099999998</v>
      </c>
      <c r="G929" s="92"/>
      <c r="H929" s="93"/>
      <c r="I929" s="36"/>
      <c r="L929" s="104"/>
      <c r="M929" s="104"/>
      <c r="N929" s="36"/>
    </row>
    <row r="930" spans="1:14" s="45" customFormat="1" ht="15.75" customHeight="1" x14ac:dyDescent="0.25">
      <c r="A930" s="88">
        <f t="shared" si="205"/>
        <v>6</v>
      </c>
      <c r="B930" s="89"/>
      <c r="C930" s="51" t="s">
        <v>192</v>
      </c>
      <c r="D930" s="53">
        <f>(49.15+1.5*(3.05+2.15+2.76)+0.9*3.05)*(10.764)</f>
        <v>687.11993999999993</v>
      </c>
      <c r="E930" s="52">
        <v>0</v>
      </c>
      <c r="F930" s="52">
        <f t="shared" si="204"/>
        <v>1030.6799099999998</v>
      </c>
      <c r="G930" s="94"/>
      <c r="H930" s="95"/>
      <c r="I930" s="36"/>
      <c r="L930" s="104"/>
      <c r="M930" s="104"/>
      <c r="N930" s="36"/>
    </row>
    <row r="931" spans="1:14" s="45" customFormat="1" x14ac:dyDescent="0.25">
      <c r="A931" s="99" t="s">
        <v>194</v>
      </c>
      <c r="B931" s="100"/>
      <c r="C931" s="100"/>
      <c r="D931" s="100"/>
      <c r="E931" s="100"/>
      <c r="F931" s="100"/>
      <c r="G931" s="100"/>
      <c r="H931" s="101"/>
      <c r="J931" s="36"/>
    </row>
    <row r="932" spans="1:14" s="45" customFormat="1" ht="15.75" customHeight="1" x14ac:dyDescent="0.25">
      <c r="A932" s="88">
        <v>1</v>
      </c>
      <c r="B932" s="89"/>
      <c r="C932" s="51" t="s">
        <v>192</v>
      </c>
      <c r="D932" s="53">
        <f>(49.15+0.9*3.05+1.5*(2.15+2.75+3.05))*(10.764)</f>
        <v>686.95847999999989</v>
      </c>
      <c r="E932" s="52">
        <v>0</v>
      </c>
      <c r="F932" s="52">
        <f t="shared" ref="F932:F937" si="206">D932*(($F$351)+1)+(IF(E932&lt;101,E932,IF(E932&lt;201,E932/2,IF(E932&lt;=301,E932/3,E932/4))))</f>
        <v>1030.4377199999999</v>
      </c>
      <c r="G932" s="90" t="str">
        <f>A931</f>
        <v>12th Floor (Part Refuge Area)</v>
      </c>
      <c r="H932" s="91"/>
      <c r="I932" s="36"/>
      <c r="L932" s="104"/>
      <c r="M932" s="104"/>
      <c r="N932" s="36"/>
    </row>
    <row r="933" spans="1:14" s="45" customFormat="1" ht="15.75" customHeight="1" x14ac:dyDescent="0.25">
      <c r="A933" s="88">
        <f t="shared" ref="A933:A937" si="207">A932+1</f>
        <v>2</v>
      </c>
      <c r="B933" s="89"/>
      <c r="C933" s="51" t="s">
        <v>192</v>
      </c>
      <c r="D933" s="53">
        <f>(49.15+0.9*3.05+1.5*(2.15+2.75+3.05))*(10.764)</f>
        <v>686.95847999999989</v>
      </c>
      <c r="E933" s="52">
        <v>0</v>
      </c>
      <c r="F933" s="52">
        <f t="shared" si="206"/>
        <v>1030.4377199999999</v>
      </c>
      <c r="G933" s="92"/>
      <c r="H933" s="93"/>
      <c r="I933" s="36"/>
      <c r="L933" s="104"/>
      <c r="M933" s="104"/>
      <c r="N933" s="36"/>
    </row>
    <row r="934" spans="1:14" s="45" customFormat="1" ht="15.75" customHeight="1" x14ac:dyDescent="0.25">
      <c r="A934" s="88">
        <f t="shared" si="207"/>
        <v>3</v>
      </c>
      <c r="B934" s="89"/>
      <c r="C934" s="51">
        <v>1</v>
      </c>
      <c r="D934" s="53">
        <f>(3*4.3+2.1*2.15+3*3.15+1.2*1.83+2.5*0.6+1.2*1.83+2.1*0.9+1.5*(3+2.1)+3*0.9)*(10.764)</f>
        <v>484.34770799999995</v>
      </c>
      <c r="E934" s="52">
        <v>0</v>
      </c>
      <c r="F934" s="52">
        <f t="shared" si="206"/>
        <v>726.5215619999999</v>
      </c>
      <c r="G934" s="92"/>
      <c r="H934" s="93"/>
      <c r="I934" s="36"/>
      <c r="L934" s="104"/>
      <c r="M934" s="104"/>
      <c r="N934" s="36"/>
    </row>
    <row r="935" spans="1:14" s="45" customFormat="1" ht="15.75" customHeight="1" x14ac:dyDescent="0.25">
      <c r="A935" s="88">
        <f t="shared" si="207"/>
        <v>4</v>
      </c>
      <c r="B935" s="89"/>
      <c r="C935" s="51">
        <v>1</v>
      </c>
      <c r="D935" s="53">
        <f>(3*4.3+2.1*2.15+3*3.15+1.2*1.83+2.5*0.6+1.2*1.83+2.1*0.9+1.5*(3+2.1)+3*0.9)*(10.764)</f>
        <v>484.34770799999995</v>
      </c>
      <c r="E935" s="52">
        <v>0</v>
      </c>
      <c r="F935" s="52">
        <f t="shared" si="206"/>
        <v>726.5215619999999</v>
      </c>
      <c r="G935" s="92"/>
      <c r="H935" s="93"/>
      <c r="I935" s="36"/>
      <c r="L935" s="104"/>
      <c r="M935" s="104"/>
      <c r="N935" s="36"/>
    </row>
    <row r="936" spans="1:14" s="45" customFormat="1" ht="15.75" customHeight="1" x14ac:dyDescent="0.25">
      <c r="A936" s="88">
        <f t="shared" si="207"/>
        <v>5</v>
      </c>
      <c r="B936" s="89"/>
      <c r="C936" s="51" t="s">
        <v>192</v>
      </c>
      <c r="D936" s="53">
        <f>(49.15+0.9*3.05+1.5*(2.15+2.75+3.05))*(10.764)</f>
        <v>686.95847999999989</v>
      </c>
      <c r="E936" s="52">
        <v>0</v>
      </c>
      <c r="F936" s="52">
        <f t="shared" si="206"/>
        <v>1030.4377199999999</v>
      </c>
      <c r="G936" s="92"/>
      <c r="H936" s="93"/>
      <c r="I936" s="36"/>
      <c r="L936" s="104"/>
      <c r="M936" s="104"/>
      <c r="N936" s="36"/>
    </row>
    <row r="937" spans="1:14" s="45" customFormat="1" ht="15.75" customHeight="1" x14ac:dyDescent="0.25">
      <c r="A937" s="88">
        <f t="shared" si="207"/>
        <v>6</v>
      </c>
      <c r="B937" s="89"/>
      <c r="C937" s="51" t="s">
        <v>192</v>
      </c>
      <c r="D937" s="53">
        <f>(49.15+0.9*3.05+1.5*(2.15+2.75+3.05))*(10.764)</f>
        <v>686.95847999999989</v>
      </c>
      <c r="E937" s="52">
        <v>0</v>
      </c>
      <c r="F937" s="52">
        <f t="shared" si="206"/>
        <v>1030.4377199999999</v>
      </c>
      <c r="G937" s="94"/>
      <c r="H937" s="95"/>
      <c r="I937" s="36"/>
      <c r="L937" s="104"/>
      <c r="M937" s="104"/>
      <c r="N937" s="36"/>
    </row>
    <row r="938" spans="1:14" s="45" customFormat="1" x14ac:dyDescent="0.25">
      <c r="A938" s="99" t="s">
        <v>203</v>
      </c>
      <c r="B938" s="100"/>
      <c r="C938" s="100"/>
      <c r="D938" s="100"/>
      <c r="E938" s="100"/>
      <c r="F938" s="100"/>
      <c r="G938" s="100"/>
      <c r="H938" s="101"/>
      <c r="J938" s="36"/>
    </row>
    <row r="939" spans="1:14" s="45" customFormat="1" ht="15.75" customHeight="1" x14ac:dyDescent="0.25">
      <c r="A939" s="88">
        <v>1</v>
      </c>
      <c r="B939" s="89"/>
      <c r="C939" s="51" t="s">
        <v>192</v>
      </c>
      <c r="D939" s="53">
        <f>(49.15+1.5*(3.05+2.15+2.76)+0.9*3.05)*(10.764)</f>
        <v>687.11993999999993</v>
      </c>
      <c r="E939" s="52">
        <v>0</v>
      </c>
      <c r="F939" s="52">
        <f t="shared" ref="F939" si="208">D939*(($F$351)+1)+(IF(E939&lt;101,E939,IF(E939&lt;201,E939/2,IF(E939&lt;=301,E939/3,E939/4))))</f>
        <v>1030.6799099999998</v>
      </c>
      <c r="G939" s="90" t="str">
        <f>A938</f>
        <v>13th Floor (Part Terrace Area)</v>
      </c>
      <c r="H939" s="91"/>
      <c r="I939" s="36"/>
      <c r="L939" s="104"/>
      <c r="M939" s="104"/>
      <c r="N939" s="36"/>
    </row>
    <row r="940" spans="1:14" s="45" customFormat="1" ht="15.75" customHeight="1" x14ac:dyDescent="0.25">
      <c r="A940" s="88">
        <f t="shared" ref="A940:A944" si="209">A939+1</f>
        <v>2</v>
      </c>
      <c r="B940" s="89"/>
      <c r="C940" s="96" t="s">
        <v>197</v>
      </c>
      <c r="D940" s="97"/>
      <c r="E940" s="97"/>
      <c r="F940" s="98"/>
      <c r="G940" s="92"/>
      <c r="H940" s="93"/>
      <c r="I940" s="36"/>
      <c r="L940" s="104"/>
      <c r="M940" s="104"/>
      <c r="N940" s="36"/>
    </row>
    <row r="941" spans="1:14" s="45" customFormat="1" ht="15.75" customHeight="1" x14ac:dyDescent="0.25">
      <c r="A941" s="88">
        <f t="shared" si="209"/>
        <v>3</v>
      </c>
      <c r="B941" s="89"/>
      <c r="C941" s="51">
        <v>1</v>
      </c>
      <c r="D941" s="53">
        <f>(3*4.3+2.1*2.15+3*3.15+1.2*1.83+2.5*0.6+1.2*1.83+2.1*0.9+1.5*(3+2.1)+3*0.9)*(10.764)</f>
        <v>484.34770799999995</v>
      </c>
      <c r="E941" s="52">
        <v>0</v>
      </c>
      <c r="F941" s="52">
        <f t="shared" ref="F941:F944" si="210">D941*(($F$351)+1)+(IF(E941&lt;101,E941,IF(E941&lt;201,E941/2,IF(E941&lt;=301,E941/3,E941/4))))</f>
        <v>726.5215619999999</v>
      </c>
      <c r="G941" s="92"/>
      <c r="H941" s="93"/>
      <c r="I941" s="36"/>
      <c r="L941" s="104"/>
      <c r="M941" s="104"/>
      <c r="N941" s="36"/>
    </row>
    <row r="942" spans="1:14" s="45" customFormat="1" ht="15.75" customHeight="1" x14ac:dyDescent="0.25">
      <c r="A942" s="88">
        <f t="shared" si="209"/>
        <v>4</v>
      </c>
      <c r="B942" s="89"/>
      <c r="C942" s="51">
        <v>1</v>
      </c>
      <c r="D942" s="53">
        <f>(3*4.3+2.1*2.15+3*3.15+1.2*1.83+2.5*0.6+1.2*1.83+2.1*0.9+1.5*(3+2.1)+3*0.9)*(10.764)</f>
        <v>484.34770799999995</v>
      </c>
      <c r="E942" s="52">
        <v>0</v>
      </c>
      <c r="F942" s="52">
        <f t="shared" si="210"/>
        <v>726.5215619999999</v>
      </c>
      <c r="G942" s="92"/>
      <c r="H942" s="93"/>
      <c r="I942" s="36"/>
      <c r="L942" s="104"/>
      <c r="M942" s="104"/>
      <c r="N942" s="36"/>
    </row>
    <row r="943" spans="1:14" s="45" customFormat="1" ht="15.75" customHeight="1" x14ac:dyDescent="0.25">
      <c r="A943" s="88">
        <f t="shared" si="209"/>
        <v>5</v>
      </c>
      <c r="B943" s="89"/>
      <c r="C943" s="51" t="s">
        <v>192</v>
      </c>
      <c r="D943" s="53">
        <f>(49.15+1.5*(3.05+2.15+2.76)+0.9*3.05)*(10.764)</f>
        <v>687.11993999999993</v>
      </c>
      <c r="E943" s="52">
        <v>0</v>
      </c>
      <c r="F943" s="52">
        <f t="shared" si="210"/>
        <v>1030.6799099999998</v>
      </c>
      <c r="G943" s="92"/>
      <c r="H943" s="93"/>
      <c r="I943" s="36"/>
      <c r="L943" s="104"/>
      <c r="M943" s="104"/>
      <c r="N943" s="36"/>
    </row>
    <row r="944" spans="1:14" s="45" customFormat="1" ht="15.75" customHeight="1" x14ac:dyDescent="0.25">
      <c r="A944" s="88">
        <f t="shared" si="209"/>
        <v>6</v>
      </c>
      <c r="B944" s="89"/>
      <c r="C944" s="51" t="s">
        <v>192</v>
      </c>
      <c r="D944" s="53">
        <f>(49.15+1.5*(3.05+2.15+2.76)+0.9*3.05)*(10.764)</f>
        <v>687.11993999999993</v>
      </c>
      <c r="E944" s="52">
        <v>0</v>
      </c>
      <c r="F944" s="52">
        <f t="shared" si="210"/>
        <v>1030.6799099999998</v>
      </c>
      <c r="G944" s="94"/>
      <c r="H944" s="95"/>
      <c r="I944" s="36"/>
      <c r="L944" s="104"/>
      <c r="M944" s="104"/>
      <c r="N944" s="36"/>
    </row>
    <row r="945" spans="1:14" s="45" customFormat="1" x14ac:dyDescent="0.25">
      <c r="A945" s="99" t="s">
        <v>204</v>
      </c>
      <c r="B945" s="100"/>
      <c r="C945" s="100"/>
      <c r="D945" s="100"/>
      <c r="E945" s="100"/>
      <c r="F945" s="100"/>
      <c r="G945" s="100"/>
      <c r="H945" s="101"/>
      <c r="J945" s="36"/>
    </row>
    <row r="946" spans="1:14" s="45" customFormat="1" x14ac:dyDescent="0.25">
      <c r="A946" s="88">
        <v>1</v>
      </c>
      <c r="B946" s="89"/>
      <c r="C946" s="51" t="s">
        <v>192</v>
      </c>
      <c r="D946" s="53">
        <f>(49.15+1.5*(3.05+2.15+2.76)+0.9*3.05)*(10.764)</f>
        <v>687.11993999999993</v>
      </c>
      <c r="E946" s="52">
        <v>0</v>
      </c>
      <c r="F946" s="52">
        <f t="shared" ref="F946" si="211">D946*(($F$351)+1)+(IF(E946&lt;101,E946,IF(E946&lt;201,E946/2,IF(E946&lt;=301,E946/3,E946/4))))</f>
        <v>1030.6799099999998</v>
      </c>
      <c r="G946" s="90" t="str">
        <f>A945</f>
        <v>14th Floor</v>
      </c>
      <c r="H946" s="91"/>
      <c r="I946" s="36"/>
      <c r="L946" s="104"/>
      <c r="M946" s="104"/>
      <c r="N946" s="36"/>
    </row>
    <row r="947" spans="1:14" s="45" customFormat="1" x14ac:dyDescent="0.25">
      <c r="A947" s="88">
        <f t="shared" ref="A947:A951" si="212">A946+1</f>
        <v>2</v>
      </c>
      <c r="B947" s="89"/>
      <c r="C947" s="96" t="s">
        <v>200</v>
      </c>
      <c r="D947" s="97"/>
      <c r="E947" s="97"/>
      <c r="F947" s="98"/>
      <c r="G947" s="92"/>
      <c r="H947" s="93"/>
      <c r="I947" s="36"/>
      <c r="L947" s="104"/>
      <c r="M947" s="104"/>
      <c r="N947" s="36"/>
    </row>
    <row r="948" spans="1:14" s="45" customFormat="1" x14ac:dyDescent="0.25">
      <c r="A948" s="88">
        <f t="shared" si="212"/>
        <v>3</v>
      </c>
      <c r="B948" s="89"/>
      <c r="C948" s="51">
        <v>1</v>
      </c>
      <c r="D948" s="53">
        <f>(3*4.3+2.1*2.15+3*3.15+1.2*1.83+2.5*0.6+1.2*1.83+2.1*0.9+1.5*(3+2.1)+3*0.9)*(10.764)</f>
        <v>484.34770799999995</v>
      </c>
      <c r="E948" s="52">
        <v>0</v>
      </c>
      <c r="F948" s="52">
        <f t="shared" ref="F948:F951" si="213">D948*(($F$351)+1)+(IF(E948&lt;101,E948,IF(E948&lt;201,E948/2,IF(E948&lt;=301,E948/3,E948/4))))</f>
        <v>726.5215619999999</v>
      </c>
      <c r="G948" s="92"/>
      <c r="H948" s="93"/>
      <c r="I948" s="36"/>
      <c r="L948" s="104"/>
      <c r="M948" s="104"/>
      <c r="N948" s="36"/>
    </row>
    <row r="949" spans="1:14" s="45" customFormat="1" x14ac:dyDescent="0.25">
      <c r="A949" s="88">
        <f t="shared" si="212"/>
        <v>4</v>
      </c>
      <c r="B949" s="89"/>
      <c r="C949" s="51">
        <v>1</v>
      </c>
      <c r="D949" s="53">
        <f>(3*4.3+2.1*2.15+3*3.15+1.2*1.83+2.5*0.6+1.2*1.83+2.1*0.9+1.5*(3+2.1)+3*0.9)*(10.764)</f>
        <v>484.34770799999995</v>
      </c>
      <c r="E949" s="52">
        <v>0</v>
      </c>
      <c r="F949" s="52">
        <f t="shared" si="213"/>
        <v>726.5215619999999</v>
      </c>
      <c r="G949" s="92"/>
      <c r="H949" s="93"/>
      <c r="I949" s="36"/>
      <c r="L949" s="104"/>
      <c r="M949" s="104"/>
      <c r="N949" s="36"/>
    </row>
    <row r="950" spans="1:14" s="45" customFormat="1" x14ac:dyDescent="0.25">
      <c r="A950" s="88">
        <f t="shared" si="212"/>
        <v>5</v>
      </c>
      <c r="B950" s="89"/>
      <c r="C950" s="51" t="s">
        <v>192</v>
      </c>
      <c r="D950" s="53">
        <f>(49.15+1.5*(3.05+2.15+2.76)+0.9*3.05)*(10.764)</f>
        <v>687.11993999999993</v>
      </c>
      <c r="E950" s="52">
        <v>0</v>
      </c>
      <c r="F950" s="52">
        <f t="shared" si="213"/>
        <v>1030.6799099999998</v>
      </c>
      <c r="G950" s="92"/>
      <c r="H950" s="93"/>
      <c r="I950" s="36"/>
      <c r="L950" s="104"/>
      <c r="M950" s="104"/>
      <c r="N950" s="36"/>
    </row>
    <row r="951" spans="1:14" s="45" customFormat="1" x14ac:dyDescent="0.25">
      <c r="A951" s="88">
        <f t="shared" si="212"/>
        <v>6</v>
      </c>
      <c r="B951" s="89"/>
      <c r="C951" s="51" t="s">
        <v>192</v>
      </c>
      <c r="D951" s="53">
        <f>(49.15+1.5*(3.05+2.15+2.76)+0.9*3.05)*(10.764)</f>
        <v>687.11993999999993</v>
      </c>
      <c r="E951" s="52">
        <v>0</v>
      </c>
      <c r="F951" s="52">
        <f t="shared" si="213"/>
        <v>1030.6799099999998</v>
      </c>
      <c r="G951" s="94"/>
      <c r="H951" s="95"/>
      <c r="I951" s="36"/>
      <c r="L951" s="104"/>
      <c r="M951" s="104"/>
      <c r="N951" s="36"/>
    </row>
    <row r="952" spans="1:14" s="45" customFormat="1" x14ac:dyDescent="0.25">
      <c r="A952" s="99" t="s">
        <v>205</v>
      </c>
      <c r="B952" s="100"/>
      <c r="C952" s="100"/>
      <c r="D952" s="100"/>
      <c r="E952" s="100"/>
      <c r="F952" s="100"/>
      <c r="G952" s="100"/>
      <c r="H952" s="101"/>
      <c r="J952" s="36"/>
    </row>
    <row r="953" spans="1:14" s="45" customFormat="1" x14ac:dyDescent="0.25">
      <c r="A953" s="88">
        <v>1</v>
      </c>
      <c r="B953" s="89"/>
      <c r="C953" s="51" t="s">
        <v>192</v>
      </c>
      <c r="D953" s="53">
        <f>(49.15+1.5*(3.05+2.15+2.76)+0.9*3.05)*(10.764)</f>
        <v>687.11993999999993</v>
      </c>
      <c r="E953" s="52">
        <v>0</v>
      </c>
      <c r="F953" s="52">
        <f t="shared" ref="F953" si="214">D953*(($F$351)+1)+(IF(E953&lt;101,E953,IF(E953&lt;201,E953/2,IF(E953&lt;=301,E953/3,E953/4))))</f>
        <v>1030.6799099999998</v>
      </c>
      <c r="G953" s="90" t="str">
        <f>A952</f>
        <v>15th Floor</v>
      </c>
      <c r="H953" s="91"/>
      <c r="I953" s="36"/>
      <c r="L953" s="104"/>
      <c r="M953" s="104"/>
      <c r="N953" s="36"/>
    </row>
    <row r="954" spans="1:14" s="45" customFormat="1" x14ac:dyDescent="0.25">
      <c r="A954" s="88">
        <f t="shared" ref="A954:A958" si="215">A953+1</f>
        <v>2</v>
      </c>
      <c r="B954" s="89"/>
      <c r="C954" s="96" t="s">
        <v>200</v>
      </c>
      <c r="D954" s="97"/>
      <c r="E954" s="97"/>
      <c r="F954" s="98"/>
      <c r="G954" s="92"/>
      <c r="H954" s="93"/>
      <c r="I954" s="36"/>
      <c r="L954" s="104"/>
      <c r="M954" s="104"/>
      <c r="N954" s="36"/>
    </row>
    <row r="955" spans="1:14" s="45" customFormat="1" x14ac:dyDescent="0.25">
      <c r="A955" s="88">
        <f t="shared" si="215"/>
        <v>3</v>
      </c>
      <c r="B955" s="89"/>
      <c r="C955" s="51">
        <v>1</v>
      </c>
      <c r="D955" s="53">
        <f>(3*4.3+2.1*2.15+3*3.15+1.2*1.83+2.5*0.6+1.2*1.83+2.1*0.9+1.5*(3+2.1)+3*0.9)*(10.764)</f>
        <v>484.34770799999995</v>
      </c>
      <c r="E955" s="52">
        <v>0</v>
      </c>
      <c r="F955" s="52">
        <f t="shared" ref="F955:F958" si="216">D955*(($F$351)+1)+(IF(E955&lt;101,E955,IF(E955&lt;201,E955/2,IF(E955&lt;=301,E955/3,E955/4))))</f>
        <v>726.5215619999999</v>
      </c>
      <c r="G955" s="92"/>
      <c r="H955" s="93"/>
      <c r="I955" s="36"/>
      <c r="L955" s="104"/>
      <c r="M955" s="104"/>
      <c r="N955" s="36"/>
    </row>
    <row r="956" spans="1:14" s="45" customFormat="1" x14ac:dyDescent="0.25">
      <c r="A956" s="88">
        <f t="shared" si="215"/>
        <v>4</v>
      </c>
      <c r="B956" s="89"/>
      <c r="C956" s="51">
        <v>1</v>
      </c>
      <c r="D956" s="53">
        <f>(3*4.3+2.1*2.15+3*3.15+1.2*1.83+2.5*0.6+1.2*1.83+2.1*0.9+1.5*(3+2.1)+3*0.9)*(10.764)</f>
        <v>484.34770799999995</v>
      </c>
      <c r="E956" s="52">
        <v>0</v>
      </c>
      <c r="F956" s="52">
        <f t="shared" si="216"/>
        <v>726.5215619999999</v>
      </c>
      <c r="G956" s="92"/>
      <c r="H956" s="93"/>
      <c r="I956" s="36"/>
      <c r="L956" s="104"/>
      <c r="M956" s="104"/>
      <c r="N956" s="36"/>
    </row>
    <row r="957" spans="1:14" s="45" customFormat="1" x14ac:dyDescent="0.25">
      <c r="A957" s="88">
        <f t="shared" si="215"/>
        <v>5</v>
      </c>
      <c r="B957" s="89"/>
      <c r="C957" s="51" t="s">
        <v>192</v>
      </c>
      <c r="D957" s="53">
        <f>(49.15+1.5*(3.05+2.15+2.76)+0.9*3.05)*(10.764)</f>
        <v>687.11993999999993</v>
      </c>
      <c r="E957" s="52">
        <v>0</v>
      </c>
      <c r="F957" s="52">
        <f t="shared" si="216"/>
        <v>1030.6799099999998</v>
      </c>
      <c r="G957" s="92"/>
      <c r="H957" s="93"/>
      <c r="I957" s="36"/>
      <c r="L957" s="104"/>
      <c r="M957" s="104"/>
      <c r="N957" s="36"/>
    </row>
    <row r="958" spans="1:14" s="45" customFormat="1" x14ac:dyDescent="0.25">
      <c r="A958" s="88">
        <f t="shared" si="215"/>
        <v>6</v>
      </c>
      <c r="B958" s="89"/>
      <c r="C958" s="51" t="s">
        <v>192</v>
      </c>
      <c r="D958" s="53">
        <f>(49.15+1.5*(3.05+2.15+2.76)+0.9*3.05)*(10.764)</f>
        <v>687.11993999999993</v>
      </c>
      <c r="E958" s="52">
        <v>0</v>
      </c>
      <c r="F958" s="52">
        <f t="shared" si="216"/>
        <v>1030.6799099999998</v>
      </c>
      <c r="G958" s="94"/>
      <c r="H958" s="95"/>
      <c r="I958" s="36"/>
      <c r="L958" s="104"/>
      <c r="M958" s="104"/>
      <c r="N958" s="36"/>
    </row>
    <row r="959" spans="1:14" s="45" customFormat="1" x14ac:dyDescent="0.25">
      <c r="A959" s="99" t="s">
        <v>242</v>
      </c>
      <c r="B959" s="100"/>
      <c r="C959" s="100"/>
      <c r="D959" s="100"/>
      <c r="E959" s="100"/>
      <c r="F959" s="100"/>
      <c r="G959" s="100"/>
      <c r="H959" s="101"/>
      <c r="J959" s="36"/>
    </row>
    <row r="960" spans="1:14" s="45" customFormat="1" x14ac:dyDescent="0.25">
      <c r="A960" s="99" t="s">
        <v>263</v>
      </c>
      <c r="B960" s="100"/>
      <c r="C960" s="100"/>
      <c r="D960" s="100"/>
      <c r="E960" s="100"/>
      <c r="F960" s="100"/>
      <c r="G960" s="100"/>
      <c r="H960" s="101"/>
      <c r="I960" s="55"/>
      <c r="J960" s="36"/>
    </row>
    <row r="961" spans="1:14" s="45" customFormat="1" ht="15.75" customHeight="1" x14ac:dyDescent="0.25">
      <c r="A961" s="99" t="s">
        <v>246</v>
      </c>
      <c r="B961" s="100"/>
      <c r="C961" s="100"/>
      <c r="D961" s="100"/>
      <c r="E961" s="100"/>
      <c r="F961" s="100"/>
      <c r="G961" s="100"/>
      <c r="H961" s="101"/>
      <c r="J961" s="36"/>
    </row>
    <row r="962" spans="1:14" s="45" customFormat="1" ht="15.75" customHeight="1" x14ac:dyDescent="0.25">
      <c r="A962" s="99" t="s">
        <v>247</v>
      </c>
      <c r="B962" s="100"/>
      <c r="C962" s="100"/>
      <c r="D962" s="100"/>
      <c r="E962" s="100"/>
      <c r="F962" s="100"/>
      <c r="G962" s="100"/>
      <c r="H962" s="101"/>
      <c r="J962" s="36"/>
    </row>
    <row r="963" spans="1:14" s="45" customFormat="1" ht="15.75" customHeight="1" x14ac:dyDescent="0.25">
      <c r="A963" s="88">
        <v>1</v>
      </c>
      <c r="B963" s="89"/>
      <c r="C963" s="51" t="s">
        <v>192</v>
      </c>
      <c r="D963" s="53">
        <f>(43.38+0.9*2.9+1.15*(2.16+2.45)+1.5*2.9)*(10.764)</f>
        <v>598.92510599999991</v>
      </c>
      <c r="E963" s="53">
        <v>0</v>
      </c>
      <c r="F963" s="52">
        <f t="shared" ref="F963:F968" si="217">D963*(($F$351)+1)+(IF(E963&lt;101,E963,IF(E963&lt;201,E963/2,IF(E963&lt;=301,E963/3,E963/4))))</f>
        <v>898.38765899999987</v>
      </c>
      <c r="G963" s="90" t="str">
        <f>A962</f>
        <v>1st, 3rd, 9th &amp; 11th Floor For Residential</v>
      </c>
      <c r="H963" s="91"/>
      <c r="I963" s="36"/>
      <c r="J963" s="45">
        <f>2.9*3.68+1.2*2.23+2.16*2.1+2.45*2.1+2.9*2.36+1.85*1.22+1.85*1.22+3.45*0.9+1*(2.9+2.9)</f>
        <v>43.291999999999987</v>
      </c>
      <c r="K963" s="45">
        <f>0.9*2.9+1.15*(2.16+2.45)+1.5*2.9</f>
        <v>12.2615</v>
      </c>
      <c r="L963" s="104"/>
      <c r="M963" s="104"/>
      <c r="N963" s="36"/>
    </row>
    <row r="964" spans="1:14" s="45" customFormat="1" ht="15.75" customHeight="1" x14ac:dyDescent="0.25">
      <c r="A964" s="88">
        <f t="shared" ref="A964:A968" si="218">A963+1</f>
        <v>2</v>
      </c>
      <c r="B964" s="89"/>
      <c r="C964" s="51" t="s">
        <v>192</v>
      </c>
      <c r="D964" s="53">
        <f>(43.38+0.9*2.9+1.15*(2.16+2.45)+1.5*2.9)*(10.764)</f>
        <v>598.92510599999991</v>
      </c>
      <c r="E964" s="52">
        <v>0</v>
      </c>
      <c r="F964" s="52">
        <f t="shared" si="217"/>
        <v>898.38765899999987</v>
      </c>
      <c r="G964" s="92"/>
      <c r="H964" s="93"/>
      <c r="I964" s="36"/>
      <c r="L964" s="104"/>
      <c r="M964" s="104"/>
      <c r="N964" s="36"/>
    </row>
    <row r="965" spans="1:14" s="45" customFormat="1" ht="15.75" customHeight="1" x14ac:dyDescent="0.25">
      <c r="A965" s="88">
        <f t="shared" si="218"/>
        <v>3</v>
      </c>
      <c r="B965" s="89"/>
      <c r="C965" s="51">
        <v>1</v>
      </c>
      <c r="D965" s="53">
        <f>(3*4.3+2.1*2.15+3*3.15+1.2*1.83+2.5*0.6+1.2*1.83+2.1*0.9+1.5*(3+2.1)+3*0.9)*(10.764)</f>
        <v>484.34770799999995</v>
      </c>
      <c r="E965" s="52">
        <v>0</v>
      </c>
      <c r="F965" s="52">
        <f t="shared" si="217"/>
        <v>726.5215619999999</v>
      </c>
      <c r="G965" s="92"/>
      <c r="H965" s="93"/>
      <c r="I965" s="36"/>
      <c r="J965" s="45">
        <f>3*4.3+2.1*2.15+3*3.15+1.2*1.83+1.2*1.83+2.6*0.6+2.1*0.9</f>
        <v>34.707000000000001</v>
      </c>
      <c r="K965" s="45">
        <f>1.5*(3+2.1)+3*0.9</f>
        <v>10.35</v>
      </c>
      <c r="L965" s="104"/>
      <c r="M965" s="104"/>
      <c r="N965" s="36"/>
    </row>
    <row r="966" spans="1:14" s="45" customFormat="1" ht="15.75" customHeight="1" x14ac:dyDescent="0.25">
      <c r="A966" s="88">
        <f t="shared" si="218"/>
        <v>4</v>
      </c>
      <c r="B966" s="89"/>
      <c r="C966" s="51">
        <v>1</v>
      </c>
      <c r="D966" s="53">
        <f>(3*4.3+2.1*2.15+3*3.15+1.2*1.83+2.5*0.6+1.2*1.83+2.1*0.9+1.5*(3+2.1)+3*0.9)*(10.764)</f>
        <v>484.34770799999995</v>
      </c>
      <c r="E966" s="52">
        <v>0</v>
      </c>
      <c r="F966" s="52">
        <f t="shared" si="217"/>
        <v>726.5215619999999</v>
      </c>
      <c r="G966" s="92"/>
      <c r="H966" s="93"/>
      <c r="I966" s="36"/>
      <c r="L966" s="104"/>
      <c r="M966" s="104"/>
      <c r="N966" s="36"/>
    </row>
    <row r="967" spans="1:14" s="45" customFormat="1" ht="15.75" customHeight="1" x14ac:dyDescent="0.25">
      <c r="A967" s="88">
        <f t="shared" si="218"/>
        <v>5</v>
      </c>
      <c r="B967" s="89"/>
      <c r="C967" s="51" t="s">
        <v>192</v>
      </c>
      <c r="D967" s="53">
        <f t="shared" ref="D967:D968" si="219">(43.38+0.9*2.9+1.15*(2.16+2.45)+1.5*2.9)*(10.764)</f>
        <v>598.92510599999991</v>
      </c>
      <c r="E967" s="52">
        <v>0</v>
      </c>
      <c r="F967" s="52">
        <f t="shared" si="217"/>
        <v>898.38765899999987</v>
      </c>
      <c r="G967" s="92"/>
      <c r="H967" s="93"/>
      <c r="I967" s="36"/>
      <c r="L967" s="104"/>
      <c r="M967" s="104"/>
      <c r="N967" s="36"/>
    </row>
    <row r="968" spans="1:14" s="45" customFormat="1" ht="15.75" customHeight="1" x14ac:dyDescent="0.25">
      <c r="A968" s="88">
        <f t="shared" si="218"/>
        <v>6</v>
      </c>
      <c r="B968" s="89"/>
      <c r="C968" s="51" t="s">
        <v>192</v>
      </c>
      <c r="D968" s="53">
        <f t="shared" si="219"/>
        <v>598.92510599999991</v>
      </c>
      <c r="E968" s="53">
        <v>0</v>
      </c>
      <c r="F968" s="52">
        <f t="shared" si="217"/>
        <v>898.38765899999987</v>
      </c>
      <c r="G968" s="94"/>
      <c r="H968" s="95"/>
      <c r="I968" s="36"/>
      <c r="L968" s="104"/>
      <c r="M968" s="104"/>
      <c r="N968" s="36"/>
    </row>
    <row r="969" spans="1:14" s="45" customFormat="1" ht="15.75" customHeight="1" x14ac:dyDescent="0.25">
      <c r="A969" s="99" t="s">
        <v>249</v>
      </c>
      <c r="B969" s="100"/>
      <c r="C969" s="100"/>
      <c r="D969" s="100"/>
      <c r="E969" s="100"/>
      <c r="F969" s="100"/>
      <c r="G969" s="100"/>
      <c r="H969" s="101"/>
      <c r="J969" s="36"/>
    </row>
    <row r="970" spans="1:14" s="45" customFormat="1" ht="15.75" customHeight="1" x14ac:dyDescent="0.25">
      <c r="A970" s="88">
        <v>1</v>
      </c>
      <c r="B970" s="89"/>
      <c r="C970" s="51" t="s">
        <v>192</v>
      </c>
      <c r="D970" s="53">
        <f>(43.38+0.9*2.9+1.15*(2.16+2.45)+1.5*2.9)*(10.764)</f>
        <v>598.92510599999991</v>
      </c>
      <c r="E970" s="53">
        <v>0</v>
      </c>
      <c r="F970" s="52">
        <f t="shared" ref="F970:F975" si="220">D970*(($F$351)+1)+(IF(E970&lt;101,E970,IF(E970&lt;201,E970/2,IF(E970&lt;=301,E970/3,E970/4))))</f>
        <v>898.38765899999987</v>
      </c>
      <c r="G970" s="90" t="str">
        <f>A969</f>
        <v>7th &amp; 17th Floor (Part Refuge Balcony Area @ Staircase)</v>
      </c>
      <c r="H970" s="91"/>
      <c r="I970" s="36"/>
      <c r="L970" s="104"/>
      <c r="M970" s="104"/>
      <c r="N970" s="36"/>
    </row>
    <row r="971" spans="1:14" s="45" customFormat="1" ht="15.75" customHeight="1" x14ac:dyDescent="0.25">
      <c r="A971" s="88">
        <f t="shared" ref="A971:A975" si="221">A970+1</f>
        <v>2</v>
      </c>
      <c r="B971" s="89"/>
      <c r="C971" s="51" t="s">
        <v>192</v>
      </c>
      <c r="D971" s="53">
        <f>(43.38+0.9*2.9+1.15*(2.16+2.45)+1.5*2.9)*(10.764)</f>
        <v>598.92510599999991</v>
      </c>
      <c r="E971" s="52">
        <v>0</v>
      </c>
      <c r="F971" s="52">
        <f t="shared" si="220"/>
        <v>898.38765899999987</v>
      </c>
      <c r="G971" s="92"/>
      <c r="H971" s="93"/>
      <c r="I971" s="36"/>
      <c r="L971" s="104"/>
      <c r="M971" s="104"/>
      <c r="N971" s="36"/>
    </row>
    <row r="972" spans="1:14" s="45" customFormat="1" ht="15.75" customHeight="1" x14ac:dyDescent="0.25">
      <c r="A972" s="88">
        <f t="shared" si="221"/>
        <v>3</v>
      </c>
      <c r="B972" s="89"/>
      <c r="C972" s="51">
        <v>1</v>
      </c>
      <c r="D972" s="53">
        <f>(3*4.3+2.1*2.15+3*3.15+1.2*1.83+2.5*0.6+1.2*1.83+2.1*0.9+1.5*(3+2.1)+3*0.9)*(10.764)</f>
        <v>484.34770799999995</v>
      </c>
      <c r="E972" s="52">
        <v>0</v>
      </c>
      <c r="F972" s="52">
        <f t="shared" si="220"/>
        <v>726.5215619999999</v>
      </c>
      <c r="G972" s="92"/>
      <c r="H972" s="93"/>
      <c r="I972" s="36"/>
      <c r="L972" s="104"/>
      <c r="M972" s="104"/>
      <c r="N972" s="36"/>
    </row>
    <row r="973" spans="1:14" s="45" customFormat="1" ht="15.75" customHeight="1" x14ac:dyDescent="0.25">
      <c r="A973" s="88">
        <f t="shared" si="221"/>
        <v>4</v>
      </c>
      <c r="B973" s="89"/>
      <c r="C973" s="51">
        <v>1</v>
      </c>
      <c r="D973" s="53">
        <f>(3*4.3+2.1*2.15+3*3.15+1.2*1.83+2.5*0.6+1.2*1.83+2.1*0.9+1.5*(3+2.1)+3*0.9)*(10.764)</f>
        <v>484.34770799999995</v>
      </c>
      <c r="E973" s="52">
        <v>0</v>
      </c>
      <c r="F973" s="52">
        <f t="shared" si="220"/>
        <v>726.5215619999999</v>
      </c>
      <c r="G973" s="92"/>
      <c r="H973" s="93"/>
      <c r="I973" s="36"/>
      <c r="L973" s="104"/>
      <c r="M973" s="104"/>
      <c r="N973" s="36"/>
    </row>
    <row r="974" spans="1:14" s="45" customFormat="1" ht="15.75" customHeight="1" x14ac:dyDescent="0.25">
      <c r="A974" s="88">
        <f t="shared" si="221"/>
        <v>5</v>
      </c>
      <c r="B974" s="89"/>
      <c r="C974" s="51" t="s">
        <v>192</v>
      </c>
      <c r="D974" s="53">
        <f t="shared" ref="D974:D975" si="222">(43.38+0.9*2.9+1.15*(2.16+2.45)+1.5*2.9)*(10.764)</f>
        <v>598.92510599999991</v>
      </c>
      <c r="E974" s="52">
        <v>0</v>
      </c>
      <c r="F974" s="52">
        <f t="shared" si="220"/>
        <v>898.38765899999987</v>
      </c>
      <c r="G974" s="92"/>
      <c r="H974" s="93"/>
      <c r="I974" s="36"/>
      <c r="L974" s="104"/>
      <c r="M974" s="104"/>
      <c r="N974" s="36"/>
    </row>
    <row r="975" spans="1:14" s="45" customFormat="1" ht="15.75" customHeight="1" x14ac:dyDescent="0.25">
      <c r="A975" s="88">
        <f t="shared" si="221"/>
        <v>6</v>
      </c>
      <c r="B975" s="89"/>
      <c r="C975" s="51" t="s">
        <v>192</v>
      </c>
      <c r="D975" s="53">
        <f t="shared" si="222"/>
        <v>598.92510599999991</v>
      </c>
      <c r="E975" s="53">
        <v>0</v>
      </c>
      <c r="F975" s="52">
        <f t="shared" si="220"/>
        <v>898.38765899999987</v>
      </c>
      <c r="G975" s="94"/>
      <c r="H975" s="95"/>
      <c r="I975" s="36"/>
      <c r="L975" s="104"/>
      <c r="M975" s="104"/>
      <c r="N975" s="36"/>
    </row>
    <row r="976" spans="1:14" s="45" customFormat="1" ht="15.75" customHeight="1" x14ac:dyDescent="0.25">
      <c r="A976" s="99" t="s">
        <v>195</v>
      </c>
      <c r="B976" s="100"/>
      <c r="C976" s="100"/>
      <c r="D976" s="100"/>
      <c r="E976" s="100"/>
      <c r="F976" s="100"/>
      <c r="G976" s="100"/>
      <c r="H976" s="101"/>
      <c r="J976" s="36"/>
    </row>
    <row r="977" spans="1:14" s="45" customFormat="1" ht="15.75" customHeight="1" x14ac:dyDescent="0.25">
      <c r="A977" s="88">
        <v>1</v>
      </c>
      <c r="B977" s="89"/>
      <c r="C977" s="51" t="s">
        <v>192</v>
      </c>
      <c r="D977" s="53">
        <f>(43.38+0.9*2.9+1.15*(2.16+2.45)+1.5*2.9)*(10.764)</f>
        <v>598.92510599999991</v>
      </c>
      <c r="E977" s="53">
        <v>0</v>
      </c>
      <c r="F977" s="52">
        <f t="shared" ref="F977:F982" si="223">D977*(($F$351)+1)+(IF(E977&lt;101,E977,IF(E977&lt;201,E977/2,IF(E977&lt;=301,E977/3,E977/4))))</f>
        <v>898.38765899999987</v>
      </c>
      <c r="G977" s="90" t="str">
        <f>A976</f>
        <v>2nd, 8th, 10th, 16th &amp; 18th Floor</v>
      </c>
      <c r="H977" s="91"/>
      <c r="I977" s="36"/>
      <c r="L977" s="104"/>
      <c r="M977" s="104"/>
      <c r="N977" s="36"/>
    </row>
    <row r="978" spans="1:14" s="45" customFormat="1" ht="15.75" customHeight="1" x14ac:dyDescent="0.25">
      <c r="A978" s="88">
        <f t="shared" ref="A978:A982" si="224">A977+1</f>
        <v>2</v>
      </c>
      <c r="B978" s="89"/>
      <c r="C978" s="51" t="s">
        <v>192</v>
      </c>
      <c r="D978" s="53">
        <f>(43.38+0.9*2.9+1.15*(2.16+2.45)+1.5*2.9)*(10.764)</f>
        <v>598.92510599999991</v>
      </c>
      <c r="E978" s="52">
        <v>0</v>
      </c>
      <c r="F978" s="52">
        <f t="shared" si="223"/>
        <v>898.38765899999987</v>
      </c>
      <c r="G978" s="92"/>
      <c r="H978" s="93"/>
      <c r="I978" s="36"/>
      <c r="L978" s="104"/>
      <c r="M978" s="104"/>
      <c r="N978" s="36"/>
    </row>
    <row r="979" spans="1:14" s="45" customFormat="1" ht="15.75" customHeight="1" x14ac:dyDescent="0.25">
      <c r="A979" s="88">
        <f t="shared" si="224"/>
        <v>3</v>
      </c>
      <c r="B979" s="89"/>
      <c r="C979" s="51">
        <v>1</v>
      </c>
      <c r="D979" s="53">
        <f>(3*4.3+2.1*2.15+3*3.15+1.2*1.83+2.5*0.6+1.2*1.83+2.1*0.9+1.5*(3+2.1)+3*0.9)*(10.764)</f>
        <v>484.34770799999995</v>
      </c>
      <c r="E979" s="52">
        <v>0</v>
      </c>
      <c r="F979" s="52">
        <f t="shared" si="223"/>
        <v>726.5215619999999</v>
      </c>
      <c r="G979" s="92"/>
      <c r="H979" s="93"/>
      <c r="I979" s="36"/>
      <c r="L979" s="104"/>
      <c r="M979" s="104"/>
      <c r="N979" s="36"/>
    </row>
    <row r="980" spans="1:14" s="45" customFormat="1" ht="15.75" customHeight="1" x14ac:dyDescent="0.25">
      <c r="A980" s="88">
        <f t="shared" si="224"/>
        <v>4</v>
      </c>
      <c r="B980" s="89"/>
      <c r="C980" s="51">
        <v>1</v>
      </c>
      <c r="D980" s="53">
        <f>(3*4.3+2.1*2.15+3*3.15+1.2*1.83+2.5*0.6+1.2*1.83+2.1*0.9+1.5*(3+2.1)+3*0.9)*(10.764)</f>
        <v>484.34770799999995</v>
      </c>
      <c r="E980" s="52">
        <v>0</v>
      </c>
      <c r="F980" s="52">
        <f t="shared" si="223"/>
        <v>726.5215619999999</v>
      </c>
      <c r="G980" s="92"/>
      <c r="H980" s="93"/>
      <c r="I980" s="36"/>
      <c r="L980" s="104"/>
      <c r="M980" s="104"/>
      <c r="N980" s="36"/>
    </row>
    <row r="981" spans="1:14" s="45" customFormat="1" ht="15.75" customHeight="1" x14ac:dyDescent="0.25">
      <c r="A981" s="88">
        <f t="shared" si="224"/>
        <v>5</v>
      </c>
      <c r="B981" s="89"/>
      <c r="C981" s="51" t="s">
        <v>192</v>
      </c>
      <c r="D981" s="53">
        <f t="shared" ref="D981:D982" si="225">(43.38+0.9*2.9+1.15*(2.16+2.45)+1.5*2.9)*(10.764)</f>
        <v>598.92510599999991</v>
      </c>
      <c r="E981" s="52">
        <v>0</v>
      </c>
      <c r="F981" s="52">
        <f t="shared" si="223"/>
        <v>898.38765899999987</v>
      </c>
      <c r="G981" s="92"/>
      <c r="H981" s="93"/>
      <c r="I981" s="36"/>
      <c r="L981" s="104"/>
      <c r="M981" s="104"/>
      <c r="N981" s="36"/>
    </row>
    <row r="982" spans="1:14" s="45" customFormat="1" ht="15.75" customHeight="1" x14ac:dyDescent="0.25">
      <c r="A982" s="88">
        <f t="shared" si="224"/>
        <v>6</v>
      </c>
      <c r="B982" s="89"/>
      <c r="C982" s="51" t="s">
        <v>192</v>
      </c>
      <c r="D982" s="53">
        <f t="shared" si="225"/>
        <v>598.92510599999991</v>
      </c>
      <c r="E982" s="53">
        <v>0</v>
      </c>
      <c r="F982" s="52">
        <f t="shared" si="223"/>
        <v>898.38765899999987</v>
      </c>
      <c r="G982" s="94"/>
      <c r="H982" s="95"/>
      <c r="I982" s="36"/>
      <c r="L982" s="104"/>
      <c r="M982" s="104"/>
      <c r="N982" s="36"/>
    </row>
    <row r="983" spans="1:14" s="45" customFormat="1" ht="15.75" customHeight="1" x14ac:dyDescent="0.25">
      <c r="A983" s="99" t="s">
        <v>248</v>
      </c>
      <c r="B983" s="100"/>
      <c r="C983" s="100"/>
      <c r="D983" s="100"/>
      <c r="E983" s="100"/>
      <c r="F983" s="100"/>
      <c r="G983" s="100"/>
      <c r="H983" s="101"/>
      <c r="J983" s="36"/>
    </row>
    <row r="984" spans="1:14" s="45" customFormat="1" ht="15.75" customHeight="1" x14ac:dyDescent="0.25">
      <c r="A984" s="88">
        <v>1</v>
      </c>
      <c r="B984" s="89"/>
      <c r="C984" s="51" t="s">
        <v>192</v>
      </c>
      <c r="D984" s="53">
        <f>(43.38+0.9*2.9+1.15*(2.16+2.45)+1.5*2.9)*(10.764)</f>
        <v>598.92510599999991</v>
      </c>
      <c r="E984" s="53">
        <v>0</v>
      </c>
      <c r="F984" s="52">
        <f t="shared" ref="F984:F989" si="226">D984*(($F$351)+1)+(IF(E984&lt;101,E984,IF(E984&lt;201,E984/2,IF(E984&lt;=301,E984/3,E984/4))))</f>
        <v>898.38765899999987</v>
      </c>
      <c r="G984" s="90" t="str">
        <f>A983</f>
        <v>12th Floor (Part Refuge Balcony Area @ Staircase)</v>
      </c>
      <c r="H984" s="91"/>
      <c r="I984" s="36"/>
      <c r="L984" s="104"/>
      <c r="M984" s="104"/>
      <c r="N984" s="36"/>
    </row>
    <row r="985" spans="1:14" s="45" customFormat="1" ht="15.75" customHeight="1" x14ac:dyDescent="0.25">
      <c r="A985" s="88">
        <f t="shared" ref="A985:A989" si="227">A984+1</f>
        <v>2</v>
      </c>
      <c r="B985" s="89"/>
      <c r="C985" s="51" t="s">
        <v>192</v>
      </c>
      <c r="D985" s="53">
        <f>(43.38+0.9*2.9+1.15*(2.16+2.45)+1.5*2.9)*(10.764)</f>
        <v>598.92510599999991</v>
      </c>
      <c r="E985" s="52">
        <v>0</v>
      </c>
      <c r="F985" s="52">
        <f t="shared" si="226"/>
        <v>898.38765899999987</v>
      </c>
      <c r="G985" s="92"/>
      <c r="H985" s="93"/>
      <c r="I985" s="36"/>
      <c r="L985" s="104"/>
      <c r="M985" s="104"/>
      <c r="N985" s="36"/>
    </row>
    <row r="986" spans="1:14" s="45" customFormat="1" ht="15.75" customHeight="1" x14ac:dyDescent="0.25">
      <c r="A986" s="88">
        <f t="shared" si="227"/>
        <v>3</v>
      </c>
      <c r="B986" s="89"/>
      <c r="C986" s="51">
        <v>1</v>
      </c>
      <c r="D986" s="53">
        <f>(3*4.3+2.1*2.15+3*3.15+1.2*1.83+2.5*0.6+1.2*1.83+2.1*0.9+1.5*(3+2.1)+3*0.9)*(10.764)</f>
        <v>484.34770799999995</v>
      </c>
      <c r="E986" s="52">
        <v>0</v>
      </c>
      <c r="F986" s="52">
        <f t="shared" si="226"/>
        <v>726.5215619999999</v>
      </c>
      <c r="G986" s="92"/>
      <c r="H986" s="93"/>
      <c r="I986" s="36"/>
      <c r="L986" s="104"/>
      <c r="M986" s="104"/>
      <c r="N986" s="36"/>
    </row>
    <row r="987" spans="1:14" s="45" customFormat="1" ht="15.75" customHeight="1" x14ac:dyDescent="0.25">
      <c r="A987" s="88">
        <f t="shared" si="227"/>
        <v>4</v>
      </c>
      <c r="B987" s="89"/>
      <c r="C987" s="51">
        <v>1</v>
      </c>
      <c r="D987" s="53">
        <f>(3*4.3+2.1*2.15+3*3.15+1.2*1.83+2.5*0.6+1.2*1.83+2.1*0.9+1.5*(3+2.1)+3*0.9)*(10.764)</f>
        <v>484.34770799999995</v>
      </c>
      <c r="E987" s="52">
        <v>0</v>
      </c>
      <c r="F987" s="52">
        <f t="shared" si="226"/>
        <v>726.5215619999999</v>
      </c>
      <c r="G987" s="92"/>
      <c r="H987" s="93"/>
      <c r="I987" s="36"/>
      <c r="L987" s="104"/>
      <c r="M987" s="104"/>
      <c r="N987" s="36"/>
    </row>
    <row r="988" spans="1:14" s="45" customFormat="1" ht="15.75" customHeight="1" x14ac:dyDescent="0.25">
      <c r="A988" s="88">
        <f t="shared" si="227"/>
        <v>5</v>
      </c>
      <c r="B988" s="89"/>
      <c r="C988" s="51" t="s">
        <v>192</v>
      </c>
      <c r="D988" s="53">
        <f t="shared" ref="D988:D989" si="228">(43.38+0.9*2.9+1.15*(2.16+2.45)+1.5*2.9)*(10.764)</f>
        <v>598.92510599999991</v>
      </c>
      <c r="E988" s="52">
        <v>0</v>
      </c>
      <c r="F988" s="52">
        <f t="shared" si="226"/>
        <v>898.38765899999987</v>
      </c>
      <c r="G988" s="92"/>
      <c r="H988" s="93"/>
      <c r="I988" s="36"/>
      <c r="L988" s="104"/>
      <c r="M988" s="104"/>
      <c r="N988" s="36"/>
    </row>
    <row r="989" spans="1:14" s="45" customFormat="1" ht="15.75" customHeight="1" x14ac:dyDescent="0.25">
      <c r="A989" s="88">
        <f t="shared" si="227"/>
        <v>6</v>
      </c>
      <c r="B989" s="89"/>
      <c r="C989" s="51" t="s">
        <v>192</v>
      </c>
      <c r="D989" s="53">
        <f t="shared" si="228"/>
        <v>598.92510599999991</v>
      </c>
      <c r="E989" s="53">
        <v>0</v>
      </c>
      <c r="F989" s="52">
        <f t="shared" si="226"/>
        <v>898.38765899999987</v>
      </c>
      <c r="G989" s="94"/>
      <c r="H989" s="95"/>
      <c r="I989" s="36"/>
      <c r="L989" s="104"/>
      <c r="M989" s="104"/>
      <c r="N989" s="36"/>
    </row>
    <row r="990" spans="1:14" s="45" customFormat="1" ht="15.75" customHeight="1" x14ac:dyDescent="0.25">
      <c r="A990" s="99" t="s">
        <v>198</v>
      </c>
      <c r="B990" s="100"/>
      <c r="C990" s="100"/>
      <c r="D990" s="100"/>
      <c r="E990" s="100"/>
      <c r="F990" s="100"/>
      <c r="G990" s="100"/>
      <c r="H990" s="101"/>
      <c r="J990" s="36"/>
    </row>
    <row r="991" spans="1:14" s="45" customFormat="1" ht="15.75" customHeight="1" x14ac:dyDescent="0.25">
      <c r="A991" s="88">
        <v>1</v>
      </c>
      <c r="B991" s="89"/>
      <c r="C991" s="51" t="s">
        <v>192</v>
      </c>
      <c r="D991" s="53">
        <f>(43.38+0.9*2.9+1.15*(2.16+2.45)+1.5*2.9)*(10.764)</f>
        <v>598.92510599999991</v>
      </c>
      <c r="E991" s="53">
        <v>0</v>
      </c>
      <c r="F991" s="52">
        <f t="shared" ref="F991:F994" si="229">D991*(($F$351)+1)+(IF(E991&lt;101,E991,IF(E991&lt;201,E991/2,IF(E991&lt;=301,E991/3,E991/4))))</f>
        <v>898.38765899999987</v>
      </c>
      <c r="G991" s="90" t="str">
        <f>A990</f>
        <v>4th Floor (Part Terrace Area)</v>
      </c>
      <c r="H991" s="91"/>
      <c r="I991" s="36"/>
      <c r="L991" s="104"/>
      <c r="M991" s="104"/>
      <c r="N991" s="36"/>
    </row>
    <row r="992" spans="1:14" s="45" customFormat="1" ht="15.75" customHeight="1" x14ac:dyDescent="0.25">
      <c r="A992" s="88">
        <f t="shared" ref="A992:A996" si="230">A991+1</f>
        <v>2</v>
      </c>
      <c r="B992" s="89"/>
      <c r="C992" s="51" t="s">
        <v>192</v>
      </c>
      <c r="D992" s="53">
        <f>(43.38+0.9*2.9+1.15*(2.16+2.45)+1.5*2.9)*(10.764)</f>
        <v>598.92510599999991</v>
      </c>
      <c r="E992" s="52">
        <v>0</v>
      </c>
      <c r="F992" s="52">
        <f t="shared" si="229"/>
        <v>898.38765899999987</v>
      </c>
      <c r="G992" s="92"/>
      <c r="H992" s="93"/>
      <c r="I992" s="36"/>
      <c r="L992" s="104"/>
      <c r="M992" s="104"/>
      <c r="N992" s="36"/>
    </row>
    <row r="993" spans="1:14" s="45" customFormat="1" ht="15.75" customHeight="1" x14ac:dyDescent="0.25">
      <c r="A993" s="88">
        <f t="shared" si="230"/>
        <v>3</v>
      </c>
      <c r="B993" s="89"/>
      <c r="C993" s="51">
        <v>1</v>
      </c>
      <c r="D993" s="53">
        <f>(3*4.3+2.1*2.15+3*3.15+1.2*1.83+2.5*0.6+1.2*1.83+2.1*0.9+1.5*(3+2.1)+3*0.9)*(10.764)</f>
        <v>484.34770799999995</v>
      </c>
      <c r="E993" s="52">
        <v>0</v>
      </c>
      <c r="F993" s="52">
        <f t="shared" si="229"/>
        <v>726.5215619999999</v>
      </c>
      <c r="G993" s="92"/>
      <c r="H993" s="93"/>
      <c r="I993" s="36"/>
      <c r="L993" s="104"/>
      <c r="M993" s="104"/>
      <c r="N993" s="36"/>
    </row>
    <row r="994" spans="1:14" s="45" customFormat="1" ht="15.75" customHeight="1" x14ac:dyDescent="0.25">
      <c r="A994" s="88">
        <f t="shared" si="230"/>
        <v>4</v>
      </c>
      <c r="B994" s="89"/>
      <c r="C994" s="51">
        <v>1</v>
      </c>
      <c r="D994" s="53">
        <f>(3*4.3+2.1*2.15+3*3.15+1.2*1.83+2.5*0.6+1.2*1.83+2.1*0.9+1.5*(3+2.1)+3*0.9)*(10.764)</f>
        <v>484.34770799999995</v>
      </c>
      <c r="E994" s="52">
        <v>0</v>
      </c>
      <c r="F994" s="52">
        <f t="shared" si="229"/>
        <v>726.5215619999999</v>
      </c>
      <c r="G994" s="92"/>
      <c r="H994" s="93"/>
      <c r="I994" s="36"/>
      <c r="L994" s="104"/>
      <c r="M994" s="104"/>
      <c r="N994" s="36"/>
    </row>
    <row r="995" spans="1:14" s="45" customFormat="1" ht="15.75" customHeight="1" x14ac:dyDescent="0.25">
      <c r="A995" s="88">
        <f t="shared" si="230"/>
        <v>5</v>
      </c>
      <c r="B995" s="89"/>
      <c r="C995" s="96" t="s">
        <v>197</v>
      </c>
      <c r="D995" s="97"/>
      <c r="E995" s="97"/>
      <c r="F995" s="98"/>
      <c r="G995" s="92"/>
      <c r="H995" s="93"/>
      <c r="I995" s="36"/>
      <c r="L995" s="104"/>
      <c r="M995" s="104"/>
      <c r="N995" s="36"/>
    </row>
    <row r="996" spans="1:14" s="45" customFormat="1" ht="15.75" customHeight="1" x14ac:dyDescent="0.25">
      <c r="A996" s="88">
        <f t="shared" si="230"/>
        <v>6</v>
      </c>
      <c r="B996" s="89"/>
      <c r="C996" s="51" t="s">
        <v>192</v>
      </c>
      <c r="D996" s="53">
        <f t="shared" ref="D996" si="231">(43.38+0.9*2.9+1.15*(2.16+2.45)+1.5*2.9)*(10.764)</f>
        <v>598.92510599999991</v>
      </c>
      <c r="E996" s="53">
        <v>0</v>
      </c>
      <c r="F996" s="52">
        <f t="shared" ref="F996" si="232">D996*(($F$351)+1)+(IF(E996&lt;101,E996,IF(E996&lt;201,E996/2,IF(E996&lt;=301,E996/3,E996/4))))</f>
        <v>898.38765899999987</v>
      </c>
      <c r="G996" s="94"/>
      <c r="H996" s="95"/>
      <c r="I996" s="36"/>
      <c r="L996" s="104"/>
      <c r="M996" s="104"/>
      <c r="N996" s="36"/>
    </row>
    <row r="997" spans="1:14" s="45" customFormat="1" ht="15.75" customHeight="1" x14ac:dyDescent="0.25">
      <c r="A997" s="99" t="s">
        <v>199</v>
      </c>
      <c r="B997" s="100"/>
      <c r="C997" s="100"/>
      <c r="D997" s="100"/>
      <c r="E997" s="100"/>
      <c r="F997" s="100"/>
      <c r="G997" s="100"/>
      <c r="H997" s="101"/>
      <c r="J997" s="36"/>
    </row>
    <row r="998" spans="1:14" s="45" customFormat="1" ht="15.75" customHeight="1" x14ac:dyDescent="0.25">
      <c r="A998" s="88">
        <v>1</v>
      </c>
      <c r="B998" s="89"/>
      <c r="C998" s="51" t="s">
        <v>192</v>
      </c>
      <c r="D998" s="53">
        <f>(43.38+0.9*2.9+1.15*(2.16+2.45)+1.5*2.9)*(10.764)</f>
        <v>598.92510599999991</v>
      </c>
      <c r="E998" s="53">
        <v>0</v>
      </c>
      <c r="F998" s="52">
        <f t="shared" ref="F998:F1001" si="233">D998*(($F$351)+1)+(IF(E998&lt;101,E998,IF(E998&lt;201,E998/2,IF(E998&lt;=301,E998/3,E998/4))))</f>
        <v>898.38765899999987</v>
      </c>
      <c r="G998" s="90" t="str">
        <f>A997</f>
        <v>6th Floor</v>
      </c>
      <c r="H998" s="91"/>
      <c r="I998" s="36"/>
      <c r="L998" s="104"/>
      <c r="M998" s="104"/>
      <c r="N998" s="36"/>
    </row>
    <row r="999" spans="1:14" s="45" customFormat="1" ht="15.75" customHeight="1" x14ac:dyDescent="0.25">
      <c r="A999" s="88">
        <f t="shared" ref="A999:A1003" si="234">A998+1</f>
        <v>2</v>
      </c>
      <c r="B999" s="89"/>
      <c r="C999" s="51" t="s">
        <v>192</v>
      </c>
      <c r="D999" s="53">
        <f>(43.38+0.9*2.9+1.15*(2.16+2.45)+1.5*2.9)*(10.764)</f>
        <v>598.92510599999991</v>
      </c>
      <c r="E999" s="52">
        <v>0</v>
      </c>
      <c r="F999" s="52">
        <f t="shared" si="233"/>
        <v>898.38765899999987</v>
      </c>
      <c r="G999" s="92"/>
      <c r="H999" s="93"/>
      <c r="I999" s="36"/>
      <c r="L999" s="104"/>
      <c r="M999" s="104"/>
      <c r="N999" s="36"/>
    </row>
    <row r="1000" spans="1:14" s="45" customFormat="1" ht="15.75" customHeight="1" x14ac:dyDescent="0.25">
      <c r="A1000" s="88">
        <f t="shared" si="234"/>
        <v>3</v>
      </c>
      <c r="B1000" s="89"/>
      <c r="C1000" s="51">
        <v>1</v>
      </c>
      <c r="D1000" s="53">
        <f>(3*4.3+2.1*2.15+3*3.15+1.2*1.83+2.5*0.6+1.2*1.83+2.1*0.9+1.5*(3+2.1)+3*0.9)*(10.764)</f>
        <v>484.34770799999995</v>
      </c>
      <c r="E1000" s="52">
        <v>0</v>
      </c>
      <c r="F1000" s="52">
        <f t="shared" si="233"/>
        <v>726.5215619999999</v>
      </c>
      <c r="G1000" s="92"/>
      <c r="H1000" s="93"/>
      <c r="I1000" s="36"/>
      <c r="L1000" s="104"/>
      <c r="M1000" s="104"/>
      <c r="N1000" s="36"/>
    </row>
    <row r="1001" spans="1:14" s="45" customFormat="1" ht="15.75" customHeight="1" x14ac:dyDescent="0.25">
      <c r="A1001" s="88">
        <f t="shared" si="234"/>
        <v>4</v>
      </c>
      <c r="B1001" s="89"/>
      <c r="C1001" s="51">
        <v>1</v>
      </c>
      <c r="D1001" s="53">
        <f>(3*4.3+2.1*2.15+3*3.15+1.2*1.83+2.5*0.6+1.2*1.83+2.1*0.9+1.5*(3+2.1)+3*0.9)*(10.764)</f>
        <v>484.34770799999995</v>
      </c>
      <c r="E1001" s="52">
        <v>0</v>
      </c>
      <c r="F1001" s="52">
        <f t="shared" si="233"/>
        <v>726.5215619999999</v>
      </c>
      <c r="G1001" s="92"/>
      <c r="H1001" s="93"/>
      <c r="I1001" s="36"/>
      <c r="L1001" s="104"/>
      <c r="M1001" s="104"/>
      <c r="N1001" s="36"/>
    </row>
    <row r="1002" spans="1:14" s="45" customFormat="1" ht="15.75" customHeight="1" x14ac:dyDescent="0.25">
      <c r="A1002" s="88">
        <f t="shared" si="234"/>
        <v>5</v>
      </c>
      <c r="B1002" s="89"/>
      <c r="C1002" s="96" t="s">
        <v>200</v>
      </c>
      <c r="D1002" s="97"/>
      <c r="E1002" s="97"/>
      <c r="F1002" s="98"/>
      <c r="G1002" s="92"/>
      <c r="H1002" s="93"/>
      <c r="I1002" s="36"/>
      <c r="L1002" s="104"/>
      <c r="M1002" s="104"/>
      <c r="N1002" s="36"/>
    </row>
    <row r="1003" spans="1:14" s="45" customFormat="1" ht="15.75" customHeight="1" x14ac:dyDescent="0.25">
      <c r="A1003" s="88">
        <f t="shared" si="234"/>
        <v>6</v>
      </c>
      <c r="B1003" s="89"/>
      <c r="C1003" s="51" t="s">
        <v>192</v>
      </c>
      <c r="D1003" s="53">
        <f t="shared" ref="D1003" si="235">(43.38+0.9*2.9+1.15*(2.16+2.45)+1.5*2.9)*(10.764)</f>
        <v>598.92510599999991</v>
      </c>
      <c r="E1003" s="53">
        <v>0</v>
      </c>
      <c r="F1003" s="52">
        <f t="shared" ref="F1003" si="236">D1003*(($F$351)+1)+(IF(E1003&lt;101,E1003,IF(E1003&lt;201,E1003/2,IF(E1003&lt;=301,E1003/3,E1003/4))))</f>
        <v>898.38765899999987</v>
      </c>
      <c r="G1003" s="94"/>
      <c r="H1003" s="95"/>
      <c r="I1003" s="36"/>
      <c r="L1003" s="104"/>
      <c r="M1003" s="104"/>
      <c r="N1003" s="36"/>
    </row>
    <row r="1004" spans="1:14" s="45" customFormat="1" ht="15.75" customHeight="1" x14ac:dyDescent="0.25">
      <c r="A1004" s="99" t="s">
        <v>201</v>
      </c>
      <c r="B1004" s="100"/>
      <c r="C1004" s="100"/>
      <c r="D1004" s="100"/>
      <c r="E1004" s="100"/>
      <c r="F1004" s="100"/>
      <c r="G1004" s="100"/>
      <c r="H1004" s="101"/>
      <c r="J1004" s="36"/>
    </row>
    <row r="1005" spans="1:14" s="45" customFormat="1" ht="15.75" customHeight="1" x14ac:dyDescent="0.25">
      <c r="A1005" s="88">
        <v>1</v>
      </c>
      <c r="B1005" s="89"/>
      <c r="C1005" s="51" t="s">
        <v>192</v>
      </c>
      <c r="D1005" s="53">
        <f>(43.38+0.9*2.9+1.15*(2.16+2.45)+1.5*2.9)*(10.764)</f>
        <v>598.92510599999991</v>
      </c>
      <c r="E1005" s="53">
        <v>0</v>
      </c>
      <c r="F1005" s="52">
        <f t="shared" ref="F1005:F1008" si="237">D1005*(($F$351)+1)+(IF(E1005&lt;101,E1005,IF(E1005&lt;201,E1005/2,IF(E1005&lt;=301,E1005/3,E1005/4))))</f>
        <v>898.38765899999987</v>
      </c>
      <c r="G1005" s="90" t="str">
        <f>A1004</f>
        <v>5th Floor</v>
      </c>
      <c r="H1005" s="91"/>
      <c r="I1005" s="36"/>
      <c r="L1005" s="104"/>
      <c r="M1005" s="104"/>
      <c r="N1005" s="36"/>
    </row>
    <row r="1006" spans="1:14" s="45" customFormat="1" ht="15.75" customHeight="1" x14ac:dyDescent="0.25">
      <c r="A1006" s="88">
        <f t="shared" ref="A1006:A1010" si="238">A1005+1</f>
        <v>2</v>
      </c>
      <c r="B1006" s="89"/>
      <c r="C1006" s="51" t="s">
        <v>192</v>
      </c>
      <c r="D1006" s="53">
        <f>(43.38+0.9*2.9+1.15*(2.16+2.45)+1.5*2.9)*(10.764)</f>
        <v>598.92510599999991</v>
      </c>
      <c r="E1006" s="52">
        <v>0</v>
      </c>
      <c r="F1006" s="52">
        <f t="shared" si="237"/>
        <v>898.38765899999987</v>
      </c>
      <c r="G1006" s="92"/>
      <c r="H1006" s="93"/>
      <c r="I1006" s="36"/>
      <c r="L1006" s="104"/>
      <c r="M1006" s="104"/>
      <c r="N1006" s="36"/>
    </row>
    <row r="1007" spans="1:14" s="45" customFormat="1" ht="15.75" customHeight="1" x14ac:dyDescent="0.25">
      <c r="A1007" s="88">
        <f t="shared" si="238"/>
        <v>3</v>
      </c>
      <c r="B1007" s="89"/>
      <c r="C1007" s="51">
        <v>1</v>
      </c>
      <c r="D1007" s="53">
        <f>(3*4.3+2.1*2.15+3*3.15+1.2*1.83+2.5*0.6+1.2*1.83+2.1*0.9+1.5*(3+2.1)+3*0.9)*(10.764)</f>
        <v>484.34770799999995</v>
      </c>
      <c r="E1007" s="52">
        <v>0</v>
      </c>
      <c r="F1007" s="52">
        <f t="shared" si="237"/>
        <v>726.5215619999999</v>
      </c>
      <c r="G1007" s="92"/>
      <c r="H1007" s="93"/>
      <c r="I1007" s="36"/>
      <c r="L1007" s="104"/>
      <c r="M1007" s="104"/>
      <c r="N1007" s="36"/>
    </row>
    <row r="1008" spans="1:14" s="45" customFormat="1" ht="15.75" customHeight="1" x14ac:dyDescent="0.25">
      <c r="A1008" s="88">
        <f t="shared" si="238"/>
        <v>4</v>
      </c>
      <c r="B1008" s="89"/>
      <c r="C1008" s="51">
        <v>1</v>
      </c>
      <c r="D1008" s="53">
        <f>(3*4.3+2.1*2.15+3*3.15+1.2*1.83+2.5*0.6+1.2*1.83+2.1*0.9+1.5*(3+2.1)+3*0.9)*(10.764)</f>
        <v>484.34770799999995</v>
      </c>
      <c r="E1008" s="52">
        <v>0</v>
      </c>
      <c r="F1008" s="52">
        <f t="shared" si="237"/>
        <v>726.5215619999999</v>
      </c>
      <c r="G1008" s="92"/>
      <c r="H1008" s="93"/>
      <c r="I1008" s="36"/>
      <c r="L1008" s="104"/>
      <c r="M1008" s="104"/>
      <c r="N1008" s="36"/>
    </row>
    <row r="1009" spans="1:14" s="45" customFormat="1" ht="15.75" customHeight="1" x14ac:dyDescent="0.25">
      <c r="A1009" s="88">
        <f t="shared" si="238"/>
        <v>5</v>
      </c>
      <c r="B1009" s="89"/>
      <c r="C1009" s="96" t="s">
        <v>200</v>
      </c>
      <c r="D1009" s="97"/>
      <c r="E1009" s="97"/>
      <c r="F1009" s="98"/>
      <c r="G1009" s="92"/>
      <c r="H1009" s="93"/>
      <c r="I1009" s="36"/>
      <c r="L1009" s="104"/>
      <c r="M1009" s="104"/>
      <c r="N1009" s="36"/>
    </row>
    <row r="1010" spans="1:14" s="45" customFormat="1" ht="15.75" customHeight="1" x14ac:dyDescent="0.25">
      <c r="A1010" s="88">
        <f t="shared" si="238"/>
        <v>6</v>
      </c>
      <c r="B1010" s="89"/>
      <c r="C1010" s="51" t="s">
        <v>192</v>
      </c>
      <c r="D1010" s="53">
        <f t="shared" ref="D1010" si="239">(43.38+0.9*2.9+1.15*(2.16+2.45)+1.5*2.9)*(10.764)</f>
        <v>598.92510599999991</v>
      </c>
      <c r="E1010" s="53">
        <v>0</v>
      </c>
      <c r="F1010" s="52">
        <f t="shared" ref="F1010" si="240">D1010*(($F$351)+1)+(IF(E1010&lt;101,E1010,IF(E1010&lt;201,E1010/2,IF(E1010&lt;=301,E1010/3,E1010/4))))</f>
        <v>898.38765899999987</v>
      </c>
      <c r="G1010" s="94"/>
      <c r="H1010" s="95"/>
      <c r="I1010" s="36"/>
      <c r="L1010" s="104"/>
      <c r="M1010" s="104"/>
      <c r="N1010" s="36"/>
    </row>
    <row r="1011" spans="1:14" s="45" customFormat="1" ht="15.75" customHeight="1" x14ac:dyDescent="0.25">
      <c r="A1011" s="99" t="s">
        <v>203</v>
      </c>
      <c r="B1011" s="100"/>
      <c r="C1011" s="100"/>
      <c r="D1011" s="100"/>
      <c r="E1011" s="100"/>
      <c r="F1011" s="100"/>
      <c r="G1011" s="100"/>
      <c r="H1011" s="101"/>
      <c r="J1011" s="36"/>
    </row>
    <row r="1012" spans="1:14" s="45" customFormat="1" ht="15.75" customHeight="1" x14ac:dyDescent="0.25">
      <c r="A1012" s="88">
        <v>1</v>
      </c>
      <c r="B1012" s="89"/>
      <c r="C1012" s="51" t="s">
        <v>192</v>
      </c>
      <c r="D1012" s="53">
        <f>(43.38+0.9*2.9+1.15*(2.16+2.45)+1.5*2.9)*(10.764)</f>
        <v>598.92510599999991</v>
      </c>
      <c r="E1012" s="53">
        <v>0</v>
      </c>
      <c r="F1012" s="52">
        <f t="shared" ref="F1012" si="241">D1012*(($F$351)+1)+(IF(E1012&lt;101,E1012,IF(E1012&lt;201,E1012/2,IF(E1012&lt;=301,E1012/3,E1012/4))))</f>
        <v>898.38765899999987</v>
      </c>
      <c r="G1012" s="90" t="str">
        <f>A1011</f>
        <v>13th Floor (Part Terrace Area)</v>
      </c>
      <c r="H1012" s="91"/>
      <c r="I1012" s="36"/>
      <c r="L1012" s="104"/>
      <c r="M1012" s="104"/>
      <c r="N1012" s="36"/>
    </row>
    <row r="1013" spans="1:14" s="45" customFormat="1" ht="15.75" customHeight="1" x14ac:dyDescent="0.25">
      <c r="A1013" s="88">
        <f t="shared" ref="A1013:A1016" si="242">A1012+1</f>
        <v>2</v>
      </c>
      <c r="B1013" s="89"/>
      <c r="C1013" s="96" t="s">
        <v>197</v>
      </c>
      <c r="D1013" s="97"/>
      <c r="E1013" s="97"/>
      <c r="F1013" s="98"/>
      <c r="G1013" s="92"/>
      <c r="H1013" s="93"/>
      <c r="I1013" s="36"/>
      <c r="L1013" s="104"/>
      <c r="M1013" s="104"/>
      <c r="N1013" s="36"/>
    </row>
    <row r="1014" spans="1:14" s="45" customFormat="1" ht="15.75" customHeight="1" x14ac:dyDescent="0.25">
      <c r="A1014" s="88">
        <f t="shared" si="242"/>
        <v>3</v>
      </c>
      <c r="B1014" s="89"/>
      <c r="C1014" s="51">
        <v>1</v>
      </c>
      <c r="D1014" s="53">
        <f>(3*4.3+2.1*2.15+3*3.15+1.2*1.83+2.5*0.6+1.2*1.83+2.1*0.9+1.5*(3+2.1)+3*0.9)*(10.764)</f>
        <v>484.34770799999995</v>
      </c>
      <c r="E1014" s="52">
        <v>0</v>
      </c>
      <c r="F1014" s="52">
        <f t="shared" ref="F1014:F1017" si="243">D1014*(($F$351)+1)+(IF(E1014&lt;101,E1014,IF(E1014&lt;201,E1014/2,IF(E1014&lt;=301,E1014/3,E1014/4))))</f>
        <v>726.5215619999999</v>
      </c>
      <c r="G1014" s="92"/>
      <c r="H1014" s="93"/>
      <c r="I1014" s="36"/>
      <c r="L1014" s="104"/>
      <c r="M1014" s="104"/>
      <c r="N1014" s="36"/>
    </row>
    <row r="1015" spans="1:14" s="45" customFormat="1" ht="15.75" customHeight="1" x14ac:dyDescent="0.25">
      <c r="A1015" s="88">
        <f t="shared" si="242"/>
        <v>4</v>
      </c>
      <c r="B1015" s="89"/>
      <c r="C1015" s="51">
        <v>1</v>
      </c>
      <c r="D1015" s="53">
        <f>(3*4.3+2.1*2.15+3*3.15+1.2*1.83+2.5*0.6+1.2*1.83+2.1*0.9+1.5*(3+2.1)+3*0.9)*(10.764)</f>
        <v>484.34770799999995</v>
      </c>
      <c r="E1015" s="52">
        <v>0</v>
      </c>
      <c r="F1015" s="52">
        <f t="shared" si="243"/>
        <v>726.5215619999999</v>
      </c>
      <c r="G1015" s="92"/>
      <c r="H1015" s="93"/>
      <c r="I1015" s="36"/>
      <c r="L1015" s="104"/>
      <c r="M1015" s="104"/>
      <c r="N1015" s="36"/>
    </row>
    <row r="1016" spans="1:14" s="45" customFormat="1" ht="15.75" customHeight="1" x14ac:dyDescent="0.25">
      <c r="A1016" s="88">
        <f t="shared" si="242"/>
        <v>5</v>
      </c>
      <c r="B1016" s="89"/>
      <c r="C1016" s="51" t="s">
        <v>192</v>
      </c>
      <c r="D1016" s="53">
        <f>(43.38+0.9*2.9+1.15*(2.16+2.45)+1.5*2.9)*(10.764)</f>
        <v>598.92510599999991</v>
      </c>
      <c r="E1016" s="52">
        <v>0</v>
      </c>
      <c r="F1016" s="52">
        <f t="shared" si="243"/>
        <v>898.38765899999987</v>
      </c>
      <c r="G1016" s="92"/>
      <c r="H1016" s="93"/>
      <c r="I1016" s="36"/>
      <c r="L1016" s="104"/>
      <c r="M1016" s="104"/>
      <c r="N1016" s="36"/>
    </row>
    <row r="1017" spans="1:14" s="45" customFormat="1" ht="15.75" customHeight="1" x14ac:dyDescent="0.25">
      <c r="A1017" s="88">
        <v>6</v>
      </c>
      <c r="B1017" s="89"/>
      <c r="C1017" s="51" t="s">
        <v>192</v>
      </c>
      <c r="D1017" s="53">
        <f t="shared" ref="D1017" si="244">(43.38+0.9*2.9+1.15*(2.16+2.45)+1.5*2.9)*(10.764)</f>
        <v>598.92510599999991</v>
      </c>
      <c r="E1017" s="53">
        <v>0</v>
      </c>
      <c r="F1017" s="52">
        <f t="shared" si="243"/>
        <v>898.38765899999987</v>
      </c>
      <c r="G1017" s="94"/>
      <c r="H1017" s="95"/>
      <c r="I1017" s="36"/>
      <c r="L1017" s="104"/>
      <c r="M1017" s="104"/>
      <c r="N1017" s="36"/>
    </row>
    <row r="1018" spans="1:14" s="45" customFormat="1" ht="15.75" customHeight="1" x14ac:dyDescent="0.25">
      <c r="A1018" s="99" t="s">
        <v>204</v>
      </c>
      <c r="B1018" s="100"/>
      <c r="C1018" s="100"/>
      <c r="D1018" s="100"/>
      <c r="E1018" s="100"/>
      <c r="F1018" s="100"/>
      <c r="G1018" s="100"/>
      <c r="H1018" s="101"/>
      <c r="J1018" s="36"/>
    </row>
    <row r="1019" spans="1:14" s="45" customFormat="1" ht="15.75" customHeight="1" x14ac:dyDescent="0.25">
      <c r="A1019" s="88">
        <v>1</v>
      </c>
      <c r="B1019" s="89"/>
      <c r="C1019" s="51" t="s">
        <v>192</v>
      </c>
      <c r="D1019" s="53">
        <f>(43.38+0.9*2.9+1.15*(2.16+2.45)+1.5*2.9)*(10.764)</f>
        <v>598.92510599999991</v>
      </c>
      <c r="E1019" s="53">
        <v>0</v>
      </c>
      <c r="F1019" s="52">
        <f t="shared" ref="F1019" si="245">D1019*(($F$351)+1)+(IF(E1019&lt;101,E1019,IF(E1019&lt;201,E1019/2,IF(E1019&lt;=301,E1019/3,E1019/4))))</f>
        <v>898.38765899999987</v>
      </c>
      <c r="G1019" s="90" t="str">
        <f>A1018</f>
        <v>14th Floor</v>
      </c>
      <c r="H1019" s="91"/>
      <c r="I1019" s="36"/>
      <c r="L1019" s="104"/>
      <c r="M1019" s="104"/>
      <c r="N1019" s="36"/>
    </row>
    <row r="1020" spans="1:14" s="45" customFormat="1" ht="15.75" customHeight="1" x14ac:dyDescent="0.25">
      <c r="A1020" s="88">
        <f t="shared" ref="A1020:A1022" si="246">A1019+1</f>
        <v>2</v>
      </c>
      <c r="B1020" s="89"/>
      <c r="C1020" s="96" t="s">
        <v>200</v>
      </c>
      <c r="D1020" s="97"/>
      <c r="E1020" s="97"/>
      <c r="F1020" s="98"/>
      <c r="G1020" s="92"/>
      <c r="H1020" s="93"/>
      <c r="I1020" s="36"/>
      <c r="L1020" s="104"/>
      <c r="M1020" s="104"/>
      <c r="N1020" s="36"/>
    </row>
    <row r="1021" spans="1:14" s="45" customFormat="1" ht="15.75" customHeight="1" x14ac:dyDescent="0.25">
      <c r="A1021" s="88">
        <v>3</v>
      </c>
      <c r="B1021" s="89"/>
      <c r="C1021" s="51">
        <v>1</v>
      </c>
      <c r="D1021" s="53">
        <f>(3*4.3+2.1*2.15+3*3.15+1.2*1.83+2.5*0.6+1.2*1.83+2.1*0.9+1.5*(3+2.1)+3*0.9)*(10.764)</f>
        <v>484.34770799999995</v>
      </c>
      <c r="E1021" s="52">
        <v>0</v>
      </c>
      <c r="F1021" s="52">
        <f t="shared" ref="F1021:F1024" si="247">D1021*(($F$351)+1)+(IF(E1021&lt;101,E1021,IF(E1021&lt;201,E1021/2,IF(E1021&lt;=301,E1021/3,E1021/4))))</f>
        <v>726.5215619999999</v>
      </c>
      <c r="G1021" s="92"/>
      <c r="H1021" s="93"/>
      <c r="I1021" s="36"/>
      <c r="L1021" s="104"/>
      <c r="M1021" s="104"/>
      <c r="N1021" s="36"/>
    </row>
    <row r="1022" spans="1:14" s="45" customFormat="1" ht="15.75" customHeight="1" x14ac:dyDescent="0.25">
      <c r="A1022" s="88">
        <f t="shared" si="246"/>
        <v>4</v>
      </c>
      <c r="B1022" s="89"/>
      <c r="C1022" s="51">
        <v>1</v>
      </c>
      <c r="D1022" s="53">
        <f>(3*4.3+2.1*2.15+3*3.15+1.2*1.83+2.5*0.6+1.2*1.83+2.1*0.9+1.5*(3+2.1)+3*0.9)*(10.764)</f>
        <v>484.34770799999995</v>
      </c>
      <c r="E1022" s="52">
        <v>0</v>
      </c>
      <c r="F1022" s="52">
        <f t="shared" si="247"/>
        <v>726.5215619999999</v>
      </c>
      <c r="G1022" s="92"/>
      <c r="H1022" s="93"/>
      <c r="I1022" s="36"/>
      <c r="L1022" s="104"/>
      <c r="M1022" s="104"/>
      <c r="N1022" s="36"/>
    </row>
    <row r="1023" spans="1:14" s="45" customFormat="1" ht="15.75" customHeight="1" x14ac:dyDescent="0.25">
      <c r="A1023" s="88">
        <v>5</v>
      </c>
      <c r="B1023" s="89"/>
      <c r="C1023" s="51" t="s">
        <v>192</v>
      </c>
      <c r="D1023" s="53">
        <f>(43.38+0.9*2.9+1.15*(2.16+2.45)+1.5*2.9)*(10.764)</f>
        <v>598.92510599999991</v>
      </c>
      <c r="E1023" s="52">
        <v>0</v>
      </c>
      <c r="F1023" s="52">
        <f t="shared" si="247"/>
        <v>898.38765899999987</v>
      </c>
      <c r="G1023" s="92"/>
      <c r="H1023" s="93"/>
      <c r="I1023" s="36"/>
      <c r="L1023" s="104"/>
      <c r="M1023" s="104"/>
      <c r="N1023" s="36"/>
    </row>
    <row r="1024" spans="1:14" s="45" customFormat="1" ht="15.75" customHeight="1" x14ac:dyDescent="0.25">
      <c r="A1024" s="88">
        <v>6</v>
      </c>
      <c r="B1024" s="89"/>
      <c r="C1024" s="51" t="s">
        <v>192</v>
      </c>
      <c r="D1024" s="53">
        <f t="shared" ref="D1024" si="248">(43.38+0.9*2.9+1.15*(2.16+2.45)+1.5*2.9)*(10.764)</f>
        <v>598.92510599999991</v>
      </c>
      <c r="E1024" s="53">
        <v>0</v>
      </c>
      <c r="F1024" s="52">
        <f t="shared" si="247"/>
        <v>898.38765899999987</v>
      </c>
      <c r="G1024" s="94"/>
      <c r="H1024" s="95"/>
      <c r="I1024" s="36"/>
      <c r="L1024" s="104"/>
      <c r="M1024" s="104"/>
      <c r="N1024" s="36"/>
    </row>
    <row r="1025" spans="1:14" s="45" customFormat="1" ht="15.75" customHeight="1" x14ac:dyDescent="0.25">
      <c r="A1025" s="99" t="s">
        <v>205</v>
      </c>
      <c r="B1025" s="100"/>
      <c r="C1025" s="100"/>
      <c r="D1025" s="100"/>
      <c r="E1025" s="100"/>
      <c r="F1025" s="100"/>
      <c r="G1025" s="100"/>
      <c r="H1025" s="101"/>
      <c r="J1025" s="36"/>
    </row>
    <row r="1026" spans="1:14" s="45" customFormat="1" ht="15.75" customHeight="1" x14ac:dyDescent="0.25">
      <c r="A1026" s="88">
        <v>1</v>
      </c>
      <c r="B1026" s="89"/>
      <c r="C1026" s="51" t="s">
        <v>192</v>
      </c>
      <c r="D1026" s="53">
        <f>(43.38+0.9*2.9+1.15*(2.16+2.45)+1.5*2.9)*(10.764)</f>
        <v>598.92510599999991</v>
      </c>
      <c r="E1026" s="53">
        <v>0</v>
      </c>
      <c r="F1026" s="52">
        <f t="shared" ref="F1026" si="249">D1026*(($F$351)+1)+(IF(E1026&lt;101,E1026,IF(E1026&lt;201,E1026/2,IF(E1026&lt;=301,E1026/3,E1026/4))))</f>
        <v>898.38765899999987</v>
      </c>
      <c r="G1026" s="90" t="str">
        <f>A1025</f>
        <v>15th Floor</v>
      </c>
      <c r="H1026" s="91"/>
      <c r="I1026" s="36"/>
      <c r="L1026" s="104"/>
      <c r="M1026" s="104"/>
      <c r="N1026" s="36"/>
    </row>
    <row r="1027" spans="1:14" s="45" customFormat="1" ht="15.75" customHeight="1" x14ac:dyDescent="0.25">
      <c r="A1027" s="88">
        <f t="shared" ref="A1027:A1029" si="250">A1026+1</f>
        <v>2</v>
      </c>
      <c r="B1027" s="89"/>
      <c r="C1027" s="96" t="s">
        <v>200</v>
      </c>
      <c r="D1027" s="97"/>
      <c r="E1027" s="97"/>
      <c r="F1027" s="98"/>
      <c r="G1027" s="92"/>
      <c r="H1027" s="93"/>
      <c r="I1027" s="36"/>
      <c r="L1027" s="104"/>
      <c r="M1027" s="104"/>
      <c r="N1027" s="36"/>
    </row>
    <row r="1028" spans="1:14" s="45" customFormat="1" ht="15.75" customHeight="1" x14ac:dyDescent="0.25">
      <c r="A1028" s="88">
        <v>3</v>
      </c>
      <c r="B1028" s="89"/>
      <c r="C1028" s="51">
        <v>1</v>
      </c>
      <c r="D1028" s="53">
        <f>(3*4.3+2.1*2.15+3*3.15+1.2*1.83+2.5*0.6+1.2*1.83+2.1*0.9+1.5*(3+2.1)+3*0.9)*(10.764)</f>
        <v>484.34770799999995</v>
      </c>
      <c r="E1028" s="52">
        <v>0</v>
      </c>
      <c r="F1028" s="52">
        <f t="shared" ref="F1028:F1031" si="251">D1028*(($F$351)+1)+(IF(E1028&lt;101,E1028,IF(E1028&lt;201,E1028/2,IF(E1028&lt;=301,E1028/3,E1028/4))))</f>
        <v>726.5215619999999</v>
      </c>
      <c r="G1028" s="92"/>
      <c r="H1028" s="93"/>
      <c r="I1028" s="36"/>
      <c r="L1028" s="104"/>
      <c r="M1028" s="104"/>
      <c r="N1028" s="36"/>
    </row>
    <row r="1029" spans="1:14" s="45" customFormat="1" ht="15.75" customHeight="1" x14ac:dyDescent="0.25">
      <c r="A1029" s="88">
        <f t="shared" si="250"/>
        <v>4</v>
      </c>
      <c r="B1029" s="89"/>
      <c r="C1029" s="51">
        <v>1</v>
      </c>
      <c r="D1029" s="53">
        <f>(3*4.3+2.1*2.15+3*3.15+1.2*1.83+2.5*0.6+1.2*1.83+2.1*0.9+1.5*(3+2.1)+3*0.9)*(10.764)</f>
        <v>484.34770799999995</v>
      </c>
      <c r="E1029" s="52">
        <v>0</v>
      </c>
      <c r="F1029" s="52">
        <f t="shared" si="251"/>
        <v>726.5215619999999</v>
      </c>
      <c r="G1029" s="92"/>
      <c r="H1029" s="93"/>
      <c r="I1029" s="36"/>
      <c r="L1029" s="104"/>
      <c r="M1029" s="104"/>
      <c r="N1029" s="36"/>
    </row>
    <row r="1030" spans="1:14" s="45" customFormat="1" ht="15.75" customHeight="1" x14ac:dyDescent="0.25">
      <c r="A1030" s="88">
        <v>5</v>
      </c>
      <c r="B1030" s="89"/>
      <c r="C1030" s="51" t="s">
        <v>192</v>
      </c>
      <c r="D1030" s="53">
        <f>(43.38+0.9*2.9+1.15*(2.16+2.45)+1.5*2.9)*(10.764)</f>
        <v>598.92510599999991</v>
      </c>
      <c r="E1030" s="52">
        <v>0</v>
      </c>
      <c r="F1030" s="52">
        <f t="shared" si="251"/>
        <v>898.38765899999987</v>
      </c>
      <c r="G1030" s="92"/>
      <c r="H1030" s="93"/>
      <c r="I1030" s="36"/>
      <c r="L1030" s="104"/>
      <c r="M1030" s="104"/>
      <c r="N1030" s="36"/>
    </row>
    <row r="1031" spans="1:14" s="45" customFormat="1" ht="15.75" customHeight="1" x14ac:dyDescent="0.25">
      <c r="A1031" s="88">
        <v>6</v>
      </c>
      <c r="B1031" s="89"/>
      <c r="C1031" s="51" t="s">
        <v>192</v>
      </c>
      <c r="D1031" s="53">
        <f t="shared" ref="D1031" si="252">(43.38+0.9*2.9+1.15*(2.16+2.45)+1.5*2.9)*(10.764)</f>
        <v>598.92510599999991</v>
      </c>
      <c r="E1031" s="53">
        <v>0</v>
      </c>
      <c r="F1031" s="52">
        <f t="shared" si="251"/>
        <v>898.38765899999987</v>
      </c>
      <c r="G1031" s="94"/>
      <c r="H1031" s="95"/>
      <c r="I1031" s="36"/>
      <c r="L1031" s="104"/>
      <c r="M1031" s="104"/>
      <c r="N1031" s="36"/>
    </row>
    <row r="1032" spans="1:14" s="45" customFormat="1" x14ac:dyDescent="0.25">
      <c r="A1032" s="117"/>
      <c r="B1032" s="117"/>
      <c r="C1032" s="117"/>
      <c r="D1032" s="117"/>
      <c r="E1032" s="117"/>
      <c r="F1032" s="117"/>
      <c r="G1032" s="117"/>
      <c r="H1032" s="117"/>
      <c r="I1032" s="36"/>
      <c r="L1032" s="104"/>
      <c r="M1032" s="104"/>
    </row>
    <row r="1033" spans="1:14" s="35" customFormat="1" x14ac:dyDescent="0.25">
      <c r="A1033" s="138" t="s">
        <v>69</v>
      </c>
      <c r="B1033" s="138"/>
      <c r="C1033" s="138"/>
      <c r="D1033" s="138"/>
      <c r="E1033" s="138"/>
      <c r="F1033" s="138"/>
      <c r="G1033" s="138"/>
      <c r="H1033" s="138"/>
    </row>
    <row r="1034" spans="1:14" s="35" customFormat="1" ht="72" customHeight="1" x14ac:dyDescent="0.25">
      <c r="A1034" s="44" t="s">
        <v>153</v>
      </c>
      <c r="B1034" s="62" t="s">
        <v>289</v>
      </c>
      <c r="C1034" s="63"/>
      <c r="D1034" s="63"/>
      <c r="E1034" s="63"/>
      <c r="F1034" s="63"/>
      <c r="G1034" s="63"/>
      <c r="H1034" s="64"/>
    </row>
    <row r="1035" spans="1:14" s="35" customFormat="1" ht="31.9" customHeight="1" x14ac:dyDescent="0.25">
      <c r="A1035" s="44" t="s">
        <v>153</v>
      </c>
      <c r="B1035" s="62" t="s">
        <v>285</v>
      </c>
      <c r="C1035" s="63"/>
      <c r="D1035" s="63"/>
      <c r="E1035" s="63"/>
      <c r="F1035" s="63"/>
      <c r="G1035" s="63"/>
      <c r="H1035" s="64"/>
    </row>
    <row r="1036" spans="1:14" s="35" customFormat="1" x14ac:dyDescent="0.25">
      <c r="A1036" s="44" t="s">
        <v>153</v>
      </c>
      <c r="B1036" s="62" t="str">
        <f>(IF(F350="Saleable area Loading :","We have considered Saleable area of Flats as per our Calculation.","We considered Saleable area of Flat as per Builder area Sheet."))</f>
        <v>We have considered Saleable area of Flats as per our Calculation.</v>
      </c>
      <c r="C1036" s="63"/>
      <c r="D1036" s="63"/>
      <c r="E1036" s="63"/>
      <c r="F1036" s="63"/>
      <c r="G1036" s="63"/>
      <c r="H1036" s="64"/>
    </row>
    <row r="1037" spans="1:14" s="35" customFormat="1" x14ac:dyDescent="0.25">
      <c r="A1037" s="44" t="s">
        <v>153</v>
      </c>
      <c r="B1037" s="62" t="str">
        <f>(IF(F240="Saleable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037" s="63"/>
      <c r="D1037" s="63"/>
      <c r="E1037" s="63"/>
      <c r="F1037" s="63"/>
      <c r="G1037" s="63"/>
      <c r="H1037" s="64"/>
    </row>
    <row r="1038" spans="1:14" s="35" customFormat="1" x14ac:dyDescent="0.25">
      <c r="A1038" s="44" t="s">
        <v>153</v>
      </c>
      <c r="B1038" s="118" t="s">
        <v>123</v>
      </c>
      <c r="C1038" s="119"/>
      <c r="D1038" s="119"/>
      <c r="E1038" s="119"/>
      <c r="F1038" s="119"/>
      <c r="G1038" s="119"/>
      <c r="H1038" s="120"/>
    </row>
    <row r="1039" spans="1:14" s="35" customFormat="1" x14ac:dyDescent="0.25">
      <c r="A1039" s="44" t="s">
        <v>153</v>
      </c>
      <c r="B1039" s="118" t="s">
        <v>218</v>
      </c>
      <c r="C1039" s="119"/>
      <c r="D1039" s="119"/>
      <c r="E1039" s="119"/>
      <c r="F1039" s="119"/>
      <c r="G1039" s="119"/>
      <c r="H1039" s="120"/>
    </row>
    <row r="1040" spans="1:14" s="35" customFormat="1" x14ac:dyDescent="0.25">
      <c r="A1040" s="44" t="s">
        <v>153</v>
      </c>
      <c r="B1040" s="118" t="s">
        <v>152</v>
      </c>
      <c r="C1040" s="119"/>
      <c r="D1040" s="119"/>
      <c r="E1040" s="119"/>
      <c r="F1040" s="119"/>
      <c r="G1040" s="119"/>
      <c r="H1040" s="120"/>
    </row>
    <row r="1041" spans="1:8" s="35" customFormat="1" x14ac:dyDescent="0.25">
      <c r="A1041" s="44" t="s">
        <v>153</v>
      </c>
      <c r="B1041" s="118" t="s">
        <v>124</v>
      </c>
      <c r="C1041" s="119"/>
      <c r="D1041" s="119"/>
      <c r="E1041" s="119"/>
      <c r="F1041" s="119"/>
      <c r="G1041" s="119"/>
      <c r="H1041" s="120"/>
    </row>
    <row r="1042" spans="1:8" s="35" customFormat="1" x14ac:dyDescent="0.25">
      <c r="A1042" s="44" t="s">
        <v>153</v>
      </c>
      <c r="B1042" s="114" t="s">
        <v>251</v>
      </c>
      <c r="C1042" s="115"/>
      <c r="D1042" s="115"/>
      <c r="E1042" s="115"/>
      <c r="F1042" s="115"/>
      <c r="G1042" s="115"/>
      <c r="H1042" s="116"/>
    </row>
    <row r="1043" spans="1:8" s="35" customFormat="1" ht="32.25" customHeight="1" x14ac:dyDescent="0.25">
      <c r="A1043" s="44" t="s">
        <v>153</v>
      </c>
      <c r="B1043" s="118" t="s">
        <v>154</v>
      </c>
      <c r="C1043" s="119"/>
      <c r="D1043" s="119"/>
      <c r="E1043" s="119"/>
      <c r="F1043" s="119"/>
      <c r="G1043" s="119"/>
      <c r="H1043" s="120"/>
    </row>
    <row r="1044" spans="1:8" s="35" customFormat="1" x14ac:dyDescent="0.25">
      <c r="A1044" s="44" t="s">
        <v>153</v>
      </c>
      <c r="B1044" s="118" t="s">
        <v>125</v>
      </c>
      <c r="C1044" s="119"/>
      <c r="D1044" s="119"/>
      <c r="E1044" s="119"/>
      <c r="F1044" s="119"/>
      <c r="G1044" s="119"/>
      <c r="H1044" s="120"/>
    </row>
    <row r="1045" spans="1:8" s="35" customFormat="1" ht="32.25" hidden="1" customHeight="1" x14ac:dyDescent="0.25">
      <c r="A1045" s="44" t="s">
        <v>153</v>
      </c>
      <c r="B1045" s="62" t="s">
        <v>228</v>
      </c>
      <c r="C1045" s="63"/>
      <c r="D1045" s="63"/>
      <c r="E1045" s="63"/>
      <c r="F1045" s="63"/>
      <c r="G1045" s="63"/>
      <c r="H1045" s="64"/>
    </row>
    <row r="1046" spans="1:8" s="35" customFormat="1" ht="31.5" hidden="1" customHeight="1" x14ac:dyDescent="0.25">
      <c r="A1046" s="44" t="s">
        <v>153</v>
      </c>
      <c r="B1046" s="62" t="s">
        <v>226</v>
      </c>
      <c r="C1046" s="63"/>
      <c r="D1046" s="63"/>
      <c r="E1046" s="63"/>
      <c r="F1046" s="63"/>
      <c r="G1046" s="63"/>
      <c r="H1046" s="64"/>
    </row>
    <row r="1047" spans="1:8" s="35" customFormat="1" ht="33.6" customHeight="1" x14ac:dyDescent="0.25">
      <c r="A1047" s="44" t="s">
        <v>153</v>
      </c>
      <c r="B1047" s="62" t="s">
        <v>227</v>
      </c>
      <c r="C1047" s="63"/>
      <c r="D1047" s="63"/>
      <c r="E1047" s="63"/>
      <c r="F1047" s="63"/>
      <c r="G1047" s="63"/>
      <c r="H1047" s="64"/>
    </row>
    <row r="1048" spans="1:8" s="35" customFormat="1" x14ac:dyDescent="0.25">
      <c r="A1048" s="44" t="s">
        <v>153</v>
      </c>
      <c r="B1048" s="113" t="s">
        <v>253</v>
      </c>
      <c r="C1048" s="102"/>
      <c r="D1048" s="102"/>
      <c r="E1048" s="102"/>
      <c r="F1048" s="102"/>
      <c r="G1048" s="102"/>
      <c r="H1048" s="103"/>
    </row>
    <row r="1049" spans="1:8" s="35" customFormat="1" x14ac:dyDescent="0.25">
      <c r="A1049" s="44" t="s">
        <v>153</v>
      </c>
      <c r="B1049" s="114" t="s">
        <v>275</v>
      </c>
      <c r="C1049" s="115"/>
      <c r="D1049" s="115"/>
      <c r="E1049" s="115"/>
      <c r="F1049" s="115"/>
      <c r="G1049" s="115"/>
      <c r="H1049" s="116"/>
    </row>
    <row r="1050" spans="1:8" s="35" customFormat="1" ht="15.75" customHeight="1" x14ac:dyDescent="0.25">
      <c r="A1050" s="44" t="s">
        <v>153</v>
      </c>
      <c r="B1050" s="62" t="s">
        <v>273</v>
      </c>
      <c r="C1050" s="102"/>
      <c r="D1050" s="102"/>
      <c r="E1050" s="102"/>
      <c r="F1050" s="102"/>
      <c r="G1050" s="102"/>
      <c r="H1050" s="103"/>
    </row>
    <row r="1051" spans="1:8" x14ac:dyDescent="0.25">
      <c r="A1051" s="195" t="s">
        <v>62</v>
      </c>
      <c r="B1051" s="195"/>
      <c r="C1051" s="195"/>
      <c r="D1051" s="195"/>
      <c r="E1051" s="195"/>
      <c r="F1051" s="195"/>
      <c r="G1051" s="195"/>
      <c r="H1051" s="195"/>
    </row>
    <row r="1052" spans="1:8" x14ac:dyDescent="0.25">
      <c r="A1052" s="121" t="s">
        <v>63</v>
      </c>
      <c r="B1052" s="121"/>
      <c r="C1052" s="121"/>
      <c r="D1052" s="121"/>
      <c r="E1052" s="121"/>
      <c r="F1052" s="121"/>
      <c r="G1052" s="121"/>
      <c r="H1052" s="121"/>
    </row>
    <row r="1053" spans="1:8" ht="15.75" customHeight="1" x14ac:dyDescent="0.25">
      <c r="A1053" s="205" t="s">
        <v>64</v>
      </c>
      <c r="B1053" s="205"/>
      <c r="C1053" s="205"/>
      <c r="D1053" s="205"/>
      <c r="E1053" s="205"/>
      <c r="F1053" s="205"/>
      <c r="G1053" s="205"/>
      <c r="H1053" s="205"/>
    </row>
    <row r="1054" spans="1:8" x14ac:dyDescent="0.25">
      <c r="A1054" s="121" t="s">
        <v>65</v>
      </c>
      <c r="B1054" s="121"/>
      <c r="C1054" s="121"/>
      <c r="D1054" s="121"/>
      <c r="E1054" s="121"/>
      <c r="F1054" s="121"/>
      <c r="G1054" s="121"/>
      <c r="H1054" s="121"/>
    </row>
    <row r="1055" spans="1:8" x14ac:dyDescent="0.25">
      <c r="A1055" s="121" t="s">
        <v>66</v>
      </c>
      <c r="B1055" s="121"/>
      <c r="C1055" s="121"/>
      <c r="D1055" s="121"/>
      <c r="E1055" s="121"/>
      <c r="F1055" s="121"/>
      <c r="G1055" s="121"/>
      <c r="H1055" s="121"/>
    </row>
    <row r="1056" spans="1:8" x14ac:dyDescent="0.25">
      <c r="A1056" s="121" t="s">
        <v>126</v>
      </c>
      <c r="B1056" s="121"/>
      <c r="C1056" s="121"/>
      <c r="D1056" s="121"/>
      <c r="E1056" s="121"/>
      <c r="F1056" s="121"/>
      <c r="G1056" s="121"/>
      <c r="H1056" s="121"/>
    </row>
    <row r="1057" spans="1:8" ht="35.25" customHeight="1" x14ac:dyDescent="0.25">
      <c r="A1057" s="123" t="s">
        <v>127</v>
      </c>
      <c r="B1057" s="123"/>
      <c r="C1057" s="123"/>
      <c r="D1057" s="123"/>
      <c r="E1057" s="123"/>
      <c r="F1057" s="123"/>
      <c r="G1057" s="123"/>
      <c r="H1057" s="123"/>
    </row>
    <row r="1058" spans="1:8" x14ac:dyDescent="0.25">
      <c r="A1058" s="194" t="s">
        <v>76</v>
      </c>
      <c r="B1058" s="194"/>
      <c r="C1058" s="194" t="s">
        <v>287</v>
      </c>
      <c r="D1058" s="194"/>
      <c r="E1058" s="194" t="s">
        <v>104</v>
      </c>
      <c r="F1058" s="194"/>
      <c r="G1058" s="194" t="s">
        <v>288</v>
      </c>
      <c r="H1058" s="194"/>
    </row>
    <row r="1059" spans="1:8" x14ac:dyDescent="0.25">
      <c r="A1059" s="193" t="s">
        <v>78</v>
      </c>
      <c r="B1059" s="193"/>
      <c r="C1059" s="193"/>
      <c r="D1059" s="193"/>
      <c r="E1059" s="193"/>
      <c r="F1059" s="193"/>
      <c r="G1059" s="193"/>
      <c r="H1059" s="193"/>
    </row>
    <row r="1060" spans="1:8" x14ac:dyDescent="0.25">
      <c r="A1060" s="193"/>
      <c r="B1060" s="193"/>
      <c r="C1060" s="193"/>
      <c r="D1060" s="193"/>
      <c r="E1060" s="193"/>
      <c r="F1060" s="193"/>
      <c r="G1060" s="193"/>
      <c r="H1060" s="193"/>
    </row>
    <row r="1061" spans="1:8" x14ac:dyDescent="0.25">
      <c r="A1061" s="193"/>
      <c r="B1061" s="193"/>
      <c r="C1061" s="193"/>
      <c r="D1061" s="193"/>
      <c r="E1061" s="193"/>
      <c r="F1061" s="193"/>
      <c r="G1061" s="193"/>
      <c r="H1061" s="193"/>
    </row>
    <row r="1062" spans="1:8" x14ac:dyDescent="0.25">
      <c r="A1062" s="193"/>
      <c r="B1062" s="193"/>
      <c r="C1062" s="193"/>
      <c r="D1062" s="193"/>
      <c r="E1062" s="193"/>
      <c r="F1062" s="193"/>
      <c r="G1062" s="193"/>
      <c r="H1062" s="193"/>
    </row>
    <row r="1063" spans="1:8" x14ac:dyDescent="0.25">
      <c r="A1063" s="37" t="s">
        <v>67</v>
      </c>
      <c r="B1063" s="38"/>
      <c r="C1063" s="38"/>
      <c r="D1063" s="37" t="str">
        <f>E8</f>
        <v>Mohan Precious Greens Phase I &amp; II</v>
      </c>
      <c r="F1063" s="38"/>
      <c r="G1063" s="38"/>
      <c r="H1063" s="38"/>
    </row>
    <row r="1064" spans="1:8" x14ac:dyDescent="0.25">
      <c r="A1064" s="38"/>
      <c r="B1064" s="38"/>
      <c r="C1064" s="38"/>
      <c r="D1064" s="38"/>
      <c r="E1064" s="38"/>
      <c r="F1064" s="38"/>
      <c r="G1064" s="38"/>
      <c r="H1064" s="38"/>
    </row>
    <row r="1065" spans="1:8" x14ac:dyDescent="0.25">
      <c r="A1065" s="38"/>
      <c r="B1065" s="38"/>
      <c r="C1065" s="38"/>
      <c r="D1065" s="38"/>
      <c r="E1065" s="38"/>
      <c r="F1065" s="38"/>
      <c r="G1065" s="38"/>
      <c r="H1065" s="38"/>
    </row>
    <row r="1066" spans="1:8" ht="15" customHeight="1" x14ac:dyDescent="0.25"/>
    <row r="1100" spans="1:8" x14ac:dyDescent="0.25">
      <c r="A1100" s="37"/>
      <c r="B1100" s="38"/>
      <c r="C1100" s="38"/>
      <c r="D1100" s="37"/>
      <c r="F1100" s="38"/>
      <c r="G1100" s="38"/>
      <c r="H1100" s="38"/>
    </row>
    <row r="1101" spans="1:8" x14ac:dyDescent="0.25">
      <c r="A1101" s="38"/>
      <c r="B1101" s="38"/>
      <c r="C1101" s="38"/>
      <c r="D1101" s="38"/>
      <c r="E1101" s="38"/>
      <c r="F1101" s="38"/>
      <c r="G1101" s="38"/>
      <c r="H1101" s="38"/>
    </row>
    <row r="1102" spans="1:8" x14ac:dyDescent="0.25">
      <c r="A1102" s="38"/>
      <c r="B1102" s="38"/>
      <c r="C1102" s="38"/>
      <c r="D1102" s="38"/>
      <c r="E1102" s="38"/>
      <c r="F1102" s="38"/>
      <c r="G1102" s="38"/>
      <c r="H1102" s="38"/>
    </row>
    <row r="1103" spans="1:8" ht="15" customHeight="1" x14ac:dyDescent="0.25"/>
    <row r="1107" spans="1:8" ht="15" customHeight="1" x14ac:dyDescent="0.25"/>
    <row r="1109" spans="1:8" hidden="1" x14ac:dyDescent="0.25">
      <c r="A1109" s="37" t="s">
        <v>67</v>
      </c>
      <c r="B1109" s="38"/>
      <c r="C1109" s="38"/>
      <c r="D1109" s="37" t="str">
        <f>E8</f>
        <v>Mohan Precious Greens Phase I &amp; II</v>
      </c>
      <c r="F1109" s="38"/>
      <c r="G1109" s="38"/>
      <c r="H1109" s="38"/>
    </row>
    <row r="1110" spans="1:8" hidden="1" x14ac:dyDescent="0.25">
      <c r="A1110" s="38"/>
      <c r="B1110" s="38"/>
      <c r="C1110" s="38"/>
      <c r="D1110" s="38"/>
      <c r="E1110" s="38"/>
      <c r="F1110" s="38"/>
      <c r="G1110" s="38"/>
      <c r="H1110" s="38"/>
    </row>
    <row r="1111" spans="1:8" hidden="1" x14ac:dyDescent="0.25">
      <c r="A1111" s="38"/>
      <c r="B1111" s="38"/>
      <c r="C1111" s="38"/>
      <c r="D1111" s="38"/>
      <c r="E1111" s="38"/>
      <c r="F1111" s="38"/>
      <c r="G1111" s="38"/>
      <c r="H1111" s="38"/>
    </row>
    <row r="1112" spans="1:8" ht="15" hidden="1" customHeight="1" x14ac:dyDescent="0.25"/>
    <row r="1113" spans="1:8" hidden="1" x14ac:dyDescent="0.25"/>
    <row r="1114" spans="1:8" hidden="1" x14ac:dyDescent="0.25"/>
    <row r="1115" spans="1:8" hidden="1" x14ac:dyDescent="0.25"/>
    <row r="1116" spans="1:8" hidden="1" x14ac:dyDescent="0.25"/>
    <row r="1117" spans="1:8" hidden="1" x14ac:dyDescent="0.25"/>
    <row r="1118" spans="1:8" hidden="1" x14ac:dyDescent="0.25"/>
    <row r="1119" spans="1:8" hidden="1" x14ac:dyDescent="0.25"/>
    <row r="1120" spans="1:8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spans="1:8" hidden="1" x14ac:dyDescent="0.25"/>
    <row r="1138" spans="1:8" hidden="1" x14ac:dyDescent="0.25"/>
    <row r="1139" spans="1:8" hidden="1" x14ac:dyDescent="0.25"/>
    <row r="1140" spans="1:8" hidden="1" x14ac:dyDescent="0.25"/>
    <row r="1141" spans="1:8" hidden="1" x14ac:dyDescent="0.25"/>
    <row r="1142" spans="1:8" hidden="1" x14ac:dyDescent="0.25"/>
    <row r="1143" spans="1:8" hidden="1" x14ac:dyDescent="0.25"/>
    <row r="1144" spans="1:8" hidden="1" x14ac:dyDescent="0.25"/>
    <row r="1145" spans="1:8" hidden="1" x14ac:dyDescent="0.25"/>
    <row r="1146" spans="1:8" hidden="1" x14ac:dyDescent="0.25">
      <c r="A1146" s="37"/>
      <c r="B1146" s="38"/>
      <c r="C1146" s="38"/>
      <c r="D1146" s="37"/>
      <c r="F1146" s="38"/>
      <c r="G1146" s="38"/>
      <c r="H1146" s="38"/>
    </row>
    <row r="1147" spans="1:8" hidden="1" x14ac:dyDescent="0.25">
      <c r="A1147" s="38"/>
      <c r="B1147" s="38"/>
      <c r="C1147" s="38"/>
      <c r="D1147" s="38"/>
      <c r="E1147" s="38"/>
      <c r="F1147" s="38"/>
      <c r="G1147" s="38"/>
      <c r="H1147" s="38"/>
    </row>
    <row r="1148" spans="1:8" hidden="1" x14ac:dyDescent="0.25">
      <c r="A1148" s="38"/>
      <c r="B1148" s="38"/>
      <c r="C1148" s="38"/>
      <c r="D1148" s="38"/>
      <c r="E1148" s="38"/>
      <c r="F1148" s="38"/>
      <c r="G1148" s="38"/>
      <c r="H1148" s="38"/>
    </row>
    <row r="1149" spans="1:8" ht="15" hidden="1" customHeight="1" x14ac:dyDescent="0.25"/>
    <row r="1150" spans="1:8" hidden="1" x14ac:dyDescent="0.25"/>
    <row r="1151" spans="1:8" hidden="1" x14ac:dyDescent="0.25"/>
    <row r="1152" spans="1:8" hidden="1" x14ac:dyDescent="0.25"/>
    <row r="1153" spans="1:1" ht="15" hidden="1" customHeight="1" x14ac:dyDescent="0.25"/>
    <row r="1154" spans="1:1" hidden="1" x14ac:dyDescent="0.25"/>
    <row r="1155" spans="1:1" hidden="1" x14ac:dyDescent="0.25"/>
    <row r="1156" spans="1:1" x14ac:dyDescent="0.25">
      <c r="A1156" s="40" t="s">
        <v>223</v>
      </c>
    </row>
    <row r="1200" spans="1:1" x14ac:dyDescent="0.25">
      <c r="A1200" s="40" t="s">
        <v>68</v>
      </c>
    </row>
  </sheetData>
  <mergeCells count="2080">
    <mergeCell ref="L1026:M1026"/>
    <mergeCell ref="A1027:B1027"/>
    <mergeCell ref="C1027:F1027"/>
    <mergeCell ref="L1027:M1027"/>
    <mergeCell ref="A1028:B1028"/>
    <mergeCell ref="L1028:M1028"/>
    <mergeCell ref="A1029:B1029"/>
    <mergeCell ref="L1029:M1029"/>
    <mergeCell ref="A1030:B1030"/>
    <mergeCell ref="L1030:M1030"/>
    <mergeCell ref="A1031:B1031"/>
    <mergeCell ref="L1031:M1031"/>
    <mergeCell ref="L723:M723"/>
    <mergeCell ref="A724:B724"/>
    <mergeCell ref="C724:F724"/>
    <mergeCell ref="L724:M724"/>
    <mergeCell ref="A725:B725"/>
    <mergeCell ref="L725:M725"/>
    <mergeCell ref="A726:B726"/>
    <mergeCell ref="L726:M726"/>
    <mergeCell ref="A727:B727"/>
    <mergeCell ref="L727:M727"/>
    <mergeCell ref="A728:B728"/>
    <mergeCell ref="L728:M728"/>
    <mergeCell ref="A1011:H1011"/>
    <mergeCell ref="A1012:B1012"/>
    <mergeCell ref="G1012:H1017"/>
    <mergeCell ref="L1015:M1015"/>
    <mergeCell ref="L1016:M1016"/>
    <mergeCell ref="L1017:M1017"/>
    <mergeCell ref="A1025:H1025"/>
    <mergeCell ref="A1016:B1016"/>
    <mergeCell ref="A977:B977"/>
    <mergeCell ref="G977:H982"/>
    <mergeCell ref="C219:D219"/>
    <mergeCell ref="E219:F219"/>
    <mergeCell ref="G219:H219"/>
    <mergeCell ref="A220:B220"/>
    <mergeCell ref="C220:D220"/>
    <mergeCell ref="E220:F220"/>
    <mergeCell ref="G220:H220"/>
    <mergeCell ref="F200:H200"/>
    <mergeCell ref="A198:E198"/>
    <mergeCell ref="E228:F228"/>
    <mergeCell ref="A213:B213"/>
    <mergeCell ref="A1026:B1026"/>
    <mergeCell ref="G1026:H1031"/>
    <mergeCell ref="A983:H983"/>
    <mergeCell ref="A984:B984"/>
    <mergeCell ref="G984:H989"/>
    <mergeCell ref="A286:B286"/>
    <mergeCell ref="G223:H223"/>
    <mergeCell ref="A219:B219"/>
    <mergeCell ref="C213:D213"/>
    <mergeCell ref="E240:E241"/>
    <mergeCell ref="A781:B781"/>
    <mergeCell ref="E215:F215"/>
    <mergeCell ref="G215:H215"/>
    <mergeCell ref="A225:B225"/>
    <mergeCell ref="A757:B757"/>
    <mergeCell ref="A758:B758"/>
    <mergeCell ref="F204:H204"/>
    <mergeCell ref="E213:F213"/>
    <mergeCell ref="G213:H213"/>
    <mergeCell ref="L984:M984"/>
    <mergeCell ref="A985:B985"/>
    <mergeCell ref="L985:M985"/>
    <mergeCell ref="A986:B986"/>
    <mergeCell ref="L986:M986"/>
    <mergeCell ref="A987:B987"/>
    <mergeCell ref="L987:M987"/>
    <mergeCell ref="A988:B988"/>
    <mergeCell ref="L988:M988"/>
    <mergeCell ref="A989:B989"/>
    <mergeCell ref="L989:M989"/>
    <mergeCell ref="C113:H113"/>
    <mergeCell ref="A114:B114"/>
    <mergeCell ref="E114:F114"/>
    <mergeCell ref="G114:H114"/>
    <mergeCell ref="A115:B115"/>
    <mergeCell ref="E115:F124"/>
    <mergeCell ref="G115:H124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L299:M299"/>
    <mergeCell ref="A300:B300"/>
    <mergeCell ref="L300:M300"/>
    <mergeCell ref="L359:M359"/>
    <mergeCell ref="L285:M285"/>
    <mergeCell ref="B1049:H1049"/>
    <mergeCell ref="B1047:H1047"/>
    <mergeCell ref="A301:B301"/>
    <mergeCell ref="L301:M301"/>
    <mergeCell ref="A302:B302"/>
    <mergeCell ref="L302:M302"/>
    <mergeCell ref="A354:H354"/>
    <mergeCell ref="A355:H355"/>
    <mergeCell ref="A356:B356"/>
    <mergeCell ref="L356:M356"/>
    <mergeCell ref="A357:B357"/>
    <mergeCell ref="L357:M357"/>
    <mergeCell ref="L307:M307"/>
    <mergeCell ref="A353:H353"/>
    <mergeCell ref="A782:B782"/>
    <mergeCell ref="A756:B756"/>
    <mergeCell ref="L762:M762"/>
    <mergeCell ref="A767:B767"/>
    <mergeCell ref="A764:B764"/>
    <mergeCell ref="A765:B765"/>
    <mergeCell ref="A775:B775"/>
    <mergeCell ref="A776:B776"/>
    <mergeCell ref="A777:B777"/>
    <mergeCell ref="A713:B713"/>
    <mergeCell ref="L713:M713"/>
    <mergeCell ref="L1012:M1012"/>
    <mergeCell ref="A1013:B1013"/>
    <mergeCell ref="C1013:F1013"/>
    <mergeCell ref="L1013:M1013"/>
    <mergeCell ref="A1014:B1014"/>
    <mergeCell ref="L1014:M1014"/>
    <mergeCell ref="A1015:B1015"/>
    <mergeCell ref="L286:M286"/>
    <mergeCell ref="A287:B287"/>
    <mergeCell ref="L287:M287"/>
    <mergeCell ref="A289:H289"/>
    <mergeCell ref="A290:H290"/>
    <mergeCell ref="A291:B291"/>
    <mergeCell ref="L291:M291"/>
    <mergeCell ref="A292:B292"/>
    <mergeCell ref="L292:M292"/>
    <mergeCell ref="A293:B293"/>
    <mergeCell ref="A360:B360"/>
    <mergeCell ref="L360:M360"/>
    <mergeCell ref="A288:H288"/>
    <mergeCell ref="L294:M294"/>
    <mergeCell ref="A295:B295"/>
    <mergeCell ref="L295:M295"/>
    <mergeCell ref="A349:H349"/>
    <mergeCell ref="A350:A351"/>
    <mergeCell ref="G356:H361"/>
    <mergeCell ref="A314:B314"/>
    <mergeCell ref="L314:M314"/>
    <mergeCell ref="A315:B315"/>
    <mergeCell ref="L315:M315"/>
    <mergeCell ref="A316:B316"/>
    <mergeCell ref="L316:M316"/>
    <mergeCell ref="A317:B317"/>
    <mergeCell ref="A303:H303"/>
    <mergeCell ref="A361:B361"/>
    <mergeCell ref="L322:M322"/>
    <mergeCell ref="L323:M323"/>
    <mergeCell ref="L324:M324"/>
    <mergeCell ref="L276:M276"/>
    <mergeCell ref="A277:B277"/>
    <mergeCell ref="L277:M277"/>
    <mergeCell ref="A270:B270"/>
    <mergeCell ref="L270:M270"/>
    <mergeCell ref="A271:B271"/>
    <mergeCell ref="L271:M271"/>
    <mergeCell ref="A272:B272"/>
    <mergeCell ref="L272:M272"/>
    <mergeCell ref="G276:H287"/>
    <mergeCell ref="L293:M293"/>
    <mergeCell ref="L278:M278"/>
    <mergeCell ref="A279:B279"/>
    <mergeCell ref="L279:M279"/>
    <mergeCell ref="A280:B280"/>
    <mergeCell ref="L280:M280"/>
    <mergeCell ref="A281:B281"/>
    <mergeCell ref="L281:M281"/>
    <mergeCell ref="A282:B282"/>
    <mergeCell ref="L282:M282"/>
    <mergeCell ref="A283:B283"/>
    <mergeCell ref="L283:M283"/>
    <mergeCell ref="A284:B284"/>
    <mergeCell ref="L284:M284"/>
    <mergeCell ref="G291:H302"/>
    <mergeCell ref="A296:B296"/>
    <mergeCell ref="L296:M296"/>
    <mergeCell ref="A297:B297"/>
    <mergeCell ref="L297:M297"/>
    <mergeCell ref="A298:B298"/>
    <mergeCell ref="L298:M298"/>
    <mergeCell ref="A299:B299"/>
    <mergeCell ref="L253:M253"/>
    <mergeCell ref="A254:B254"/>
    <mergeCell ref="L254:M254"/>
    <mergeCell ref="A255:B255"/>
    <mergeCell ref="L255:M255"/>
    <mergeCell ref="L261:M261"/>
    <mergeCell ref="G261:H272"/>
    <mergeCell ref="L262:M262"/>
    <mergeCell ref="A263:B263"/>
    <mergeCell ref="L263:M263"/>
    <mergeCell ref="A264:B264"/>
    <mergeCell ref="L264:M264"/>
    <mergeCell ref="A265:B265"/>
    <mergeCell ref="L265:M265"/>
    <mergeCell ref="A266:B266"/>
    <mergeCell ref="L266:M266"/>
    <mergeCell ref="A267:B267"/>
    <mergeCell ref="L267:M267"/>
    <mergeCell ref="A268:B268"/>
    <mergeCell ref="L268:M268"/>
    <mergeCell ref="L269:M269"/>
    <mergeCell ref="A269:B269"/>
    <mergeCell ref="A1053:H1053"/>
    <mergeCell ref="A763:B763"/>
    <mergeCell ref="A223:B223"/>
    <mergeCell ref="D350:D351"/>
    <mergeCell ref="E350:E351"/>
    <mergeCell ref="G350:H351"/>
    <mergeCell ref="A105:B105"/>
    <mergeCell ref="A106:B106"/>
    <mergeCell ref="A107:B107"/>
    <mergeCell ref="A97:B97"/>
    <mergeCell ref="C97:H97"/>
    <mergeCell ref="A78:B78"/>
    <mergeCell ref="F196:H196"/>
    <mergeCell ref="G211:H211"/>
    <mergeCell ref="C224:D224"/>
    <mergeCell ref="E224:F224"/>
    <mergeCell ref="G224:H224"/>
    <mergeCell ref="A227:B227"/>
    <mergeCell ref="C227:D227"/>
    <mergeCell ref="E227:F227"/>
    <mergeCell ref="G227:H227"/>
    <mergeCell ref="A244:H244"/>
    <mergeCell ref="A259:H259"/>
    <mergeCell ref="A260:H260"/>
    <mergeCell ref="B1045:H1045"/>
    <mergeCell ref="B1046:H1046"/>
    <mergeCell ref="A88:B88"/>
    <mergeCell ref="A89:B89"/>
    <mergeCell ref="A90:B90"/>
    <mergeCell ref="A91:B91"/>
    <mergeCell ref="A92:B92"/>
    <mergeCell ref="A93:B93"/>
    <mergeCell ref="A1056:H1056"/>
    <mergeCell ref="D58:H58"/>
    <mergeCell ref="D59:H59"/>
    <mergeCell ref="C49:E49"/>
    <mergeCell ref="C52:E52"/>
    <mergeCell ref="A49:B49"/>
    <mergeCell ref="A54:H54"/>
    <mergeCell ref="A55:C55"/>
    <mergeCell ref="A56:C56"/>
    <mergeCell ref="D56:H56"/>
    <mergeCell ref="G52:H52"/>
    <mergeCell ref="A52:B53"/>
    <mergeCell ref="C53:H53"/>
    <mergeCell ref="C51:H51"/>
    <mergeCell ref="A245:H245"/>
    <mergeCell ref="A246:B246"/>
    <mergeCell ref="A256:B256"/>
    <mergeCell ref="A262:B262"/>
    <mergeCell ref="A261:B261"/>
    <mergeCell ref="A243:H243"/>
    <mergeCell ref="A258:H258"/>
    <mergeCell ref="A83:B83"/>
    <mergeCell ref="A79:B79"/>
    <mergeCell ref="A72:B72"/>
    <mergeCell ref="C83:H83"/>
    <mergeCell ref="A85:B85"/>
    <mergeCell ref="C85:H85"/>
    <mergeCell ref="A86:B86"/>
    <mergeCell ref="E86:F86"/>
    <mergeCell ref="G86:H86"/>
    <mergeCell ref="A87:B87"/>
    <mergeCell ref="E87:F96"/>
    <mergeCell ref="A1059:H1062"/>
    <mergeCell ref="A1058:B1058"/>
    <mergeCell ref="E1058:F1058"/>
    <mergeCell ref="C1058:D1058"/>
    <mergeCell ref="G1058:H1058"/>
    <mergeCell ref="A209:H209"/>
    <mergeCell ref="A207:E207"/>
    <mergeCell ref="F207:H207"/>
    <mergeCell ref="A208:E208"/>
    <mergeCell ref="F208:H208"/>
    <mergeCell ref="A224:B224"/>
    <mergeCell ref="A771:B771"/>
    <mergeCell ref="A211:B211"/>
    <mergeCell ref="A1054:H1054"/>
    <mergeCell ref="A222:H222"/>
    <mergeCell ref="A1057:H1057"/>
    <mergeCell ref="A1055:H1055"/>
    <mergeCell ref="A1051:H1051"/>
    <mergeCell ref="A1052:H1052"/>
    <mergeCell ref="E223:F223"/>
    <mergeCell ref="B1044:H1044"/>
    <mergeCell ref="B1041:H1041"/>
    <mergeCell ref="B1037:H1037"/>
    <mergeCell ref="A783:B783"/>
    <mergeCell ref="A780:H780"/>
    <mergeCell ref="A247:B247"/>
    <mergeCell ref="A248:B248"/>
    <mergeCell ref="A249:B249"/>
    <mergeCell ref="A250:B250"/>
    <mergeCell ref="A251:B251"/>
    <mergeCell ref="A252:B252"/>
    <mergeCell ref="G246:H257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6:B16"/>
    <mergeCell ref="C16:H1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E41:H41"/>
    <mergeCell ref="A41:D41"/>
    <mergeCell ref="A38:B38"/>
    <mergeCell ref="C38:H38"/>
    <mergeCell ref="C37:H37"/>
    <mergeCell ref="A47:B47"/>
    <mergeCell ref="C47:H47"/>
    <mergeCell ref="A48:B48"/>
    <mergeCell ref="C48:E48"/>
    <mergeCell ref="G48:H48"/>
    <mergeCell ref="D66:H66"/>
    <mergeCell ref="A67:C67"/>
    <mergeCell ref="D67:H67"/>
    <mergeCell ref="A73:B73"/>
    <mergeCell ref="G72:H72"/>
    <mergeCell ref="D68:H68"/>
    <mergeCell ref="A64:C64"/>
    <mergeCell ref="D64:H64"/>
    <mergeCell ref="C71:H71"/>
    <mergeCell ref="D61:H61"/>
    <mergeCell ref="A58:C61"/>
    <mergeCell ref="A69:B69"/>
    <mergeCell ref="C69:H69"/>
    <mergeCell ref="A74:B74"/>
    <mergeCell ref="A76:B76"/>
    <mergeCell ref="F195:H195"/>
    <mergeCell ref="A37:B37"/>
    <mergeCell ref="A44:D44"/>
    <mergeCell ref="A45:D45"/>
    <mergeCell ref="A46:H46"/>
    <mergeCell ref="D57:H57"/>
    <mergeCell ref="A57:C57"/>
    <mergeCell ref="G49:H49"/>
    <mergeCell ref="A50:B51"/>
    <mergeCell ref="G50:H50"/>
    <mergeCell ref="D55:H55"/>
    <mergeCell ref="C50:E50"/>
    <mergeCell ref="A66:C66"/>
    <mergeCell ref="A195:E195"/>
    <mergeCell ref="G87:H96"/>
    <mergeCell ref="A94:B94"/>
    <mergeCell ref="A95:B95"/>
    <mergeCell ref="A96:B96"/>
    <mergeCell ref="A111:B111"/>
    <mergeCell ref="C111:H111"/>
    <mergeCell ref="A113:B113"/>
    <mergeCell ref="A77:B77"/>
    <mergeCell ref="D60:H60"/>
    <mergeCell ref="C125:H125"/>
    <mergeCell ref="A127:B127"/>
    <mergeCell ref="C127:H127"/>
    <mergeCell ref="A128:B128"/>
    <mergeCell ref="E128:F128"/>
    <mergeCell ref="G128:H128"/>
    <mergeCell ref="A129:B129"/>
    <mergeCell ref="L246:M246"/>
    <mergeCell ref="L247:M247"/>
    <mergeCell ref="L248:M248"/>
    <mergeCell ref="L249:M249"/>
    <mergeCell ref="L250:M250"/>
    <mergeCell ref="L251:M251"/>
    <mergeCell ref="L252:M252"/>
    <mergeCell ref="L256:M256"/>
    <mergeCell ref="A257:B257"/>
    <mergeCell ref="L257:M257"/>
    <mergeCell ref="A253:B253"/>
    <mergeCell ref="A40:D40"/>
    <mergeCell ref="E40:H40"/>
    <mergeCell ref="F32:H32"/>
    <mergeCell ref="F33:H33"/>
    <mergeCell ref="A39:H39"/>
    <mergeCell ref="A62:C62"/>
    <mergeCell ref="A63:C63"/>
    <mergeCell ref="D62:H62"/>
    <mergeCell ref="E73:F82"/>
    <mergeCell ref="G73:H82"/>
    <mergeCell ref="A81:B81"/>
    <mergeCell ref="A82:B82"/>
    <mergeCell ref="D63:H63"/>
    <mergeCell ref="A42:D42"/>
    <mergeCell ref="E42:H42"/>
    <mergeCell ref="E43:H43"/>
    <mergeCell ref="E44:H44"/>
    <mergeCell ref="E45:H45"/>
    <mergeCell ref="A43:D43"/>
    <mergeCell ref="A80:B80"/>
    <mergeCell ref="F35:H35"/>
    <mergeCell ref="L370:M370"/>
    <mergeCell ref="L371:M371"/>
    <mergeCell ref="L363:M363"/>
    <mergeCell ref="L364:M364"/>
    <mergeCell ref="L365:M365"/>
    <mergeCell ref="L366:M366"/>
    <mergeCell ref="L389:M389"/>
    <mergeCell ref="L384:M384"/>
    <mergeCell ref="A374:B374"/>
    <mergeCell ref="L377:M377"/>
    <mergeCell ref="L378:M378"/>
    <mergeCell ref="L379:M379"/>
    <mergeCell ref="L386:M386"/>
    <mergeCell ref="L387:M387"/>
    <mergeCell ref="L388:M388"/>
    <mergeCell ref="L380:M380"/>
    <mergeCell ref="L381:M381"/>
    <mergeCell ref="A382:B382"/>
    <mergeCell ref="L382:M382"/>
    <mergeCell ref="C381:F381"/>
    <mergeCell ref="A388:B388"/>
    <mergeCell ref="A380:B380"/>
    <mergeCell ref="A378:B378"/>
    <mergeCell ref="A381:B381"/>
    <mergeCell ref="A214:B214"/>
    <mergeCell ref="C214:D214"/>
    <mergeCell ref="E214:F214"/>
    <mergeCell ref="G214:H214"/>
    <mergeCell ref="A226:B226"/>
    <mergeCell ref="C226:D226"/>
    <mergeCell ref="E226:F226"/>
    <mergeCell ref="G226:H226"/>
    <mergeCell ref="A375:B375"/>
    <mergeCell ref="A373:B373"/>
    <mergeCell ref="A368:B368"/>
    <mergeCell ref="A369:H369"/>
    <mergeCell ref="A367:B367"/>
    <mergeCell ref="A372:B372"/>
    <mergeCell ref="A376:H376"/>
    <mergeCell ref="A377:B377"/>
    <mergeCell ref="A294:B294"/>
    <mergeCell ref="A370:B370"/>
    <mergeCell ref="G322:H333"/>
    <mergeCell ref="A323:B323"/>
    <mergeCell ref="A324:B324"/>
    <mergeCell ref="A325:B325"/>
    <mergeCell ref="A221:B221"/>
    <mergeCell ref="C221:D221"/>
    <mergeCell ref="E221:F221"/>
    <mergeCell ref="G221:H221"/>
    <mergeCell ref="A331:B331"/>
    <mergeCell ref="A242:H242"/>
    <mergeCell ref="A348:B348"/>
    <mergeCell ref="C211:D211"/>
    <mergeCell ref="E211:F211"/>
    <mergeCell ref="A1018:H1018"/>
    <mergeCell ref="B1034:H1034"/>
    <mergeCell ref="B1036:H1036"/>
    <mergeCell ref="B1038:H1038"/>
    <mergeCell ref="B1039:H1039"/>
    <mergeCell ref="A1033:H1033"/>
    <mergeCell ref="A784:B784"/>
    <mergeCell ref="A386:B386"/>
    <mergeCell ref="A1020:B1020"/>
    <mergeCell ref="A196:E196"/>
    <mergeCell ref="G240:H241"/>
    <mergeCell ref="E236:F236"/>
    <mergeCell ref="G236:H236"/>
    <mergeCell ref="A237:B237"/>
    <mergeCell ref="C237:D237"/>
    <mergeCell ref="E237:F237"/>
    <mergeCell ref="G237:H237"/>
    <mergeCell ref="A216:H216"/>
    <mergeCell ref="A217:B217"/>
    <mergeCell ref="C217:D217"/>
    <mergeCell ref="E217:F217"/>
    <mergeCell ref="G217:H217"/>
    <mergeCell ref="A218:B218"/>
    <mergeCell ref="C218:D218"/>
    <mergeCell ref="E218:F218"/>
    <mergeCell ref="G218:H218"/>
    <mergeCell ref="A238:H238"/>
    <mergeCell ref="A239:H239"/>
    <mergeCell ref="A228:B228"/>
    <mergeCell ref="C223:D223"/>
    <mergeCell ref="C710:F710"/>
    <mergeCell ref="A717:B717"/>
    <mergeCell ref="C717:F717"/>
    <mergeCell ref="A201:E201"/>
    <mergeCell ref="F201:H201"/>
    <mergeCell ref="A202:E202"/>
    <mergeCell ref="A204:E204"/>
    <mergeCell ref="F198:H198"/>
    <mergeCell ref="A203:E203"/>
    <mergeCell ref="A200:E200"/>
    <mergeCell ref="F199:H199"/>
    <mergeCell ref="F205:H205"/>
    <mergeCell ref="A212:B212"/>
    <mergeCell ref="F203:H203"/>
    <mergeCell ref="F206:H206"/>
    <mergeCell ref="A229:H229"/>
    <mergeCell ref="A230:B230"/>
    <mergeCell ref="A389:B389"/>
    <mergeCell ref="A383:H383"/>
    <mergeCell ref="A384:B384"/>
    <mergeCell ref="A385:B385"/>
    <mergeCell ref="A205:E205"/>
    <mergeCell ref="F202:H202"/>
    <mergeCell ref="C240:C241"/>
    <mergeCell ref="B350:B351"/>
    <mergeCell ref="E210:F210"/>
    <mergeCell ref="A210:B210"/>
    <mergeCell ref="C210:D210"/>
    <mergeCell ref="G210:H210"/>
    <mergeCell ref="A395:B395"/>
    <mergeCell ref="C395:F395"/>
    <mergeCell ref="A393:B393"/>
    <mergeCell ref="L395:M395"/>
    <mergeCell ref="L398:M398"/>
    <mergeCell ref="L331:M331"/>
    <mergeCell ref="A332:B332"/>
    <mergeCell ref="L332:M332"/>
    <mergeCell ref="A333:B333"/>
    <mergeCell ref="L333:M333"/>
    <mergeCell ref="L338:M338"/>
    <mergeCell ref="A339:B339"/>
    <mergeCell ref="L341:M341"/>
    <mergeCell ref="A342:B342"/>
    <mergeCell ref="L342:M342"/>
    <mergeCell ref="A343:B343"/>
    <mergeCell ref="L343:M343"/>
    <mergeCell ref="A344:B344"/>
    <mergeCell ref="L344:M344"/>
    <mergeCell ref="A345:B345"/>
    <mergeCell ref="C350:C351"/>
    <mergeCell ref="A379:B379"/>
    <mergeCell ref="A387:B387"/>
    <mergeCell ref="L361:M361"/>
    <mergeCell ref="A358:B358"/>
    <mergeCell ref="L358:M358"/>
    <mergeCell ref="A359:B359"/>
    <mergeCell ref="L374:M374"/>
    <mergeCell ref="L375:M375"/>
    <mergeCell ref="L372:M372"/>
    <mergeCell ref="L373:M373"/>
    <mergeCell ref="L367:M367"/>
    <mergeCell ref="L368:M368"/>
    <mergeCell ref="A392:B392"/>
    <mergeCell ref="L392:M392"/>
    <mergeCell ref="L393:M393"/>
    <mergeCell ref="A125:B125"/>
    <mergeCell ref="A371:B371"/>
    <mergeCell ref="A364:B364"/>
    <mergeCell ref="A365:B365"/>
    <mergeCell ref="A366:B366"/>
    <mergeCell ref="A274:H274"/>
    <mergeCell ref="A273:H273"/>
    <mergeCell ref="A341:B341"/>
    <mergeCell ref="A275:H275"/>
    <mergeCell ref="A276:B276"/>
    <mergeCell ref="L385:M385"/>
    <mergeCell ref="C388:F388"/>
    <mergeCell ref="A394:B394"/>
    <mergeCell ref="L394:M394"/>
    <mergeCell ref="B240:B241"/>
    <mergeCell ref="A240:A241"/>
    <mergeCell ref="C228:D228"/>
    <mergeCell ref="C230:D230"/>
    <mergeCell ref="E230:F230"/>
    <mergeCell ref="G230:H230"/>
    <mergeCell ref="A231:B231"/>
    <mergeCell ref="C231:D231"/>
    <mergeCell ref="E231:F231"/>
    <mergeCell ref="G231:H231"/>
    <mergeCell ref="A236:B236"/>
    <mergeCell ref="C236:D236"/>
    <mergeCell ref="A278:B278"/>
    <mergeCell ref="A285:B285"/>
    <mergeCell ref="L348:M348"/>
    <mergeCell ref="A321:H321"/>
    <mergeCell ref="A322:B322"/>
    <mergeCell ref="A413:B413"/>
    <mergeCell ref="L413:M413"/>
    <mergeCell ref="A414:B414"/>
    <mergeCell ref="L414:M414"/>
    <mergeCell ref="C413:F413"/>
    <mergeCell ref="A399:B399"/>
    <mergeCell ref="L399:M399"/>
    <mergeCell ref="A400:B400"/>
    <mergeCell ref="L400:M400"/>
    <mergeCell ref="G101:H110"/>
    <mergeCell ref="A102:B102"/>
    <mergeCell ref="A103:B103"/>
    <mergeCell ref="A104:B104"/>
    <mergeCell ref="F197:H197"/>
    <mergeCell ref="A197:E197"/>
    <mergeCell ref="D240:D241"/>
    <mergeCell ref="A199:E199"/>
    <mergeCell ref="A362:H362"/>
    <mergeCell ref="A363:B363"/>
    <mergeCell ref="A206:E206"/>
    <mergeCell ref="G228:H228"/>
    <mergeCell ref="C212:D212"/>
    <mergeCell ref="E212:F212"/>
    <mergeCell ref="G212:H212"/>
    <mergeCell ref="A215:B215"/>
    <mergeCell ref="C215:D215"/>
    <mergeCell ref="C225:D225"/>
    <mergeCell ref="E225:F225"/>
    <mergeCell ref="G225:H225"/>
    <mergeCell ref="A390:H390"/>
    <mergeCell ref="A391:B391"/>
    <mergeCell ref="L391:M391"/>
    <mergeCell ref="A424:B424"/>
    <mergeCell ref="L424:M424"/>
    <mergeCell ref="A420:B420"/>
    <mergeCell ref="C420:F420"/>
    <mergeCell ref="L420:M420"/>
    <mergeCell ref="A421:B421"/>
    <mergeCell ref="L421:M421"/>
    <mergeCell ref="A396:B396"/>
    <mergeCell ref="L396:M396"/>
    <mergeCell ref="A401:B401"/>
    <mergeCell ref="L401:M401"/>
    <mergeCell ref="A402:B402"/>
    <mergeCell ref="A418:H418"/>
    <mergeCell ref="A419:B419"/>
    <mergeCell ref="L419:M419"/>
    <mergeCell ref="L408:M408"/>
    <mergeCell ref="A411:H411"/>
    <mergeCell ref="A408:B408"/>
    <mergeCell ref="A404:H404"/>
    <mergeCell ref="A405:B405"/>
    <mergeCell ref="L405:M405"/>
    <mergeCell ref="A406:B406"/>
    <mergeCell ref="L406:M406"/>
    <mergeCell ref="A407:B407"/>
    <mergeCell ref="L407:M407"/>
    <mergeCell ref="L402:M402"/>
    <mergeCell ref="A403:B403"/>
    <mergeCell ref="L403:M403"/>
    <mergeCell ref="A397:H397"/>
    <mergeCell ref="A398:B398"/>
    <mergeCell ref="A412:B412"/>
    <mergeCell ref="L412:M412"/>
    <mergeCell ref="A472:B472"/>
    <mergeCell ref="L472:M472"/>
    <mergeCell ref="A409:B409"/>
    <mergeCell ref="L409:M409"/>
    <mergeCell ref="A410:B410"/>
    <mergeCell ref="L410:M410"/>
    <mergeCell ref="A425:H425"/>
    <mergeCell ref="A426:B426"/>
    <mergeCell ref="L426:M426"/>
    <mergeCell ref="A427:B427"/>
    <mergeCell ref="C427:F427"/>
    <mergeCell ref="L427:M427"/>
    <mergeCell ref="A428:B428"/>
    <mergeCell ref="L428:M428"/>
    <mergeCell ref="A422:B422"/>
    <mergeCell ref="L422:M422"/>
    <mergeCell ref="A423:B423"/>
    <mergeCell ref="L423:M423"/>
    <mergeCell ref="A445:B445"/>
    <mergeCell ref="L445:M445"/>
    <mergeCell ref="A446:B446"/>
    <mergeCell ref="L446:M446"/>
    <mergeCell ref="A429:B429"/>
    <mergeCell ref="L429:M429"/>
    <mergeCell ref="A430:B430"/>
    <mergeCell ref="L430:M430"/>
    <mergeCell ref="A415:B415"/>
    <mergeCell ref="L415:M415"/>
    <mergeCell ref="A416:B416"/>
    <mergeCell ref="L416:M416"/>
    <mergeCell ref="A417:B417"/>
    <mergeCell ref="L417:M417"/>
    <mergeCell ref="A431:B431"/>
    <mergeCell ref="L431:M431"/>
    <mergeCell ref="L454:M454"/>
    <mergeCell ref="L461:M461"/>
    <mergeCell ref="C460:F460"/>
    <mergeCell ref="A469:H469"/>
    <mergeCell ref="A470:B470"/>
    <mergeCell ref="L470:M470"/>
    <mergeCell ref="A471:B471"/>
    <mergeCell ref="L471:M471"/>
    <mergeCell ref="A455:H455"/>
    <mergeCell ref="A456:B456"/>
    <mergeCell ref="L456:M456"/>
    <mergeCell ref="A457:B457"/>
    <mergeCell ref="L457:M457"/>
    <mergeCell ref="A458:B458"/>
    <mergeCell ref="L458:M458"/>
    <mergeCell ref="A432:H432"/>
    <mergeCell ref="G426:H431"/>
    <mergeCell ref="L479:M479"/>
    <mergeCell ref="A480:B480"/>
    <mergeCell ref="L453:M453"/>
    <mergeCell ref="A454:B454"/>
    <mergeCell ref="A433:H433"/>
    <mergeCell ref="A434:H434"/>
    <mergeCell ref="A435:B435"/>
    <mergeCell ref="L435:M435"/>
    <mergeCell ref="A436:B436"/>
    <mergeCell ref="L436:M436"/>
    <mergeCell ref="A437:B437"/>
    <mergeCell ref="L437:M437"/>
    <mergeCell ref="A468:B468"/>
    <mergeCell ref="G456:H461"/>
    <mergeCell ref="G449:H454"/>
    <mergeCell ref="G442:H447"/>
    <mergeCell ref="G477:H482"/>
    <mergeCell ref="G470:H475"/>
    <mergeCell ref="G463:H468"/>
    <mergeCell ref="A438:B438"/>
    <mergeCell ref="L475:M475"/>
    <mergeCell ref="C478:F478"/>
    <mergeCell ref="A478:B478"/>
    <mergeCell ref="L478:M478"/>
    <mergeCell ref="A479:B479"/>
    <mergeCell ref="A451:B451"/>
    <mergeCell ref="L447:M447"/>
    <mergeCell ref="L442:M442"/>
    <mergeCell ref="A443:B443"/>
    <mergeCell ref="L443:M443"/>
    <mergeCell ref="A444:B444"/>
    <mergeCell ref="L444:M444"/>
    <mergeCell ref="A491:B491"/>
    <mergeCell ref="L491:M491"/>
    <mergeCell ref="L438:M438"/>
    <mergeCell ref="A439:B439"/>
    <mergeCell ref="L439:M439"/>
    <mergeCell ref="A440:B440"/>
    <mergeCell ref="L440:M440"/>
    <mergeCell ref="L468:M468"/>
    <mergeCell ref="A476:H476"/>
    <mergeCell ref="A477:B477"/>
    <mergeCell ref="L477:M477"/>
    <mergeCell ref="L473:M473"/>
    <mergeCell ref="A474:B474"/>
    <mergeCell ref="C474:F474"/>
    <mergeCell ref="L451:M451"/>
    <mergeCell ref="A452:B452"/>
    <mergeCell ref="L452:M452"/>
    <mergeCell ref="A453:B453"/>
    <mergeCell ref="L481:M481"/>
    <mergeCell ref="A441:H441"/>
    <mergeCell ref="A442:B442"/>
    <mergeCell ref="A447:B447"/>
    <mergeCell ref="A448:H448"/>
    <mergeCell ref="A449:B449"/>
    <mergeCell ref="L449:M449"/>
    <mergeCell ref="A450:B450"/>
    <mergeCell ref="L450:M450"/>
    <mergeCell ref="A482:B482"/>
    <mergeCell ref="L482:M482"/>
    <mergeCell ref="A483:H483"/>
    <mergeCell ref="A484:B484"/>
    <mergeCell ref="L484:M484"/>
    <mergeCell ref="L498:M498"/>
    <mergeCell ref="G498:H503"/>
    <mergeCell ref="G491:H496"/>
    <mergeCell ref="G484:H489"/>
    <mergeCell ref="A503:B503"/>
    <mergeCell ref="L503:M503"/>
    <mergeCell ref="L502:M502"/>
    <mergeCell ref="L488:M488"/>
    <mergeCell ref="A459:B459"/>
    <mergeCell ref="L459:M459"/>
    <mergeCell ref="A460:B460"/>
    <mergeCell ref="L460:M460"/>
    <mergeCell ref="L463:M463"/>
    <mergeCell ref="A464:B464"/>
    <mergeCell ref="L464:M464"/>
    <mergeCell ref="A465:B465"/>
    <mergeCell ref="A473:B473"/>
    <mergeCell ref="L496:M496"/>
    <mergeCell ref="L465:M465"/>
    <mergeCell ref="A466:B466"/>
    <mergeCell ref="L466:M466"/>
    <mergeCell ref="A467:B467"/>
    <mergeCell ref="C467:F467"/>
    <mergeCell ref="C485:F485"/>
    <mergeCell ref="A481:B481"/>
    <mergeCell ref="A493:B493"/>
    <mergeCell ref="L493:M493"/>
    <mergeCell ref="L474:M474"/>
    <mergeCell ref="A485:B485"/>
    <mergeCell ref="L485:M485"/>
    <mergeCell ref="A486:B486"/>
    <mergeCell ref="A490:H490"/>
    <mergeCell ref="L522:M522"/>
    <mergeCell ref="A516:B516"/>
    <mergeCell ref="L516:M516"/>
    <mergeCell ref="A517:B517"/>
    <mergeCell ref="L517:M517"/>
    <mergeCell ref="A518:B518"/>
    <mergeCell ref="L518:M518"/>
    <mergeCell ref="A510:B510"/>
    <mergeCell ref="L510:M510"/>
    <mergeCell ref="A492:B492"/>
    <mergeCell ref="L492:M492"/>
    <mergeCell ref="L480:M480"/>
    <mergeCell ref="L467:M467"/>
    <mergeCell ref="L508:M508"/>
    <mergeCell ref="A509:B509"/>
    <mergeCell ref="L509:M509"/>
    <mergeCell ref="A500:B500"/>
    <mergeCell ref="A502:B502"/>
    <mergeCell ref="L500:M500"/>
    <mergeCell ref="A501:B501"/>
    <mergeCell ref="L501:M501"/>
    <mergeCell ref="A494:B494"/>
    <mergeCell ref="L494:M494"/>
    <mergeCell ref="A495:B495"/>
    <mergeCell ref="L495:M495"/>
    <mergeCell ref="A496:B496"/>
    <mergeCell ref="L486:M486"/>
    <mergeCell ref="A487:B487"/>
    <mergeCell ref="L487:M487"/>
    <mergeCell ref="A488:B488"/>
    <mergeCell ref="C492:F492"/>
    <mergeCell ref="A497:H497"/>
    <mergeCell ref="L524:M524"/>
    <mergeCell ref="A525:B525"/>
    <mergeCell ref="L525:M525"/>
    <mergeCell ref="A533:B533"/>
    <mergeCell ref="L533:M533"/>
    <mergeCell ref="A534:H534"/>
    <mergeCell ref="A535:B535"/>
    <mergeCell ref="L535:M535"/>
    <mergeCell ref="G521:H526"/>
    <mergeCell ref="A489:B489"/>
    <mergeCell ref="L489:M489"/>
    <mergeCell ref="A499:B499"/>
    <mergeCell ref="L499:M499"/>
    <mergeCell ref="L512:M512"/>
    <mergeCell ref="A513:H513"/>
    <mergeCell ref="A514:B514"/>
    <mergeCell ref="L514:M514"/>
    <mergeCell ref="A515:B515"/>
    <mergeCell ref="L515:M515"/>
    <mergeCell ref="A526:B526"/>
    <mergeCell ref="L526:M526"/>
    <mergeCell ref="A527:H527"/>
    <mergeCell ref="A528:B528"/>
    <mergeCell ref="L528:M528"/>
    <mergeCell ref="G514:H519"/>
    <mergeCell ref="G507:H512"/>
    <mergeCell ref="A519:B519"/>
    <mergeCell ref="L519:M519"/>
    <mergeCell ref="A520:H520"/>
    <mergeCell ref="A521:B521"/>
    <mergeCell ref="L521:M521"/>
    <mergeCell ref="A522:B522"/>
    <mergeCell ref="L542:M542"/>
    <mergeCell ref="A543:B543"/>
    <mergeCell ref="L543:M543"/>
    <mergeCell ref="A537:B537"/>
    <mergeCell ref="L537:M537"/>
    <mergeCell ref="A538:B538"/>
    <mergeCell ref="L538:M538"/>
    <mergeCell ref="A539:B539"/>
    <mergeCell ref="C539:F539"/>
    <mergeCell ref="L539:M539"/>
    <mergeCell ref="A547:B547"/>
    <mergeCell ref="L547:M547"/>
    <mergeCell ref="A511:B511"/>
    <mergeCell ref="L511:M511"/>
    <mergeCell ref="A507:B507"/>
    <mergeCell ref="L507:M507"/>
    <mergeCell ref="L536:M536"/>
    <mergeCell ref="A530:B530"/>
    <mergeCell ref="L530:M530"/>
    <mergeCell ref="A531:B531"/>
    <mergeCell ref="L531:M531"/>
    <mergeCell ref="A532:B532"/>
    <mergeCell ref="C532:F532"/>
    <mergeCell ref="L532:M532"/>
    <mergeCell ref="A540:B540"/>
    <mergeCell ref="L540:M540"/>
    <mergeCell ref="A541:H541"/>
    <mergeCell ref="G528:H533"/>
    <mergeCell ref="A529:B529"/>
    <mergeCell ref="L529:M529"/>
    <mergeCell ref="A523:B523"/>
    <mergeCell ref="L523:M523"/>
    <mergeCell ref="L554:M554"/>
    <mergeCell ref="A555:H555"/>
    <mergeCell ref="A556:B556"/>
    <mergeCell ref="L556:M556"/>
    <mergeCell ref="A557:B557"/>
    <mergeCell ref="L557:M557"/>
    <mergeCell ref="A551:B551"/>
    <mergeCell ref="L551:M551"/>
    <mergeCell ref="A552:B552"/>
    <mergeCell ref="L552:M552"/>
    <mergeCell ref="A553:B553"/>
    <mergeCell ref="L553:M553"/>
    <mergeCell ref="L549:M549"/>
    <mergeCell ref="A550:B550"/>
    <mergeCell ref="L550:M550"/>
    <mergeCell ref="A544:B544"/>
    <mergeCell ref="L544:M544"/>
    <mergeCell ref="A545:B545"/>
    <mergeCell ref="L545:M545"/>
    <mergeCell ref="A546:B546"/>
    <mergeCell ref="C546:F546"/>
    <mergeCell ref="L546:M546"/>
    <mergeCell ref="A554:B554"/>
    <mergeCell ref="L565:M565"/>
    <mergeCell ref="A566:B566"/>
    <mergeCell ref="L566:M566"/>
    <mergeCell ref="A567:B567"/>
    <mergeCell ref="L567:M567"/>
    <mergeCell ref="A561:B561"/>
    <mergeCell ref="L561:M561"/>
    <mergeCell ref="A562:H562"/>
    <mergeCell ref="A563:B563"/>
    <mergeCell ref="L563:M563"/>
    <mergeCell ref="A564:B564"/>
    <mergeCell ref="C564:F564"/>
    <mergeCell ref="L564:M564"/>
    <mergeCell ref="A558:B558"/>
    <mergeCell ref="L558:M558"/>
    <mergeCell ref="A559:B559"/>
    <mergeCell ref="L559:M559"/>
    <mergeCell ref="A560:B560"/>
    <mergeCell ref="L560:M560"/>
    <mergeCell ref="A565:B565"/>
    <mergeCell ref="L575:M575"/>
    <mergeCell ref="A576:H576"/>
    <mergeCell ref="A577:B577"/>
    <mergeCell ref="L577:M577"/>
    <mergeCell ref="A578:B578"/>
    <mergeCell ref="C578:F578"/>
    <mergeCell ref="L578:M578"/>
    <mergeCell ref="A572:B572"/>
    <mergeCell ref="L572:M572"/>
    <mergeCell ref="A573:B573"/>
    <mergeCell ref="L573:M573"/>
    <mergeCell ref="A574:B574"/>
    <mergeCell ref="L574:M574"/>
    <mergeCell ref="A568:B568"/>
    <mergeCell ref="L568:M568"/>
    <mergeCell ref="A569:H569"/>
    <mergeCell ref="A570:B570"/>
    <mergeCell ref="L570:M570"/>
    <mergeCell ref="A571:B571"/>
    <mergeCell ref="C571:F571"/>
    <mergeCell ref="L571:M571"/>
    <mergeCell ref="A575:B575"/>
    <mergeCell ref="L588:M588"/>
    <mergeCell ref="A589:B589"/>
    <mergeCell ref="L589:M589"/>
    <mergeCell ref="A590:B590"/>
    <mergeCell ref="L590:M590"/>
    <mergeCell ref="A582:B582"/>
    <mergeCell ref="L582:M582"/>
    <mergeCell ref="A584:H584"/>
    <mergeCell ref="A585:H585"/>
    <mergeCell ref="A586:B586"/>
    <mergeCell ref="L586:M586"/>
    <mergeCell ref="A587:B587"/>
    <mergeCell ref="L587:M587"/>
    <mergeCell ref="A579:B579"/>
    <mergeCell ref="L579:M579"/>
    <mergeCell ref="A580:B580"/>
    <mergeCell ref="L580:M580"/>
    <mergeCell ref="A581:B581"/>
    <mergeCell ref="L581:M581"/>
    <mergeCell ref="A588:B588"/>
    <mergeCell ref="A583:H583"/>
    <mergeCell ref="L598:M598"/>
    <mergeCell ref="A599:H599"/>
    <mergeCell ref="A600:B600"/>
    <mergeCell ref="L600:M600"/>
    <mergeCell ref="A601:B601"/>
    <mergeCell ref="L601:M601"/>
    <mergeCell ref="A595:B595"/>
    <mergeCell ref="L595:M595"/>
    <mergeCell ref="A596:B596"/>
    <mergeCell ref="L596:M596"/>
    <mergeCell ref="A597:B597"/>
    <mergeCell ref="L597:M597"/>
    <mergeCell ref="A591:B591"/>
    <mergeCell ref="L591:M591"/>
    <mergeCell ref="A592:H592"/>
    <mergeCell ref="A593:B593"/>
    <mergeCell ref="L593:M593"/>
    <mergeCell ref="A594:B594"/>
    <mergeCell ref="L594:M594"/>
    <mergeCell ref="A598:B598"/>
    <mergeCell ref="L609:M609"/>
    <mergeCell ref="A610:B610"/>
    <mergeCell ref="L610:M610"/>
    <mergeCell ref="A611:B611"/>
    <mergeCell ref="C611:F611"/>
    <mergeCell ref="L611:M611"/>
    <mergeCell ref="A605:B605"/>
    <mergeCell ref="L605:M605"/>
    <mergeCell ref="A606:H606"/>
    <mergeCell ref="A607:B607"/>
    <mergeCell ref="L607:M607"/>
    <mergeCell ref="A608:B608"/>
    <mergeCell ref="L608:M608"/>
    <mergeCell ref="A602:B602"/>
    <mergeCell ref="L602:M602"/>
    <mergeCell ref="A603:B603"/>
    <mergeCell ref="L603:M603"/>
    <mergeCell ref="A604:B604"/>
    <mergeCell ref="L604:M604"/>
    <mergeCell ref="A609:B609"/>
    <mergeCell ref="L619:M619"/>
    <mergeCell ref="A620:H620"/>
    <mergeCell ref="A621:B621"/>
    <mergeCell ref="L621:M621"/>
    <mergeCell ref="A622:B622"/>
    <mergeCell ref="L622:M622"/>
    <mergeCell ref="A616:B616"/>
    <mergeCell ref="L616:M616"/>
    <mergeCell ref="A617:B617"/>
    <mergeCell ref="L617:M617"/>
    <mergeCell ref="A618:B618"/>
    <mergeCell ref="C618:F618"/>
    <mergeCell ref="L618:M618"/>
    <mergeCell ref="A612:B612"/>
    <mergeCell ref="L612:M612"/>
    <mergeCell ref="A613:H613"/>
    <mergeCell ref="A614:B614"/>
    <mergeCell ref="L614:M614"/>
    <mergeCell ref="A615:B615"/>
    <mergeCell ref="L615:M615"/>
    <mergeCell ref="A619:B619"/>
    <mergeCell ref="L631:M631"/>
    <mergeCell ref="A632:B632"/>
    <mergeCell ref="L632:M632"/>
    <mergeCell ref="A626:B626"/>
    <mergeCell ref="L626:M626"/>
    <mergeCell ref="A627:H627"/>
    <mergeCell ref="A628:B628"/>
    <mergeCell ref="L628:M628"/>
    <mergeCell ref="A629:B629"/>
    <mergeCell ref="C629:F629"/>
    <mergeCell ref="L629:M629"/>
    <mergeCell ref="A623:B623"/>
    <mergeCell ref="L623:M623"/>
    <mergeCell ref="A624:B624"/>
    <mergeCell ref="L624:M624"/>
    <mergeCell ref="A625:B625"/>
    <mergeCell ref="C625:F625"/>
    <mergeCell ref="L625:M625"/>
    <mergeCell ref="A630:B630"/>
    <mergeCell ref="A651:B651"/>
    <mergeCell ref="L651:M651"/>
    <mergeCell ref="A652:B652"/>
    <mergeCell ref="L652:M652"/>
    <mergeCell ref="A653:B653"/>
    <mergeCell ref="L653:M653"/>
    <mergeCell ref="A647:B647"/>
    <mergeCell ref="L647:M647"/>
    <mergeCell ref="A648:H648"/>
    <mergeCell ref="A649:B649"/>
    <mergeCell ref="L649:M649"/>
    <mergeCell ref="A650:B650"/>
    <mergeCell ref="L650:M650"/>
    <mergeCell ref="A644:B644"/>
    <mergeCell ref="L644:M644"/>
    <mergeCell ref="A645:B645"/>
    <mergeCell ref="L645:M645"/>
    <mergeCell ref="A646:B646"/>
    <mergeCell ref="L646:M646"/>
    <mergeCell ref="A167:B167"/>
    <mergeCell ref="C167:H167"/>
    <mergeCell ref="A169:B169"/>
    <mergeCell ref="C169:H169"/>
    <mergeCell ref="A170:B170"/>
    <mergeCell ref="E170:F170"/>
    <mergeCell ref="G170:H170"/>
    <mergeCell ref="A171:B171"/>
    <mergeCell ref="E171:F180"/>
    <mergeCell ref="G171:H180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542:B542"/>
    <mergeCell ref="A524:B524"/>
    <mergeCell ref="A498:B498"/>
    <mergeCell ref="A475:B475"/>
    <mergeCell ref="C692:F692"/>
    <mergeCell ref="A694:H694"/>
    <mergeCell ref="A695:B695"/>
    <mergeCell ref="G695:H700"/>
    <mergeCell ref="L695:M695"/>
    <mergeCell ref="E72:F72"/>
    <mergeCell ref="A65:C65"/>
    <mergeCell ref="D65:H65"/>
    <mergeCell ref="A68:C68"/>
    <mergeCell ref="G607:H612"/>
    <mergeCell ref="G600:H605"/>
    <mergeCell ref="G593:H598"/>
    <mergeCell ref="G586:H591"/>
    <mergeCell ref="G577:H582"/>
    <mergeCell ref="G570:H575"/>
    <mergeCell ref="G563:H568"/>
    <mergeCell ref="G556:H561"/>
    <mergeCell ref="G549:H554"/>
    <mergeCell ref="G542:H547"/>
    <mergeCell ref="G535:H540"/>
    <mergeCell ref="G370:H375"/>
    <mergeCell ref="G377:H382"/>
    <mergeCell ref="G384:H389"/>
    <mergeCell ref="G391:H396"/>
    <mergeCell ref="G398:H403"/>
    <mergeCell ref="G405:H410"/>
    <mergeCell ref="G412:H417"/>
    <mergeCell ref="G419:H424"/>
    <mergeCell ref="L638:M638"/>
    <mergeCell ref="A639:B639"/>
    <mergeCell ref="L639:M639"/>
    <mergeCell ref="L679:M679"/>
    <mergeCell ref="G667:H672"/>
    <mergeCell ref="L667:M667"/>
    <mergeCell ref="A668:B668"/>
    <mergeCell ref="L668:M668"/>
    <mergeCell ref="A685:B685"/>
    <mergeCell ref="L685:M685"/>
    <mergeCell ref="A669:B669"/>
    <mergeCell ref="L669:M669"/>
    <mergeCell ref="A670:B670"/>
    <mergeCell ref="L670:M670"/>
    <mergeCell ref="A671:B671"/>
    <mergeCell ref="L671:M671"/>
    <mergeCell ref="A672:B672"/>
    <mergeCell ref="L672:M672"/>
    <mergeCell ref="L681:M681"/>
    <mergeCell ref="A682:B682"/>
    <mergeCell ref="L643:M643"/>
    <mergeCell ref="A684:B684"/>
    <mergeCell ref="L684:M684"/>
    <mergeCell ref="A659:H659"/>
    <mergeCell ref="A660:B660"/>
    <mergeCell ref="G660:H665"/>
    <mergeCell ref="L660:M660"/>
    <mergeCell ref="A661:B661"/>
    <mergeCell ref="L661:M661"/>
    <mergeCell ref="A662:B662"/>
    <mergeCell ref="L662:M662"/>
    <mergeCell ref="A663:B663"/>
    <mergeCell ref="A637:B637"/>
    <mergeCell ref="L637:M637"/>
    <mergeCell ref="A638:B638"/>
    <mergeCell ref="A506:H506"/>
    <mergeCell ref="A508:B508"/>
    <mergeCell ref="A461:B461"/>
    <mergeCell ref="A462:H462"/>
    <mergeCell ref="A463:B463"/>
    <mergeCell ref="L329:M329"/>
    <mergeCell ref="A330:B330"/>
    <mergeCell ref="L330:M330"/>
    <mergeCell ref="A641:H641"/>
    <mergeCell ref="A642:B642"/>
    <mergeCell ref="L642:M642"/>
    <mergeCell ref="A643:B643"/>
    <mergeCell ref="G363:H368"/>
    <mergeCell ref="C643:F643"/>
    <mergeCell ref="L630:M630"/>
    <mergeCell ref="A631:B631"/>
    <mergeCell ref="L345:M345"/>
    <mergeCell ref="A346:B346"/>
    <mergeCell ref="L346:M346"/>
    <mergeCell ref="A633:B633"/>
    <mergeCell ref="L633:M633"/>
    <mergeCell ref="A634:H634"/>
    <mergeCell ref="A635:B635"/>
    <mergeCell ref="L635:M635"/>
    <mergeCell ref="A636:B636"/>
    <mergeCell ref="C636:F636"/>
    <mergeCell ref="L636:M636"/>
    <mergeCell ref="A640:B640"/>
    <mergeCell ref="L640:M640"/>
    <mergeCell ref="L663:M663"/>
    <mergeCell ref="A664:B664"/>
    <mergeCell ref="L664:M664"/>
    <mergeCell ref="A654:B654"/>
    <mergeCell ref="L654:M654"/>
    <mergeCell ref="A665:B665"/>
    <mergeCell ref="L665:M665"/>
    <mergeCell ref="A673:H673"/>
    <mergeCell ref="A674:B674"/>
    <mergeCell ref="L674:M674"/>
    <mergeCell ref="A675:B675"/>
    <mergeCell ref="L675:M675"/>
    <mergeCell ref="A676:B676"/>
    <mergeCell ref="L676:M676"/>
    <mergeCell ref="A677:B677"/>
    <mergeCell ref="L677:M677"/>
    <mergeCell ref="A678:B678"/>
    <mergeCell ref="L678:M678"/>
    <mergeCell ref="A656:H656"/>
    <mergeCell ref="A657:H657"/>
    <mergeCell ref="A679:B679"/>
    <mergeCell ref="A686:B686"/>
    <mergeCell ref="L686:M686"/>
    <mergeCell ref="L309:M309"/>
    <mergeCell ref="A310:B310"/>
    <mergeCell ref="L310:M310"/>
    <mergeCell ref="A311:B311"/>
    <mergeCell ref="L311:M311"/>
    <mergeCell ref="A312:B312"/>
    <mergeCell ref="L312:M312"/>
    <mergeCell ref="A313:B313"/>
    <mergeCell ref="L313:M313"/>
    <mergeCell ref="L317:M317"/>
    <mergeCell ref="A318:B318"/>
    <mergeCell ref="L318:M318"/>
    <mergeCell ref="A319:H319"/>
    <mergeCell ref="A320:H320"/>
    <mergeCell ref="G649:H654"/>
    <mergeCell ref="G642:H647"/>
    <mergeCell ref="G635:H640"/>
    <mergeCell ref="G628:H633"/>
    <mergeCell ref="G621:H626"/>
    <mergeCell ref="G614:H619"/>
    <mergeCell ref="L347:M347"/>
    <mergeCell ref="L326:M326"/>
    <mergeCell ref="A327:B327"/>
    <mergeCell ref="L327:M327"/>
    <mergeCell ref="A328:B328"/>
    <mergeCell ref="L328:M328"/>
    <mergeCell ref="A329:B329"/>
    <mergeCell ref="L682:M682"/>
    <mergeCell ref="A683:B683"/>
    <mergeCell ref="L683:M683"/>
    <mergeCell ref="L704:M704"/>
    <mergeCell ref="A705:B705"/>
    <mergeCell ref="L705:M705"/>
    <mergeCell ref="A706:B706"/>
    <mergeCell ref="C706:F706"/>
    <mergeCell ref="L706:M706"/>
    <mergeCell ref="A707:B707"/>
    <mergeCell ref="L707:M707"/>
    <mergeCell ref="A687:H687"/>
    <mergeCell ref="A688:B688"/>
    <mergeCell ref="G688:H693"/>
    <mergeCell ref="L688:M688"/>
    <mergeCell ref="A689:B689"/>
    <mergeCell ref="L689:M689"/>
    <mergeCell ref="A696:B696"/>
    <mergeCell ref="L696:M696"/>
    <mergeCell ref="A697:B697"/>
    <mergeCell ref="L697:M697"/>
    <mergeCell ref="A698:B698"/>
    <mergeCell ref="L698:M698"/>
    <mergeCell ref="A699:B699"/>
    <mergeCell ref="C699:F699"/>
    <mergeCell ref="L699:M699"/>
    <mergeCell ref="A700:B700"/>
    <mergeCell ref="L700:M700"/>
    <mergeCell ref="A691:B691"/>
    <mergeCell ref="L691:M691"/>
    <mergeCell ref="A692:B692"/>
    <mergeCell ref="L690:M690"/>
    <mergeCell ref="L692:M692"/>
    <mergeCell ref="A693:B693"/>
    <mergeCell ref="L693:M693"/>
    <mergeCell ref="B1048:H1048"/>
    <mergeCell ref="B1042:H1042"/>
    <mergeCell ref="A969:H969"/>
    <mergeCell ref="A970:B970"/>
    <mergeCell ref="G970:H975"/>
    <mergeCell ref="L970:M970"/>
    <mergeCell ref="A971:B971"/>
    <mergeCell ref="L971:M971"/>
    <mergeCell ref="A972:B972"/>
    <mergeCell ref="L972:M972"/>
    <mergeCell ref="A973:B973"/>
    <mergeCell ref="L973:M973"/>
    <mergeCell ref="A974:B974"/>
    <mergeCell ref="L974:M974"/>
    <mergeCell ref="A975:B975"/>
    <mergeCell ref="L975:M975"/>
    <mergeCell ref="A976:H976"/>
    <mergeCell ref="A1032:H1032"/>
    <mergeCell ref="L1032:M1032"/>
    <mergeCell ref="B1043:H1043"/>
    <mergeCell ref="B1040:H1040"/>
    <mergeCell ref="L977:M977"/>
    <mergeCell ref="A978:B978"/>
    <mergeCell ref="L978:M978"/>
    <mergeCell ref="A979:B979"/>
    <mergeCell ref="L979:M979"/>
    <mergeCell ref="A980:B980"/>
    <mergeCell ref="L980:M980"/>
    <mergeCell ref="A981:B981"/>
    <mergeCell ref="L981:M981"/>
    <mergeCell ref="A982:B982"/>
    <mergeCell ref="L982:M982"/>
    <mergeCell ref="E129:F138"/>
    <mergeCell ref="G129:H138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99:B99"/>
    <mergeCell ref="C99:H99"/>
    <mergeCell ref="A100:B100"/>
    <mergeCell ref="E100:F100"/>
    <mergeCell ref="G100:H100"/>
    <mergeCell ref="A101:B101"/>
    <mergeCell ref="E101:F110"/>
    <mergeCell ref="A108:B108"/>
    <mergeCell ref="A109:B109"/>
    <mergeCell ref="A110:B110"/>
    <mergeCell ref="A729:H729"/>
    <mergeCell ref="A730:H730"/>
    <mergeCell ref="L709:M709"/>
    <mergeCell ref="A710:B710"/>
    <mergeCell ref="L710:M710"/>
    <mergeCell ref="A711:B711"/>
    <mergeCell ref="L711:M711"/>
    <mergeCell ref="A680:H680"/>
    <mergeCell ref="A681:B681"/>
    <mergeCell ref="L712:M712"/>
    <mergeCell ref="A75:B75"/>
    <mergeCell ref="A71:B71"/>
    <mergeCell ref="A959:H959"/>
    <mergeCell ref="A960:H960"/>
    <mergeCell ref="A961:H961"/>
    <mergeCell ref="A962:H962"/>
    <mergeCell ref="A963:B963"/>
    <mergeCell ref="G963:H968"/>
    <mergeCell ref="L963:M963"/>
    <mergeCell ref="A964:B964"/>
    <mergeCell ref="L964:M964"/>
    <mergeCell ref="A965:B965"/>
    <mergeCell ref="L965:M965"/>
    <mergeCell ref="A966:B966"/>
    <mergeCell ref="L966:M966"/>
    <mergeCell ref="A967:B967"/>
    <mergeCell ref="L967:M967"/>
    <mergeCell ref="A968:B968"/>
    <mergeCell ref="L968:M968"/>
    <mergeCell ref="A304:H304"/>
    <mergeCell ref="A305:H305"/>
    <mergeCell ref="A306:H306"/>
    <mergeCell ref="A307:B307"/>
    <mergeCell ref="G307:H318"/>
    <mergeCell ref="A308:B308"/>
    <mergeCell ref="L308:M308"/>
    <mergeCell ref="A309:B309"/>
    <mergeCell ref="L339:M339"/>
    <mergeCell ref="A340:B340"/>
    <mergeCell ref="L340:M340"/>
    <mergeCell ref="L325:M325"/>
    <mergeCell ref="A326:B326"/>
    <mergeCell ref="A990:H990"/>
    <mergeCell ref="A991:B991"/>
    <mergeCell ref="G991:H996"/>
    <mergeCell ref="L991:M991"/>
    <mergeCell ref="A992:B992"/>
    <mergeCell ref="L992:M992"/>
    <mergeCell ref="A993:B993"/>
    <mergeCell ref="L993:M993"/>
    <mergeCell ref="A994:B994"/>
    <mergeCell ref="L994:M994"/>
    <mergeCell ref="A995:B995"/>
    <mergeCell ref="C995:F995"/>
    <mergeCell ref="L995:M995"/>
    <mergeCell ref="A996:B996"/>
    <mergeCell ref="L996:M996"/>
    <mergeCell ref="A997:H997"/>
    <mergeCell ref="A998:B998"/>
    <mergeCell ref="G998:H1003"/>
    <mergeCell ref="L998:M998"/>
    <mergeCell ref="A999:B999"/>
    <mergeCell ref="L999:M999"/>
    <mergeCell ref="A1000:B1000"/>
    <mergeCell ref="L1000:M1000"/>
    <mergeCell ref="A1001:B1001"/>
    <mergeCell ref="L1001:M1001"/>
    <mergeCell ref="A1002:B1002"/>
    <mergeCell ref="C1002:F1002"/>
    <mergeCell ref="L1002:M1002"/>
    <mergeCell ref="A1003:B1003"/>
    <mergeCell ref="L1003:M1003"/>
    <mergeCell ref="A1004:H1004"/>
    <mergeCell ref="A1005:B1005"/>
    <mergeCell ref="G1005:H1010"/>
    <mergeCell ref="L1005:M1005"/>
    <mergeCell ref="A1006:B1006"/>
    <mergeCell ref="L1006:M1006"/>
    <mergeCell ref="A1007:B1007"/>
    <mergeCell ref="L1007:M1007"/>
    <mergeCell ref="A1008:B1008"/>
    <mergeCell ref="L1008:M1008"/>
    <mergeCell ref="A1009:B1009"/>
    <mergeCell ref="C1009:F1009"/>
    <mergeCell ref="L1009:M1009"/>
    <mergeCell ref="A1010:B1010"/>
    <mergeCell ref="L1010:M1010"/>
    <mergeCell ref="A1019:B1019"/>
    <mergeCell ref="G1019:H1024"/>
    <mergeCell ref="L1019:M1019"/>
    <mergeCell ref="C1020:F1020"/>
    <mergeCell ref="L1020:M1020"/>
    <mergeCell ref="A1021:B1021"/>
    <mergeCell ref="L1021:M1021"/>
    <mergeCell ref="A1022:B1022"/>
    <mergeCell ref="L1022:M1022"/>
    <mergeCell ref="A1023:B1023"/>
    <mergeCell ref="L1023:M1023"/>
    <mergeCell ref="A1024:B1024"/>
    <mergeCell ref="L1024:M1024"/>
    <mergeCell ref="A1017:B1017"/>
    <mergeCell ref="A714:B714"/>
    <mergeCell ref="L714:M714"/>
    <mergeCell ref="A715:H715"/>
    <mergeCell ref="A716:B716"/>
    <mergeCell ref="G716:H721"/>
    <mergeCell ref="L716:M716"/>
    <mergeCell ref="A718:B718"/>
    <mergeCell ref="L718:M718"/>
    <mergeCell ref="A719:B719"/>
    <mergeCell ref="L719:M719"/>
    <mergeCell ref="A721:B721"/>
    <mergeCell ref="L721:M721"/>
    <mergeCell ref="L717:M717"/>
    <mergeCell ref="L720:M720"/>
    <mergeCell ref="A720:B720"/>
    <mergeCell ref="A722:H722"/>
    <mergeCell ref="A723:B723"/>
    <mergeCell ref="G723:H728"/>
    <mergeCell ref="L702:M702"/>
    <mergeCell ref="A703:B703"/>
    <mergeCell ref="L703:M703"/>
    <mergeCell ref="A704:B704"/>
    <mergeCell ref="A731:H731"/>
    <mergeCell ref="A732:B732"/>
    <mergeCell ref="G732:H737"/>
    <mergeCell ref="G337:H348"/>
    <mergeCell ref="A338:B338"/>
    <mergeCell ref="A347:B347"/>
    <mergeCell ref="A708:H708"/>
    <mergeCell ref="A709:B709"/>
    <mergeCell ref="G709:H714"/>
    <mergeCell ref="A712:B712"/>
    <mergeCell ref="G681:H686"/>
    <mergeCell ref="A690:B690"/>
    <mergeCell ref="A655:H655"/>
    <mergeCell ref="A352:H352"/>
    <mergeCell ref="A658:H658"/>
    <mergeCell ref="A666:H666"/>
    <mergeCell ref="A667:B667"/>
    <mergeCell ref="G674:H679"/>
    <mergeCell ref="G435:H440"/>
    <mergeCell ref="A548:H548"/>
    <mergeCell ref="A549:B549"/>
    <mergeCell ref="A536:B536"/>
    <mergeCell ref="A512:B512"/>
    <mergeCell ref="A504:H504"/>
    <mergeCell ref="A505:H505"/>
    <mergeCell ref="A701:H701"/>
    <mergeCell ref="A702:B702"/>
    <mergeCell ref="G702:H707"/>
    <mergeCell ref="L732:M732"/>
    <mergeCell ref="A733:B733"/>
    <mergeCell ref="L733:M733"/>
    <mergeCell ref="A734:B734"/>
    <mergeCell ref="L734:M734"/>
    <mergeCell ref="A735:B735"/>
    <mergeCell ref="L735:M735"/>
    <mergeCell ref="A736:B736"/>
    <mergeCell ref="L736:M736"/>
    <mergeCell ref="A737:B737"/>
    <mergeCell ref="L737:M737"/>
    <mergeCell ref="A235:B235"/>
    <mergeCell ref="C235:D235"/>
    <mergeCell ref="E235:F235"/>
    <mergeCell ref="G235:H235"/>
    <mergeCell ref="A232:B232"/>
    <mergeCell ref="C232:D232"/>
    <mergeCell ref="E232:F232"/>
    <mergeCell ref="G232:H232"/>
    <mergeCell ref="A334:H334"/>
    <mergeCell ref="A335:H335"/>
    <mergeCell ref="A336:H336"/>
    <mergeCell ref="A337:B337"/>
    <mergeCell ref="A233:B233"/>
    <mergeCell ref="C233:D233"/>
    <mergeCell ref="E233:F233"/>
    <mergeCell ref="G233:H233"/>
    <mergeCell ref="A234:B234"/>
    <mergeCell ref="C234:D234"/>
    <mergeCell ref="E234:F234"/>
    <mergeCell ref="G234:H234"/>
    <mergeCell ref="L337:M337"/>
    <mergeCell ref="A738:H738"/>
    <mergeCell ref="A739:B739"/>
    <mergeCell ref="G739:H744"/>
    <mergeCell ref="L739:M739"/>
    <mergeCell ref="A740:B740"/>
    <mergeCell ref="L740:M740"/>
    <mergeCell ref="A741:B741"/>
    <mergeCell ref="L741:M741"/>
    <mergeCell ref="A742:B742"/>
    <mergeCell ref="L742:M742"/>
    <mergeCell ref="A743:B743"/>
    <mergeCell ref="L743:M743"/>
    <mergeCell ref="A744:B744"/>
    <mergeCell ref="L744:M744"/>
    <mergeCell ref="A745:H745"/>
    <mergeCell ref="A746:B746"/>
    <mergeCell ref="G746:H751"/>
    <mergeCell ref="L746:M746"/>
    <mergeCell ref="A747:B747"/>
    <mergeCell ref="L747:M747"/>
    <mergeCell ref="A748:B748"/>
    <mergeCell ref="L748:M748"/>
    <mergeCell ref="A749:B749"/>
    <mergeCell ref="L749:M749"/>
    <mergeCell ref="A750:B750"/>
    <mergeCell ref="L750:M750"/>
    <mergeCell ref="A751:B751"/>
    <mergeCell ref="L751:M751"/>
    <mergeCell ref="A752:H752"/>
    <mergeCell ref="A753:B753"/>
    <mergeCell ref="G753:H758"/>
    <mergeCell ref="L753:M753"/>
    <mergeCell ref="A754:B754"/>
    <mergeCell ref="L754:M754"/>
    <mergeCell ref="A755:B755"/>
    <mergeCell ref="L755:M755"/>
    <mergeCell ref="C757:F757"/>
    <mergeCell ref="A759:H759"/>
    <mergeCell ref="G760:H765"/>
    <mergeCell ref="A762:B762"/>
    <mergeCell ref="L763:M763"/>
    <mergeCell ref="C764:F764"/>
    <mergeCell ref="L764:M764"/>
    <mergeCell ref="L765:M765"/>
    <mergeCell ref="A766:H766"/>
    <mergeCell ref="A760:B760"/>
    <mergeCell ref="L760:M760"/>
    <mergeCell ref="A761:B761"/>
    <mergeCell ref="L761:M761"/>
    <mergeCell ref="L756:M756"/>
    <mergeCell ref="L757:M757"/>
    <mergeCell ref="L758:M758"/>
    <mergeCell ref="G767:H772"/>
    <mergeCell ref="L767:M767"/>
    <mergeCell ref="A768:B768"/>
    <mergeCell ref="L768:M768"/>
    <mergeCell ref="A769:B769"/>
    <mergeCell ref="L769:M769"/>
    <mergeCell ref="A770:B770"/>
    <mergeCell ref="L770:M770"/>
    <mergeCell ref="C771:F771"/>
    <mergeCell ref="L771:M771"/>
    <mergeCell ref="A772:B772"/>
    <mergeCell ref="L772:M772"/>
    <mergeCell ref="A773:H773"/>
    <mergeCell ref="A774:B774"/>
    <mergeCell ref="G774:H779"/>
    <mergeCell ref="L774:M774"/>
    <mergeCell ref="L775:M775"/>
    <mergeCell ref="L776:M776"/>
    <mergeCell ref="L777:M777"/>
    <mergeCell ref="A778:B778"/>
    <mergeCell ref="L778:M778"/>
    <mergeCell ref="A779:B779"/>
    <mergeCell ref="L779:M779"/>
    <mergeCell ref="G781:H786"/>
    <mergeCell ref="L781:M781"/>
    <mergeCell ref="L782:M782"/>
    <mergeCell ref="L783:M783"/>
    <mergeCell ref="L784:M784"/>
    <mergeCell ref="A785:B785"/>
    <mergeCell ref="L785:M785"/>
    <mergeCell ref="A786:B786"/>
    <mergeCell ref="L786:M786"/>
    <mergeCell ref="A787:H787"/>
    <mergeCell ref="A788:B788"/>
    <mergeCell ref="G788:H793"/>
    <mergeCell ref="L788:M788"/>
    <mergeCell ref="A789:B789"/>
    <mergeCell ref="C789:F789"/>
    <mergeCell ref="L789:M789"/>
    <mergeCell ref="A790:B790"/>
    <mergeCell ref="L790:M790"/>
    <mergeCell ref="A791:B791"/>
    <mergeCell ref="L791:M791"/>
    <mergeCell ref="A792:B792"/>
    <mergeCell ref="L792:M792"/>
    <mergeCell ref="A793:B793"/>
    <mergeCell ref="L793:M793"/>
    <mergeCell ref="A794:H794"/>
    <mergeCell ref="A795:B795"/>
    <mergeCell ref="G795:H800"/>
    <mergeCell ref="L795:M795"/>
    <mergeCell ref="A796:B796"/>
    <mergeCell ref="C796:F796"/>
    <mergeCell ref="L796:M796"/>
    <mergeCell ref="A797:B797"/>
    <mergeCell ref="L797:M797"/>
    <mergeCell ref="A798:B798"/>
    <mergeCell ref="L798:M798"/>
    <mergeCell ref="A799:B799"/>
    <mergeCell ref="L799:M799"/>
    <mergeCell ref="A800:B800"/>
    <mergeCell ref="L800:M800"/>
    <mergeCell ref="A801:H801"/>
    <mergeCell ref="A802:B802"/>
    <mergeCell ref="G802:H807"/>
    <mergeCell ref="L802:M802"/>
    <mergeCell ref="A803:B803"/>
    <mergeCell ref="C803:F803"/>
    <mergeCell ref="L803:M803"/>
    <mergeCell ref="A804:B804"/>
    <mergeCell ref="L804:M804"/>
    <mergeCell ref="A805:B805"/>
    <mergeCell ref="L805:M805"/>
    <mergeCell ref="A806:B806"/>
    <mergeCell ref="L806:M806"/>
    <mergeCell ref="A807:B807"/>
    <mergeCell ref="L807:M807"/>
    <mergeCell ref="L830:M830"/>
    <mergeCell ref="A808:H808"/>
    <mergeCell ref="A809:H809"/>
    <mergeCell ref="A810:H810"/>
    <mergeCell ref="A811:B811"/>
    <mergeCell ref="G811:H816"/>
    <mergeCell ref="L811:M811"/>
    <mergeCell ref="A812:B812"/>
    <mergeCell ref="L812:M812"/>
    <mergeCell ref="A813:B813"/>
    <mergeCell ref="L813:M813"/>
    <mergeCell ref="A814:B814"/>
    <mergeCell ref="L814:M814"/>
    <mergeCell ref="A815:B815"/>
    <mergeCell ref="L815:M815"/>
    <mergeCell ref="A816:B816"/>
    <mergeCell ref="L816:M816"/>
    <mergeCell ref="A817:H817"/>
    <mergeCell ref="L842:M842"/>
    <mergeCell ref="A843:B843"/>
    <mergeCell ref="C843:F843"/>
    <mergeCell ref="L843:M843"/>
    <mergeCell ref="A844:B844"/>
    <mergeCell ref="L844:M844"/>
    <mergeCell ref="A818:B818"/>
    <mergeCell ref="G818:H823"/>
    <mergeCell ref="L818:M818"/>
    <mergeCell ref="A819:B819"/>
    <mergeCell ref="L819:M819"/>
    <mergeCell ref="A820:B820"/>
    <mergeCell ref="L820:M820"/>
    <mergeCell ref="A821:B821"/>
    <mergeCell ref="L821:M821"/>
    <mergeCell ref="A822:B822"/>
    <mergeCell ref="L822:M822"/>
    <mergeCell ref="A823:B823"/>
    <mergeCell ref="L823:M823"/>
    <mergeCell ref="A824:H824"/>
    <mergeCell ref="A825:B825"/>
    <mergeCell ref="G825:H830"/>
    <mergeCell ref="L825:M825"/>
    <mergeCell ref="A826:B826"/>
    <mergeCell ref="L826:M826"/>
    <mergeCell ref="A827:B827"/>
    <mergeCell ref="L827:M827"/>
    <mergeCell ref="A828:B828"/>
    <mergeCell ref="L828:M828"/>
    <mergeCell ref="A829:B829"/>
    <mergeCell ref="L829:M829"/>
    <mergeCell ref="A830:B830"/>
    <mergeCell ref="L854:M854"/>
    <mergeCell ref="A855:B855"/>
    <mergeCell ref="L855:M855"/>
    <mergeCell ref="A856:B856"/>
    <mergeCell ref="L856:M856"/>
    <mergeCell ref="A857:B857"/>
    <mergeCell ref="L857:M857"/>
    <mergeCell ref="A858:B858"/>
    <mergeCell ref="L858:M858"/>
    <mergeCell ref="A831:H831"/>
    <mergeCell ref="A832:B832"/>
    <mergeCell ref="G832:H837"/>
    <mergeCell ref="L832:M832"/>
    <mergeCell ref="A833:B833"/>
    <mergeCell ref="L833:M833"/>
    <mergeCell ref="A834:B834"/>
    <mergeCell ref="L834:M834"/>
    <mergeCell ref="A835:B835"/>
    <mergeCell ref="L835:M835"/>
    <mergeCell ref="A836:B836"/>
    <mergeCell ref="C836:F836"/>
    <mergeCell ref="L836:M836"/>
    <mergeCell ref="A837:B837"/>
    <mergeCell ref="L837:M837"/>
    <mergeCell ref="A838:H838"/>
    <mergeCell ref="A839:B839"/>
    <mergeCell ref="G839:H844"/>
    <mergeCell ref="L839:M839"/>
    <mergeCell ref="A840:B840"/>
    <mergeCell ref="L840:M840"/>
    <mergeCell ref="A841:B841"/>
    <mergeCell ref="L841:M841"/>
    <mergeCell ref="L867:M867"/>
    <mergeCell ref="A868:B868"/>
    <mergeCell ref="C868:F868"/>
    <mergeCell ref="L868:M868"/>
    <mergeCell ref="A869:B869"/>
    <mergeCell ref="L869:M869"/>
    <mergeCell ref="A870:B870"/>
    <mergeCell ref="L870:M870"/>
    <mergeCell ref="A871:B871"/>
    <mergeCell ref="L871:M871"/>
    <mergeCell ref="A872:B872"/>
    <mergeCell ref="L872:M872"/>
    <mergeCell ref="A845:H845"/>
    <mergeCell ref="A846:B846"/>
    <mergeCell ref="G846:H851"/>
    <mergeCell ref="L846:M846"/>
    <mergeCell ref="A847:B847"/>
    <mergeCell ref="L847:M847"/>
    <mergeCell ref="A848:B848"/>
    <mergeCell ref="L848:M848"/>
    <mergeCell ref="A849:B849"/>
    <mergeCell ref="L849:M849"/>
    <mergeCell ref="A850:B850"/>
    <mergeCell ref="C850:F850"/>
    <mergeCell ref="L850:M850"/>
    <mergeCell ref="A851:B851"/>
    <mergeCell ref="L851:M851"/>
    <mergeCell ref="A852:H852"/>
    <mergeCell ref="A853:B853"/>
    <mergeCell ref="G853:H858"/>
    <mergeCell ref="L853:M853"/>
    <mergeCell ref="A854:B854"/>
    <mergeCell ref="L874:M874"/>
    <mergeCell ref="A875:B875"/>
    <mergeCell ref="L875:M875"/>
    <mergeCell ref="A876:B876"/>
    <mergeCell ref="L876:M876"/>
    <mergeCell ref="A877:B877"/>
    <mergeCell ref="L877:M877"/>
    <mergeCell ref="A878:B878"/>
    <mergeCell ref="L878:M878"/>
    <mergeCell ref="A879:B879"/>
    <mergeCell ref="L879:M879"/>
    <mergeCell ref="A880:H880"/>
    <mergeCell ref="A881:H881"/>
    <mergeCell ref="A882:H882"/>
    <mergeCell ref="A859:H859"/>
    <mergeCell ref="A860:B860"/>
    <mergeCell ref="G860:H865"/>
    <mergeCell ref="L860:M860"/>
    <mergeCell ref="A861:B861"/>
    <mergeCell ref="C861:F861"/>
    <mergeCell ref="L861:M861"/>
    <mergeCell ref="A862:B862"/>
    <mergeCell ref="L862:M862"/>
    <mergeCell ref="A863:B863"/>
    <mergeCell ref="L863:M863"/>
    <mergeCell ref="A864:B864"/>
    <mergeCell ref="L864:M864"/>
    <mergeCell ref="A865:B865"/>
    <mergeCell ref="L865:M865"/>
    <mergeCell ref="A866:H866"/>
    <mergeCell ref="A867:B867"/>
    <mergeCell ref="G867:H872"/>
    <mergeCell ref="L883:M883"/>
    <mergeCell ref="A884:B884"/>
    <mergeCell ref="L884:M884"/>
    <mergeCell ref="A885:B885"/>
    <mergeCell ref="L885:M885"/>
    <mergeCell ref="A886:B886"/>
    <mergeCell ref="L886:M886"/>
    <mergeCell ref="A887:B887"/>
    <mergeCell ref="L887:M887"/>
    <mergeCell ref="A888:B888"/>
    <mergeCell ref="L888:M888"/>
    <mergeCell ref="A889:H889"/>
    <mergeCell ref="A890:B890"/>
    <mergeCell ref="G890:H895"/>
    <mergeCell ref="L890:M890"/>
    <mergeCell ref="A891:B891"/>
    <mergeCell ref="L891:M891"/>
    <mergeCell ref="A892:B892"/>
    <mergeCell ref="L892:M892"/>
    <mergeCell ref="A893:B893"/>
    <mergeCell ref="L893:M893"/>
    <mergeCell ref="A894:B894"/>
    <mergeCell ref="L894:M894"/>
    <mergeCell ref="A895:B895"/>
    <mergeCell ref="L895:M895"/>
    <mergeCell ref="L922:M922"/>
    <mergeCell ref="A923:B923"/>
    <mergeCell ref="L923:M923"/>
    <mergeCell ref="A896:H896"/>
    <mergeCell ref="A897:B897"/>
    <mergeCell ref="G897:H902"/>
    <mergeCell ref="L897:M897"/>
    <mergeCell ref="A898:B898"/>
    <mergeCell ref="L898:M898"/>
    <mergeCell ref="A899:B899"/>
    <mergeCell ref="L899:M899"/>
    <mergeCell ref="A900:B900"/>
    <mergeCell ref="L900:M900"/>
    <mergeCell ref="A901:B901"/>
    <mergeCell ref="L901:M901"/>
    <mergeCell ref="A902:B902"/>
    <mergeCell ref="L902:M902"/>
    <mergeCell ref="A903:H903"/>
    <mergeCell ref="A904:B904"/>
    <mergeCell ref="G904:H909"/>
    <mergeCell ref="L904:M904"/>
    <mergeCell ref="A905:B905"/>
    <mergeCell ref="L905:M905"/>
    <mergeCell ref="A906:B906"/>
    <mergeCell ref="L906:M906"/>
    <mergeCell ref="A907:B907"/>
    <mergeCell ref="L907:M907"/>
    <mergeCell ref="A908:B908"/>
    <mergeCell ref="C908:F908"/>
    <mergeCell ref="L908:M908"/>
    <mergeCell ref="A909:B909"/>
    <mergeCell ref="L909:M909"/>
    <mergeCell ref="L934:M934"/>
    <mergeCell ref="A935:B935"/>
    <mergeCell ref="L935:M935"/>
    <mergeCell ref="A936:B936"/>
    <mergeCell ref="L936:M936"/>
    <mergeCell ref="A937:B937"/>
    <mergeCell ref="L937:M937"/>
    <mergeCell ref="A910:H910"/>
    <mergeCell ref="A911:B911"/>
    <mergeCell ref="G911:H916"/>
    <mergeCell ref="L911:M911"/>
    <mergeCell ref="A912:B912"/>
    <mergeCell ref="L912:M912"/>
    <mergeCell ref="A913:B913"/>
    <mergeCell ref="L913:M913"/>
    <mergeCell ref="A914:B914"/>
    <mergeCell ref="L914:M914"/>
    <mergeCell ref="A915:B915"/>
    <mergeCell ref="C915:F915"/>
    <mergeCell ref="L915:M915"/>
    <mergeCell ref="A916:B916"/>
    <mergeCell ref="L916:M916"/>
    <mergeCell ref="A917:H917"/>
    <mergeCell ref="A918:B918"/>
    <mergeCell ref="G918:H923"/>
    <mergeCell ref="L918:M918"/>
    <mergeCell ref="A919:B919"/>
    <mergeCell ref="L919:M919"/>
    <mergeCell ref="A920:B920"/>
    <mergeCell ref="L920:M920"/>
    <mergeCell ref="A921:B921"/>
    <mergeCell ref="L921:M921"/>
    <mergeCell ref="L946:M946"/>
    <mergeCell ref="A947:B947"/>
    <mergeCell ref="C947:F947"/>
    <mergeCell ref="L947:M947"/>
    <mergeCell ref="A948:B948"/>
    <mergeCell ref="L948:M948"/>
    <mergeCell ref="A949:B949"/>
    <mergeCell ref="L949:M949"/>
    <mergeCell ref="A950:B950"/>
    <mergeCell ref="L950:M950"/>
    <mergeCell ref="A951:B951"/>
    <mergeCell ref="L951:M951"/>
    <mergeCell ref="A924:H924"/>
    <mergeCell ref="A925:B925"/>
    <mergeCell ref="G925:H930"/>
    <mergeCell ref="L925:M925"/>
    <mergeCell ref="A926:B926"/>
    <mergeCell ref="L926:M926"/>
    <mergeCell ref="A927:B927"/>
    <mergeCell ref="L927:M927"/>
    <mergeCell ref="A928:B928"/>
    <mergeCell ref="L928:M928"/>
    <mergeCell ref="A929:B929"/>
    <mergeCell ref="L929:M929"/>
    <mergeCell ref="A930:B930"/>
    <mergeCell ref="L930:M930"/>
    <mergeCell ref="A931:H931"/>
    <mergeCell ref="A932:B932"/>
    <mergeCell ref="G932:H937"/>
    <mergeCell ref="L932:M932"/>
    <mergeCell ref="A933:B933"/>
    <mergeCell ref="L933:M933"/>
    <mergeCell ref="B1050:H1050"/>
    <mergeCell ref="A952:H952"/>
    <mergeCell ref="A953:B953"/>
    <mergeCell ref="G953:H958"/>
    <mergeCell ref="L953:M953"/>
    <mergeCell ref="A954:B954"/>
    <mergeCell ref="C954:F954"/>
    <mergeCell ref="L954:M954"/>
    <mergeCell ref="A955:B955"/>
    <mergeCell ref="L955:M955"/>
    <mergeCell ref="A956:B956"/>
    <mergeCell ref="L956:M956"/>
    <mergeCell ref="A957:B957"/>
    <mergeCell ref="L957:M957"/>
    <mergeCell ref="A958:B958"/>
    <mergeCell ref="L958:M958"/>
    <mergeCell ref="A938:H938"/>
    <mergeCell ref="A939:B939"/>
    <mergeCell ref="G939:H944"/>
    <mergeCell ref="L939:M939"/>
    <mergeCell ref="A940:B940"/>
    <mergeCell ref="C940:F940"/>
    <mergeCell ref="L940:M940"/>
    <mergeCell ref="A941:B941"/>
    <mergeCell ref="L941:M941"/>
    <mergeCell ref="A942:B942"/>
    <mergeCell ref="L942:M942"/>
    <mergeCell ref="A943:B943"/>
    <mergeCell ref="L943:M943"/>
    <mergeCell ref="A944:B944"/>
    <mergeCell ref="L944:M944"/>
    <mergeCell ref="A945:H945"/>
    <mergeCell ref="A153:B153"/>
    <mergeCell ref="C153:H153"/>
    <mergeCell ref="A155:B155"/>
    <mergeCell ref="C155:H155"/>
    <mergeCell ref="A156:B156"/>
    <mergeCell ref="E156:F156"/>
    <mergeCell ref="G156:H156"/>
    <mergeCell ref="A157:B157"/>
    <mergeCell ref="E157:F166"/>
    <mergeCell ref="G157:H166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39:B139"/>
    <mergeCell ref="C139:H139"/>
    <mergeCell ref="A141:B141"/>
    <mergeCell ref="C141:H141"/>
    <mergeCell ref="A142:B142"/>
    <mergeCell ref="E142:F142"/>
    <mergeCell ref="G142:H142"/>
    <mergeCell ref="A143:B143"/>
    <mergeCell ref="E143:F152"/>
    <mergeCell ref="G143:H152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B1035:H1035"/>
    <mergeCell ref="A181:B181"/>
    <mergeCell ref="C181:H181"/>
    <mergeCell ref="A183:B183"/>
    <mergeCell ref="C183:H183"/>
    <mergeCell ref="A184:B184"/>
    <mergeCell ref="E184:F184"/>
    <mergeCell ref="G184:H184"/>
    <mergeCell ref="A185:B185"/>
    <mergeCell ref="E185:F194"/>
    <mergeCell ref="G185:H194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946:B946"/>
    <mergeCell ref="G946:H951"/>
    <mergeCell ref="A934:B934"/>
    <mergeCell ref="A922:B922"/>
    <mergeCell ref="C922:F922"/>
    <mergeCell ref="A883:B883"/>
    <mergeCell ref="G883:H888"/>
    <mergeCell ref="A873:H873"/>
    <mergeCell ref="A874:B874"/>
    <mergeCell ref="G874:H879"/>
    <mergeCell ref="C854:F854"/>
    <mergeCell ref="A842:B842"/>
  </mergeCells>
  <hyperlinks>
    <hyperlink ref="C38" r:id="rId1"/>
  </hyperlinks>
  <printOptions horizontalCentered="1"/>
  <pageMargins left="0.39370078740157483" right="0.39370078740157483" top="0.78740157480314965" bottom="0.78740157480314965" header="0.15748031496062992" footer="0.19685039370078741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8" manualBreakCount="8">
    <brk id="68" max="7" man="1"/>
    <brk id="110" max="16383" man="1"/>
    <brk id="152" max="16383" man="1"/>
    <brk id="194" max="7" man="1"/>
    <brk id="1032" max="7" man="1"/>
    <brk id="1062" max="16383" man="1"/>
    <brk id="1155" max="16383" man="1"/>
    <brk id="1199" max="16383" man="1"/>
  </rowBreaks>
  <colBreaks count="1" manualBreakCount="1">
    <brk id="2" max="1164" man="1"/>
  </col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09" t="s">
        <v>105</v>
      </c>
      <c r="C3" s="209"/>
      <c r="D3" s="209"/>
      <c r="E3" s="209"/>
      <c r="F3" s="209"/>
      <c r="G3" s="209"/>
      <c r="H3" s="209"/>
    </row>
    <row r="4" spans="1:9" x14ac:dyDescent="0.25">
      <c r="A4" s="2"/>
      <c r="B4" s="3" t="s">
        <v>106</v>
      </c>
      <c r="C4" s="3" t="s">
        <v>107</v>
      </c>
      <c r="D4" s="3" t="s">
        <v>70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2025-09-15T06:30:42Z</cp:lastPrinted>
  <dcterms:created xsi:type="dcterms:W3CDTF">2019-07-16T09:29:46Z</dcterms:created>
  <dcterms:modified xsi:type="dcterms:W3CDTF">2025-09-15T07:07:21Z</dcterms:modified>
</cp:coreProperties>
</file>