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3.09\"/>
    </mc:Choice>
  </mc:AlternateContent>
  <xr:revisionPtr revIDLastSave="0" documentId="13_ncr:1_{B64F2ADA-3107-40A0-A90E-2EBD1A316893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0" i="1" l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D146" i="1" l="1"/>
  <c r="F146" i="1" s="1"/>
  <c r="D145" i="1"/>
  <c r="F145" i="1" s="1"/>
  <c r="D144" i="1"/>
  <c r="F144" i="1" s="1"/>
  <c r="D143" i="1"/>
  <c r="F143" i="1" s="1"/>
  <c r="D142" i="1"/>
  <c r="F142" i="1" s="1"/>
  <c r="D141" i="1"/>
  <c r="F141" i="1" s="1"/>
  <c r="D140" i="1"/>
  <c r="F140" i="1" s="1"/>
  <c r="D139" i="1"/>
  <c r="F139" i="1" s="1"/>
  <c r="L138" i="1"/>
  <c r="D138" i="1"/>
  <c r="F138" i="1" s="1"/>
  <c r="M138" i="1" s="1"/>
  <c r="A138" i="1"/>
  <c r="A139" i="1" s="1"/>
  <c r="A140" i="1" s="1"/>
  <c r="A141" i="1" s="1"/>
  <c r="A142" i="1" s="1"/>
  <c r="A143" i="1" s="1"/>
  <c r="A144" i="1" s="1"/>
  <c r="A145" i="1" s="1"/>
  <c r="A146" i="1" s="1"/>
  <c r="L137" i="1"/>
  <c r="G137" i="1"/>
  <c r="D137" i="1"/>
  <c r="F137" i="1" s="1"/>
  <c r="M137" i="1" s="1"/>
  <c r="K126" i="1"/>
  <c r="I126" i="1"/>
  <c r="J99" i="1"/>
  <c r="E109" i="1" l="1"/>
  <c r="E107" i="1"/>
  <c r="D109" i="1"/>
  <c r="E118" i="1" l="1"/>
  <c r="J110" i="1"/>
  <c r="L127" i="1" l="1"/>
  <c r="L126" i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D149" i="1"/>
  <c r="F149" i="1" s="1"/>
  <c r="D148" i="1"/>
  <c r="F148" i="1" s="1"/>
  <c r="D135" i="1"/>
  <c r="F135" i="1" s="1"/>
  <c r="D134" i="1"/>
  <c r="F134" i="1" s="1"/>
  <c r="D133" i="1"/>
  <c r="F133" i="1" s="1"/>
  <c r="D132" i="1"/>
  <c r="F132" i="1" s="1"/>
  <c r="D131" i="1"/>
  <c r="F131" i="1" s="1"/>
  <c r="D130" i="1"/>
  <c r="F130" i="1" s="1"/>
  <c r="D129" i="1"/>
  <c r="D128" i="1"/>
  <c r="D127" i="1"/>
  <c r="E100" i="1" s="1"/>
  <c r="D126" i="1"/>
  <c r="E119" i="1"/>
  <c r="D119" i="1"/>
  <c r="D118" i="1"/>
  <c r="F118" i="1" s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8" i="1"/>
  <c r="D108" i="1"/>
  <c r="D107" i="1"/>
  <c r="A149" i="1"/>
  <c r="A150" i="1" s="1"/>
  <c r="A151" i="1" s="1"/>
  <c r="A152" i="1" s="1"/>
  <c r="A153" i="1" s="1"/>
  <c r="A154" i="1" s="1"/>
  <c r="A155" i="1" s="1"/>
  <c r="A156" i="1" s="1"/>
  <c r="A157" i="1" s="1"/>
  <c r="K148" i="1"/>
  <c r="J148" i="1"/>
  <c r="I148" i="1"/>
  <c r="G148" i="1"/>
  <c r="J126" i="1"/>
  <c r="J107" i="1"/>
  <c r="I107" i="1"/>
  <c r="C95" i="1" l="1"/>
  <c r="C96" i="1" s="1"/>
  <c r="E95" i="1"/>
  <c r="C99" i="1"/>
  <c r="C100" i="1" s="1"/>
  <c r="E99" i="1"/>
  <c r="F112" i="1"/>
  <c r="F116" i="1"/>
  <c r="F114" i="1"/>
  <c r="E96" i="1"/>
  <c r="K153" i="1"/>
  <c r="K154" i="1"/>
  <c r="F111" i="1"/>
  <c r="F115" i="1"/>
  <c r="F113" i="1"/>
  <c r="F117" i="1"/>
  <c r="F119" i="1"/>
  <c r="F126" i="1"/>
  <c r="F107" i="1"/>
  <c r="M126" i="1" l="1"/>
  <c r="E101" i="1"/>
  <c r="C101" i="1"/>
  <c r="E42" i="1" l="1"/>
  <c r="E43" i="1" s="1"/>
  <c r="C14" i="1" l="1"/>
  <c r="E29" i="1" l="1"/>
  <c r="F127" i="1" l="1"/>
  <c r="F128" i="1"/>
  <c r="K128" i="1" s="1"/>
  <c r="F129" i="1"/>
  <c r="A127" i="1"/>
  <c r="A128" i="1" s="1"/>
  <c r="A129" i="1" s="1"/>
  <c r="G126" i="1"/>
  <c r="G99" i="1" l="1"/>
  <c r="G100" i="1" s="1"/>
  <c r="M127" i="1"/>
  <c r="N77" i="1" s="1"/>
  <c r="K77" i="1" s="1"/>
  <c r="A130" i="1"/>
  <c r="A131" i="1" s="1"/>
  <c r="A132" i="1" s="1"/>
  <c r="A133" i="1" s="1"/>
  <c r="A134" i="1" s="1"/>
  <c r="A135" i="1" s="1"/>
  <c r="F92" i="1"/>
  <c r="F108" i="1" l="1"/>
  <c r="F109" i="1"/>
  <c r="F110" i="1"/>
  <c r="G95" i="1" l="1"/>
  <c r="G96" i="1" s="1"/>
  <c r="G101" i="1" s="1"/>
  <c r="B160" i="1"/>
  <c r="B161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5" i="1"/>
  <c r="A108" i="1"/>
  <c r="A109" i="1" s="1"/>
  <c r="A110" i="1" s="1"/>
  <c r="G107" i="1"/>
  <c r="C65" i="1"/>
  <c r="B66" i="1" s="1"/>
  <c r="D54" i="1"/>
  <c r="G49" i="1"/>
  <c r="C49" i="1"/>
  <c r="E26" i="1"/>
  <c r="E24" i="1"/>
  <c r="E7" i="1"/>
  <c r="E3" i="1"/>
  <c r="H66" i="1"/>
  <c r="A111" i="1" l="1"/>
  <c r="A112" i="1" s="1"/>
  <c r="A113" i="1" s="1"/>
  <c r="A114" i="1" s="1"/>
  <c r="A115" i="1" s="1"/>
  <c r="D59" i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A116" i="1" l="1"/>
  <c r="A117" i="1" s="1"/>
  <c r="A118" i="1" s="1"/>
  <c r="A119" i="1" s="1"/>
  <c r="J73" i="1"/>
  <c r="J74" i="1" s="1"/>
  <c r="J75" i="1" s="1"/>
  <c r="J76" i="1" s="1"/>
  <c r="D71" i="1"/>
  <c r="J67" i="1"/>
  <c r="D69" i="1"/>
  <c r="J78" i="1" l="1"/>
  <c r="C70" i="1" s="1"/>
  <c r="G69" i="1" s="1"/>
  <c r="D63" i="1" s="1"/>
  <c r="D64" i="1" s="1"/>
  <c r="J66" i="1" l="1"/>
  <c r="D70" i="1"/>
  <c r="I66" i="1" s="1"/>
  <c r="I67" i="1" s="1"/>
  <c r="E69" i="1"/>
  <c r="F64" i="1"/>
  <c r="I65" i="1" l="1"/>
  <c r="C67" i="1" s="1"/>
</calcChain>
</file>

<file path=xl/sharedStrings.xml><?xml version="1.0" encoding="utf-8"?>
<sst xmlns="http://schemas.openxmlformats.org/spreadsheetml/2006/main" count="312" uniqueCount="239">
  <si>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</si>
  <si>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</si>
  <si>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</si>
  <si>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</si>
  <si>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</si>
  <si>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</si>
  <si>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</si>
  <si>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</si>
  <si>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</si>
  <si>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</si>
  <si>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</si>
  <si>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</si>
  <si>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</si>
  <si>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</si>
  <si>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</si>
  <si>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</si>
  <si>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</si>
  <si>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</si>
  <si>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</si>
  <si>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</si>
  <si>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</si>
  <si>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</si>
  <si>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</si>
  <si>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</si>
  <si>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</si>
  <si>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</si>
  <si>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</si>
  <si>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</si>
  <si>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</si>
  <si>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</si>
  <si>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</si>
  <si>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</si>
  <si>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</si>
  <si>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</si>
  <si>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</si>
  <si>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</si>
  <si>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</si>
  <si>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</si>
  <si>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</si>
  <si>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</si>
  <si>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</si>
  <si>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</si>
  <si>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</si>
  <si>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</si>
  <si>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</si>
  <si>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</si>
  <si>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</si>
  <si>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</si>
  <si>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</si>
  <si>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</si>
  <si>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</si>
  <si>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</si>
  <si>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</si>
  <si>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</si>
  <si>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</si>
  <si>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</si>
  <si>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</si>
  <si>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</si>
  <si>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</si>
  <si>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</si>
  <si>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</si>
  <si>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</si>
  <si>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</si>
  <si>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</si>
  <si>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</si>
  <si>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</si>
  <si>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</si>
  <si>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</si>
  <si>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</si>
  <si>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</si>
  <si>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</si>
  <si>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</si>
  <si>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</si>
  <si>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</si>
  <si>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</si>
  <si>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</si>
  <si>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</si>
  <si>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</si>
  <si>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</si>
  <si>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</si>
  <si>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</si>
  <si>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</si>
  <si>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</si>
  <si>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</si>
  <si>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</si>
  <si>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</si>
  <si>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</si>
  <si>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</si>
  <si>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</si>
  <si>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</si>
  <si>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</si>
  <si>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</si>
  <si>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</si>
  <si>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</si>
  <si>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</si>
  <si>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</si>
  <si>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</si>
  <si>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</si>
  <si>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</si>
  <si>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</si>
  <si>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</si>
  <si>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</si>
  <si>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</si>
  <si>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</si>
  <si>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</si>
  <si>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</si>
  <si>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</si>
  <si>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</si>
  <si>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</si>
  <si>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</si>
  <si>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</si>
  <si>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</si>
  <si>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</si>
  <si>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</si>
  <si>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</si>
  <si>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</si>
  <si>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</si>
  <si>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</si>
  <si>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</si>
  <si>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</si>
  <si>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</si>
  <si>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</si>
  <si>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</si>
  <si>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</si>
  <si>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</si>
  <si>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</si>
  <si>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</si>
  <si>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</si>
  <si>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</si>
  <si>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</si>
  <si>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</si>
  <si>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</si>
  <si>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</si>
  <si>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</si>
  <si>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</si>
  <si>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</si>
  <si>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</si>
  <si>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</si>
  <si>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</si>
  <si>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</si>
  <si>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</si>
  <si>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</si>
  <si>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</si>
  <si>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</si>
  <si>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</si>
  <si>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</si>
  <si>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</si>
  <si>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</si>
  <si>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</si>
  <si>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</si>
  <si>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</si>
  <si>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</si>
  <si>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</si>
  <si>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</si>
  <si>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</si>
  <si>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</si>
  <si>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</si>
  <si>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</si>
  <si>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</si>
  <si>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</si>
  <si>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</si>
  <si>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</si>
  <si>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</si>
  <si>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</si>
  <si>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</si>
  <si>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</si>
  <si>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</si>
  <si>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</si>
  <si>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</si>
  <si>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</si>
  <si>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</si>
  <si>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</si>
  <si>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</si>
  <si>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</si>
  <si>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</si>
  <si>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Badlapur</t>
  </si>
  <si>
    <t>Mountain Residency Private Limited</t>
  </si>
  <si>
    <t>Mountain Greens</t>
  </si>
  <si>
    <t>P51700048979</t>
  </si>
  <si>
    <t>Survey No</t>
  </si>
  <si>
    <t>Thane</t>
  </si>
  <si>
    <t>Ambernath</t>
  </si>
  <si>
    <t>Kalyan-Dombivli Municipal Corporation</t>
  </si>
  <si>
    <t>As per RERA - 31/12/2026</t>
  </si>
  <si>
    <t>Ground Floor for Commercial &amp; Parking</t>
  </si>
  <si>
    <t>Shop</t>
  </si>
  <si>
    <t>1BHK</t>
  </si>
  <si>
    <t>2BHK</t>
  </si>
  <si>
    <t>Refuge Area</t>
  </si>
  <si>
    <t>Podium Floor for Parking</t>
  </si>
  <si>
    <t>We considered Gross carpet area = Net carpet + Enclose balcony + Balcony.</t>
  </si>
  <si>
    <t>Flats</t>
  </si>
  <si>
    <t>Kalyan East</t>
  </si>
  <si>
    <t>5.6 KM from Kalyan Railway Station</t>
  </si>
  <si>
    <t>Sai urmila apartments</t>
  </si>
  <si>
    <t>Internal Road</t>
  </si>
  <si>
    <t>Open Plot</t>
  </si>
  <si>
    <t>Building</t>
  </si>
  <si>
    <t>Community area, Outdoor gym, Game zone, Kids play area, Yoga &amp; Meditation zone, Sitout area, Power back up for lifts &amp; common area, Fire fighting system.</t>
  </si>
  <si>
    <t>MIS</t>
  </si>
  <si>
    <t>Inspection</t>
  </si>
  <si>
    <t>Online</t>
  </si>
  <si>
    <t>Builder</t>
  </si>
  <si>
    <t>Approved Plans, CC, Sale Plans</t>
  </si>
  <si>
    <t>Adivali Dhokali</t>
  </si>
  <si>
    <t>5400 to 5750</t>
  </si>
  <si>
    <t>Rushikesh</t>
  </si>
  <si>
    <t>Verbal</t>
  </si>
  <si>
    <t xml:space="preserve">Recommended Rates / Other charges of the Property have been revised on 28/11/2023.
</t>
  </si>
  <si>
    <t>Mr. Aniket Pal – 7767962810</t>
  </si>
  <si>
    <t>Mr. Surabh Tiwari : 8898250154</t>
  </si>
  <si>
    <t>Mangesh Laxman Bapardekar</t>
  </si>
  <si>
    <t>Miss. Yogita 8928589464</t>
  </si>
  <si>
    <t>KDMC/TPD/BP/27 Village/2022-23/27/385</t>
  </si>
  <si>
    <t xml:space="preserve">Commencement-CC No
Valid Up to:  </t>
  </si>
  <si>
    <t>Gr/Stilt + 1st to 24th Floor</t>
  </si>
  <si>
    <t xml:space="preserve">We have updated revised approved CC fron RERA Site on 16/01/2025 </t>
  </si>
  <si>
    <t>KDMC/TPD/BP/27 Village/2022-23/27/383</t>
  </si>
  <si>
    <t>As per Layout</t>
  </si>
  <si>
    <t>L.H.No.16</t>
  </si>
  <si>
    <t>S.No.45</t>
  </si>
  <si>
    <t>L.H.No.16A</t>
  </si>
  <si>
    <t>24.00 M.W. D.P. Road</t>
  </si>
  <si>
    <t>Gr/St + 1st to 24th Floor</t>
  </si>
  <si>
    <t>1st to 7th, 9th to 12th, 14th to 17th, 19th to 22nd &amp; 24th Floor for Residential</t>
  </si>
  <si>
    <t>8th, 13th, 18th &amp; 23rd Floor (Part Refuge Area)</t>
  </si>
  <si>
    <t>Flats - 240, Shops - 13</t>
  </si>
  <si>
    <t>We have updated revised approved floor plans (On 26/03/2025).</t>
  </si>
  <si>
    <t>45/15/16/C/3, 16/C/4, 16/C/5</t>
  </si>
  <si>
    <t>Remark No. 14:</t>
  </si>
  <si>
    <t>Remark No. 13:</t>
  </si>
  <si>
    <t>Survey numbers nomenclature has been rectified with reference to the latest approved plans, CC, title certificate &amp; RERA.</t>
  </si>
  <si>
    <t>https://maps.app.goo.gl/crQkkLPXSvicMbLu8</t>
  </si>
  <si>
    <t>As per the site visit dtd. 28/03/2025, we have observed that the terrace area is constructed for the 1st floor above the shop line for Flat No. 2 to 5, but as per the approved floor plan, the terrace area is not mentioned for Flat No. 2 to 5. Please check from your end.</t>
  </si>
  <si>
    <t>With reference to remark no. 14, we have received a builder clarification letter, which is provided by the bank officials on mail; Documents states that the flat no. 102, 103, 104, 105, 106, &amp; 107 will be used for the builder's own purposes, so do not consider these flats for valuation purpose. Documents are attached below.</t>
  </si>
  <si>
    <t>Remark No. 15:</t>
  </si>
  <si>
    <t>Pranita Mhatre</t>
  </si>
  <si>
    <t>19.203109,73.127733</t>
  </si>
  <si>
    <t>Construction work is in process at the time of Visit. (Slow Speed)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</si>
</sst>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25" fillId="0" borderId="25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15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2" xfId="0" applyFont="1" applyFill="1" applyBorder="1"/>
    <xf numFmtId="166" fontId="7" fillId="0" borderId="0" xfId="1" applyNumberFormat="1" applyFont="1" applyAlignment="1">
      <alignment horizontal="center" vertical="center"/>
    </xf>
    <xf numFmtId="0" fontId="25" fillId="0" borderId="8" xfId="0" applyFont="1" applyBorder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9" fontId="12" fillId="0" borderId="14" xfId="8" applyFont="1" applyFill="1" applyBorder="1" applyAlignment="1" applyProtection="1">
      <alignment horizontal="center" vertical="center" wrapText="1"/>
      <protection locked="0"/>
    </xf>
    <xf numFmtId="9" fontId="12" fillId="0" borderId="15" xfId="8" applyFont="1" applyFill="1" applyBorder="1" applyAlignment="1" applyProtection="1">
      <alignment horizontal="center" vertical="center" wrapText="1"/>
      <protection locked="0"/>
    </xf>
    <xf numFmtId="9" fontId="12" fillId="0" borderId="20" xfId="8" applyFont="1" applyFill="1" applyBorder="1" applyAlignment="1" applyProtection="1">
      <alignment horizontal="center" vertical="center" wrapText="1"/>
      <protection locked="0"/>
    </xf>
    <xf numFmtId="9" fontId="12" fillId="0" borderId="21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166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1" fontId="10" fillId="0" borderId="27" xfId="0" applyNumberFormat="1" applyFont="1" applyBorder="1" applyAlignment="1" applyProtection="1">
      <alignment horizontal="center" vertical="top" wrapText="1"/>
      <protection locked="0"/>
    </xf>
    <xf numFmtId="1" fontId="8" fillId="0" borderId="27" xfId="0" applyNumberFormat="1" applyFont="1" applyBorder="1" applyAlignment="1" applyProtection="1">
      <alignment horizontal="center" vertical="top" wrapText="1"/>
      <protection locked="0"/>
    </xf>
    <xf numFmtId="1" fontId="8" fillId="0" borderId="28" xfId="0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398315</xdr:colOff>
      <xdr:row>415</xdr:row>
      <xdr:rowOff>162118</xdr:rowOff>
    </xdr:from>
    <xdr:to>
      <xdr:col>15</xdr:col>
      <xdr:colOff>613734</xdr:colOff>
      <xdr:row>435</xdr:row>
      <xdr:rowOff>158270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111535" y="82420018"/>
          <a:ext cx="6044719" cy="3958552"/>
          <a:chOff x="303065" y="56435818"/>
          <a:chExt cx="5892319" cy="3996652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03065" y="56435818"/>
            <a:ext cx="5892319" cy="399665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 rot="1574250">
            <a:off x="2931054" y="58144483"/>
            <a:ext cx="1122450" cy="1464388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2</xdr:col>
      <xdr:colOff>87950</xdr:colOff>
      <xdr:row>375</xdr:row>
      <xdr:rowOff>31749</xdr:rowOff>
    </xdr:from>
    <xdr:to>
      <xdr:col>5</xdr:col>
      <xdr:colOff>756200</xdr:colOff>
      <xdr:row>392</xdr:row>
      <xdr:rowOff>50793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46586" y="49986044"/>
          <a:ext cx="3240000" cy="340474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692720</xdr:colOff>
      <xdr:row>353</xdr:row>
      <xdr:rowOff>95249</xdr:rowOff>
    </xdr:from>
    <xdr:to>
      <xdr:col>7</xdr:col>
      <xdr:colOff>151430</xdr:colOff>
      <xdr:row>373</xdr:row>
      <xdr:rowOff>193001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2720" y="45668044"/>
          <a:ext cx="5147733" cy="40809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196850</xdr:colOff>
      <xdr:row>44</xdr:row>
      <xdr:rowOff>31751</xdr:rowOff>
    </xdr:from>
    <xdr:to>
      <xdr:col>11</xdr:col>
      <xdr:colOff>238400</xdr:colOff>
      <xdr:row>50</xdr:row>
      <xdr:rowOff>134705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48500" y="9740901"/>
          <a:ext cx="2880000" cy="210955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714375</xdr:colOff>
      <xdr:row>120</xdr:row>
      <xdr:rowOff>25401</xdr:rowOff>
    </xdr:from>
    <xdr:to>
      <xdr:col>12</xdr:col>
      <xdr:colOff>701225</xdr:colOff>
      <xdr:row>136</xdr:row>
      <xdr:rowOff>79684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48525" y="24914226"/>
          <a:ext cx="3396800" cy="325468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660400</xdr:colOff>
      <xdr:row>80</xdr:row>
      <xdr:rowOff>114300</xdr:rowOff>
    </xdr:from>
    <xdr:to>
      <xdr:col>15</xdr:col>
      <xdr:colOff>129500</xdr:colOff>
      <xdr:row>98</xdr:row>
      <xdr:rowOff>181457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94550" y="18783300"/>
          <a:ext cx="5146000" cy="16673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381000</xdr:colOff>
      <xdr:row>395</xdr:row>
      <xdr:rowOff>86590</xdr:rowOff>
    </xdr:from>
    <xdr:to>
      <xdr:col>7</xdr:col>
      <xdr:colOff>377079</xdr:colOff>
      <xdr:row>434</xdr:row>
      <xdr:rowOff>108137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381000" y="78382090"/>
          <a:ext cx="5855859" cy="7748227"/>
          <a:chOff x="381000" y="52388365"/>
          <a:chExt cx="5701554" cy="7822522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09466" y="52388365"/>
            <a:ext cx="5079519" cy="380952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/>
          <a:srcRect l="28331" t="24510" r="27849" b="22059"/>
          <a:stretch/>
        </xdr:blipFill>
        <xdr:spPr>
          <a:xfrm>
            <a:off x="381000" y="56302275"/>
            <a:ext cx="5701554" cy="390861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" name="Freeform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3105150" y="58054875"/>
            <a:ext cx="1123950" cy="1123950"/>
          </a:xfrm>
          <a:custGeom>
            <a:avLst/>
            <a:gdLst>
              <a:gd name="connsiteX0" fmla="*/ 19050 w 1123950"/>
              <a:gd name="connsiteY0" fmla="*/ 0 h 1123950"/>
              <a:gd name="connsiteX1" fmla="*/ 542925 w 1123950"/>
              <a:gd name="connsiteY1" fmla="*/ 180975 h 1123950"/>
              <a:gd name="connsiteX2" fmla="*/ 676275 w 1123950"/>
              <a:gd name="connsiteY2" fmla="*/ 342900 h 1123950"/>
              <a:gd name="connsiteX3" fmla="*/ 771525 w 1123950"/>
              <a:gd name="connsiteY3" fmla="*/ 542925 h 1123950"/>
              <a:gd name="connsiteX4" fmla="*/ 981075 w 1123950"/>
              <a:gd name="connsiteY4" fmla="*/ 771525 h 1123950"/>
              <a:gd name="connsiteX5" fmla="*/ 1123950 w 1123950"/>
              <a:gd name="connsiteY5" fmla="*/ 828675 h 1123950"/>
              <a:gd name="connsiteX6" fmla="*/ 1085850 w 1123950"/>
              <a:gd name="connsiteY6" fmla="*/ 1123950 h 1123950"/>
              <a:gd name="connsiteX7" fmla="*/ 0 w 1123950"/>
              <a:gd name="connsiteY7" fmla="*/ 1028700 h 1123950"/>
              <a:gd name="connsiteX8" fmla="*/ 19050 w 1123950"/>
              <a:gd name="connsiteY8" fmla="*/ 0 h 11239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123950" h="1123950">
                <a:moveTo>
                  <a:pt x="19050" y="0"/>
                </a:moveTo>
                <a:lnTo>
                  <a:pt x="542925" y="180975"/>
                </a:lnTo>
                <a:lnTo>
                  <a:pt x="676275" y="342900"/>
                </a:lnTo>
                <a:lnTo>
                  <a:pt x="771525" y="542925"/>
                </a:lnTo>
                <a:lnTo>
                  <a:pt x="981075" y="771525"/>
                </a:lnTo>
                <a:lnTo>
                  <a:pt x="1123950" y="828675"/>
                </a:lnTo>
                <a:lnTo>
                  <a:pt x="1085850" y="1123950"/>
                </a:lnTo>
                <a:lnTo>
                  <a:pt x="0" y="1028700"/>
                </a:lnTo>
                <a:lnTo>
                  <a:pt x="19050" y="0"/>
                </a:lnTo>
                <a:close/>
              </a:path>
            </a:pathLst>
          </a:cu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0</xdr:col>
      <xdr:colOff>66675</xdr:colOff>
      <xdr:row>271</xdr:row>
      <xdr:rowOff>19050</xdr:rowOff>
    </xdr:from>
    <xdr:to>
      <xdr:col>7</xdr:col>
      <xdr:colOff>643015</xdr:colOff>
      <xdr:row>298</xdr:row>
      <xdr:rowOff>89175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66675" y="53747670"/>
          <a:ext cx="6436120" cy="5419365"/>
          <a:chOff x="66675" y="44958000"/>
          <a:chExt cx="6281815" cy="5470800"/>
        </a:xfrm>
      </xdr:grpSpPr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4300" y="44958000"/>
            <a:ext cx="61425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 descr="insp-222822-916.jpg (959×1280)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1311" t="65201"/>
          <a:stretch/>
        </xdr:blipFill>
        <xdr:spPr bwMode="auto">
          <a:xfrm>
            <a:off x="66675" y="47548800"/>
            <a:ext cx="6281815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228600</xdr:colOff>
      <xdr:row>278</xdr:row>
      <xdr:rowOff>57150</xdr:rowOff>
    </xdr:from>
    <xdr:to>
      <xdr:col>7</xdr:col>
      <xdr:colOff>323850</xdr:colOff>
      <xdr:row>281</xdr:row>
      <xdr:rowOff>142875</xdr:rowOff>
    </xdr:to>
    <xdr:sp macro="" textlink="">
      <xdr:nvSpPr>
        <xdr:cNvPr id="14" name="Freeform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28600" y="46396275"/>
          <a:ext cx="5800725" cy="685800"/>
        </a:xfrm>
        <a:custGeom>
          <a:avLst/>
          <a:gdLst>
            <a:gd name="connsiteX0" fmla="*/ 9525 w 5819775"/>
            <a:gd name="connsiteY0" fmla="*/ 114300 h 676275"/>
            <a:gd name="connsiteX1" fmla="*/ 0 w 5819775"/>
            <a:gd name="connsiteY1" fmla="*/ 600075 h 676275"/>
            <a:gd name="connsiteX2" fmla="*/ 0 w 5819775"/>
            <a:gd name="connsiteY2" fmla="*/ 676275 h 676275"/>
            <a:gd name="connsiteX3" fmla="*/ 5819775 w 5819775"/>
            <a:gd name="connsiteY3" fmla="*/ 628650 h 676275"/>
            <a:gd name="connsiteX4" fmla="*/ 5791200 w 5819775"/>
            <a:gd name="connsiteY4" fmla="*/ 0 h 6762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819775" h="676275">
              <a:moveTo>
                <a:pt x="9525" y="114300"/>
              </a:moveTo>
              <a:lnTo>
                <a:pt x="0" y="600075"/>
              </a:lnTo>
              <a:lnTo>
                <a:pt x="0" y="676275"/>
              </a:lnTo>
              <a:lnTo>
                <a:pt x="5819775" y="628650"/>
              </a:lnTo>
              <a:lnTo>
                <a:pt x="5791200" y="0"/>
              </a:lnTo>
            </a:path>
          </a:pathLst>
        </a:custGeom>
        <a:noFill/>
        <a:ln w="28575">
          <a:solidFill>
            <a:srgbClr val="FF0000"/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152400</xdr:colOff>
      <xdr:row>281</xdr:row>
      <xdr:rowOff>85725</xdr:rowOff>
    </xdr:from>
    <xdr:to>
      <xdr:col>6</xdr:col>
      <xdr:colOff>152400</xdr:colOff>
      <xdr:row>284</xdr:row>
      <xdr:rowOff>161925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562225" y="47024925"/>
          <a:ext cx="2514600" cy="676275"/>
        </a:xfrm>
        <a:prstGeom prst="rect">
          <a:avLst/>
        </a:prstGeom>
        <a:noFill/>
        <a:ln w="28575">
          <a:noFill/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>
              <a:solidFill>
                <a:srgbClr val="C00000"/>
              </a:solidFill>
            </a:rPr>
            <a:t>Terrace Line</a:t>
          </a:r>
        </a:p>
      </xdr:txBody>
    </xdr:sp>
    <xdr:clientData/>
  </xdr:twoCellAnchor>
  <xdr:twoCellAnchor>
    <xdr:from>
      <xdr:col>2</xdr:col>
      <xdr:colOff>57151</xdr:colOff>
      <xdr:row>292</xdr:row>
      <xdr:rowOff>190501</xdr:rowOff>
    </xdr:from>
    <xdr:to>
      <xdr:col>4</xdr:col>
      <xdr:colOff>771526</xdr:colOff>
      <xdr:row>296</xdr:row>
      <xdr:rowOff>66676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 rot="19835314">
          <a:off x="1619251" y="49329976"/>
          <a:ext cx="2514600" cy="676275"/>
        </a:xfrm>
        <a:prstGeom prst="rect">
          <a:avLst/>
        </a:prstGeom>
        <a:noFill/>
        <a:ln w="28575">
          <a:noFill/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>
              <a:solidFill>
                <a:srgbClr val="C00000"/>
              </a:solidFill>
            </a:rPr>
            <a:t>Terrace Line</a:t>
          </a:r>
        </a:p>
      </xdr:txBody>
    </xdr:sp>
    <xdr:clientData/>
  </xdr:twoCellAnchor>
  <xdr:twoCellAnchor>
    <xdr:from>
      <xdr:col>0</xdr:col>
      <xdr:colOff>647700</xdr:colOff>
      <xdr:row>229</xdr:row>
      <xdr:rowOff>0</xdr:rowOff>
    </xdr:from>
    <xdr:to>
      <xdr:col>7</xdr:col>
      <xdr:colOff>196277</xdr:colOff>
      <xdr:row>265</xdr:row>
      <xdr:rowOff>146345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647700" y="45407580"/>
          <a:ext cx="5408357" cy="7278665"/>
          <a:chOff x="647700" y="44938950"/>
          <a:chExt cx="5254052" cy="7347245"/>
        </a:xfrm>
      </xdr:grpSpPr>
      <xdr:pic>
        <xdr:nvPicPr>
          <xdr:cNvPr id="53" name="Picture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803415" y="44938950"/>
            <a:ext cx="4942622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47700" y="48686195"/>
            <a:ext cx="5254052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5</xdr:col>
      <xdr:colOff>228600</xdr:colOff>
      <xdr:row>234</xdr:row>
      <xdr:rowOff>66675</xdr:rowOff>
    </xdr:from>
    <xdr:to>
      <xdr:col>7</xdr:col>
      <xdr:colOff>704850</xdr:colOff>
      <xdr:row>239</xdr:row>
      <xdr:rowOff>76200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371975" y="46005750"/>
          <a:ext cx="2038350" cy="1009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Old Plan</a:t>
          </a:r>
        </a:p>
      </xdr:txBody>
    </xdr:sp>
    <xdr:clientData/>
  </xdr:twoCellAnchor>
  <xdr:twoCellAnchor>
    <xdr:from>
      <xdr:col>5</xdr:col>
      <xdr:colOff>447675</xdr:colOff>
      <xdr:row>252</xdr:row>
      <xdr:rowOff>190500</xdr:rowOff>
    </xdr:from>
    <xdr:to>
      <xdr:col>8</xdr:col>
      <xdr:colOff>95250</xdr:colOff>
      <xdr:row>258</xdr:row>
      <xdr:rowOff>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4591050" y="49730025"/>
          <a:ext cx="2038350" cy="1009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New Plan</a:t>
          </a:r>
        </a:p>
      </xdr:txBody>
    </xdr:sp>
    <xdr:clientData/>
  </xdr:twoCellAnchor>
  <xdr:twoCellAnchor>
    <xdr:from>
      <xdr:col>3</xdr:col>
      <xdr:colOff>190500</xdr:colOff>
      <xdr:row>249</xdr:row>
      <xdr:rowOff>104775</xdr:rowOff>
    </xdr:from>
    <xdr:to>
      <xdr:col>5</xdr:col>
      <xdr:colOff>552450</xdr:colOff>
      <xdr:row>250</xdr:row>
      <xdr:rowOff>123825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600325" y="49044225"/>
          <a:ext cx="2095500" cy="2190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95250</xdr:colOff>
      <xdr:row>230</xdr:row>
      <xdr:rowOff>133350</xdr:rowOff>
    </xdr:from>
    <xdr:to>
      <xdr:col>5</xdr:col>
      <xdr:colOff>457200</xdr:colOff>
      <xdr:row>231</xdr:row>
      <xdr:rowOff>152400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2505075" y="45272325"/>
          <a:ext cx="2095500" cy="2190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495300</xdr:colOff>
      <xdr:row>313</xdr:row>
      <xdr:rowOff>19050</xdr:rowOff>
    </xdr:from>
    <xdr:to>
      <xdr:col>7</xdr:col>
      <xdr:colOff>312085</xdr:colOff>
      <xdr:row>343</xdr:row>
      <xdr:rowOff>6724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26815" t="11520" r="30742" b="6618"/>
        <a:stretch/>
      </xdr:blipFill>
      <xdr:spPr>
        <a:xfrm>
          <a:off x="495300" y="62388750"/>
          <a:ext cx="5522260" cy="598842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561975</xdr:colOff>
      <xdr:row>185</xdr:row>
      <xdr:rowOff>30480</xdr:rowOff>
    </xdr:from>
    <xdr:to>
      <xdr:col>16</xdr:col>
      <xdr:colOff>182880</xdr:colOff>
      <xdr:row>223</xdr:row>
      <xdr:rowOff>171450</xdr:rowOff>
    </xdr:to>
    <xdr:grpSp>
      <xdr:nvGrpSpPr>
        <xdr:cNvPr id="51" name="Group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pSpPr/>
      </xdr:nvGrpSpPr>
      <xdr:grpSpPr>
        <a:xfrm>
          <a:off x="7275195" y="36728400"/>
          <a:ext cx="6250305" cy="7661910"/>
          <a:chOff x="446275" y="981817"/>
          <a:chExt cx="5863220" cy="7465150"/>
        </a:xfrm>
      </xdr:grpSpPr>
      <xdr:pic>
        <xdr:nvPicPr>
          <xdr:cNvPr id="57" name="Picture 56" descr="https://vsjcllp.vsjadon.com/upload/insp-236801-1525.jpg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68348" y="6286967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Picture 57" descr="https://vsjcllp.vsjadon.com/upload/insp-236801-843.jpg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6275" y="981817"/>
            <a:ext cx="3846227" cy="513364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9" name="Picture 58" descr="https://vsjcllp.vsjadon.com/upload/insp-236801-844.jpg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47995" y="981817"/>
            <a:ext cx="1841147" cy="245742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0" name="Picture 59" descr="https://vsjcllp.vsjadon.com/upload/insp-236801-849.jpg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0030" y="6286967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" name="Picture 60" descr="https://vsjcllp.vsjadon.com/upload/insp-236801-880.jpg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68348" y="3610740"/>
            <a:ext cx="1841147" cy="245742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2" name="Picture 61" descr="https://vsjcllp.vsjadon.com/upload/insp-236801-883.jpg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74189" y="6286967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396240</xdr:colOff>
      <xdr:row>185</xdr:row>
      <xdr:rowOff>160020</xdr:rowOff>
    </xdr:from>
    <xdr:to>
      <xdr:col>7</xdr:col>
      <xdr:colOff>495299</xdr:colOff>
      <xdr:row>224</xdr:row>
      <xdr:rowOff>167641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871331EA-D371-27FE-95AE-24536BA9B987}"/>
            </a:ext>
          </a:extLst>
        </xdr:cNvPr>
        <xdr:cNvGrpSpPr/>
      </xdr:nvGrpSpPr>
      <xdr:grpSpPr>
        <a:xfrm>
          <a:off x="396240" y="36857940"/>
          <a:ext cx="5958839" cy="7726681"/>
          <a:chOff x="0" y="-159374"/>
          <a:chExt cx="6791889" cy="7718511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158C1A1E-A248-927A-B8C5-6ED464BBFF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03967" y="5753257"/>
            <a:ext cx="1352302" cy="180474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BEAA3B5C-262A-1D99-285F-1F1D197D6B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6375" y="5754397"/>
            <a:ext cx="1352302" cy="180474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3A5F49A4-CA5B-612A-9A99-2D4DAA694C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926" y="3492000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C703218B-D079-8B02-AF48-011BEF4C73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73389" y="3492000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B1C7C9A7-9696-1B3C-538B-6CA1981D33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95429" y="-159374"/>
            <a:ext cx="2615811" cy="349098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90534249-F5E7-E077-5640-1A30FFFEE1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5332" y="-158383"/>
            <a:ext cx="2615811" cy="349098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787D0ABA-4EA4-CE46-B34C-C9FEACAD6F5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3503575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4A3CAE5B-0FE0-7A75-A730-2D9B97C583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24463" y="3492000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46A71FCD-1A81-C662-A09E-49EE4EF6A6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56292" y="5754397"/>
            <a:ext cx="1351448" cy="18036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459441</xdr:colOff>
      <xdr:row>34</xdr:row>
      <xdr:rowOff>45742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2678206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crQkkLPXSvicMbLu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95"/>
  <sheetViews>
    <sheetView tabSelected="1" view="pageBreakPreview" zoomScaleNormal="100" zoomScaleSheetLayoutView="100" workbookViewId="0">
      <selection activeCell="J1" sqref="J1"/>
    </sheetView>
  </sheetViews>
  <sheetFormatPr defaultColWidth="9.33203125" defaultRowHeight="15.6" x14ac:dyDescent="0.3"/>
  <cols>
    <col min="1" max="1" width="11.44140625" style="36" customWidth="1"/>
    <col min="2" max="2" width="12" style="36" customWidth="1"/>
    <col min="3" max="3" width="12.6640625" style="36" customWidth="1"/>
    <col min="4" max="4" width="14.33203125" style="36" customWidth="1"/>
    <col min="5" max="7" width="11.6640625" style="36" customWidth="1"/>
    <col min="8" max="8" width="12.44140625" style="36" customWidth="1"/>
    <col min="9" max="9" width="17.44140625" style="17" customWidth="1"/>
    <col min="10" max="10" width="11.44140625" style="17" customWidth="1"/>
    <col min="11" max="11" width="11.6640625" style="17" bestFit="1" customWidth="1"/>
    <col min="12" max="12" width="10.5546875" style="17" customWidth="1"/>
    <col min="13" max="13" width="11.6640625" style="17" customWidth="1"/>
    <col min="14" max="14" width="12.5546875" style="17" customWidth="1"/>
    <col min="15" max="15" width="9.6640625" style="17" customWidth="1"/>
    <col min="16" max="16" width="11.6640625" style="17" customWidth="1"/>
    <col min="17" max="247" width="9.33203125" style="17"/>
    <col min="248" max="248" width="8.6640625" style="17" customWidth="1"/>
    <col min="249" max="249" width="9.6640625" style="17" customWidth="1"/>
    <col min="250" max="250" width="14.44140625" style="17" customWidth="1"/>
    <col min="251" max="251" width="7.33203125" style="17" customWidth="1"/>
    <col min="252" max="252" width="5.5546875" style="17" customWidth="1"/>
    <col min="253" max="253" width="9" style="17" customWidth="1"/>
    <col min="254" max="255" width="9.6640625" style="17" customWidth="1"/>
    <col min="256" max="256" width="11.33203125" style="17" customWidth="1"/>
    <col min="257" max="257" width="2.6640625" style="17" customWidth="1"/>
    <col min="258" max="258" width="3.5546875" style="17" customWidth="1"/>
    <col min="259" max="503" width="9.33203125" style="17"/>
    <col min="504" max="504" width="8.6640625" style="17" customWidth="1"/>
    <col min="505" max="505" width="9.6640625" style="17" customWidth="1"/>
    <col min="506" max="506" width="14.44140625" style="17" customWidth="1"/>
    <col min="507" max="507" width="7.33203125" style="17" customWidth="1"/>
    <col min="508" max="508" width="5.5546875" style="17" customWidth="1"/>
    <col min="509" max="509" width="9" style="17" customWidth="1"/>
    <col min="510" max="511" width="9.6640625" style="17" customWidth="1"/>
    <col min="512" max="512" width="11.33203125" style="17" customWidth="1"/>
    <col min="513" max="513" width="2.6640625" style="17" customWidth="1"/>
    <col min="514" max="514" width="3.5546875" style="17" customWidth="1"/>
    <col min="515" max="759" width="9.33203125" style="17"/>
    <col min="760" max="760" width="8.6640625" style="17" customWidth="1"/>
    <col min="761" max="761" width="9.6640625" style="17" customWidth="1"/>
    <col min="762" max="762" width="14.44140625" style="17" customWidth="1"/>
    <col min="763" max="763" width="7.33203125" style="17" customWidth="1"/>
    <col min="764" max="764" width="5.5546875" style="17" customWidth="1"/>
    <col min="765" max="765" width="9" style="17" customWidth="1"/>
    <col min="766" max="767" width="9.6640625" style="17" customWidth="1"/>
    <col min="768" max="768" width="11.33203125" style="17" customWidth="1"/>
    <col min="769" max="769" width="2.6640625" style="17" customWidth="1"/>
    <col min="770" max="770" width="3.5546875" style="17" customWidth="1"/>
    <col min="771" max="1015" width="9.33203125" style="17"/>
    <col min="1016" max="1016" width="8.6640625" style="17" customWidth="1"/>
    <col min="1017" max="1017" width="9.6640625" style="17" customWidth="1"/>
    <col min="1018" max="1018" width="14.44140625" style="17" customWidth="1"/>
    <col min="1019" max="1019" width="7.33203125" style="17" customWidth="1"/>
    <col min="1020" max="1020" width="5.5546875" style="17" customWidth="1"/>
    <col min="1021" max="1021" width="9" style="17" customWidth="1"/>
    <col min="1022" max="1023" width="9.6640625" style="17" customWidth="1"/>
    <col min="1024" max="1024" width="11.33203125" style="17" customWidth="1"/>
    <col min="1025" max="1025" width="2.6640625" style="17" customWidth="1"/>
    <col min="1026" max="1026" width="3.5546875" style="17" customWidth="1"/>
    <col min="1027" max="1271" width="9.33203125" style="17"/>
    <col min="1272" max="1272" width="8.6640625" style="17" customWidth="1"/>
    <col min="1273" max="1273" width="9.6640625" style="17" customWidth="1"/>
    <col min="1274" max="1274" width="14.44140625" style="17" customWidth="1"/>
    <col min="1275" max="1275" width="7.33203125" style="17" customWidth="1"/>
    <col min="1276" max="1276" width="5.5546875" style="17" customWidth="1"/>
    <col min="1277" max="1277" width="9" style="17" customWidth="1"/>
    <col min="1278" max="1279" width="9.6640625" style="17" customWidth="1"/>
    <col min="1280" max="1280" width="11.33203125" style="17" customWidth="1"/>
    <col min="1281" max="1281" width="2.6640625" style="17" customWidth="1"/>
    <col min="1282" max="1282" width="3.5546875" style="17" customWidth="1"/>
    <col min="1283" max="1527" width="9.33203125" style="17"/>
    <col min="1528" max="1528" width="8.6640625" style="17" customWidth="1"/>
    <col min="1529" max="1529" width="9.6640625" style="17" customWidth="1"/>
    <col min="1530" max="1530" width="14.44140625" style="17" customWidth="1"/>
    <col min="1531" max="1531" width="7.33203125" style="17" customWidth="1"/>
    <col min="1532" max="1532" width="5.5546875" style="17" customWidth="1"/>
    <col min="1533" max="1533" width="9" style="17" customWidth="1"/>
    <col min="1534" max="1535" width="9.6640625" style="17" customWidth="1"/>
    <col min="1536" max="1536" width="11.33203125" style="17" customWidth="1"/>
    <col min="1537" max="1537" width="2.6640625" style="17" customWidth="1"/>
    <col min="1538" max="1538" width="3.5546875" style="17" customWidth="1"/>
    <col min="1539" max="1783" width="9.33203125" style="17"/>
    <col min="1784" max="1784" width="8.6640625" style="17" customWidth="1"/>
    <col min="1785" max="1785" width="9.6640625" style="17" customWidth="1"/>
    <col min="1786" max="1786" width="14.44140625" style="17" customWidth="1"/>
    <col min="1787" max="1787" width="7.33203125" style="17" customWidth="1"/>
    <col min="1788" max="1788" width="5.5546875" style="17" customWidth="1"/>
    <col min="1789" max="1789" width="9" style="17" customWidth="1"/>
    <col min="1790" max="1791" width="9.6640625" style="17" customWidth="1"/>
    <col min="1792" max="1792" width="11.33203125" style="17" customWidth="1"/>
    <col min="1793" max="1793" width="2.6640625" style="17" customWidth="1"/>
    <col min="1794" max="1794" width="3.5546875" style="17" customWidth="1"/>
    <col min="1795" max="2039" width="9.33203125" style="17"/>
    <col min="2040" max="2040" width="8.6640625" style="17" customWidth="1"/>
    <col min="2041" max="2041" width="9.6640625" style="17" customWidth="1"/>
    <col min="2042" max="2042" width="14.44140625" style="17" customWidth="1"/>
    <col min="2043" max="2043" width="7.33203125" style="17" customWidth="1"/>
    <col min="2044" max="2044" width="5.5546875" style="17" customWidth="1"/>
    <col min="2045" max="2045" width="9" style="17" customWidth="1"/>
    <col min="2046" max="2047" width="9.6640625" style="17" customWidth="1"/>
    <col min="2048" max="2048" width="11.33203125" style="17" customWidth="1"/>
    <col min="2049" max="2049" width="2.6640625" style="17" customWidth="1"/>
    <col min="2050" max="2050" width="3.5546875" style="17" customWidth="1"/>
    <col min="2051" max="2295" width="9.33203125" style="17"/>
    <col min="2296" max="2296" width="8.6640625" style="17" customWidth="1"/>
    <col min="2297" max="2297" width="9.6640625" style="17" customWidth="1"/>
    <col min="2298" max="2298" width="14.44140625" style="17" customWidth="1"/>
    <col min="2299" max="2299" width="7.33203125" style="17" customWidth="1"/>
    <col min="2300" max="2300" width="5.5546875" style="17" customWidth="1"/>
    <col min="2301" max="2301" width="9" style="17" customWidth="1"/>
    <col min="2302" max="2303" width="9.6640625" style="17" customWidth="1"/>
    <col min="2304" max="2304" width="11.33203125" style="17" customWidth="1"/>
    <col min="2305" max="2305" width="2.6640625" style="17" customWidth="1"/>
    <col min="2306" max="2306" width="3.5546875" style="17" customWidth="1"/>
    <col min="2307" max="2551" width="9.33203125" style="17"/>
    <col min="2552" max="2552" width="8.6640625" style="17" customWidth="1"/>
    <col min="2553" max="2553" width="9.6640625" style="17" customWidth="1"/>
    <col min="2554" max="2554" width="14.44140625" style="17" customWidth="1"/>
    <col min="2555" max="2555" width="7.33203125" style="17" customWidth="1"/>
    <col min="2556" max="2556" width="5.5546875" style="17" customWidth="1"/>
    <col min="2557" max="2557" width="9" style="17" customWidth="1"/>
    <col min="2558" max="2559" width="9.6640625" style="17" customWidth="1"/>
    <col min="2560" max="2560" width="11.33203125" style="17" customWidth="1"/>
    <col min="2561" max="2561" width="2.6640625" style="17" customWidth="1"/>
    <col min="2562" max="2562" width="3.5546875" style="17" customWidth="1"/>
    <col min="2563" max="2807" width="9.33203125" style="17"/>
    <col min="2808" max="2808" width="8.6640625" style="17" customWidth="1"/>
    <col min="2809" max="2809" width="9.6640625" style="17" customWidth="1"/>
    <col min="2810" max="2810" width="14.44140625" style="17" customWidth="1"/>
    <col min="2811" max="2811" width="7.33203125" style="17" customWidth="1"/>
    <col min="2812" max="2812" width="5.5546875" style="17" customWidth="1"/>
    <col min="2813" max="2813" width="9" style="17" customWidth="1"/>
    <col min="2814" max="2815" width="9.6640625" style="17" customWidth="1"/>
    <col min="2816" max="2816" width="11.33203125" style="17" customWidth="1"/>
    <col min="2817" max="2817" width="2.6640625" style="17" customWidth="1"/>
    <col min="2818" max="2818" width="3.5546875" style="17" customWidth="1"/>
    <col min="2819" max="3063" width="9.33203125" style="17"/>
    <col min="3064" max="3064" width="8.6640625" style="17" customWidth="1"/>
    <col min="3065" max="3065" width="9.6640625" style="17" customWidth="1"/>
    <col min="3066" max="3066" width="14.44140625" style="17" customWidth="1"/>
    <col min="3067" max="3067" width="7.33203125" style="17" customWidth="1"/>
    <col min="3068" max="3068" width="5.5546875" style="17" customWidth="1"/>
    <col min="3069" max="3069" width="9" style="17" customWidth="1"/>
    <col min="3070" max="3071" width="9.6640625" style="17" customWidth="1"/>
    <col min="3072" max="3072" width="11.33203125" style="17" customWidth="1"/>
    <col min="3073" max="3073" width="2.6640625" style="17" customWidth="1"/>
    <col min="3074" max="3074" width="3.5546875" style="17" customWidth="1"/>
    <col min="3075" max="3319" width="9.33203125" style="17"/>
    <col min="3320" max="3320" width="8.6640625" style="17" customWidth="1"/>
    <col min="3321" max="3321" width="9.6640625" style="17" customWidth="1"/>
    <col min="3322" max="3322" width="14.44140625" style="17" customWidth="1"/>
    <col min="3323" max="3323" width="7.33203125" style="17" customWidth="1"/>
    <col min="3324" max="3324" width="5.5546875" style="17" customWidth="1"/>
    <col min="3325" max="3325" width="9" style="17" customWidth="1"/>
    <col min="3326" max="3327" width="9.6640625" style="17" customWidth="1"/>
    <col min="3328" max="3328" width="11.33203125" style="17" customWidth="1"/>
    <col min="3329" max="3329" width="2.6640625" style="17" customWidth="1"/>
    <col min="3330" max="3330" width="3.5546875" style="17" customWidth="1"/>
    <col min="3331" max="3575" width="9.33203125" style="17"/>
    <col min="3576" max="3576" width="8.6640625" style="17" customWidth="1"/>
    <col min="3577" max="3577" width="9.6640625" style="17" customWidth="1"/>
    <col min="3578" max="3578" width="14.44140625" style="17" customWidth="1"/>
    <col min="3579" max="3579" width="7.33203125" style="17" customWidth="1"/>
    <col min="3580" max="3580" width="5.5546875" style="17" customWidth="1"/>
    <col min="3581" max="3581" width="9" style="17" customWidth="1"/>
    <col min="3582" max="3583" width="9.6640625" style="17" customWidth="1"/>
    <col min="3584" max="3584" width="11.33203125" style="17" customWidth="1"/>
    <col min="3585" max="3585" width="2.6640625" style="17" customWidth="1"/>
    <col min="3586" max="3586" width="3.5546875" style="17" customWidth="1"/>
    <col min="3587" max="3831" width="9.33203125" style="17"/>
    <col min="3832" max="3832" width="8.6640625" style="17" customWidth="1"/>
    <col min="3833" max="3833" width="9.6640625" style="17" customWidth="1"/>
    <col min="3834" max="3834" width="14.44140625" style="17" customWidth="1"/>
    <col min="3835" max="3835" width="7.33203125" style="17" customWidth="1"/>
    <col min="3836" max="3836" width="5.5546875" style="17" customWidth="1"/>
    <col min="3837" max="3837" width="9" style="17" customWidth="1"/>
    <col min="3838" max="3839" width="9.6640625" style="17" customWidth="1"/>
    <col min="3840" max="3840" width="11.33203125" style="17" customWidth="1"/>
    <col min="3841" max="3841" width="2.6640625" style="17" customWidth="1"/>
    <col min="3842" max="3842" width="3.5546875" style="17" customWidth="1"/>
    <col min="3843" max="4087" width="9.33203125" style="17"/>
    <col min="4088" max="4088" width="8.6640625" style="17" customWidth="1"/>
    <col min="4089" max="4089" width="9.6640625" style="17" customWidth="1"/>
    <col min="4090" max="4090" width="14.44140625" style="17" customWidth="1"/>
    <col min="4091" max="4091" width="7.33203125" style="17" customWidth="1"/>
    <col min="4092" max="4092" width="5.5546875" style="17" customWidth="1"/>
    <col min="4093" max="4093" width="9" style="17" customWidth="1"/>
    <col min="4094" max="4095" width="9.6640625" style="17" customWidth="1"/>
    <col min="4096" max="4096" width="11.33203125" style="17" customWidth="1"/>
    <col min="4097" max="4097" width="2.6640625" style="17" customWidth="1"/>
    <col min="4098" max="4098" width="3.5546875" style="17" customWidth="1"/>
    <col min="4099" max="4343" width="9.33203125" style="17"/>
    <col min="4344" max="4344" width="8.6640625" style="17" customWidth="1"/>
    <col min="4345" max="4345" width="9.6640625" style="17" customWidth="1"/>
    <col min="4346" max="4346" width="14.44140625" style="17" customWidth="1"/>
    <col min="4347" max="4347" width="7.33203125" style="17" customWidth="1"/>
    <col min="4348" max="4348" width="5.5546875" style="17" customWidth="1"/>
    <col min="4349" max="4349" width="9" style="17" customWidth="1"/>
    <col min="4350" max="4351" width="9.6640625" style="17" customWidth="1"/>
    <col min="4352" max="4352" width="11.33203125" style="17" customWidth="1"/>
    <col min="4353" max="4353" width="2.6640625" style="17" customWidth="1"/>
    <col min="4354" max="4354" width="3.5546875" style="17" customWidth="1"/>
    <col min="4355" max="4599" width="9.33203125" style="17"/>
    <col min="4600" max="4600" width="8.6640625" style="17" customWidth="1"/>
    <col min="4601" max="4601" width="9.6640625" style="17" customWidth="1"/>
    <col min="4602" max="4602" width="14.44140625" style="17" customWidth="1"/>
    <col min="4603" max="4603" width="7.33203125" style="17" customWidth="1"/>
    <col min="4604" max="4604" width="5.5546875" style="17" customWidth="1"/>
    <col min="4605" max="4605" width="9" style="17" customWidth="1"/>
    <col min="4606" max="4607" width="9.6640625" style="17" customWidth="1"/>
    <col min="4608" max="4608" width="11.33203125" style="17" customWidth="1"/>
    <col min="4609" max="4609" width="2.6640625" style="17" customWidth="1"/>
    <col min="4610" max="4610" width="3.5546875" style="17" customWidth="1"/>
    <col min="4611" max="4855" width="9.33203125" style="17"/>
    <col min="4856" max="4856" width="8.6640625" style="17" customWidth="1"/>
    <col min="4857" max="4857" width="9.6640625" style="17" customWidth="1"/>
    <col min="4858" max="4858" width="14.44140625" style="17" customWidth="1"/>
    <col min="4859" max="4859" width="7.33203125" style="17" customWidth="1"/>
    <col min="4860" max="4860" width="5.5546875" style="17" customWidth="1"/>
    <col min="4861" max="4861" width="9" style="17" customWidth="1"/>
    <col min="4862" max="4863" width="9.6640625" style="17" customWidth="1"/>
    <col min="4864" max="4864" width="11.33203125" style="17" customWidth="1"/>
    <col min="4865" max="4865" width="2.6640625" style="17" customWidth="1"/>
    <col min="4866" max="4866" width="3.5546875" style="17" customWidth="1"/>
    <col min="4867" max="5111" width="9.33203125" style="17"/>
    <col min="5112" max="5112" width="8.6640625" style="17" customWidth="1"/>
    <col min="5113" max="5113" width="9.6640625" style="17" customWidth="1"/>
    <col min="5114" max="5114" width="14.44140625" style="17" customWidth="1"/>
    <col min="5115" max="5115" width="7.33203125" style="17" customWidth="1"/>
    <col min="5116" max="5116" width="5.5546875" style="17" customWidth="1"/>
    <col min="5117" max="5117" width="9" style="17" customWidth="1"/>
    <col min="5118" max="5119" width="9.6640625" style="17" customWidth="1"/>
    <col min="5120" max="5120" width="11.33203125" style="17" customWidth="1"/>
    <col min="5121" max="5121" width="2.6640625" style="17" customWidth="1"/>
    <col min="5122" max="5122" width="3.5546875" style="17" customWidth="1"/>
    <col min="5123" max="5367" width="9.33203125" style="17"/>
    <col min="5368" max="5368" width="8.6640625" style="17" customWidth="1"/>
    <col min="5369" max="5369" width="9.6640625" style="17" customWidth="1"/>
    <col min="5370" max="5370" width="14.44140625" style="17" customWidth="1"/>
    <col min="5371" max="5371" width="7.33203125" style="17" customWidth="1"/>
    <col min="5372" max="5372" width="5.5546875" style="17" customWidth="1"/>
    <col min="5373" max="5373" width="9" style="17" customWidth="1"/>
    <col min="5374" max="5375" width="9.6640625" style="17" customWidth="1"/>
    <col min="5376" max="5376" width="11.33203125" style="17" customWidth="1"/>
    <col min="5377" max="5377" width="2.6640625" style="17" customWidth="1"/>
    <col min="5378" max="5378" width="3.5546875" style="17" customWidth="1"/>
    <col min="5379" max="5623" width="9.33203125" style="17"/>
    <col min="5624" max="5624" width="8.6640625" style="17" customWidth="1"/>
    <col min="5625" max="5625" width="9.6640625" style="17" customWidth="1"/>
    <col min="5626" max="5626" width="14.44140625" style="17" customWidth="1"/>
    <col min="5627" max="5627" width="7.33203125" style="17" customWidth="1"/>
    <col min="5628" max="5628" width="5.5546875" style="17" customWidth="1"/>
    <col min="5629" max="5629" width="9" style="17" customWidth="1"/>
    <col min="5630" max="5631" width="9.6640625" style="17" customWidth="1"/>
    <col min="5632" max="5632" width="11.33203125" style="17" customWidth="1"/>
    <col min="5633" max="5633" width="2.6640625" style="17" customWidth="1"/>
    <col min="5634" max="5634" width="3.5546875" style="17" customWidth="1"/>
    <col min="5635" max="5879" width="9.33203125" style="17"/>
    <col min="5880" max="5880" width="8.6640625" style="17" customWidth="1"/>
    <col min="5881" max="5881" width="9.6640625" style="17" customWidth="1"/>
    <col min="5882" max="5882" width="14.44140625" style="17" customWidth="1"/>
    <col min="5883" max="5883" width="7.33203125" style="17" customWidth="1"/>
    <col min="5884" max="5884" width="5.5546875" style="17" customWidth="1"/>
    <col min="5885" max="5885" width="9" style="17" customWidth="1"/>
    <col min="5886" max="5887" width="9.6640625" style="17" customWidth="1"/>
    <col min="5888" max="5888" width="11.33203125" style="17" customWidth="1"/>
    <col min="5889" max="5889" width="2.6640625" style="17" customWidth="1"/>
    <col min="5890" max="5890" width="3.5546875" style="17" customWidth="1"/>
    <col min="5891" max="6135" width="9.33203125" style="17"/>
    <col min="6136" max="6136" width="8.6640625" style="17" customWidth="1"/>
    <col min="6137" max="6137" width="9.6640625" style="17" customWidth="1"/>
    <col min="6138" max="6138" width="14.44140625" style="17" customWidth="1"/>
    <col min="6139" max="6139" width="7.33203125" style="17" customWidth="1"/>
    <col min="6140" max="6140" width="5.5546875" style="17" customWidth="1"/>
    <col min="6141" max="6141" width="9" style="17" customWidth="1"/>
    <col min="6142" max="6143" width="9.6640625" style="17" customWidth="1"/>
    <col min="6144" max="6144" width="11.33203125" style="17" customWidth="1"/>
    <col min="6145" max="6145" width="2.6640625" style="17" customWidth="1"/>
    <col min="6146" max="6146" width="3.5546875" style="17" customWidth="1"/>
    <col min="6147" max="6391" width="9.33203125" style="17"/>
    <col min="6392" max="6392" width="8.6640625" style="17" customWidth="1"/>
    <col min="6393" max="6393" width="9.6640625" style="17" customWidth="1"/>
    <col min="6394" max="6394" width="14.44140625" style="17" customWidth="1"/>
    <col min="6395" max="6395" width="7.33203125" style="17" customWidth="1"/>
    <col min="6396" max="6396" width="5.5546875" style="17" customWidth="1"/>
    <col min="6397" max="6397" width="9" style="17" customWidth="1"/>
    <col min="6398" max="6399" width="9.6640625" style="17" customWidth="1"/>
    <col min="6400" max="6400" width="11.33203125" style="17" customWidth="1"/>
    <col min="6401" max="6401" width="2.6640625" style="17" customWidth="1"/>
    <col min="6402" max="6402" width="3.5546875" style="17" customWidth="1"/>
    <col min="6403" max="6647" width="9.33203125" style="17"/>
    <col min="6648" max="6648" width="8.6640625" style="17" customWidth="1"/>
    <col min="6649" max="6649" width="9.6640625" style="17" customWidth="1"/>
    <col min="6650" max="6650" width="14.44140625" style="17" customWidth="1"/>
    <col min="6651" max="6651" width="7.33203125" style="17" customWidth="1"/>
    <col min="6652" max="6652" width="5.5546875" style="17" customWidth="1"/>
    <col min="6653" max="6653" width="9" style="17" customWidth="1"/>
    <col min="6654" max="6655" width="9.6640625" style="17" customWidth="1"/>
    <col min="6656" max="6656" width="11.33203125" style="17" customWidth="1"/>
    <col min="6657" max="6657" width="2.6640625" style="17" customWidth="1"/>
    <col min="6658" max="6658" width="3.5546875" style="17" customWidth="1"/>
    <col min="6659" max="6903" width="9.33203125" style="17"/>
    <col min="6904" max="6904" width="8.6640625" style="17" customWidth="1"/>
    <col min="6905" max="6905" width="9.6640625" style="17" customWidth="1"/>
    <col min="6906" max="6906" width="14.44140625" style="17" customWidth="1"/>
    <col min="6907" max="6907" width="7.33203125" style="17" customWidth="1"/>
    <col min="6908" max="6908" width="5.5546875" style="17" customWidth="1"/>
    <col min="6909" max="6909" width="9" style="17" customWidth="1"/>
    <col min="6910" max="6911" width="9.6640625" style="17" customWidth="1"/>
    <col min="6912" max="6912" width="11.33203125" style="17" customWidth="1"/>
    <col min="6913" max="6913" width="2.6640625" style="17" customWidth="1"/>
    <col min="6914" max="6914" width="3.5546875" style="17" customWidth="1"/>
    <col min="6915" max="7159" width="9.33203125" style="17"/>
    <col min="7160" max="7160" width="8.6640625" style="17" customWidth="1"/>
    <col min="7161" max="7161" width="9.6640625" style="17" customWidth="1"/>
    <col min="7162" max="7162" width="14.44140625" style="17" customWidth="1"/>
    <col min="7163" max="7163" width="7.33203125" style="17" customWidth="1"/>
    <col min="7164" max="7164" width="5.5546875" style="17" customWidth="1"/>
    <col min="7165" max="7165" width="9" style="17" customWidth="1"/>
    <col min="7166" max="7167" width="9.6640625" style="17" customWidth="1"/>
    <col min="7168" max="7168" width="11.33203125" style="17" customWidth="1"/>
    <col min="7169" max="7169" width="2.6640625" style="17" customWidth="1"/>
    <col min="7170" max="7170" width="3.5546875" style="17" customWidth="1"/>
    <col min="7171" max="7415" width="9.33203125" style="17"/>
    <col min="7416" max="7416" width="8.6640625" style="17" customWidth="1"/>
    <col min="7417" max="7417" width="9.6640625" style="17" customWidth="1"/>
    <col min="7418" max="7418" width="14.44140625" style="17" customWidth="1"/>
    <col min="7419" max="7419" width="7.33203125" style="17" customWidth="1"/>
    <col min="7420" max="7420" width="5.5546875" style="17" customWidth="1"/>
    <col min="7421" max="7421" width="9" style="17" customWidth="1"/>
    <col min="7422" max="7423" width="9.6640625" style="17" customWidth="1"/>
    <col min="7424" max="7424" width="11.33203125" style="17" customWidth="1"/>
    <col min="7425" max="7425" width="2.6640625" style="17" customWidth="1"/>
    <col min="7426" max="7426" width="3.5546875" style="17" customWidth="1"/>
    <col min="7427" max="7671" width="9.33203125" style="17"/>
    <col min="7672" max="7672" width="8.6640625" style="17" customWidth="1"/>
    <col min="7673" max="7673" width="9.6640625" style="17" customWidth="1"/>
    <col min="7674" max="7674" width="14.44140625" style="17" customWidth="1"/>
    <col min="7675" max="7675" width="7.33203125" style="17" customWidth="1"/>
    <col min="7676" max="7676" width="5.5546875" style="17" customWidth="1"/>
    <col min="7677" max="7677" width="9" style="17" customWidth="1"/>
    <col min="7678" max="7679" width="9.6640625" style="17" customWidth="1"/>
    <col min="7680" max="7680" width="11.33203125" style="17" customWidth="1"/>
    <col min="7681" max="7681" width="2.6640625" style="17" customWidth="1"/>
    <col min="7682" max="7682" width="3.5546875" style="17" customWidth="1"/>
    <col min="7683" max="7927" width="9.33203125" style="17"/>
    <col min="7928" max="7928" width="8.6640625" style="17" customWidth="1"/>
    <col min="7929" max="7929" width="9.6640625" style="17" customWidth="1"/>
    <col min="7930" max="7930" width="14.44140625" style="17" customWidth="1"/>
    <col min="7931" max="7931" width="7.33203125" style="17" customWidth="1"/>
    <col min="7932" max="7932" width="5.5546875" style="17" customWidth="1"/>
    <col min="7933" max="7933" width="9" style="17" customWidth="1"/>
    <col min="7934" max="7935" width="9.6640625" style="17" customWidth="1"/>
    <col min="7936" max="7936" width="11.33203125" style="17" customWidth="1"/>
    <col min="7937" max="7937" width="2.6640625" style="17" customWidth="1"/>
    <col min="7938" max="7938" width="3.5546875" style="17" customWidth="1"/>
    <col min="7939" max="8183" width="9.33203125" style="17"/>
    <col min="8184" max="8184" width="8.6640625" style="17" customWidth="1"/>
    <col min="8185" max="8185" width="9.6640625" style="17" customWidth="1"/>
    <col min="8186" max="8186" width="14.44140625" style="17" customWidth="1"/>
    <col min="8187" max="8187" width="7.33203125" style="17" customWidth="1"/>
    <col min="8188" max="8188" width="5.5546875" style="17" customWidth="1"/>
    <col min="8189" max="8189" width="9" style="17" customWidth="1"/>
    <col min="8190" max="8191" width="9.6640625" style="17" customWidth="1"/>
    <col min="8192" max="8192" width="11.33203125" style="17" customWidth="1"/>
    <col min="8193" max="8193" width="2.6640625" style="17" customWidth="1"/>
    <col min="8194" max="8194" width="3.5546875" style="17" customWidth="1"/>
    <col min="8195" max="8439" width="9.33203125" style="17"/>
    <col min="8440" max="8440" width="8.6640625" style="17" customWidth="1"/>
    <col min="8441" max="8441" width="9.6640625" style="17" customWidth="1"/>
    <col min="8442" max="8442" width="14.44140625" style="17" customWidth="1"/>
    <col min="8443" max="8443" width="7.33203125" style="17" customWidth="1"/>
    <col min="8444" max="8444" width="5.5546875" style="17" customWidth="1"/>
    <col min="8445" max="8445" width="9" style="17" customWidth="1"/>
    <col min="8446" max="8447" width="9.6640625" style="17" customWidth="1"/>
    <col min="8448" max="8448" width="11.33203125" style="17" customWidth="1"/>
    <col min="8449" max="8449" width="2.6640625" style="17" customWidth="1"/>
    <col min="8450" max="8450" width="3.5546875" style="17" customWidth="1"/>
    <col min="8451" max="8695" width="9.33203125" style="17"/>
    <col min="8696" max="8696" width="8.6640625" style="17" customWidth="1"/>
    <col min="8697" max="8697" width="9.6640625" style="17" customWidth="1"/>
    <col min="8698" max="8698" width="14.44140625" style="17" customWidth="1"/>
    <col min="8699" max="8699" width="7.33203125" style="17" customWidth="1"/>
    <col min="8700" max="8700" width="5.5546875" style="17" customWidth="1"/>
    <col min="8701" max="8701" width="9" style="17" customWidth="1"/>
    <col min="8702" max="8703" width="9.6640625" style="17" customWidth="1"/>
    <col min="8704" max="8704" width="11.33203125" style="17" customWidth="1"/>
    <col min="8705" max="8705" width="2.6640625" style="17" customWidth="1"/>
    <col min="8706" max="8706" width="3.5546875" style="17" customWidth="1"/>
    <col min="8707" max="8951" width="9.33203125" style="17"/>
    <col min="8952" max="8952" width="8.6640625" style="17" customWidth="1"/>
    <col min="8953" max="8953" width="9.6640625" style="17" customWidth="1"/>
    <col min="8954" max="8954" width="14.44140625" style="17" customWidth="1"/>
    <col min="8955" max="8955" width="7.33203125" style="17" customWidth="1"/>
    <col min="8956" max="8956" width="5.5546875" style="17" customWidth="1"/>
    <col min="8957" max="8957" width="9" style="17" customWidth="1"/>
    <col min="8958" max="8959" width="9.6640625" style="17" customWidth="1"/>
    <col min="8960" max="8960" width="11.33203125" style="17" customWidth="1"/>
    <col min="8961" max="8961" width="2.6640625" style="17" customWidth="1"/>
    <col min="8962" max="8962" width="3.5546875" style="17" customWidth="1"/>
    <col min="8963" max="9207" width="9.33203125" style="17"/>
    <col min="9208" max="9208" width="8.6640625" style="17" customWidth="1"/>
    <col min="9209" max="9209" width="9.6640625" style="17" customWidth="1"/>
    <col min="9210" max="9210" width="14.44140625" style="17" customWidth="1"/>
    <col min="9211" max="9211" width="7.33203125" style="17" customWidth="1"/>
    <col min="9212" max="9212" width="5.5546875" style="17" customWidth="1"/>
    <col min="9213" max="9213" width="9" style="17" customWidth="1"/>
    <col min="9214" max="9215" width="9.6640625" style="17" customWidth="1"/>
    <col min="9216" max="9216" width="11.33203125" style="17" customWidth="1"/>
    <col min="9217" max="9217" width="2.6640625" style="17" customWidth="1"/>
    <col min="9218" max="9218" width="3.5546875" style="17" customWidth="1"/>
    <col min="9219" max="9463" width="9.33203125" style="17"/>
    <col min="9464" max="9464" width="8.6640625" style="17" customWidth="1"/>
    <col min="9465" max="9465" width="9.6640625" style="17" customWidth="1"/>
    <col min="9466" max="9466" width="14.44140625" style="17" customWidth="1"/>
    <col min="9467" max="9467" width="7.33203125" style="17" customWidth="1"/>
    <col min="9468" max="9468" width="5.5546875" style="17" customWidth="1"/>
    <col min="9469" max="9469" width="9" style="17" customWidth="1"/>
    <col min="9470" max="9471" width="9.6640625" style="17" customWidth="1"/>
    <col min="9472" max="9472" width="11.33203125" style="17" customWidth="1"/>
    <col min="9473" max="9473" width="2.6640625" style="17" customWidth="1"/>
    <col min="9474" max="9474" width="3.5546875" style="17" customWidth="1"/>
    <col min="9475" max="9719" width="9.33203125" style="17"/>
    <col min="9720" max="9720" width="8.6640625" style="17" customWidth="1"/>
    <col min="9721" max="9721" width="9.6640625" style="17" customWidth="1"/>
    <col min="9722" max="9722" width="14.44140625" style="17" customWidth="1"/>
    <col min="9723" max="9723" width="7.33203125" style="17" customWidth="1"/>
    <col min="9724" max="9724" width="5.5546875" style="17" customWidth="1"/>
    <col min="9725" max="9725" width="9" style="17" customWidth="1"/>
    <col min="9726" max="9727" width="9.6640625" style="17" customWidth="1"/>
    <col min="9728" max="9728" width="11.33203125" style="17" customWidth="1"/>
    <col min="9729" max="9729" width="2.6640625" style="17" customWidth="1"/>
    <col min="9730" max="9730" width="3.5546875" style="17" customWidth="1"/>
    <col min="9731" max="9975" width="9.33203125" style="17"/>
    <col min="9976" max="9976" width="8.6640625" style="17" customWidth="1"/>
    <col min="9977" max="9977" width="9.6640625" style="17" customWidth="1"/>
    <col min="9978" max="9978" width="14.44140625" style="17" customWidth="1"/>
    <col min="9979" max="9979" width="7.33203125" style="17" customWidth="1"/>
    <col min="9980" max="9980" width="5.5546875" style="17" customWidth="1"/>
    <col min="9981" max="9981" width="9" style="17" customWidth="1"/>
    <col min="9982" max="9983" width="9.6640625" style="17" customWidth="1"/>
    <col min="9984" max="9984" width="11.33203125" style="17" customWidth="1"/>
    <col min="9985" max="9985" width="2.6640625" style="17" customWidth="1"/>
    <col min="9986" max="9986" width="3.5546875" style="17" customWidth="1"/>
    <col min="9987" max="10231" width="9.33203125" style="17"/>
    <col min="10232" max="10232" width="8.6640625" style="17" customWidth="1"/>
    <col min="10233" max="10233" width="9.6640625" style="17" customWidth="1"/>
    <col min="10234" max="10234" width="14.44140625" style="17" customWidth="1"/>
    <col min="10235" max="10235" width="7.33203125" style="17" customWidth="1"/>
    <col min="10236" max="10236" width="5.5546875" style="17" customWidth="1"/>
    <col min="10237" max="10237" width="9" style="17" customWidth="1"/>
    <col min="10238" max="10239" width="9.6640625" style="17" customWidth="1"/>
    <col min="10240" max="10240" width="11.33203125" style="17" customWidth="1"/>
    <col min="10241" max="10241" width="2.6640625" style="17" customWidth="1"/>
    <col min="10242" max="10242" width="3.5546875" style="17" customWidth="1"/>
    <col min="10243" max="10487" width="9.33203125" style="17"/>
    <col min="10488" max="10488" width="8.6640625" style="17" customWidth="1"/>
    <col min="10489" max="10489" width="9.6640625" style="17" customWidth="1"/>
    <col min="10490" max="10490" width="14.44140625" style="17" customWidth="1"/>
    <col min="10491" max="10491" width="7.33203125" style="17" customWidth="1"/>
    <col min="10492" max="10492" width="5.5546875" style="17" customWidth="1"/>
    <col min="10493" max="10493" width="9" style="17" customWidth="1"/>
    <col min="10494" max="10495" width="9.6640625" style="17" customWidth="1"/>
    <col min="10496" max="10496" width="11.33203125" style="17" customWidth="1"/>
    <col min="10497" max="10497" width="2.6640625" style="17" customWidth="1"/>
    <col min="10498" max="10498" width="3.5546875" style="17" customWidth="1"/>
    <col min="10499" max="10743" width="9.33203125" style="17"/>
    <col min="10744" max="10744" width="8.6640625" style="17" customWidth="1"/>
    <col min="10745" max="10745" width="9.6640625" style="17" customWidth="1"/>
    <col min="10746" max="10746" width="14.44140625" style="17" customWidth="1"/>
    <col min="10747" max="10747" width="7.33203125" style="17" customWidth="1"/>
    <col min="10748" max="10748" width="5.5546875" style="17" customWidth="1"/>
    <col min="10749" max="10749" width="9" style="17" customWidth="1"/>
    <col min="10750" max="10751" width="9.6640625" style="17" customWidth="1"/>
    <col min="10752" max="10752" width="11.33203125" style="17" customWidth="1"/>
    <col min="10753" max="10753" width="2.6640625" style="17" customWidth="1"/>
    <col min="10754" max="10754" width="3.5546875" style="17" customWidth="1"/>
    <col min="10755" max="10999" width="9.33203125" style="17"/>
    <col min="11000" max="11000" width="8.6640625" style="17" customWidth="1"/>
    <col min="11001" max="11001" width="9.6640625" style="17" customWidth="1"/>
    <col min="11002" max="11002" width="14.44140625" style="17" customWidth="1"/>
    <col min="11003" max="11003" width="7.33203125" style="17" customWidth="1"/>
    <col min="11004" max="11004" width="5.5546875" style="17" customWidth="1"/>
    <col min="11005" max="11005" width="9" style="17" customWidth="1"/>
    <col min="11006" max="11007" width="9.6640625" style="17" customWidth="1"/>
    <col min="11008" max="11008" width="11.33203125" style="17" customWidth="1"/>
    <col min="11009" max="11009" width="2.6640625" style="17" customWidth="1"/>
    <col min="11010" max="11010" width="3.5546875" style="17" customWidth="1"/>
    <col min="11011" max="11255" width="9.33203125" style="17"/>
    <col min="11256" max="11256" width="8.6640625" style="17" customWidth="1"/>
    <col min="11257" max="11257" width="9.6640625" style="17" customWidth="1"/>
    <col min="11258" max="11258" width="14.44140625" style="17" customWidth="1"/>
    <col min="11259" max="11259" width="7.33203125" style="17" customWidth="1"/>
    <col min="11260" max="11260" width="5.5546875" style="17" customWidth="1"/>
    <col min="11261" max="11261" width="9" style="17" customWidth="1"/>
    <col min="11262" max="11263" width="9.6640625" style="17" customWidth="1"/>
    <col min="11264" max="11264" width="11.33203125" style="17" customWidth="1"/>
    <col min="11265" max="11265" width="2.6640625" style="17" customWidth="1"/>
    <col min="11266" max="11266" width="3.5546875" style="17" customWidth="1"/>
    <col min="11267" max="11511" width="9.33203125" style="17"/>
    <col min="11512" max="11512" width="8.6640625" style="17" customWidth="1"/>
    <col min="11513" max="11513" width="9.6640625" style="17" customWidth="1"/>
    <col min="11514" max="11514" width="14.44140625" style="17" customWidth="1"/>
    <col min="11515" max="11515" width="7.33203125" style="17" customWidth="1"/>
    <col min="11516" max="11516" width="5.5546875" style="17" customWidth="1"/>
    <col min="11517" max="11517" width="9" style="17" customWidth="1"/>
    <col min="11518" max="11519" width="9.6640625" style="17" customWidth="1"/>
    <col min="11520" max="11520" width="11.33203125" style="17" customWidth="1"/>
    <col min="11521" max="11521" width="2.6640625" style="17" customWidth="1"/>
    <col min="11522" max="11522" width="3.5546875" style="17" customWidth="1"/>
    <col min="11523" max="11767" width="9.33203125" style="17"/>
    <col min="11768" max="11768" width="8.6640625" style="17" customWidth="1"/>
    <col min="11769" max="11769" width="9.6640625" style="17" customWidth="1"/>
    <col min="11770" max="11770" width="14.44140625" style="17" customWidth="1"/>
    <col min="11771" max="11771" width="7.33203125" style="17" customWidth="1"/>
    <col min="11772" max="11772" width="5.5546875" style="17" customWidth="1"/>
    <col min="11773" max="11773" width="9" style="17" customWidth="1"/>
    <col min="11774" max="11775" width="9.6640625" style="17" customWidth="1"/>
    <col min="11776" max="11776" width="11.33203125" style="17" customWidth="1"/>
    <col min="11777" max="11777" width="2.6640625" style="17" customWidth="1"/>
    <col min="11778" max="11778" width="3.5546875" style="17" customWidth="1"/>
    <col min="11779" max="12023" width="9.33203125" style="17"/>
    <col min="12024" max="12024" width="8.6640625" style="17" customWidth="1"/>
    <col min="12025" max="12025" width="9.6640625" style="17" customWidth="1"/>
    <col min="12026" max="12026" width="14.44140625" style="17" customWidth="1"/>
    <col min="12027" max="12027" width="7.33203125" style="17" customWidth="1"/>
    <col min="12028" max="12028" width="5.5546875" style="17" customWidth="1"/>
    <col min="12029" max="12029" width="9" style="17" customWidth="1"/>
    <col min="12030" max="12031" width="9.6640625" style="17" customWidth="1"/>
    <col min="12032" max="12032" width="11.33203125" style="17" customWidth="1"/>
    <col min="12033" max="12033" width="2.6640625" style="17" customWidth="1"/>
    <col min="12034" max="12034" width="3.5546875" style="17" customWidth="1"/>
    <col min="12035" max="12279" width="9.33203125" style="17"/>
    <col min="12280" max="12280" width="8.6640625" style="17" customWidth="1"/>
    <col min="12281" max="12281" width="9.6640625" style="17" customWidth="1"/>
    <col min="12282" max="12282" width="14.44140625" style="17" customWidth="1"/>
    <col min="12283" max="12283" width="7.33203125" style="17" customWidth="1"/>
    <col min="12284" max="12284" width="5.5546875" style="17" customWidth="1"/>
    <col min="12285" max="12285" width="9" style="17" customWidth="1"/>
    <col min="12286" max="12287" width="9.6640625" style="17" customWidth="1"/>
    <col min="12288" max="12288" width="11.33203125" style="17" customWidth="1"/>
    <col min="12289" max="12289" width="2.6640625" style="17" customWidth="1"/>
    <col min="12290" max="12290" width="3.5546875" style="17" customWidth="1"/>
    <col min="12291" max="12535" width="9.33203125" style="17"/>
    <col min="12536" max="12536" width="8.6640625" style="17" customWidth="1"/>
    <col min="12537" max="12537" width="9.6640625" style="17" customWidth="1"/>
    <col min="12538" max="12538" width="14.44140625" style="17" customWidth="1"/>
    <col min="12539" max="12539" width="7.33203125" style="17" customWidth="1"/>
    <col min="12540" max="12540" width="5.5546875" style="17" customWidth="1"/>
    <col min="12541" max="12541" width="9" style="17" customWidth="1"/>
    <col min="12542" max="12543" width="9.6640625" style="17" customWidth="1"/>
    <col min="12544" max="12544" width="11.33203125" style="17" customWidth="1"/>
    <col min="12545" max="12545" width="2.6640625" style="17" customWidth="1"/>
    <col min="12546" max="12546" width="3.5546875" style="17" customWidth="1"/>
    <col min="12547" max="12791" width="9.33203125" style="17"/>
    <col min="12792" max="12792" width="8.6640625" style="17" customWidth="1"/>
    <col min="12793" max="12793" width="9.6640625" style="17" customWidth="1"/>
    <col min="12794" max="12794" width="14.44140625" style="17" customWidth="1"/>
    <col min="12795" max="12795" width="7.33203125" style="17" customWidth="1"/>
    <col min="12796" max="12796" width="5.5546875" style="17" customWidth="1"/>
    <col min="12797" max="12797" width="9" style="17" customWidth="1"/>
    <col min="12798" max="12799" width="9.6640625" style="17" customWidth="1"/>
    <col min="12800" max="12800" width="11.33203125" style="17" customWidth="1"/>
    <col min="12801" max="12801" width="2.6640625" style="17" customWidth="1"/>
    <col min="12802" max="12802" width="3.5546875" style="17" customWidth="1"/>
    <col min="12803" max="13047" width="9.33203125" style="17"/>
    <col min="13048" max="13048" width="8.6640625" style="17" customWidth="1"/>
    <col min="13049" max="13049" width="9.6640625" style="17" customWidth="1"/>
    <col min="13050" max="13050" width="14.44140625" style="17" customWidth="1"/>
    <col min="13051" max="13051" width="7.33203125" style="17" customWidth="1"/>
    <col min="13052" max="13052" width="5.5546875" style="17" customWidth="1"/>
    <col min="13053" max="13053" width="9" style="17" customWidth="1"/>
    <col min="13054" max="13055" width="9.6640625" style="17" customWidth="1"/>
    <col min="13056" max="13056" width="11.33203125" style="17" customWidth="1"/>
    <col min="13057" max="13057" width="2.6640625" style="17" customWidth="1"/>
    <col min="13058" max="13058" width="3.5546875" style="17" customWidth="1"/>
    <col min="13059" max="13303" width="9.33203125" style="17"/>
    <col min="13304" max="13304" width="8.6640625" style="17" customWidth="1"/>
    <col min="13305" max="13305" width="9.6640625" style="17" customWidth="1"/>
    <col min="13306" max="13306" width="14.44140625" style="17" customWidth="1"/>
    <col min="13307" max="13307" width="7.33203125" style="17" customWidth="1"/>
    <col min="13308" max="13308" width="5.5546875" style="17" customWidth="1"/>
    <col min="13309" max="13309" width="9" style="17" customWidth="1"/>
    <col min="13310" max="13311" width="9.6640625" style="17" customWidth="1"/>
    <col min="13312" max="13312" width="11.33203125" style="17" customWidth="1"/>
    <col min="13313" max="13313" width="2.6640625" style="17" customWidth="1"/>
    <col min="13314" max="13314" width="3.5546875" style="17" customWidth="1"/>
    <col min="13315" max="13559" width="9.33203125" style="17"/>
    <col min="13560" max="13560" width="8.6640625" style="17" customWidth="1"/>
    <col min="13561" max="13561" width="9.6640625" style="17" customWidth="1"/>
    <col min="13562" max="13562" width="14.44140625" style="17" customWidth="1"/>
    <col min="13563" max="13563" width="7.33203125" style="17" customWidth="1"/>
    <col min="13564" max="13564" width="5.5546875" style="17" customWidth="1"/>
    <col min="13565" max="13565" width="9" style="17" customWidth="1"/>
    <col min="13566" max="13567" width="9.6640625" style="17" customWidth="1"/>
    <col min="13568" max="13568" width="11.33203125" style="17" customWidth="1"/>
    <col min="13569" max="13569" width="2.6640625" style="17" customWidth="1"/>
    <col min="13570" max="13570" width="3.5546875" style="17" customWidth="1"/>
    <col min="13571" max="13815" width="9.33203125" style="17"/>
    <col min="13816" max="13816" width="8.6640625" style="17" customWidth="1"/>
    <col min="13817" max="13817" width="9.6640625" style="17" customWidth="1"/>
    <col min="13818" max="13818" width="14.44140625" style="17" customWidth="1"/>
    <col min="13819" max="13819" width="7.33203125" style="17" customWidth="1"/>
    <col min="13820" max="13820" width="5.5546875" style="17" customWidth="1"/>
    <col min="13821" max="13821" width="9" style="17" customWidth="1"/>
    <col min="13822" max="13823" width="9.6640625" style="17" customWidth="1"/>
    <col min="13824" max="13824" width="11.33203125" style="17" customWidth="1"/>
    <col min="13825" max="13825" width="2.6640625" style="17" customWidth="1"/>
    <col min="13826" max="13826" width="3.5546875" style="17" customWidth="1"/>
    <col min="13827" max="14071" width="9.33203125" style="17"/>
    <col min="14072" max="14072" width="8.6640625" style="17" customWidth="1"/>
    <col min="14073" max="14073" width="9.6640625" style="17" customWidth="1"/>
    <col min="14074" max="14074" width="14.44140625" style="17" customWidth="1"/>
    <col min="14075" max="14075" width="7.33203125" style="17" customWidth="1"/>
    <col min="14076" max="14076" width="5.5546875" style="17" customWidth="1"/>
    <col min="14077" max="14077" width="9" style="17" customWidth="1"/>
    <col min="14078" max="14079" width="9.6640625" style="17" customWidth="1"/>
    <col min="14080" max="14080" width="11.33203125" style="17" customWidth="1"/>
    <col min="14081" max="14081" width="2.6640625" style="17" customWidth="1"/>
    <col min="14082" max="14082" width="3.5546875" style="17" customWidth="1"/>
    <col min="14083" max="14327" width="9.33203125" style="17"/>
    <col min="14328" max="14328" width="8.6640625" style="17" customWidth="1"/>
    <col min="14329" max="14329" width="9.6640625" style="17" customWidth="1"/>
    <col min="14330" max="14330" width="14.44140625" style="17" customWidth="1"/>
    <col min="14331" max="14331" width="7.33203125" style="17" customWidth="1"/>
    <col min="14332" max="14332" width="5.5546875" style="17" customWidth="1"/>
    <col min="14333" max="14333" width="9" style="17" customWidth="1"/>
    <col min="14334" max="14335" width="9.6640625" style="17" customWidth="1"/>
    <col min="14336" max="14336" width="11.33203125" style="17" customWidth="1"/>
    <col min="14337" max="14337" width="2.6640625" style="17" customWidth="1"/>
    <col min="14338" max="14338" width="3.5546875" style="17" customWidth="1"/>
    <col min="14339" max="14583" width="9.33203125" style="17"/>
    <col min="14584" max="14584" width="8.6640625" style="17" customWidth="1"/>
    <col min="14585" max="14585" width="9.6640625" style="17" customWidth="1"/>
    <col min="14586" max="14586" width="14.44140625" style="17" customWidth="1"/>
    <col min="14587" max="14587" width="7.33203125" style="17" customWidth="1"/>
    <col min="14588" max="14588" width="5.5546875" style="17" customWidth="1"/>
    <col min="14589" max="14589" width="9" style="17" customWidth="1"/>
    <col min="14590" max="14591" width="9.6640625" style="17" customWidth="1"/>
    <col min="14592" max="14592" width="11.33203125" style="17" customWidth="1"/>
    <col min="14593" max="14593" width="2.6640625" style="17" customWidth="1"/>
    <col min="14594" max="14594" width="3.5546875" style="17" customWidth="1"/>
    <col min="14595" max="14839" width="9.33203125" style="17"/>
    <col min="14840" max="14840" width="8.6640625" style="17" customWidth="1"/>
    <col min="14841" max="14841" width="9.6640625" style="17" customWidth="1"/>
    <col min="14842" max="14842" width="14.44140625" style="17" customWidth="1"/>
    <col min="14843" max="14843" width="7.33203125" style="17" customWidth="1"/>
    <col min="14844" max="14844" width="5.5546875" style="17" customWidth="1"/>
    <col min="14845" max="14845" width="9" style="17" customWidth="1"/>
    <col min="14846" max="14847" width="9.6640625" style="17" customWidth="1"/>
    <col min="14848" max="14848" width="11.33203125" style="17" customWidth="1"/>
    <col min="14849" max="14849" width="2.6640625" style="17" customWidth="1"/>
    <col min="14850" max="14850" width="3.5546875" style="17" customWidth="1"/>
    <col min="14851" max="15095" width="9.33203125" style="17"/>
    <col min="15096" max="15096" width="8.6640625" style="17" customWidth="1"/>
    <col min="15097" max="15097" width="9.6640625" style="17" customWidth="1"/>
    <col min="15098" max="15098" width="14.44140625" style="17" customWidth="1"/>
    <col min="15099" max="15099" width="7.33203125" style="17" customWidth="1"/>
    <col min="15100" max="15100" width="5.5546875" style="17" customWidth="1"/>
    <col min="15101" max="15101" width="9" style="17" customWidth="1"/>
    <col min="15102" max="15103" width="9.6640625" style="17" customWidth="1"/>
    <col min="15104" max="15104" width="11.33203125" style="17" customWidth="1"/>
    <col min="15105" max="15105" width="2.6640625" style="17" customWidth="1"/>
    <col min="15106" max="15106" width="3.5546875" style="17" customWidth="1"/>
    <col min="15107" max="15351" width="9.33203125" style="17"/>
    <col min="15352" max="15352" width="8.6640625" style="17" customWidth="1"/>
    <col min="15353" max="15353" width="9.6640625" style="17" customWidth="1"/>
    <col min="15354" max="15354" width="14.44140625" style="17" customWidth="1"/>
    <col min="15355" max="15355" width="7.33203125" style="17" customWidth="1"/>
    <col min="15356" max="15356" width="5.5546875" style="17" customWidth="1"/>
    <col min="15357" max="15357" width="9" style="17" customWidth="1"/>
    <col min="15358" max="15359" width="9.6640625" style="17" customWidth="1"/>
    <col min="15360" max="15360" width="11.33203125" style="17" customWidth="1"/>
    <col min="15361" max="15361" width="2.6640625" style="17" customWidth="1"/>
    <col min="15362" max="15362" width="3.5546875" style="17" customWidth="1"/>
    <col min="15363" max="15607" width="9.33203125" style="17"/>
    <col min="15608" max="15608" width="8.6640625" style="17" customWidth="1"/>
    <col min="15609" max="15609" width="9.6640625" style="17" customWidth="1"/>
    <col min="15610" max="15610" width="14.44140625" style="17" customWidth="1"/>
    <col min="15611" max="15611" width="7.33203125" style="17" customWidth="1"/>
    <col min="15612" max="15612" width="5.5546875" style="17" customWidth="1"/>
    <col min="15613" max="15613" width="9" style="17" customWidth="1"/>
    <col min="15614" max="15615" width="9.6640625" style="17" customWidth="1"/>
    <col min="15616" max="15616" width="11.33203125" style="17" customWidth="1"/>
    <col min="15617" max="15617" width="2.6640625" style="17" customWidth="1"/>
    <col min="15618" max="15618" width="3.5546875" style="17" customWidth="1"/>
    <col min="15619" max="15863" width="9.33203125" style="17"/>
    <col min="15864" max="15864" width="8.6640625" style="17" customWidth="1"/>
    <col min="15865" max="15865" width="9.6640625" style="17" customWidth="1"/>
    <col min="15866" max="15866" width="14.44140625" style="17" customWidth="1"/>
    <col min="15867" max="15867" width="7.33203125" style="17" customWidth="1"/>
    <col min="15868" max="15868" width="5.5546875" style="17" customWidth="1"/>
    <col min="15869" max="15869" width="9" style="17" customWidth="1"/>
    <col min="15870" max="15871" width="9.6640625" style="17" customWidth="1"/>
    <col min="15872" max="15872" width="11.33203125" style="17" customWidth="1"/>
    <col min="15873" max="15873" width="2.6640625" style="17" customWidth="1"/>
    <col min="15874" max="15874" width="3.5546875" style="17" customWidth="1"/>
    <col min="15875" max="16119" width="9.33203125" style="17"/>
    <col min="16120" max="16120" width="8.6640625" style="17" customWidth="1"/>
    <col min="16121" max="16121" width="9.6640625" style="17" customWidth="1"/>
    <col min="16122" max="16122" width="14.44140625" style="17" customWidth="1"/>
    <col min="16123" max="16123" width="7.33203125" style="17" customWidth="1"/>
    <col min="16124" max="16124" width="5.5546875" style="17" customWidth="1"/>
    <col min="16125" max="16125" width="9" style="17" customWidth="1"/>
    <col min="16126" max="16127" width="9.6640625" style="17" customWidth="1"/>
    <col min="16128" max="16128" width="11.33203125" style="17" customWidth="1"/>
    <col min="16129" max="16129" width="2.6640625" style="17" customWidth="1"/>
    <col min="16130" max="16130" width="3.5546875" style="17" customWidth="1"/>
    <col min="16131" max="16384" width="9.33203125" style="17"/>
  </cols>
  <sheetData>
    <row r="1" spans="1:12" ht="46.5" customHeight="1" x14ac:dyDescent="0.3">
      <c r="A1" s="136" t="s">
        <v>170</v>
      </c>
      <c r="B1" s="136"/>
      <c r="C1" s="136"/>
      <c r="D1" s="136"/>
      <c r="E1" s="136"/>
      <c r="F1" s="136"/>
      <c r="G1" s="136"/>
      <c r="H1" s="136"/>
    </row>
    <row r="2" spans="1:12" ht="16.5" customHeight="1" x14ac:dyDescent="0.3">
      <c r="A2" s="137" t="s">
        <v>0</v>
      </c>
      <c r="B2" s="137"/>
      <c r="C2" s="137"/>
      <c r="D2" s="137"/>
      <c r="E2" s="137"/>
      <c r="F2" s="137"/>
      <c r="G2" s="137"/>
      <c r="H2" s="137"/>
    </row>
    <row r="3" spans="1:12" x14ac:dyDescent="0.3">
      <c r="A3" s="62" t="s">
        <v>1</v>
      </c>
      <c r="B3" s="62"/>
      <c r="C3" s="62"/>
      <c r="D3" s="62"/>
      <c r="E3" s="62" t="str">
        <f ca="1">TEXT(TODAY(),"DD/MM/YYYY")</f>
        <v>13/09/2025</v>
      </c>
      <c r="F3" s="62"/>
      <c r="G3" s="62"/>
      <c r="H3" s="62"/>
    </row>
    <row r="4" spans="1:12" ht="15" customHeight="1" x14ac:dyDescent="0.3">
      <c r="A4" s="62" t="s">
        <v>2</v>
      </c>
      <c r="B4" s="62"/>
      <c r="C4" s="62"/>
      <c r="D4" s="62"/>
      <c r="E4" s="62" t="s">
        <v>175</v>
      </c>
      <c r="F4" s="62"/>
      <c r="G4" s="62"/>
      <c r="H4" s="62"/>
    </row>
    <row r="5" spans="1:12" x14ac:dyDescent="0.3">
      <c r="A5" s="62" t="s">
        <v>3</v>
      </c>
      <c r="B5" s="62"/>
      <c r="C5" s="62"/>
      <c r="D5" s="62"/>
      <c r="E5" s="139">
        <v>45908</v>
      </c>
      <c r="F5" s="62"/>
      <c r="G5" s="62"/>
      <c r="H5" s="62"/>
    </row>
    <row r="6" spans="1:12" ht="16.5" customHeight="1" x14ac:dyDescent="0.3">
      <c r="A6" s="62" t="s">
        <v>4</v>
      </c>
      <c r="B6" s="62"/>
      <c r="C6" s="62"/>
      <c r="D6" s="62"/>
      <c r="E6" s="62" t="s">
        <v>176</v>
      </c>
      <c r="F6" s="62"/>
      <c r="G6" s="62"/>
      <c r="H6" s="62"/>
    </row>
    <row r="7" spans="1:12" ht="15" customHeight="1" x14ac:dyDescent="0.3">
      <c r="A7" s="62" t="s">
        <v>5</v>
      </c>
      <c r="B7" s="62"/>
      <c r="C7" s="62"/>
      <c r="D7" s="62"/>
      <c r="E7" s="62" t="str">
        <f>E6</f>
        <v>Mountain Residency Private Limited</v>
      </c>
      <c r="F7" s="62"/>
      <c r="G7" s="62"/>
      <c r="H7" s="62"/>
    </row>
    <row r="8" spans="1:12" x14ac:dyDescent="0.3">
      <c r="A8" s="62" t="s">
        <v>6</v>
      </c>
      <c r="B8" s="62"/>
      <c r="C8" s="62"/>
      <c r="D8" s="62"/>
      <c r="E8" s="138" t="s">
        <v>177</v>
      </c>
      <c r="F8" s="138"/>
      <c r="G8" s="138"/>
      <c r="H8" s="138"/>
    </row>
    <row r="9" spans="1:12" x14ac:dyDescent="0.3">
      <c r="A9" s="62" t="s">
        <v>173</v>
      </c>
      <c r="B9" s="62"/>
      <c r="C9" s="62"/>
      <c r="D9" s="62"/>
      <c r="E9" s="62" t="s">
        <v>209</v>
      </c>
      <c r="F9" s="62"/>
      <c r="G9" s="62"/>
      <c r="H9" s="62"/>
    </row>
    <row r="10" spans="1:12" x14ac:dyDescent="0.3">
      <c r="A10" s="62" t="s">
        <v>174</v>
      </c>
      <c r="B10" s="62"/>
      <c r="C10" s="62"/>
      <c r="D10" s="62"/>
      <c r="E10" s="62" t="s">
        <v>212</v>
      </c>
      <c r="F10" s="62"/>
      <c r="G10" s="62"/>
      <c r="H10" s="62"/>
      <c r="I10" s="62" t="s">
        <v>210</v>
      </c>
      <c r="J10" s="62"/>
      <c r="K10" s="62"/>
      <c r="L10" s="62"/>
    </row>
    <row r="11" spans="1:12" x14ac:dyDescent="0.3">
      <c r="A11" s="62" t="s">
        <v>7</v>
      </c>
      <c r="B11" s="62"/>
      <c r="C11" s="62"/>
      <c r="D11" s="62"/>
      <c r="E11" s="62" t="s">
        <v>126</v>
      </c>
      <c r="F11" s="62"/>
      <c r="G11" s="62"/>
      <c r="H11" s="62"/>
    </row>
    <row r="12" spans="1:12" s="19" customFormat="1" x14ac:dyDescent="0.3">
      <c r="A12" s="62" t="s">
        <v>8</v>
      </c>
      <c r="B12" s="62"/>
      <c r="C12" s="62"/>
      <c r="D12" s="62"/>
      <c r="E12" s="78" t="s">
        <v>203</v>
      </c>
      <c r="F12" s="78"/>
      <c r="G12" s="78"/>
      <c r="H12" s="78"/>
    </row>
    <row r="13" spans="1:12" x14ac:dyDescent="0.3">
      <c r="A13" s="76" t="s">
        <v>9</v>
      </c>
      <c r="B13" s="76"/>
      <c r="C13" s="76"/>
      <c r="D13" s="76"/>
      <c r="E13" s="78" t="s">
        <v>178</v>
      </c>
      <c r="F13" s="62"/>
      <c r="G13" s="62"/>
      <c r="H13" s="62"/>
    </row>
    <row r="14" spans="1:12" ht="48.75" customHeight="1" x14ac:dyDescent="0.3">
      <c r="A14" s="133" t="s">
        <v>10</v>
      </c>
      <c r="B14" s="133"/>
      <c r="C14" s="13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Mountain Greens, Survey No.45/15/16/C/3, 16/C/4, 16/C/5, near Sai urmila apartments, Internal Road, , Adivali Dhokali, Kalyan East, Ambernath, Thane - 421306.</v>
      </c>
      <c r="D14" s="133"/>
      <c r="E14" s="133"/>
      <c r="F14" s="133"/>
      <c r="G14" s="133"/>
      <c r="H14" s="133"/>
    </row>
    <row r="15" spans="1:12" x14ac:dyDescent="0.3">
      <c r="A15" s="78" t="s">
        <v>179</v>
      </c>
      <c r="B15" s="78"/>
      <c r="C15" s="78" t="s">
        <v>228</v>
      </c>
      <c r="D15" s="78"/>
      <c r="E15" s="78"/>
      <c r="F15" s="78"/>
      <c r="G15" s="78"/>
      <c r="H15" s="78"/>
    </row>
    <row r="16" spans="1:12" ht="15.75" customHeight="1" x14ac:dyDescent="0.3">
      <c r="A16" s="78" t="s">
        <v>168</v>
      </c>
      <c r="B16" s="78"/>
      <c r="C16" s="78" t="s">
        <v>29</v>
      </c>
      <c r="D16" s="78"/>
      <c r="E16" s="78"/>
      <c r="F16" s="78"/>
      <c r="G16" s="78"/>
      <c r="H16" s="78"/>
    </row>
    <row r="17" spans="1:8" ht="15.75" customHeight="1" x14ac:dyDescent="0.3">
      <c r="A17" s="133" t="s">
        <v>11</v>
      </c>
      <c r="B17" s="133"/>
      <c r="C17" s="62" t="s">
        <v>195</v>
      </c>
      <c r="D17" s="62"/>
      <c r="E17" s="133" t="s">
        <v>74</v>
      </c>
      <c r="F17" s="133"/>
      <c r="G17" s="78" t="s">
        <v>204</v>
      </c>
      <c r="H17" s="78"/>
    </row>
    <row r="18" spans="1:8" x14ac:dyDescent="0.3">
      <c r="A18" s="76" t="s">
        <v>13</v>
      </c>
      <c r="B18" s="76"/>
      <c r="C18" s="78" t="s">
        <v>192</v>
      </c>
      <c r="D18" s="78"/>
      <c r="E18" s="133" t="s">
        <v>12</v>
      </c>
      <c r="F18" s="133"/>
      <c r="G18" s="134" t="s">
        <v>180</v>
      </c>
      <c r="H18" s="134"/>
    </row>
    <row r="19" spans="1:8" x14ac:dyDescent="0.3">
      <c r="A19" s="76" t="s">
        <v>75</v>
      </c>
      <c r="B19" s="76"/>
      <c r="C19" s="78" t="s">
        <v>181</v>
      </c>
      <c r="D19" s="78"/>
      <c r="E19" s="133" t="s">
        <v>14</v>
      </c>
      <c r="F19" s="133"/>
      <c r="G19" s="78">
        <v>421306</v>
      </c>
      <c r="H19" s="78"/>
    </row>
    <row r="20" spans="1:8" ht="32.25" customHeight="1" x14ac:dyDescent="0.3">
      <c r="A20" s="76" t="s">
        <v>127</v>
      </c>
      <c r="B20" s="76"/>
      <c r="C20" s="78" t="s">
        <v>194</v>
      </c>
      <c r="D20" s="78"/>
      <c r="E20" s="133" t="s">
        <v>15</v>
      </c>
      <c r="F20" s="133"/>
      <c r="G20" s="78" t="s">
        <v>193</v>
      </c>
      <c r="H20" s="78"/>
    </row>
    <row r="21" spans="1:8" ht="15" customHeight="1" x14ac:dyDescent="0.3">
      <c r="A21" s="133" t="s">
        <v>78</v>
      </c>
      <c r="B21" s="133"/>
      <c r="C21" s="133"/>
      <c r="D21" s="133"/>
      <c r="E21" s="62" t="s">
        <v>16</v>
      </c>
      <c r="F21" s="62"/>
      <c r="G21" s="62"/>
      <c r="H21" s="62"/>
    </row>
    <row r="22" spans="1:8" ht="18.75" customHeight="1" x14ac:dyDescent="0.3">
      <c r="A22" s="133"/>
      <c r="B22" s="133"/>
      <c r="C22" s="133"/>
      <c r="D22" s="133"/>
      <c r="E22" s="62"/>
      <c r="F22" s="62"/>
      <c r="G22" s="62"/>
      <c r="H22" s="62"/>
    </row>
    <row r="23" spans="1:8" ht="15" customHeight="1" x14ac:dyDescent="0.3">
      <c r="A23" s="133" t="s">
        <v>17</v>
      </c>
      <c r="B23" s="133"/>
      <c r="C23" s="133"/>
      <c r="D23" s="133"/>
      <c r="E23" s="78" t="s">
        <v>18</v>
      </c>
      <c r="F23" s="78"/>
      <c r="G23" s="78"/>
      <c r="H23" s="78"/>
    </row>
    <row r="24" spans="1:8" ht="15" customHeight="1" x14ac:dyDescent="0.3">
      <c r="A24" s="76" t="s">
        <v>19</v>
      </c>
      <c r="B24" s="76"/>
      <c r="C24" s="76"/>
      <c r="D24" s="76"/>
      <c r="E24" s="78" t="str">
        <f>IF(AND(G18="Mumbai"),"Upper Class","Middle Class")</f>
        <v>Middle Class</v>
      </c>
      <c r="F24" s="78"/>
      <c r="G24" s="78"/>
      <c r="H24" s="78"/>
    </row>
    <row r="25" spans="1:8" x14ac:dyDescent="0.3">
      <c r="A25" s="76" t="s">
        <v>20</v>
      </c>
      <c r="B25" s="76"/>
      <c r="C25" s="76"/>
      <c r="D25" s="76"/>
      <c r="E25" s="78" t="s">
        <v>21</v>
      </c>
      <c r="F25" s="78"/>
      <c r="G25" s="78"/>
      <c r="H25" s="78"/>
    </row>
    <row r="26" spans="1:8" ht="15.75" customHeight="1" x14ac:dyDescent="0.3">
      <c r="A26" s="76" t="s">
        <v>22</v>
      </c>
      <c r="B26" s="76"/>
      <c r="C26" s="76"/>
      <c r="D26" s="76"/>
      <c r="E26" s="78" t="str">
        <f>IF(AND(G18="Mumbai"),"Developed","Developing")</f>
        <v>Developing</v>
      </c>
      <c r="F26" s="78"/>
      <c r="G26" s="78"/>
      <c r="H26" s="78"/>
    </row>
    <row r="27" spans="1:8" x14ac:dyDescent="0.3">
      <c r="A27" s="76" t="s">
        <v>23</v>
      </c>
      <c r="B27" s="76"/>
      <c r="C27" s="76"/>
      <c r="D27" s="76"/>
      <c r="E27" s="78" t="s">
        <v>24</v>
      </c>
      <c r="F27" s="78"/>
      <c r="G27" s="78"/>
      <c r="H27" s="78"/>
    </row>
    <row r="28" spans="1:8" ht="15.75" customHeight="1" x14ac:dyDescent="0.3">
      <c r="A28" s="76" t="s">
        <v>83</v>
      </c>
      <c r="B28" s="76"/>
      <c r="C28" s="76"/>
      <c r="D28" s="76"/>
      <c r="E28" s="78" t="s">
        <v>84</v>
      </c>
      <c r="F28" s="78"/>
      <c r="G28" s="78"/>
      <c r="H28" s="78"/>
    </row>
    <row r="29" spans="1:8" ht="15" customHeight="1" x14ac:dyDescent="0.3">
      <c r="A29" s="76" t="s">
        <v>32</v>
      </c>
      <c r="B29" s="76"/>
      <c r="C29" s="76"/>
      <c r="D29" s="76"/>
      <c r="E29" s="78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78"/>
      <c r="G29" s="78"/>
      <c r="H29" s="78"/>
    </row>
    <row r="30" spans="1:8" ht="15.75" customHeight="1" x14ac:dyDescent="0.3">
      <c r="A30" s="76" t="s">
        <v>95</v>
      </c>
      <c r="B30" s="76"/>
      <c r="C30" s="76"/>
      <c r="D30" s="76"/>
      <c r="E30" s="78" t="s">
        <v>33</v>
      </c>
      <c r="F30" s="78"/>
      <c r="G30" s="78"/>
      <c r="H30" s="78"/>
    </row>
    <row r="31" spans="1:8" s="18" customFormat="1" x14ac:dyDescent="0.3">
      <c r="A31" s="132" t="s">
        <v>96</v>
      </c>
      <c r="B31" s="132"/>
      <c r="C31" s="131" t="s">
        <v>218</v>
      </c>
      <c r="D31" s="131"/>
      <c r="E31" s="131"/>
      <c r="F31" s="131" t="s">
        <v>30</v>
      </c>
      <c r="G31" s="131"/>
      <c r="H31" s="131"/>
    </row>
    <row r="32" spans="1:8" s="18" customFormat="1" x14ac:dyDescent="0.3">
      <c r="A32" s="114" t="s">
        <v>25</v>
      </c>
      <c r="B32" s="114" t="s">
        <v>29</v>
      </c>
      <c r="C32" s="115" t="s">
        <v>219</v>
      </c>
      <c r="D32" s="115"/>
      <c r="E32" s="115"/>
      <c r="F32" s="115" t="s">
        <v>196</v>
      </c>
      <c r="G32" s="115"/>
      <c r="H32" s="115"/>
    </row>
    <row r="33" spans="1:8" x14ac:dyDescent="0.3">
      <c r="A33" s="114" t="s">
        <v>26</v>
      </c>
      <c r="B33" s="114" t="s">
        <v>29</v>
      </c>
      <c r="C33" s="115" t="s">
        <v>220</v>
      </c>
      <c r="D33" s="115"/>
      <c r="E33" s="115"/>
      <c r="F33" s="115" t="s">
        <v>195</v>
      </c>
      <c r="G33" s="115"/>
      <c r="H33" s="115"/>
    </row>
    <row r="34" spans="1:8" s="18" customFormat="1" x14ac:dyDescent="0.3">
      <c r="A34" s="114" t="s">
        <v>28</v>
      </c>
      <c r="B34" s="114" t="s">
        <v>29</v>
      </c>
      <c r="C34" s="115" t="s">
        <v>221</v>
      </c>
      <c r="D34" s="115"/>
      <c r="E34" s="115"/>
      <c r="F34" s="115" t="s">
        <v>194</v>
      </c>
      <c r="G34" s="115"/>
      <c r="H34" s="115"/>
    </row>
    <row r="35" spans="1:8" x14ac:dyDescent="0.3">
      <c r="A35" s="114" t="s">
        <v>27</v>
      </c>
      <c r="B35" s="114" t="s">
        <v>29</v>
      </c>
      <c r="C35" s="115" t="s">
        <v>222</v>
      </c>
      <c r="D35" s="115"/>
      <c r="E35" s="115"/>
      <c r="F35" s="115" t="s">
        <v>197</v>
      </c>
      <c r="G35" s="115"/>
      <c r="H35" s="115"/>
    </row>
    <row r="36" spans="1:8" x14ac:dyDescent="0.3">
      <c r="A36" s="76" t="s">
        <v>31</v>
      </c>
      <c r="B36" s="76"/>
      <c r="C36" s="76"/>
      <c r="D36" s="76"/>
      <c r="E36" s="76"/>
      <c r="F36" s="76"/>
      <c r="G36" s="76"/>
      <c r="H36" s="76"/>
    </row>
    <row r="37" spans="1:8" ht="15.75" customHeight="1" x14ac:dyDescent="0.3">
      <c r="A37" s="76" t="s">
        <v>171</v>
      </c>
      <c r="B37" s="76"/>
      <c r="C37" s="93" t="s">
        <v>237</v>
      </c>
      <c r="D37" s="93"/>
      <c r="E37" s="93"/>
      <c r="F37" s="93"/>
      <c r="G37" s="93"/>
      <c r="H37" s="93"/>
    </row>
    <row r="38" spans="1:8" x14ac:dyDescent="0.3">
      <c r="A38" s="76" t="s">
        <v>167</v>
      </c>
      <c r="B38" s="76"/>
      <c r="C38" s="77" t="s">
        <v>232</v>
      </c>
      <c r="D38" s="78"/>
      <c r="E38" s="78"/>
      <c r="F38" s="78"/>
      <c r="G38" s="78"/>
      <c r="H38" s="78"/>
    </row>
    <row r="39" spans="1:8" x14ac:dyDescent="0.3">
      <c r="A39" s="93" t="s">
        <v>34</v>
      </c>
      <c r="B39" s="93"/>
      <c r="C39" s="93"/>
      <c r="D39" s="93"/>
      <c r="E39" s="93"/>
      <c r="F39" s="93"/>
      <c r="G39" s="93"/>
      <c r="H39" s="93"/>
    </row>
    <row r="40" spans="1:8" x14ac:dyDescent="0.3">
      <c r="A40" s="76" t="s">
        <v>35</v>
      </c>
      <c r="B40" s="76"/>
      <c r="C40" s="76"/>
      <c r="D40" s="76"/>
      <c r="E40" s="116">
        <v>3192</v>
      </c>
      <c r="F40" s="116"/>
      <c r="G40" s="116"/>
      <c r="H40" s="116"/>
    </row>
    <row r="41" spans="1:8" x14ac:dyDescent="0.3">
      <c r="A41" s="76" t="s">
        <v>36</v>
      </c>
      <c r="B41" s="76"/>
      <c r="C41" s="76"/>
      <c r="D41" s="76"/>
      <c r="E41" s="118">
        <v>1.1000000000000001</v>
      </c>
      <c r="F41" s="118"/>
      <c r="G41" s="118"/>
      <c r="H41" s="118"/>
    </row>
    <row r="42" spans="1:8" x14ac:dyDescent="0.3">
      <c r="A42" s="76" t="s">
        <v>37</v>
      </c>
      <c r="B42" s="76"/>
      <c r="C42" s="76"/>
      <c r="D42" s="76"/>
      <c r="E42" s="118">
        <f>E44/E40-E41</f>
        <v>3.1689191729323309</v>
      </c>
      <c r="F42" s="118"/>
      <c r="G42" s="118"/>
      <c r="H42" s="118"/>
    </row>
    <row r="43" spans="1:8" x14ac:dyDescent="0.3">
      <c r="A43" s="76" t="s">
        <v>38</v>
      </c>
      <c r="B43" s="76"/>
      <c r="C43" s="76"/>
      <c r="D43" s="76"/>
      <c r="E43" s="118">
        <f>E41+E42</f>
        <v>4.268919172932331</v>
      </c>
      <c r="F43" s="118"/>
      <c r="G43" s="118"/>
      <c r="H43" s="118"/>
    </row>
    <row r="44" spans="1:8" x14ac:dyDescent="0.3">
      <c r="A44" s="76" t="s">
        <v>94</v>
      </c>
      <c r="B44" s="76"/>
      <c r="C44" s="76"/>
      <c r="D44" s="76"/>
      <c r="E44" s="119">
        <v>13626.39</v>
      </c>
      <c r="F44" s="119"/>
      <c r="G44" s="119"/>
      <c r="H44" s="119"/>
    </row>
    <row r="45" spans="1:8" x14ac:dyDescent="0.3">
      <c r="A45" s="62" t="s">
        <v>39</v>
      </c>
      <c r="B45" s="62"/>
      <c r="C45" s="62"/>
      <c r="D45" s="62"/>
      <c r="E45" s="62" t="s">
        <v>126</v>
      </c>
      <c r="F45" s="62"/>
      <c r="G45" s="62"/>
      <c r="H45" s="62"/>
    </row>
    <row r="46" spans="1:8" x14ac:dyDescent="0.3">
      <c r="A46" s="93" t="s">
        <v>40</v>
      </c>
      <c r="B46" s="93"/>
      <c r="C46" s="93"/>
      <c r="D46" s="93"/>
      <c r="E46" s="93"/>
      <c r="F46" s="93"/>
      <c r="G46" s="93"/>
      <c r="H46" s="93"/>
    </row>
    <row r="47" spans="1:8" ht="33.75" customHeight="1" x14ac:dyDescent="0.3">
      <c r="A47" s="79" t="s">
        <v>156</v>
      </c>
      <c r="B47" s="80"/>
      <c r="C47" s="81" t="s">
        <v>182</v>
      </c>
      <c r="D47" s="82"/>
      <c r="E47" s="82"/>
      <c r="F47" s="82"/>
      <c r="G47" s="82"/>
      <c r="H47" s="83"/>
    </row>
    <row r="48" spans="1:8" ht="30.9" customHeight="1" x14ac:dyDescent="0.3">
      <c r="A48" s="79" t="s">
        <v>41</v>
      </c>
      <c r="B48" s="80"/>
      <c r="C48" s="79" t="s">
        <v>217</v>
      </c>
      <c r="D48" s="165"/>
      <c r="E48" s="80"/>
      <c r="F48" s="16" t="s">
        <v>42</v>
      </c>
      <c r="G48" s="125">
        <v>45362</v>
      </c>
      <c r="H48" s="126"/>
    </row>
    <row r="49" spans="1:14" ht="31.5" customHeight="1" x14ac:dyDescent="0.3">
      <c r="A49" s="79" t="s">
        <v>43</v>
      </c>
      <c r="B49" s="80"/>
      <c r="C49" s="79" t="str">
        <f>C48</f>
        <v>KDMC/TPD/BP/27 Village/2022-23/27/383</v>
      </c>
      <c r="D49" s="165"/>
      <c r="E49" s="80"/>
      <c r="F49" s="16" t="s">
        <v>42</v>
      </c>
      <c r="G49" s="125">
        <f>G48</f>
        <v>45362</v>
      </c>
      <c r="H49" s="126"/>
    </row>
    <row r="50" spans="1:14" s="19" customFormat="1" ht="30.9" customHeight="1" x14ac:dyDescent="0.3">
      <c r="A50" s="127" t="s">
        <v>214</v>
      </c>
      <c r="B50" s="128"/>
      <c r="C50" s="79" t="s">
        <v>213</v>
      </c>
      <c r="D50" s="165"/>
      <c r="E50" s="80"/>
      <c r="F50" s="16" t="s">
        <v>42</v>
      </c>
      <c r="G50" s="125">
        <v>45362</v>
      </c>
      <c r="H50" s="126"/>
    </row>
    <row r="51" spans="1:14" s="19" customFormat="1" x14ac:dyDescent="0.3">
      <c r="A51" s="129"/>
      <c r="B51" s="130"/>
      <c r="C51" s="79" t="s">
        <v>215</v>
      </c>
      <c r="D51" s="165"/>
      <c r="E51" s="165"/>
      <c r="F51" s="165"/>
      <c r="G51" s="165"/>
      <c r="H51" s="80"/>
    </row>
    <row r="52" spans="1:14" x14ac:dyDescent="0.3">
      <c r="A52" s="171" t="s">
        <v>44</v>
      </c>
      <c r="B52" s="172"/>
      <c r="C52" s="171" t="s">
        <v>108</v>
      </c>
      <c r="D52" s="173"/>
      <c r="E52" s="172"/>
      <c r="F52" s="40" t="s">
        <v>42</v>
      </c>
      <c r="G52" s="163" t="s">
        <v>29</v>
      </c>
      <c r="H52" s="164"/>
    </row>
    <row r="53" spans="1:14" x14ac:dyDescent="0.3">
      <c r="A53" s="169" t="s">
        <v>46</v>
      </c>
      <c r="B53" s="169"/>
      <c r="C53" s="169"/>
      <c r="D53" s="169"/>
      <c r="E53" s="169"/>
      <c r="F53" s="169"/>
      <c r="G53" s="169"/>
      <c r="H53" s="169"/>
    </row>
    <row r="54" spans="1:14" x14ac:dyDescent="0.3">
      <c r="A54" s="133" t="s">
        <v>93</v>
      </c>
      <c r="B54" s="133"/>
      <c r="C54" s="133"/>
      <c r="D54" s="76">
        <f>E44</f>
        <v>13626.39</v>
      </c>
      <c r="E54" s="76"/>
      <c r="F54" s="76"/>
      <c r="G54" s="76"/>
      <c r="H54" s="76"/>
    </row>
    <row r="55" spans="1:14" x14ac:dyDescent="0.3">
      <c r="A55" s="78" t="s">
        <v>47</v>
      </c>
      <c r="B55" s="62"/>
      <c r="C55" s="62"/>
      <c r="D55" s="62" t="s">
        <v>226</v>
      </c>
      <c r="E55" s="62"/>
      <c r="F55" s="62"/>
      <c r="G55" s="62"/>
      <c r="H55" s="62"/>
      <c r="I55" s="20"/>
    </row>
    <row r="56" spans="1:14" x14ac:dyDescent="0.3">
      <c r="A56" s="122" t="s">
        <v>48</v>
      </c>
      <c r="B56" s="123"/>
      <c r="C56" s="124"/>
      <c r="D56" s="120" t="s">
        <v>223</v>
      </c>
      <c r="E56" s="121"/>
      <c r="F56" s="121"/>
      <c r="G56" s="121"/>
      <c r="H56" s="121"/>
    </row>
    <row r="57" spans="1:14" ht="15.75" customHeight="1" x14ac:dyDescent="0.3">
      <c r="A57" s="122" t="s">
        <v>91</v>
      </c>
      <c r="B57" s="123"/>
      <c r="C57" s="123"/>
      <c r="D57" s="78" t="s">
        <v>223</v>
      </c>
      <c r="E57" s="62"/>
      <c r="F57" s="62"/>
      <c r="G57" s="62"/>
      <c r="H57" s="62"/>
    </row>
    <row r="58" spans="1:14" ht="15.75" customHeight="1" x14ac:dyDescent="0.3">
      <c r="A58" s="76" t="s">
        <v>45</v>
      </c>
      <c r="B58" s="76"/>
      <c r="C58" s="76"/>
      <c r="D58" s="117" t="s">
        <v>183</v>
      </c>
      <c r="E58" s="117"/>
      <c r="F58" s="117"/>
      <c r="G58" s="117"/>
      <c r="H58" s="117"/>
      <c r="J58" s="21"/>
      <c r="K58" s="20"/>
      <c r="N58" s="20"/>
    </row>
    <row r="59" spans="1:14" ht="15.75" customHeight="1" x14ac:dyDescent="0.3">
      <c r="A59" s="76" t="s">
        <v>89</v>
      </c>
      <c r="B59" s="76"/>
      <c r="C59" s="76"/>
      <c r="D59" s="113" t="str">
        <f>(IF(G52="NA","60 Years After Completion",IF(G52&lt;&gt;"NA",""&amp;60-ROUNDDOWN((E3-G52)/360,0)&amp;" Years"," ")))</f>
        <v>60 Years After Completion</v>
      </c>
      <c r="E59" s="113"/>
      <c r="F59" s="113"/>
      <c r="G59" s="113"/>
      <c r="H59" s="113"/>
      <c r="N59" s="20"/>
    </row>
    <row r="60" spans="1:14" ht="15.75" customHeight="1" x14ac:dyDescent="0.3">
      <c r="A60" s="76" t="s">
        <v>90</v>
      </c>
      <c r="B60" s="76"/>
      <c r="C60" s="76"/>
      <c r="D60" s="133" t="s">
        <v>24</v>
      </c>
      <c r="E60" s="133"/>
      <c r="F60" s="133"/>
      <c r="G60" s="133"/>
      <c r="H60" s="133"/>
      <c r="J60" s="22"/>
      <c r="K60" s="22"/>
    </row>
    <row r="61" spans="1:14" ht="48.75" customHeight="1" x14ac:dyDescent="0.3">
      <c r="A61" s="76" t="s">
        <v>76</v>
      </c>
      <c r="B61" s="76"/>
      <c r="C61" s="76"/>
      <c r="D61" s="78" t="s">
        <v>198</v>
      </c>
      <c r="E61" s="133"/>
      <c r="F61" s="133"/>
      <c r="G61" s="133"/>
      <c r="H61" s="133"/>
    </row>
    <row r="62" spans="1:14" x14ac:dyDescent="0.3">
      <c r="A62" s="133" t="s">
        <v>153</v>
      </c>
      <c r="B62" s="133"/>
      <c r="C62" s="133"/>
      <c r="D62" s="133" t="s">
        <v>29</v>
      </c>
      <c r="E62" s="133"/>
      <c r="F62" s="133"/>
      <c r="G62" s="133"/>
      <c r="H62" s="133"/>
      <c r="I62" s="23"/>
      <c r="J62" s="23"/>
      <c r="K62" s="23"/>
      <c r="L62" s="23"/>
      <c r="M62" s="23"/>
      <c r="N62" s="23"/>
    </row>
    <row r="63" spans="1:14" ht="15.75" customHeight="1" x14ac:dyDescent="0.3">
      <c r="A63" s="76" t="s">
        <v>88</v>
      </c>
      <c r="B63" s="76"/>
      <c r="C63" s="76"/>
      <c r="D63" s="78" t="str">
        <f ca="1">(IF(G69&gt;95%,"Nothing",IF(G69&gt;0%,"Cement, Aggregate, Steel, etc",IF(G69=0%,"Work not yet Started"))))</f>
        <v>Cement, Aggregate, Steel, etc</v>
      </c>
      <c r="E63" s="78"/>
      <c r="F63" s="78"/>
      <c r="G63" s="78"/>
      <c r="H63" s="78"/>
      <c r="J63" s="22"/>
    </row>
    <row r="64" spans="1:14" ht="33.75" customHeight="1" thickBot="1" x14ac:dyDescent="0.35">
      <c r="A64" s="133" t="s">
        <v>121</v>
      </c>
      <c r="B64" s="133"/>
      <c r="C64" s="133"/>
      <c r="D64" s="78" t="str">
        <f ca="1">(IF(D63="Nothing","Yes",IF(D63="Cement, Aggregate, Steel, etc","Under Construction",IF(D63="Work not yet Started","Work not yet Started"))))</f>
        <v>Under Construction</v>
      </c>
      <c r="E64" s="78"/>
      <c r="F64" s="78" t="str">
        <f ca="1">(IF(D63="Nothing","Yes",IF(D63="Cement, Aggregate, Steel, etc","Under Construction",IF(D63="Work not yet Started","Work not yet Started"))))</f>
        <v>Under Construction</v>
      </c>
      <c r="G64" s="78"/>
      <c r="H64" s="78"/>
    </row>
    <row r="65" spans="1:15" ht="15.75" customHeight="1" x14ac:dyDescent="0.3">
      <c r="A65" s="146" t="s">
        <v>145</v>
      </c>
      <c r="B65" s="146"/>
      <c r="C65" s="135" t="str">
        <f>D57</f>
        <v>Gr/St + 1st to 24th Floor</v>
      </c>
      <c r="D65" s="135"/>
      <c r="E65" s="135"/>
      <c r="F65" s="135"/>
      <c r="G65" s="135"/>
      <c r="H65" s="135"/>
      <c r="I65" s="55" t="str">
        <f ca="1">IF(D78=100%,"All work Completed. Possession granted to the Building.",IF(D77=100%,"All work Completed, Waiting for OC",I66&amp;""&amp;I67&amp;""&amp;J66&amp;""&amp;J65&amp;" "&amp;J67))</f>
        <v>Excavation, Plinth, RCC Slab, Brickwork Completed, Internal Plaster upto 3 Floor Completed</v>
      </c>
      <c r="J65" s="41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Internal Plaster upto 3 Floor</v>
      </c>
    </row>
    <row r="66" spans="1:15" x14ac:dyDescent="0.3">
      <c r="A66" s="54" t="s">
        <v>147</v>
      </c>
      <c r="B66" s="54">
        <f>IF(AND(ISNUMBER(SEARCH("1B",C65))),1,IF(AND(ISNUMBER(SEARCH("2B",C65))),2,IF(AND(ISNUMBER(SEARCH("3B",C65))),3,IF(AND(ISNUMBER(SEARCH("4B",C65))),4,IF(ISNUMBER(SEARCH("5B",C65)),5,0)))))</f>
        <v>0</v>
      </c>
      <c r="C66" s="54" t="s">
        <v>73</v>
      </c>
      <c r="D66" s="54">
        <v>1</v>
      </c>
      <c r="E66" s="54" t="s">
        <v>72</v>
      </c>
      <c r="F66" s="54">
        <v>0</v>
      </c>
      <c r="G66" s="54" t="s">
        <v>82</v>
      </c>
      <c r="H66" s="54">
        <f ca="1">--TRIM(RIGHT(SUBSTITUTE(LEFT(C65,_xlfn.AGGREGATE(16,6,FIND({0,1,2,3,4,5,6,7,8,9},C65,ROW(INDIRECT("1:"&amp;LEN(C65)))),1))," ",REPT(" ",LEN(C65))),LEN(C65)))</f>
        <v>24</v>
      </c>
      <c r="I66" s="57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</v>
      </c>
      <c r="J66" s="43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5" ht="31.8" customHeight="1" x14ac:dyDescent="0.3">
      <c r="A67" s="154" t="s">
        <v>92</v>
      </c>
      <c r="B67" s="138"/>
      <c r="C67" s="135" t="str">
        <f ca="1">I65</f>
        <v>Excavation, Plinth, RCC Slab, Brickwork Completed, Internal Plaster upto 3 Floor Completed</v>
      </c>
      <c r="D67" s="135"/>
      <c r="E67" s="135"/>
      <c r="F67" s="135"/>
      <c r="G67" s="135"/>
      <c r="H67" s="143"/>
      <c r="I67" s="42" t="str">
        <f ca="1">IF(I66&lt;&gt;""," Completed","")</f>
        <v xml:space="preserve"> Completed</v>
      </c>
      <c r="J67" s="43" t="str">
        <f ca="1">IF(J65&lt;&gt;"","Completed","")</f>
        <v>Completed</v>
      </c>
    </row>
    <row r="68" spans="1:15" ht="15.75" customHeight="1" x14ac:dyDescent="0.3">
      <c r="A68" s="94" t="s">
        <v>49</v>
      </c>
      <c r="B68" s="95"/>
      <c r="C68" s="44" t="s">
        <v>144</v>
      </c>
      <c r="D68" s="44" t="s">
        <v>85</v>
      </c>
      <c r="E68" s="144" t="s">
        <v>87</v>
      </c>
      <c r="F68" s="144"/>
      <c r="G68" s="144" t="s">
        <v>86</v>
      </c>
      <c r="H68" s="145"/>
      <c r="I68" s="14" t="s">
        <v>146</v>
      </c>
      <c r="J68" s="24">
        <f ca="1">H66*25%</f>
        <v>6</v>
      </c>
    </row>
    <row r="69" spans="1:15" x14ac:dyDescent="0.3">
      <c r="A69" s="94" t="s">
        <v>133</v>
      </c>
      <c r="B69" s="95"/>
      <c r="C69" s="44">
        <f ca="1">J70</f>
        <v>24</v>
      </c>
      <c r="D69" s="45">
        <f ca="1">((100/H66)*C69)/100</f>
        <v>1</v>
      </c>
      <c r="E69" s="102">
        <f ca="1">(((C70/H66*10)+(40/(D66+F66+H66)*C71)+(7.5/(H66)*C72)+(7.5/(H66)*C73)+(10/H66*C74)+(10/H66*C75)+(5/H66*C76)+(5/H66*C77)+(5/H66*C78))/100)</f>
        <v>0.58437499999999998</v>
      </c>
      <c r="F69" s="103"/>
      <c r="G69" s="102">
        <f ca="1">((((C69/H66)*20)+((C70/H66)*25)+(30/(H66+F66+D66)*C71)+(5/H66*C72)+(5/H66*C73)+(5/H66*C74)+(5/H66*C75)+(0/H66*C76)+(0/H66*C77)+(5/H66*C78))/100)</f>
        <v>0.80625000000000002</v>
      </c>
      <c r="H69" s="108"/>
      <c r="I69" s="14" t="s">
        <v>103</v>
      </c>
      <c r="J69" s="25">
        <f ca="1">H66*50%</f>
        <v>12</v>
      </c>
    </row>
    <row r="70" spans="1:15" x14ac:dyDescent="0.3">
      <c r="A70" s="94" t="s">
        <v>50</v>
      </c>
      <c r="B70" s="95"/>
      <c r="C70" s="44">
        <f ca="1">J78</f>
        <v>24</v>
      </c>
      <c r="D70" s="45">
        <f ca="1">((100/H66)*C70)/100</f>
        <v>1</v>
      </c>
      <c r="E70" s="104"/>
      <c r="F70" s="105"/>
      <c r="G70" s="104"/>
      <c r="H70" s="109"/>
      <c r="I70" s="14" t="s">
        <v>104</v>
      </c>
      <c r="J70" s="25">
        <f ca="1">H66</f>
        <v>24</v>
      </c>
    </row>
    <row r="71" spans="1:15" ht="15.75" customHeight="1" x14ac:dyDescent="0.3">
      <c r="A71" s="94" t="s">
        <v>134</v>
      </c>
      <c r="B71" s="95"/>
      <c r="C71" s="44">
        <v>25</v>
      </c>
      <c r="D71" s="45">
        <f ca="1">((100/(D66+F66+H66))*C71)/100</f>
        <v>1</v>
      </c>
      <c r="E71" s="104"/>
      <c r="F71" s="105"/>
      <c r="G71" s="104"/>
      <c r="H71" s="109"/>
      <c r="I71" s="14" t="s">
        <v>105</v>
      </c>
      <c r="J71" s="26">
        <f ca="1">(IF(B66&gt;1,(H66/(B66+2)),H66/4))</f>
        <v>6</v>
      </c>
    </row>
    <row r="72" spans="1:15" ht="15.75" customHeight="1" x14ac:dyDescent="0.3">
      <c r="A72" s="94" t="s">
        <v>141</v>
      </c>
      <c r="B72" s="95" t="s">
        <v>135</v>
      </c>
      <c r="C72" s="44">
        <v>24</v>
      </c>
      <c r="D72" s="45">
        <f ca="1">((100/H66)*C72)/100</f>
        <v>1</v>
      </c>
      <c r="E72" s="104"/>
      <c r="F72" s="105"/>
      <c r="G72" s="104"/>
      <c r="H72" s="109"/>
      <c r="I72" s="14" t="s">
        <v>106</v>
      </c>
      <c r="J72" s="26">
        <f ca="1">(IF(B66&gt;1,(H66/(B66+2)+J71),H66/4+J71))</f>
        <v>12</v>
      </c>
    </row>
    <row r="73" spans="1:15" ht="15.75" customHeight="1" x14ac:dyDescent="0.3">
      <c r="A73" s="94" t="s">
        <v>142</v>
      </c>
      <c r="B73" s="95" t="s">
        <v>135</v>
      </c>
      <c r="C73" s="44">
        <v>3</v>
      </c>
      <c r="D73" s="45">
        <f ca="1">((100/H66)*C73)/100</f>
        <v>0.125</v>
      </c>
      <c r="E73" s="104"/>
      <c r="F73" s="105"/>
      <c r="G73" s="104"/>
      <c r="H73" s="109"/>
      <c r="I73" s="14" t="s">
        <v>151</v>
      </c>
      <c r="J73" s="26">
        <f>(IF(B66&gt;1,(H66/(B66+2)+J72),0))</f>
        <v>0</v>
      </c>
    </row>
    <row r="74" spans="1:15" ht="15" customHeight="1" x14ac:dyDescent="0.3">
      <c r="A74" s="94" t="s">
        <v>140</v>
      </c>
      <c r="B74" s="95" t="s">
        <v>137</v>
      </c>
      <c r="C74" s="44">
        <v>0</v>
      </c>
      <c r="D74" s="45">
        <f ca="1">((100/(H66))*C74)/100</f>
        <v>0</v>
      </c>
      <c r="E74" s="104"/>
      <c r="F74" s="105"/>
      <c r="G74" s="104"/>
      <c r="H74" s="109"/>
      <c r="I74" s="14" t="s">
        <v>148</v>
      </c>
      <c r="J74" s="26">
        <f>(IF(B66&gt;2,(H66/(B66+2)+J73),0))</f>
        <v>0</v>
      </c>
    </row>
    <row r="75" spans="1:15" ht="15.75" customHeight="1" x14ac:dyDescent="0.3">
      <c r="A75" s="94" t="s">
        <v>136</v>
      </c>
      <c r="B75" s="95" t="s">
        <v>136</v>
      </c>
      <c r="C75" s="44">
        <v>0</v>
      </c>
      <c r="D75" s="45">
        <f ca="1">((100/H66)*C75)/100</f>
        <v>0</v>
      </c>
      <c r="E75" s="104"/>
      <c r="F75" s="105"/>
      <c r="G75" s="104"/>
      <c r="H75" s="109"/>
      <c r="I75" s="14" t="s">
        <v>149</v>
      </c>
      <c r="J75" s="27">
        <f>(IF(B66&gt;3,(H66/(B66+2)+J74),0))</f>
        <v>0</v>
      </c>
    </row>
    <row r="76" spans="1:15" ht="15.75" customHeight="1" x14ac:dyDescent="0.3">
      <c r="A76" s="94" t="s">
        <v>143</v>
      </c>
      <c r="B76" s="95"/>
      <c r="C76" s="44">
        <v>0</v>
      </c>
      <c r="D76" s="45">
        <f ca="1">((100/H66)*C76)/100</f>
        <v>0</v>
      </c>
      <c r="E76" s="104"/>
      <c r="F76" s="105"/>
      <c r="G76" s="104"/>
      <c r="H76" s="109"/>
      <c r="I76" s="14" t="s">
        <v>150</v>
      </c>
      <c r="J76" s="26">
        <f>(IF(B66&gt;4,(H66/(B66+2)+J75),0))</f>
        <v>0</v>
      </c>
      <c r="K76" s="50"/>
      <c r="L76" s="50" t="s">
        <v>199</v>
      </c>
      <c r="M76" s="50" t="s">
        <v>200</v>
      </c>
      <c r="N76" s="50" t="s">
        <v>201</v>
      </c>
      <c r="O76" s="50" t="s">
        <v>202</v>
      </c>
    </row>
    <row r="77" spans="1:15" ht="15.75" customHeight="1" x14ac:dyDescent="0.3">
      <c r="A77" s="94" t="s">
        <v>138</v>
      </c>
      <c r="B77" s="95" t="s">
        <v>138</v>
      </c>
      <c r="C77" s="44">
        <v>0</v>
      </c>
      <c r="D77" s="45">
        <f ca="1">((100/(H66))*C77)/100</f>
        <v>0</v>
      </c>
      <c r="E77" s="104"/>
      <c r="F77" s="105"/>
      <c r="G77" s="104"/>
      <c r="H77" s="109"/>
      <c r="I77" s="14" t="s">
        <v>152</v>
      </c>
      <c r="J77" s="26">
        <f ca="1">(IF(B66=1,(H66/(B66+3)+J72),IF(B66=0,(H66/4+J72),IF(B66&gt;1,0))))</f>
        <v>18</v>
      </c>
      <c r="K77" s="53">
        <f>AVERAGE(L77:O77)</f>
        <v>5799.2328511148798</v>
      </c>
      <c r="L77" s="50">
        <v>7000</v>
      </c>
      <c r="M77" s="50">
        <v>6000</v>
      </c>
      <c r="N77" s="53">
        <f>AVERAGE(M126:M127)</f>
        <v>4996.9314044595185</v>
      </c>
      <c r="O77" s="50">
        <v>5200</v>
      </c>
    </row>
    <row r="78" spans="1:15" ht="16.2" thickBot="1" x14ac:dyDescent="0.35">
      <c r="A78" s="111" t="s">
        <v>139</v>
      </c>
      <c r="B78" s="112"/>
      <c r="C78" s="46">
        <v>0</v>
      </c>
      <c r="D78" s="47">
        <f ca="1">((100/(H66))*C78)/100</f>
        <v>0</v>
      </c>
      <c r="E78" s="106"/>
      <c r="F78" s="107"/>
      <c r="G78" s="106"/>
      <c r="H78" s="110"/>
      <c r="I78" s="15" t="s">
        <v>107</v>
      </c>
      <c r="J78" s="28">
        <f ca="1">(IF(B66&gt;1.5,(H66/(B66+2)+J72+MAX(0,J73-J72)+MAX(0,J74-J73)+MAX(0,J75-J74)+MAX(0,J76-J75)+MAX(0,J77-J76)),IF(B66=1,(H66/(B66+3)+J77),IF(B66=0,H66/4+J77))))</f>
        <v>24</v>
      </c>
    </row>
    <row r="79" spans="1:15" x14ac:dyDescent="0.3">
      <c r="A79" s="87" t="s">
        <v>160</v>
      </c>
      <c r="B79" s="87"/>
      <c r="C79" s="87"/>
      <c r="D79" s="87"/>
      <c r="E79" s="87"/>
      <c r="F79" s="153" t="s">
        <v>165</v>
      </c>
      <c r="G79" s="153"/>
      <c r="H79" s="153"/>
    </row>
    <row r="80" spans="1:15" x14ac:dyDescent="0.3">
      <c r="A80" s="76" t="s">
        <v>163</v>
      </c>
      <c r="B80" s="76"/>
      <c r="C80" s="76"/>
      <c r="D80" s="76"/>
      <c r="E80" s="76"/>
      <c r="F80" s="84">
        <v>5750</v>
      </c>
      <c r="G80" s="84"/>
      <c r="H80" s="84"/>
      <c r="I80" s="17" t="s">
        <v>205</v>
      </c>
      <c r="J80" s="17" t="s">
        <v>206</v>
      </c>
      <c r="K80" s="21">
        <v>45258</v>
      </c>
      <c r="L80" s="17" t="s">
        <v>207</v>
      </c>
    </row>
    <row r="81" spans="1:13" x14ac:dyDescent="0.3">
      <c r="A81" s="76" t="s">
        <v>162</v>
      </c>
      <c r="B81" s="76"/>
      <c r="C81" s="76"/>
      <c r="D81" s="76"/>
      <c r="E81" s="76"/>
      <c r="F81" s="84">
        <v>11500</v>
      </c>
      <c r="G81" s="84"/>
      <c r="H81" s="84"/>
      <c r="I81" s="50"/>
      <c r="J81" s="50"/>
      <c r="K81" s="50"/>
      <c r="L81" s="50"/>
      <c r="M81" s="50"/>
    </row>
    <row r="82" spans="1:13" hidden="1" x14ac:dyDescent="0.3">
      <c r="A82" s="76" t="s">
        <v>164</v>
      </c>
      <c r="B82" s="76"/>
      <c r="C82" s="76"/>
      <c r="D82" s="76"/>
      <c r="E82" s="76"/>
      <c r="F82" s="84"/>
      <c r="G82" s="84"/>
      <c r="H82" s="84"/>
      <c r="I82" s="50"/>
      <c r="J82" s="50"/>
      <c r="K82" s="50"/>
      <c r="L82" s="50"/>
      <c r="M82" s="50"/>
    </row>
    <row r="83" spans="1:13" s="29" customFormat="1" hidden="1" x14ac:dyDescent="0.25">
      <c r="A83" s="76" t="s">
        <v>161</v>
      </c>
      <c r="B83" s="76"/>
      <c r="C83" s="76"/>
      <c r="D83" s="76"/>
      <c r="E83" s="76"/>
      <c r="F83" s="84"/>
      <c r="G83" s="84"/>
      <c r="H83" s="84"/>
      <c r="I83" s="51"/>
      <c r="J83" s="51"/>
      <c r="K83" s="51"/>
      <c r="L83" s="51"/>
      <c r="M83" s="51"/>
    </row>
    <row r="84" spans="1:13" s="29" customFormat="1" hidden="1" x14ac:dyDescent="0.25">
      <c r="A84" s="76" t="s">
        <v>97</v>
      </c>
      <c r="B84" s="76"/>
      <c r="C84" s="76"/>
      <c r="D84" s="76"/>
      <c r="E84" s="76"/>
      <c r="F84" s="84"/>
      <c r="G84" s="84"/>
      <c r="H84" s="84"/>
      <c r="I84" s="51"/>
      <c r="J84" s="51"/>
      <c r="K84" s="51"/>
      <c r="L84" s="51"/>
      <c r="M84" s="51"/>
    </row>
    <row r="85" spans="1:13" s="29" customFormat="1" hidden="1" x14ac:dyDescent="0.25">
      <c r="A85" s="76" t="s">
        <v>98</v>
      </c>
      <c r="B85" s="76"/>
      <c r="C85" s="76"/>
      <c r="D85" s="76"/>
      <c r="E85" s="76"/>
      <c r="F85" s="84"/>
      <c r="G85" s="84"/>
      <c r="H85" s="84"/>
      <c r="I85" s="51"/>
      <c r="J85" s="51"/>
      <c r="K85" s="51"/>
      <c r="L85" s="51"/>
      <c r="M85" s="51"/>
    </row>
    <row r="86" spans="1:13" s="29" customFormat="1" hidden="1" x14ac:dyDescent="0.25">
      <c r="A86" s="76" t="s">
        <v>166</v>
      </c>
      <c r="B86" s="76"/>
      <c r="C86" s="76"/>
      <c r="D86" s="76"/>
      <c r="E86" s="76"/>
      <c r="F86" s="84"/>
      <c r="G86" s="84"/>
      <c r="H86" s="84"/>
      <c r="I86" s="51"/>
      <c r="J86" s="51"/>
      <c r="K86" s="51"/>
      <c r="L86" s="51"/>
      <c r="M86" s="51"/>
    </row>
    <row r="87" spans="1:13" s="29" customFormat="1" hidden="1" x14ac:dyDescent="0.25">
      <c r="A87" s="76" t="s">
        <v>99</v>
      </c>
      <c r="B87" s="76"/>
      <c r="C87" s="76"/>
      <c r="D87" s="76"/>
      <c r="E87" s="76"/>
      <c r="F87" s="84"/>
      <c r="G87" s="84"/>
      <c r="H87" s="84"/>
    </row>
    <row r="88" spans="1:13" s="29" customFormat="1" hidden="1" x14ac:dyDescent="0.25">
      <c r="A88" s="76" t="s">
        <v>100</v>
      </c>
      <c r="B88" s="76"/>
      <c r="C88" s="76"/>
      <c r="D88" s="76"/>
      <c r="E88" s="76"/>
      <c r="F88" s="84"/>
      <c r="G88" s="84"/>
      <c r="H88" s="84"/>
    </row>
    <row r="89" spans="1:13" s="29" customFormat="1" hidden="1" x14ac:dyDescent="0.25">
      <c r="A89" s="76" t="s">
        <v>101</v>
      </c>
      <c r="B89" s="76"/>
      <c r="C89" s="76"/>
      <c r="D89" s="76"/>
      <c r="E89" s="76"/>
      <c r="F89" s="84"/>
      <c r="G89" s="84"/>
      <c r="H89" s="84"/>
    </row>
    <row r="90" spans="1:13" s="29" customFormat="1" hidden="1" x14ac:dyDescent="0.25">
      <c r="A90" s="76" t="s">
        <v>102</v>
      </c>
      <c r="B90" s="76"/>
      <c r="C90" s="76"/>
      <c r="D90" s="76"/>
      <c r="E90" s="76"/>
      <c r="F90" s="84"/>
      <c r="G90" s="84"/>
      <c r="H90" s="84"/>
    </row>
    <row r="91" spans="1:13" x14ac:dyDescent="0.3">
      <c r="A91" s="76" t="s">
        <v>51</v>
      </c>
      <c r="B91" s="76"/>
      <c r="C91" s="76"/>
      <c r="D91" s="76"/>
      <c r="E91" s="76"/>
      <c r="F91" s="84">
        <v>300000</v>
      </c>
      <c r="G91" s="84"/>
      <c r="H91" s="84"/>
    </row>
    <row r="92" spans="1:13" s="30" customFormat="1" x14ac:dyDescent="0.3">
      <c r="A92" s="93" t="s">
        <v>52</v>
      </c>
      <c r="B92" s="93"/>
      <c r="C92" s="93"/>
      <c r="D92" s="93"/>
      <c r="E92" s="93"/>
      <c r="F92" s="84">
        <f>F80*0.8</f>
        <v>4600</v>
      </c>
      <c r="G92" s="84"/>
      <c r="H92" s="84"/>
    </row>
    <row r="93" spans="1:13" s="31" customFormat="1" ht="15.75" customHeight="1" x14ac:dyDescent="0.3">
      <c r="A93" s="148" t="s">
        <v>77</v>
      </c>
      <c r="B93" s="148"/>
      <c r="C93" s="148"/>
      <c r="D93" s="148"/>
      <c r="E93" s="148"/>
      <c r="F93" s="148"/>
      <c r="G93" s="148"/>
      <c r="H93" s="148"/>
    </row>
    <row r="94" spans="1:13" s="31" customFormat="1" ht="15.75" customHeight="1" x14ac:dyDescent="0.3">
      <c r="A94" s="140" t="s">
        <v>53</v>
      </c>
      <c r="B94" s="140"/>
      <c r="C94" s="150" t="s">
        <v>80</v>
      </c>
      <c r="D94" s="150"/>
      <c r="E94" s="152" t="s">
        <v>54</v>
      </c>
      <c r="F94" s="152"/>
      <c r="G94" s="140" t="s">
        <v>55</v>
      </c>
      <c r="H94" s="140"/>
    </row>
    <row r="95" spans="1:13" s="31" customFormat="1" x14ac:dyDescent="0.3">
      <c r="A95" s="168" t="s">
        <v>185</v>
      </c>
      <c r="B95" s="168"/>
      <c r="C95" s="141">
        <f>COUNT(D107:D119)</f>
        <v>13</v>
      </c>
      <c r="D95" s="96"/>
      <c r="E95" s="97">
        <f>SUM(D107:D119)</f>
        <v>1888.0055999999995</v>
      </c>
      <c r="F95" s="142"/>
      <c r="G95" s="97">
        <f>SUM(F107:F119)</f>
        <v>4414.42576224</v>
      </c>
      <c r="H95" s="142"/>
    </row>
    <row r="96" spans="1:13" s="31" customFormat="1" hidden="1" x14ac:dyDescent="0.3">
      <c r="A96" s="148" t="s">
        <v>155</v>
      </c>
      <c r="B96" s="148"/>
      <c r="C96" s="149">
        <f>SUM(C95)</f>
        <v>13</v>
      </c>
      <c r="D96" s="150"/>
      <c r="E96" s="151">
        <f>SUM(E95)</f>
        <v>1888.0055999999995</v>
      </c>
      <c r="F96" s="152"/>
      <c r="G96" s="140">
        <f>SUM(G95)</f>
        <v>4414.42576224</v>
      </c>
      <c r="H96" s="140"/>
    </row>
    <row r="97" spans="1:14" s="31" customFormat="1" x14ac:dyDescent="0.3">
      <c r="A97" s="148" t="s">
        <v>71</v>
      </c>
      <c r="B97" s="148"/>
      <c r="C97" s="148"/>
      <c r="D97" s="148"/>
      <c r="E97" s="148"/>
      <c r="F97" s="148"/>
      <c r="G97" s="148"/>
      <c r="H97" s="148"/>
    </row>
    <row r="98" spans="1:14" s="31" customFormat="1" ht="15.75" customHeight="1" x14ac:dyDescent="0.3">
      <c r="A98" s="140" t="s">
        <v>53</v>
      </c>
      <c r="B98" s="140"/>
      <c r="C98" s="150" t="s">
        <v>80</v>
      </c>
      <c r="D98" s="150"/>
      <c r="E98" s="152" t="s">
        <v>54</v>
      </c>
      <c r="F98" s="152"/>
      <c r="G98" s="140" t="s">
        <v>55</v>
      </c>
      <c r="H98" s="140"/>
    </row>
    <row r="99" spans="1:14" s="31" customFormat="1" ht="16.2" thickBot="1" x14ac:dyDescent="0.35">
      <c r="A99" s="168" t="s">
        <v>191</v>
      </c>
      <c r="B99" s="168"/>
      <c r="C99" s="96">
        <f>COUNT(D126:D135)*20+COUNT(D137:D146)*4</f>
        <v>240</v>
      </c>
      <c r="D99" s="96"/>
      <c r="E99" s="97">
        <f>SUM(D126:D135)*20+SUM(D137:D146)*4</f>
        <v>104837.91551999997</v>
      </c>
      <c r="F99" s="97"/>
      <c r="G99" s="97">
        <f>SUM(F126:F135)*20+SUM(F137:F146)*4</f>
        <v>157256.87328000003</v>
      </c>
      <c r="H99" s="97"/>
      <c r="J99" s="31">
        <f>192+48</f>
        <v>240</v>
      </c>
    </row>
    <row r="100" spans="1:14" s="31" customFormat="1" ht="15.9" hidden="1" customHeight="1" thickBot="1" x14ac:dyDescent="0.35">
      <c r="A100" s="162" t="s">
        <v>155</v>
      </c>
      <c r="B100" s="162"/>
      <c r="C100" s="155">
        <f>SUM(C99)</f>
        <v>240</v>
      </c>
      <c r="D100" s="155"/>
      <c r="E100" s="97">
        <f>SUM(D127:D136)*20+SUM(D147)*4</f>
        <v>79233.803999999975</v>
      </c>
      <c r="F100" s="97"/>
      <c r="G100" s="147">
        <f>SUM(G99)</f>
        <v>157256.87328000003</v>
      </c>
      <c r="H100" s="147"/>
    </row>
    <row r="101" spans="1:14" s="31" customFormat="1" ht="16.2" thickBot="1" x14ac:dyDescent="0.35">
      <c r="A101" s="156" t="s">
        <v>172</v>
      </c>
      <c r="B101" s="157"/>
      <c r="C101" s="158">
        <f>C96+C100</f>
        <v>253</v>
      </c>
      <c r="D101" s="158"/>
      <c r="E101" s="159">
        <f>E96+E100</f>
        <v>81121.809599999979</v>
      </c>
      <c r="F101" s="159"/>
      <c r="G101" s="160">
        <f>G96+G100</f>
        <v>161671.29904224002</v>
      </c>
      <c r="H101" s="161"/>
      <c r="J101" s="49">
        <v>10.763999999999999</v>
      </c>
    </row>
    <row r="102" spans="1:14" s="30" customFormat="1" x14ac:dyDescent="0.3">
      <c r="A102" s="153" t="s">
        <v>56</v>
      </c>
      <c r="B102" s="153"/>
      <c r="C102" s="153"/>
      <c r="D102" s="153"/>
      <c r="E102" s="153"/>
      <c r="F102" s="153"/>
      <c r="G102" s="153"/>
      <c r="H102" s="153"/>
    </row>
    <row r="103" spans="1:14" x14ac:dyDescent="0.3">
      <c r="A103" s="137" t="s">
        <v>57</v>
      </c>
      <c r="B103" s="137"/>
      <c r="C103" s="137"/>
      <c r="D103" s="137"/>
      <c r="E103" s="137"/>
      <c r="F103" s="137"/>
      <c r="G103" s="137"/>
      <c r="H103" s="137"/>
    </row>
    <row r="104" spans="1:14" ht="47.25" customHeight="1" x14ac:dyDescent="0.3">
      <c r="A104" s="85" t="s">
        <v>123</v>
      </c>
      <c r="B104" s="85" t="s">
        <v>122</v>
      </c>
      <c r="C104" s="85" t="s">
        <v>58</v>
      </c>
      <c r="D104" s="85" t="s">
        <v>59</v>
      </c>
      <c r="E104" s="98" t="s">
        <v>159</v>
      </c>
      <c r="F104" s="39" t="s">
        <v>154</v>
      </c>
      <c r="G104" s="88" t="s">
        <v>61</v>
      </c>
      <c r="H104" s="100"/>
    </row>
    <row r="105" spans="1:14" s="33" customFormat="1" x14ac:dyDescent="0.3">
      <c r="A105" s="86"/>
      <c r="B105" s="86"/>
      <c r="C105" s="86"/>
      <c r="D105" s="86"/>
      <c r="E105" s="99"/>
      <c r="F105" s="13">
        <v>0.55000000000000004</v>
      </c>
      <c r="G105" s="89"/>
      <c r="H105" s="101"/>
    </row>
    <row r="106" spans="1:14" s="33" customFormat="1" x14ac:dyDescent="0.3">
      <c r="A106" s="73" t="s">
        <v>184</v>
      </c>
      <c r="B106" s="74"/>
      <c r="C106" s="74"/>
      <c r="D106" s="74"/>
      <c r="E106" s="74"/>
      <c r="F106" s="74"/>
      <c r="G106" s="74"/>
      <c r="H106" s="75"/>
      <c r="J106" s="32"/>
    </row>
    <row r="107" spans="1:14" s="33" customFormat="1" ht="15.75" customHeight="1" x14ac:dyDescent="0.3">
      <c r="A107" s="64">
        <v>1</v>
      </c>
      <c r="B107" s="65"/>
      <c r="C107" s="38" t="s">
        <v>185</v>
      </c>
      <c r="D107" s="49">
        <f>(18.52)*10.764</f>
        <v>199.34927999999999</v>
      </c>
      <c r="E107" s="49">
        <f>(3.55*2.15+3.05*0.9)*10.764</f>
        <v>111.70340999999999</v>
      </c>
      <c r="F107" s="38">
        <f>(D107+E107)*(($F$105)+1)</f>
        <v>482.13166949999999</v>
      </c>
      <c r="G107" s="67" t="str">
        <f>A106</f>
        <v>Ground Floor for Commercial &amp; Parking</v>
      </c>
      <c r="H107" s="68"/>
      <c r="I107" s="32">
        <f>3.05*5.75</f>
        <v>17.537499999999998</v>
      </c>
      <c r="J107" s="32">
        <f>3.55*2.88</f>
        <v>10.223999999999998</v>
      </c>
      <c r="L107" s="63"/>
      <c r="M107" s="63"/>
      <c r="N107" s="32"/>
    </row>
    <row r="108" spans="1:14" s="33" customFormat="1" x14ac:dyDescent="0.3">
      <c r="A108" s="64">
        <f t="shared" ref="A108:A119" si="0">A107+1</f>
        <v>2</v>
      </c>
      <c r="B108" s="65"/>
      <c r="C108" s="38" t="s">
        <v>185</v>
      </c>
      <c r="D108" s="49">
        <f>(7.39)*10.764</f>
        <v>79.545959999999994</v>
      </c>
      <c r="E108" s="49">
        <f>(2.13*1.75)*10.764</f>
        <v>40.122810000000001</v>
      </c>
      <c r="F108" s="38">
        <f t="shared" ref="F108:F110" si="1">(D108+E108)*(($F$105)+1)</f>
        <v>185.4865935</v>
      </c>
      <c r="G108" s="69"/>
      <c r="H108" s="70"/>
      <c r="I108" s="32"/>
      <c r="L108" s="63"/>
      <c r="M108" s="63"/>
      <c r="N108" s="32"/>
    </row>
    <row r="109" spans="1:14" s="33" customFormat="1" x14ac:dyDescent="0.3">
      <c r="A109" s="64">
        <f t="shared" si="0"/>
        <v>3</v>
      </c>
      <c r="B109" s="65"/>
      <c r="C109" s="38" t="s">
        <v>185</v>
      </c>
      <c r="D109" s="49">
        <f>(16.65)*10.764</f>
        <v>179.22059999999996</v>
      </c>
      <c r="E109" s="49">
        <f>(3.18*2.15+2.75*0.9)*10.764</f>
        <v>100.23436799999999</v>
      </c>
      <c r="F109" s="38">
        <f t="shared" si="1"/>
        <v>433.15520039999996</v>
      </c>
      <c r="G109" s="69"/>
      <c r="H109" s="70"/>
      <c r="I109" s="32"/>
      <c r="L109" s="63"/>
      <c r="M109" s="63"/>
      <c r="N109" s="32"/>
    </row>
    <row r="110" spans="1:14" s="33" customFormat="1" x14ac:dyDescent="0.3">
      <c r="A110" s="64">
        <f t="shared" si="0"/>
        <v>4</v>
      </c>
      <c r="B110" s="65"/>
      <c r="C110" s="38" t="s">
        <v>185</v>
      </c>
      <c r="D110" s="49">
        <f>(15.74)*10.764</f>
        <v>169.42535999999998</v>
      </c>
      <c r="E110" s="49">
        <f>(2.75*2.88)*10.764</f>
        <v>85.250879999999995</v>
      </c>
      <c r="F110" s="38">
        <f t="shared" si="1"/>
        <v>394.74817199999995</v>
      </c>
      <c r="G110" s="69"/>
      <c r="H110" s="70"/>
      <c r="I110" s="32"/>
      <c r="J110" s="33">
        <f>2.75*5.75</f>
        <v>15.8125</v>
      </c>
      <c r="L110" s="63"/>
      <c r="M110" s="63"/>
      <c r="N110" s="32"/>
    </row>
    <row r="111" spans="1:14" s="33" customFormat="1" x14ac:dyDescent="0.3">
      <c r="A111" s="64">
        <f t="shared" si="0"/>
        <v>5</v>
      </c>
      <c r="B111" s="65"/>
      <c r="C111" s="38" t="s">
        <v>185</v>
      </c>
      <c r="D111" s="49">
        <f>(10.26)*10.764</f>
        <v>110.43863999999999</v>
      </c>
      <c r="E111" s="49">
        <f>(1.22*2.88+0.9*0.9)*10.764</f>
        <v>46.539230399999994</v>
      </c>
      <c r="F111" s="38">
        <f>(D111+E111)*(($F$105)+1)</f>
        <v>243.31569911999998</v>
      </c>
      <c r="G111" s="69"/>
      <c r="H111" s="70"/>
      <c r="I111" s="32"/>
      <c r="L111" s="63"/>
      <c r="M111" s="63"/>
      <c r="N111" s="32"/>
    </row>
    <row r="112" spans="1:14" s="33" customFormat="1" x14ac:dyDescent="0.3">
      <c r="A112" s="64">
        <f t="shared" si="0"/>
        <v>6</v>
      </c>
      <c r="B112" s="65"/>
      <c r="C112" s="38" t="s">
        <v>185</v>
      </c>
      <c r="D112" s="49">
        <f>(12.82)*10.764</f>
        <v>137.99447999999998</v>
      </c>
      <c r="E112" s="49">
        <f>(2.75*1.2+1.8*1.4)*10.764</f>
        <v>62.646479999999997</v>
      </c>
      <c r="F112" s="38">
        <f t="shared" ref="F112:F115" si="2">(D112+E112)*(($F$105)+1)</f>
        <v>310.99348799999996</v>
      </c>
      <c r="G112" s="69"/>
      <c r="H112" s="70"/>
      <c r="I112" s="32"/>
      <c r="L112" s="63"/>
      <c r="M112" s="63"/>
      <c r="N112" s="32"/>
    </row>
    <row r="113" spans="1:14" s="33" customFormat="1" x14ac:dyDescent="0.3">
      <c r="A113" s="64">
        <f t="shared" si="0"/>
        <v>7</v>
      </c>
      <c r="B113" s="65"/>
      <c r="C113" s="38" t="s">
        <v>185</v>
      </c>
      <c r="D113" s="49">
        <f>(12.82)*10.764</f>
        <v>137.99447999999998</v>
      </c>
      <c r="E113" s="49">
        <f>(2.75*1.2+1.8*1.4)*10.764</f>
        <v>62.646479999999997</v>
      </c>
      <c r="F113" s="38">
        <f t="shared" si="2"/>
        <v>310.99348799999996</v>
      </c>
      <c r="G113" s="69"/>
      <c r="H113" s="70"/>
      <c r="I113" s="32"/>
      <c r="L113" s="63"/>
      <c r="M113" s="63"/>
      <c r="N113" s="32"/>
    </row>
    <row r="114" spans="1:14" s="33" customFormat="1" x14ac:dyDescent="0.3">
      <c r="A114" s="64">
        <f t="shared" si="0"/>
        <v>8</v>
      </c>
      <c r="B114" s="65"/>
      <c r="C114" s="38" t="s">
        <v>185</v>
      </c>
      <c r="D114" s="49">
        <f>(10.26)*10.764</f>
        <v>110.43863999999999</v>
      </c>
      <c r="E114" s="49">
        <f>(1.22*2.88+0.9*0.9)*10.764</f>
        <v>46.539230399999994</v>
      </c>
      <c r="F114" s="38">
        <f t="shared" si="2"/>
        <v>243.31569911999998</v>
      </c>
      <c r="G114" s="69"/>
      <c r="H114" s="70"/>
      <c r="I114" s="32"/>
      <c r="L114" s="63"/>
      <c r="M114" s="63"/>
      <c r="N114" s="32"/>
    </row>
    <row r="115" spans="1:14" s="33" customFormat="1" x14ac:dyDescent="0.3">
      <c r="A115" s="64">
        <f t="shared" si="0"/>
        <v>9</v>
      </c>
      <c r="B115" s="65"/>
      <c r="C115" s="38" t="s">
        <v>185</v>
      </c>
      <c r="D115" s="49">
        <f>(15.74)*10.764</f>
        <v>169.42535999999998</v>
      </c>
      <c r="E115" s="49">
        <f>(2.75*2.88)*10.764</f>
        <v>85.250879999999995</v>
      </c>
      <c r="F115" s="38">
        <f t="shared" si="2"/>
        <v>394.74817199999995</v>
      </c>
      <c r="G115" s="69"/>
      <c r="H115" s="70"/>
      <c r="I115" s="32"/>
      <c r="L115" s="63"/>
      <c r="M115" s="63"/>
      <c r="N115" s="32"/>
    </row>
    <row r="116" spans="1:14" s="33" customFormat="1" x14ac:dyDescent="0.3">
      <c r="A116" s="64">
        <f t="shared" si="0"/>
        <v>10</v>
      </c>
      <c r="B116" s="65"/>
      <c r="C116" s="38" t="s">
        <v>185</v>
      </c>
      <c r="D116" s="49">
        <f>(16.98)*10.764</f>
        <v>182.77271999999999</v>
      </c>
      <c r="E116" s="49">
        <f>(2.75*3.1)*10.764</f>
        <v>91.763099999999994</v>
      </c>
      <c r="F116" s="38">
        <f>(D116+E116)*(($F$105)+1)</f>
        <v>425.53052100000002</v>
      </c>
      <c r="G116" s="69"/>
      <c r="H116" s="70"/>
      <c r="I116" s="32"/>
      <c r="L116" s="63"/>
      <c r="M116" s="63"/>
      <c r="N116" s="32"/>
    </row>
    <row r="117" spans="1:14" s="33" customFormat="1" x14ac:dyDescent="0.3">
      <c r="A117" s="64">
        <f t="shared" si="0"/>
        <v>11</v>
      </c>
      <c r="B117" s="65"/>
      <c r="C117" s="38" t="s">
        <v>185</v>
      </c>
      <c r="D117" s="49">
        <f>(12.01)*10.764</f>
        <v>129.27563999999998</v>
      </c>
      <c r="E117" s="49">
        <f>(1.63*3.1+0.5*0.75)*10.764</f>
        <v>58.426991999999998</v>
      </c>
      <c r="F117" s="38">
        <f t="shared" ref="F117:F119" si="3">(D117+E117)*(($F$105)+1)</f>
        <v>290.93907960000001</v>
      </c>
      <c r="G117" s="69"/>
      <c r="H117" s="70"/>
      <c r="I117" s="32"/>
      <c r="L117" s="63"/>
      <c r="M117" s="63"/>
      <c r="N117" s="32"/>
    </row>
    <row r="118" spans="1:14" s="33" customFormat="1" x14ac:dyDescent="0.3">
      <c r="A118" s="64">
        <f t="shared" si="0"/>
        <v>12</v>
      </c>
      <c r="B118" s="65"/>
      <c r="C118" s="38" t="s">
        <v>185</v>
      </c>
      <c r="D118" s="49">
        <f>(18.74)*10.764</f>
        <v>201.71735999999999</v>
      </c>
      <c r="E118" s="49">
        <f>(3.2*3.05+2.7*0.8)*10.764</f>
        <v>128.30687999999998</v>
      </c>
      <c r="F118" s="38">
        <f t="shared" si="3"/>
        <v>511.53757199999995</v>
      </c>
      <c r="G118" s="69"/>
      <c r="H118" s="70"/>
      <c r="I118" s="32"/>
      <c r="L118" s="63"/>
      <c r="M118" s="63"/>
      <c r="N118" s="32"/>
    </row>
    <row r="119" spans="1:14" s="33" customFormat="1" x14ac:dyDescent="0.3">
      <c r="A119" s="64">
        <f t="shared" si="0"/>
        <v>13</v>
      </c>
      <c r="B119" s="65"/>
      <c r="C119" s="38" t="s">
        <v>185</v>
      </c>
      <c r="D119" s="49">
        <f>(7.47)*10.764</f>
        <v>80.407079999999993</v>
      </c>
      <c r="E119" s="49">
        <f>(2.6*1.45)*10.764</f>
        <v>40.580279999999995</v>
      </c>
      <c r="F119" s="38">
        <f t="shared" si="3"/>
        <v>187.53040799999999</v>
      </c>
      <c r="G119" s="71"/>
      <c r="H119" s="72"/>
      <c r="I119" s="32"/>
      <c r="L119" s="63"/>
      <c r="M119" s="63"/>
      <c r="N119" s="32"/>
    </row>
    <row r="120" spans="1:14" s="33" customFormat="1" x14ac:dyDescent="0.3">
      <c r="A120" s="64"/>
      <c r="B120" s="66"/>
      <c r="C120" s="66"/>
      <c r="D120" s="66"/>
      <c r="E120" s="66"/>
      <c r="F120" s="66"/>
      <c r="G120" s="66"/>
      <c r="H120" s="65"/>
      <c r="I120" s="32"/>
      <c r="N120" s="32"/>
    </row>
    <row r="121" spans="1:14" ht="47.25" customHeight="1" x14ac:dyDescent="0.3">
      <c r="A121" s="88" t="s">
        <v>124</v>
      </c>
      <c r="B121" s="88" t="s">
        <v>125</v>
      </c>
      <c r="C121" s="85" t="s">
        <v>58</v>
      </c>
      <c r="D121" s="85" t="s">
        <v>59</v>
      </c>
      <c r="E121" s="98" t="s">
        <v>60</v>
      </c>
      <c r="F121" s="39" t="s">
        <v>154</v>
      </c>
      <c r="G121" s="88" t="s">
        <v>61</v>
      </c>
      <c r="H121" s="100"/>
      <c r="I121" s="32"/>
    </row>
    <row r="122" spans="1:14" s="33" customFormat="1" x14ac:dyDescent="0.3">
      <c r="A122" s="89"/>
      <c r="B122" s="89"/>
      <c r="C122" s="86"/>
      <c r="D122" s="86"/>
      <c r="E122" s="99"/>
      <c r="F122" s="13">
        <v>0.5</v>
      </c>
      <c r="G122" s="89"/>
      <c r="H122" s="101"/>
      <c r="I122" s="32"/>
    </row>
    <row r="123" spans="1:14" s="33" customFormat="1" hidden="1" x14ac:dyDescent="0.3">
      <c r="A123" s="73" t="s">
        <v>184</v>
      </c>
      <c r="B123" s="74"/>
      <c r="C123" s="74"/>
      <c r="D123" s="74"/>
      <c r="E123" s="74"/>
      <c r="F123" s="74"/>
      <c r="G123" s="74"/>
      <c r="H123" s="75"/>
      <c r="J123" s="32"/>
    </row>
    <row r="124" spans="1:14" s="33" customFormat="1" hidden="1" x14ac:dyDescent="0.3">
      <c r="A124" s="73" t="s">
        <v>189</v>
      </c>
      <c r="B124" s="74"/>
      <c r="C124" s="74"/>
      <c r="D124" s="74"/>
      <c r="E124" s="74"/>
      <c r="F124" s="74"/>
      <c r="G124" s="74"/>
      <c r="H124" s="75"/>
      <c r="J124" s="32"/>
    </row>
    <row r="125" spans="1:14" s="33" customFormat="1" x14ac:dyDescent="0.3">
      <c r="A125" s="73" t="s">
        <v>224</v>
      </c>
      <c r="B125" s="74"/>
      <c r="C125" s="74"/>
      <c r="D125" s="74"/>
      <c r="E125" s="74"/>
      <c r="F125" s="74"/>
      <c r="G125" s="74"/>
      <c r="H125" s="75"/>
      <c r="J125" s="32"/>
    </row>
    <row r="126" spans="1:14" s="33" customFormat="1" ht="15.75" customHeight="1" x14ac:dyDescent="0.3">
      <c r="A126" s="64">
        <v>1</v>
      </c>
      <c r="B126" s="65"/>
      <c r="C126" s="38" t="s">
        <v>186</v>
      </c>
      <c r="D126" s="49">
        <f>(29.92+2.75+5.1)*10.764</f>
        <v>406.55628000000002</v>
      </c>
      <c r="E126" s="38">
        <v>0</v>
      </c>
      <c r="F126" s="38">
        <f t="shared" ref="F126:F135" si="4">D126*(($F$122)+1)+(IF(E126&lt;101,E126,IF(E126&lt;201,E126/2,IF(E126&lt;=301,E126/3,E126/4))))</f>
        <v>609.83442000000002</v>
      </c>
      <c r="G126" s="67" t="str">
        <f>A125</f>
        <v>1st to 7th, 9th to 12th, 14th to 17th, 19th to 22nd &amp; 24th Floor for Residential</v>
      </c>
      <c r="H126" s="68"/>
      <c r="I126" s="32">
        <f>2.75*3+1.65*1.25+2.1*2.75+2.75*2.35+1.22*1.83+1.83*1.22</f>
        <v>27.0152</v>
      </c>
      <c r="J126" s="33">
        <f>2.75*1</f>
        <v>2.75</v>
      </c>
      <c r="K126" s="56">
        <f>2.75*1.28+2.1*0.75</f>
        <v>5.0950000000000006</v>
      </c>
      <c r="L126" s="52">
        <f>29.92*10.764</f>
        <v>322.05887999999999</v>
      </c>
      <c r="M126" s="52">
        <f>3099000/F126</f>
        <v>5081.7072608003991</v>
      </c>
      <c r="N126" s="32"/>
    </row>
    <row r="127" spans="1:14" s="33" customFormat="1" x14ac:dyDescent="0.3">
      <c r="A127" s="64">
        <f t="shared" ref="A127:A135" si="5">A126+1</f>
        <v>2</v>
      </c>
      <c r="B127" s="65"/>
      <c r="C127" s="38" t="s">
        <v>187</v>
      </c>
      <c r="D127" s="49">
        <f>(39.97+7.41+4.92)*10.764</f>
        <v>562.95719999999994</v>
      </c>
      <c r="E127" s="38">
        <v>0</v>
      </c>
      <c r="F127" s="38">
        <f t="shared" si="4"/>
        <v>844.43579999999997</v>
      </c>
      <c r="G127" s="69"/>
      <c r="H127" s="70"/>
      <c r="I127" s="32"/>
      <c r="L127" s="52">
        <f>39.97*10.764</f>
        <v>430.23707999999993</v>
      </c>
      <c r="M127" s="52">
        <f>4148000/F127</f>
        <v>4912.1555481186379</v>
      </c>
      <c r="N127" s="32"/>
    </row>
    <row r="128" spans="1:14" s="33" customFormat="1" x14ac:dyDescent="0.3">
      <c r="A128" s="64">
        <f t="shared" si="5"/>
        <v>3</v>
      </c>
      <c r="B128" s="65"/>
      <c r="C128" s="38" t="s">
        <v>186</v>
      </c>
      <c r="D128" s="49">
        <f>(29.92+2.75+5.1)*10.764</f>
        <v>406.55628000000002</v>
      </c>
      <c r="E128" s="38">
        <v>0</v>
      </c>
      <c r="F128" s="38">
        <f t="shared" si="4"/>
        <v>609.83442000000002</v>
      </c>
      <c r="G128" s="69"/>
      <c r="H128" s="70"/>
      <c r="I128" s="32"/>
      <c r="K128" s="32">
        <f>3600000/F128</f>
        <v>5903.241735682941</v>
      </c>
      <c r="L128" s="63"/>
      <c r="M128" s="63"/>
      <c r="N128" s="32"/>
    </row>
    <row r="129" spans="1:14" s="33" customFormat="1" x14ac:dyDescent="0.3">
      <c r="A129" s="64">
        <f t="shared" si="5"/>
        <v>4</v>
      </c>
      <c r="B129" s="65"/>
      <c r="C129" s="38" t="s">
        <v>186</v>
      </c>
      <c r="D129" s="49">
        <f>(29.92+2.75+5.1)*10.764</f>
        <v>406.55628000000002</v>
      </c>
      <c r="E129" s="38">
        <v>0</v>
      </c>
      <c r="F129" s="38">
        <f t="shared" si="4"/>
        <v>609.83442000000002</v>
      </c>
      <c r="G129" s="69"/>
      <c r="H129" s="70"/>
      <c r="I129" s="32"/>
      <c r="L129" s="63"/>
      <c r="M129" s="63"/>
      <c r="N129" s="32"/>
    </row>
    <row r="130" spans="1:14" s="33" customFormat="1" x14ac:dyDescent="0.3">
      <c r="A130" s="64">
        <f t="shared" si="5"/>
        <v>5</v>
      </c>
      <c r="B130" s="65"/>
      <c r="C130" s="38" t="s">
        <v>187</v>
      </c>
      <c r="D130" s="49">
        <f>(40+6.26+5.1)*10.764</f>
        <v>552.83903999999995</v>
      </c>
      <c r="E130" s="38">
        <v>0</v>
      </c>
      <c r="F130" s="38">
        <f t="shared" si="4"/>
        <v>829.25855999999999</v>
      </c>
      <c r="G130" s="69"/>
      <c r="H130" s="70"/>
      <c r="I130" s="32"/>
      <c r="L130" s="63"/>
      <c r="M130" s="63"/>
      <c r="N130" s="32"/>
    </row>
    <row r="131" spans="1:14" s="33" customFormat="1" x14ac:dyDescent="0.3">
      <c r="A131" s="64">
        <f t="shared" si="5"/>
        <v>6</v>
      </c>
      <c r="B131" s="65"/>
      <c r="C131" s="38" t="s">
        <v>186</v>
      </c>
      <c r="D131" s="49">
        <f>(29.92+2.75+5.1)*10.764</f>
        <v>406.55628000000002</v>
      </c>
      <c r="E131" s="38">
        <v>0</v>
      </c>
      <c r="F131" s="38">
        <f t="shared" si="4"/>
        <v>609.83442000000002</v>
      </c>
      <c r="G131" s="69"/>
      <c r="H131" s="70"/>
      <c r="I131" s="32"/>
      <c r="L131" s="63"/>
      <c r="M131" s="63"/>
      <c r="N131" s="32"/>
    </row>
    <row r="132" spans="1:14" s="33" customFormat="1" x14ac:dyDescent="0.3">
      <c r="A132" s="64">
        <f t="shared" si="5"/>
        <v>7</v>
      </c>
      <c r="B132" s="65"/>
      <c r="C132" s="38" t="s">
        <v>186</v>
      </c>
      <c r="D132" s="49">
        <f>(29.92+2.75+5.1)*10.764</f>
        <v>406.55628000000002</v>
      </c>
      <c r="E132" s="38">
        <v>0</v>
      </c>
      <c r="F132" s="38">
        <f t="shared" si="4"/>
        <v>609.83442000000002</v>
      </c>
      <c r="G132" s="69"/>
      <c r="H132" s="70"/>
      <c r="I132" s="32"/>
      <c r="L132" s="63"/>
      <c r="M132" s="63"/>
      <c r="N132" s="32"/>
    </row>
    <row r="133" spans="1:14" s="33" customFormat="1" x14ac:dyDescent="0.3">
      <c r="A133" s="64">
        <f t="shared" si="5"/>
        <v>8</v>
      </c>
      <c r="B133" s="65"/>
      <c r="C133" s="38" t="s">
        <v>186</v>
      </c>
      <c r="D133" s="49">
        <f>(29.92+2.75+5.1)*10.764</f>
        <v>406.55628000000002</v>
      </c>
      <c r="E133" s="38">
        <v>0</v>
      </c>
      <c r="F133" s="38">
        <f t="shared" si="4"/>
        <v>609.83442000000002</v>
      </c>
      <c r="G133" s="69"/>
      <c r="H133" s="70"/>
      <c r="I133" s="32"/>
      <c r="L133" s="63"/>
      <c r="M133" s="63"/>
      <c r="N133" s="32"/>
    </row>
    <row r="134" spans="1:14" s="33" customFormat="1" x14ac:dyDescent="0.3">
      <c r="A134" s="64">
        <f t="shared" si="5"/>
        <v>9</v>
      </c>
      <c r="B134" s="65"/>
      <c r="C134" s="38" t="s">
        <v>186</v>
      </c>
      <c r="D134" s="49">
        <f>(29.92+2.75+5.1)*10.764</f>
        <v>406.55628000000002</v>
      </c>
      <c r="E134" s="38">
        <v>0</v>
      </c>
      <c r="F134" s="38">
        <f t="shared" si="4"/>
        <v>609.83442000000002</v>
      </c>
      <c r="G134" s="69"/>
      <c r="H134" s="70"/>
      <c r="I134" s="32"/>
      <c r="L134" s="63"/>
      <c r="M134" s="63"/>
      <c r="N134" s="32"/>
    </row>
    <row r="135" spans="1:14" s="33" customFormat="1" x14ac:dyDescent="0.3">
      <c r="A135" s="64">
        <f t="shared" si="5"/>
        <v>10</v>
      </c>
      <c r="B135" s="65"/>
      <c r="C135" s="38" t="s">
        <v>186</v>
      </c>
      <c r="D135" s="49">
        <f>(29.92+2.75+5.1)*10.764</f>
        <v>406.55628000000002</v>
      </c>
      <c r="E135" s="38">
        <v>0</v>
      </c>
      <c r="F135" s="38">
        <f t="shared" si="4"/>
        <v>609.83442000000002</v>
      </c>
      <c r="G135" s="71"/>
      <c r="H135" s="72"/>
      <c r="I135" s="32"/>
      <c r="L135" s="63"/>
      <c r="M135" s="63"/>
      <c r="N135" s="32"/>
    </row>
    <row r="136" spans="1:14" s="33" customFormat="1" x14ac:dyDescent="0.3">
      <c r="A136" s="73" t="s">
        <v>225</v>
      </c>
      <c r="B136" s="74"/>
      <c r="C136" s="74"/>
      <c r="D136" s="74"/>
      <c r="E136" s="74"/>
      <c r="F136" s="74"/>
      <c r="G136" s="74"/>
      <c r="H136" s="75"/>
      <c r="J136" s="32"/>
    </row>
    <row r="137" spans="1:14" s="33" customFormat="1" ht="15.75" customHeight="1" x14ac:dyDescent="0.3">
      <c r="A137" s="64">
        <v>1</v>
      </c>
      <c r="B137" s="65"/>
      <c r="C137" s="38" t="s">
        <v>186</v>
      </c>
      <c r="D137" s="49">
        <f>(29.92+2.75+5.1)*10.764</f>
        <v>406.55628000000002</v>
      </c>
      <c r="E137" s="38">
        <v>0</v>
      </c>
      <c r="F137" s="38">
        <f t="shared" ref="F137:F146" si="6">D137*(($F$122)+1)+(IF(E137&lt;101,E137,IF(E137&lt;201,E137/2,IF(E137&lt;=301,E137/3,E137/4))))</f>
        <v>609.83442000000002</v>
      </c>
      <c r="G137" s="67" t="str">
        <f>A136</f>
        <v>8th, 13th, 18th &amp; 23rd Floor (Part Refuge Area)</v>
      </c>
      <c r="H137" s="68"/>
      <c r="I137" s="32"/>
      <c r="K137" s="56"/>
      <c r="L137" s="52">
        <f>29.92*10.764</f>
        <v>322.05887999999999</v>
      </c>
      <c r="M137" s="52">
        <f>3099000/F137</f>
        <v>5081.7072608003991</v>
      </c>
      <c r="N137" s="32"/>
    </row>
    <row r="138" spans="1:14" s="33" customFormat="1" x14ac:dyDescent="0.3">
      <c r="A138" s="64">
        <f t="shared" ref="A138:A146" si="7">A137+1</f>
        <v>2</v>
      </c>
      <c r="B138" s="65"/>
      <c r="C138" s="38" t="s">
        <v>187</v>
      </c>
      <c r="D138" s="49">
        <f>(39.97+7.41+4.92)*10.764</f>
        <v>562.95719999999994</v>
      </c>
      <c r="E138" s="38">
        <v>0</v>
      </c>
      <c r="F138" s="38">
        <f t="shared" si="6"/>
        <v>844.43579999999997</v>
      </c>
      <c r="G138" s="69"/>
      <c r="H138" s="70"/>
      <c r="I138" s="32"/>
      <c r="L138" s="52">
        <f>39.97*10.764</f>
        <v>430.23707999999993</v>
      </c>
      <c r="M138" s="52">
        <f>4148000/F138</f>
        <v>4912.1555481186379</v>
      </c>
      <c r="N138" s="32"/>
    </row>
    <row r="139" spans="1:14" s="33" customFormat="1" x14ac:dyDescent="0.3">
      <c r="A139" s="64">
        <f t="shared" si="7"/>
        <v>3</v>
      </c>
      <c r="B139" s="65"/>
      <c r="C139" s="38" t="s">
        <v>186</v>
      </c>
      <c r="D139" s="49">
        <f>(29.92+2.75+5.1)*10.764</f>
        <v>406.55628000000002</v>
      </c>
      <c r="E139" s="38">
        <v>0</v>
      </c>
      <c r="F139" s="38">
        <f t="shared" si="6"/>
        <v>609.83442000000002</v>
      </c>
      <c r="G139" s="69"/>
      <c r="H139" s="70"/>
      <c r="I139" s="32"/>
      <c r="K139" s="32"/>
      <c r="L139" s="63"/>
      <c r="M139" s="63"/>
      <c r="N139" s="32"/>
    </row>
    <row r="140" spans="1:14" s="33" customFormat="1" x14ac:dyDescent="0.3">
      <c r="A140" s="64">
        <f t="shared" si="7"/>
        <v>4</v>
      </c>
      <c r="B140" s="65"/>
      <c r="C140" s="38" t="s">
        <v>186</v>
      </c>
      <c r="D140" s="49">
        <f>(29.92+2.75+5.1)*10.764</f>
        <v>406.55628000000002</v>
      </c>
      <c r="E140" s="38">
        <v>0</v>
      </c>
      <c r="F140" s="38">
        <f t="shared" si="6"/>
        <v>609.83442000000002</v>
      </c>
      <c r="G140" s="69"/>
      <c r="H140" s="70"/>
      <c r="I140" s="32"/>
      <c r="L140" s="63"/>
      <c r="M140" s="63"/>
      <c r="N140" s="32"/>
    </row>
    <row r="141" spans="1:14" s="33" customFormat="1" x14ac:dyDescent="0.3">
      <c r="A141" s="64">
        <f t="shared" si="7"/>
        <v>5</v>
      </c>
      <c r="B141" s="65"/>
      <c r="C141" s="38" t="s">
        <v>187</v>
      </c>
      <c r="D141" s="49">
        <f>(40+6.26+5.1)*10.764</f>
        <v>552.83903999999995</v>
      </c>
      <c r="E141" s="38">
        <v>0</v>
      </c>
      <c r="F141" s="38">
        <f t="shared" si="6"/>
        <v>829.25855999999999</v>
      </c>
      <c r="G141" s="69"/>
      <c r="H141" s="70"/>
      <c r="I141" s="32"/>
      <c r="L141" s="63"/>
      <c r="M141" s="63"/>
      <c r="N141" s="32"/>
    </row>
    <row r="142" spans="1:14" s="33" customFormat="1" x14ac:dyDescent="0.3">
      <c r="A142" s="64">
        <f t="shared" si="7"/>
        <v>6</v>
      </c>
      <c r="B142" s="65"/>
      <c r="C142" s="38" t="s">
        <v>186</v>
      </c>
      <c r="D142" s="49">
        <f>(29.92+2.75+5.1)*10.764</f>
        <v>406.55628000000002</v>
      </c>
      <c r="E142" s="38">
        <v>0</v>
      </c>
      <c r="F142" s="38">
        <f t="shared" si="6"/>
        <v>609.83442000000002</v>
      </c>
      <c r="G142" s="69"/>
      <c r="H142" s="70"/>
      <c r="I142" s="32"/>
      <c r="L142" s="63"/>
      <c r="M142" s="63"/>
      <c r="N142" s="32"/>
    </row>
    <row r="143" spans="1:14" s="33" customFormat="1" x14ac:dyDescent="0.3">
      <c r="A143" s="64">
        <f t="shared" si="7"/>
        <v>7</v>
      </c>
      <c r="B143" s="65"/>
      <c r="C143" s="38" t="s">
        <v>186</v>
      </c>
      <c r="D143" s="49">
        <f>(29.92+2.75+5.1)*10.764</f>
        <v>406.55628000000002</v>
      </c>
      <c r="E143" s="38">
        <v>0</v>
      </c>
      <c r="F143" s="38">
        <f t="shared" si="6"/>
        <v>609.83442000000002</v>
      </c>
      <c r="G143" s="69"/>
      <c r="H143" s="70"/>
      <c r="I143" s="32"/>
      <c r="L143" s="63"/>
      <c r="M143" s="63"/>
      <c r="N143" s="32"/>
    </row>
    <row r="144" spans="1:14" s="33" customFormat="1" x14ac:dyDescent="0.3">
      <c r="A144" s="64">
        <f t="shared" si="7"/>
        <v>8</v>
      </c>
      <c r="B144" s="65"/>
      <c r="C144" s="38" t="s">
        <v>186</v>
      </c>
      <c r="D144" s="49">
        <f>(29.92+2.75+5.1)*10.764</f>
        <v>406.55628000000002</v>
      </c>
      <c r="E144" s="38">
        <v>0</v>
      </c>
      <c r="F144" s="38">
        <f t="shared" si="6"/>
        <v>609.83442000000002</v>
      </c>
      <c r="G144" s="69"/>
      <c r="H144" s="70"/>
      <c r="I144" s="32"/>
      <c r="L144" s="63"/>
      <c r="M144" s="63"/>
      <c r="N144" s="32"/>
    </row>
    <row r="145" spans="1:14" s="33" customFormat="1" x14ac:dyDescent="0.3">
      <c r="A145" s="64">
        <f t="shared" si="7"/>
        <v>9</v>
      </c>
      <c r="B145" s="65"/>
      <c r="C145" s="38" t="s">
        <v>186</v>
      </c>
      <c r="D145" s="49">
        <f>(29.92+2.75+5.1)*10.764</f>
        <v>406.55628000000002</v>
      </c>
      <c r="E145" s="38">
        <v>0</v>
      </c>
      <c r="F145" s="38">
        <f t="shared" si="6"/>
        <v>609.83442000000002</v>
      </c>
      <c r="G145" s="69"/>
      <c r="H145" s="70"/>
      <c r="I145" s="32"/>
      <c r="L145" s="63"/>
      <c r="M145" s="63"/>
      <c r="N145" s="32"/>
    </row>
    <row r="146" spans="1:14" s="33" customFormat="1" x14ac:dyDescent="0.3">
      <c r="A146" s="64">
        <f t="shared" si="7"/>
        <v>10</v>
      </c>
      <c r="B146" s="65"/>
      <c r="C146" s="38" t="s">
        <v>186</v>
      </c>
      <c r="D146" s="49">
        <f>(29.92+2.75+5.1)*10.764</f>
        <v>406.55628000000002</v>
      </c>
      <c r="E146" s="38">
        <v>0</v>
      </c>
      <c r="F146" s="38">
        <f t="shared" si="6"/>
        <v>609.83442000000002</v>
      </c>
      <c r="G146" s="71"/>
      <c r="H146" s="72"/>
      <c r="I146" s="32"/>
      <c r="L146" s="63"/>
      <c r="M146" s="63"/>
      <c r="N146" s="32"/>
    </row>
    <row r="147" spans="1:14" s="33" customFormat="1" hidden="1" x14ac:dyDescent="0.3">
      <c r="A147" s="73" t="s">
        <v>225</v>
      </c>
      <c r="B147" s="74"/>
      <c r="C147" s="74"/>
      <c r="D147" s="74"/>
      <c r="E147" s="74"/>
      <c r="F147" s="74"/>
      <c r="G147" s="74"/>
      <c r="H147" s="75"/>
      <c r="J147" s="32"/>
    </row>
    <row r="148" spans="1:14" s="33" customFormat="1" ht="15.75" hidden="1" customHeight="1" x14ac:dyDescent="0.3">
      <c r="A148" s="64">
        <v>1</v>
      </c>
      <c r="B148" s="65"/>
      <c r="C148" s="38" t="s">
        <v>186</v>
      </c>
      <c r="D148" s="49">
        <f>(29.92+2.75+5.1)*10.764</f>
        <v>406.55628000000002</v>
      </c>
      <c r="E148" s="38">
        <v>0</v>
      </c>
      <c r="F148" s="38">
        <f>D148*(($F$122)+1)+(IF(E148&lt;101,E148,IF(E148&lt;201,E148/2,IF(E148&lt;=301,E148/3,E148/4))))</f>
        <v>609.83442000000002</v>
      </c>
      <c r="G148" s="67" t="str">
        <f>A147</f>
        <v>8th, 13th, 18th &amp; 23rd Floor (Part Refuge Area)</v>
      </c>
      <c r="H148" s="68"/>
      <c r="I148" s="32">
        <f>2.75*4.2+2.1*2.75+2.75*2.35+1.22*1.83+1.83*1.22</f>
        <v>28.252700000000004</v>
      </c>
      <c r="J148" s="33">
        <f>2.75*1</f>
        <v>2.75</v>
      </c>
      <c r="K148" s="33">
        <f>2.75*1.26+2.1*0.75</f>
        <v>5.04</v>
      </c>
      <c r="L148" s="63"/>
      <c r="M148" s="63"/>
      <c r="N148" s="32"/>
    </row>
    <row r="149" spans="1:14" s="33" customFormat="1" hidden="1" x14ac:dyDescent="0.3">
      <c r="A149" s="64">
        <f t="shared" ref="A149:A157" si="8">A148+1</f>
        <v>2</v>
      </c>
      <c r="B149" s="65"/>
      <c r="C149" s="38" t="s">
        <v>187</v>
      </c>
      <c r="D149" s="49">
        <f>(39.97+7.41+4.92)*10.764</f>
        <v>562.95719999999994</v>
      </c>
      <c r="E149" s="38">
        <v>0</v>
      </c>
      <c r="F149" s="38">
        <f>D149*(($F$122)+1)+(IF(E149&lt;101,E149,IF(E149&lt;201,E149/2,IF(E149&lt;=301,E149/3,E149/4))))</f>
        <v>844.43579999999997</v>
      </c>
      <c r="G149" s="69"/>
      <c r="H149" s="70"/>
      <c r="I149" s="32"/>
      <c r="L149" s="63"/>
      <c r="M149" s="63"/>
      <c r="N149" s="32"/>
    </row>
    <row r="150" spans="1:14" s="33" customFormat="1" hidden="1" x14ac:dyDescent="0.3">
      <c r="A150" s="64">
        <f t="shared" si="8"/>
        <v>3</v>
      </c>
      <c r="B150" s="65"/>
      <c r="C150" s="64" t="s">
        <v>188</v>
      </c>
      <c r="D150" s="66"/>
      <c r="E150" s="66"/>
      <c r="F150" s="65"/>
      <c r="G150" s="69"/>
      <c r="H150" s="70"/>
      <c r="I150" s="32"/>
      <c r="L150" s="63"/>
      <c r="M150" s="63"/>
      <c r="N150" s="32"/>
    </row>
    <row r="151" spans="1:14" s="33" customFormat="1" hidden="1" x14ac:dyDescent="0.3">
      <c r="A151" s="64">
        <f t="shared" si="8"/>
        <v>4</v>
      </c>
      <c r="B151" s="65"/>
      <c r="C151" s="38" t="s">
        <v>186</v>
      </c>
      <c r="D151" s="49">
        <f>(29.92+2.75+5.1)*10.764</f>
        <v>406.55628000000002</v>
      </c>
      <c r="E151" s="38">
        <v>0</v>
      </c>
      <c r="F151" s="38">
        <f t="shared" ref="F151:F157" si="9">D151*(($F$122)+1)+(IF(E151&lt;101,E151,IF(E151&lt;201,E151/2,IF(E151&lt;=301,E151/3,E151/4))))</f>
        <v>609.83442000000002</v>
      </c>
      <c r="G151" s="69"/>
      <c r="H151" s="70"/>
      <c r="I151" s="32"/>
      <c r="L151" s="63"/>
      <c r="M151" s="63"/>
      <c r="N151" s="32"/>
    </row>
    <row r="152" spans="1:14" s="33" customFormat="1" hidden="1" x14ac:dyDescent="0.3">
      <c r="A152" s="64">
        <f t="shared" si="8"/>
        <v>5</v>
      </c>
      <c r="B152" s="65"/>
      <c r="C152" s="38" t="s">
        <v>187</v>
      </c>
      <c r="D152" s="49">
        <f>(40+6.26+5.1)*10.764</f>
        <v>552.83903999999995</v>
      </c>
      <c r="E152" s="38">
        <v>0</v>
      </c>
      <c r="F152" s="38">
        <f t="shared" si="9"/>
        <v>829.25855999999999</v>
      </c>
      <c r="G152" s="69"/>
      <c r="H152" s="70"/>
      <c r="I152" s="32"/>
      <c r="L152" s="63"/>
      <c r="M152" s="63"/>
      <c r="N152" s="32"/>
    </row>
    <row r="153" spans="1:14" s="33" customFormat="1" hidden="1" x14ac:dyDescent="0.3">
      <c r="A153" s="64">
        <f t="shared" si="8"/>
        <v>6</v>
      </c>
      <c r="B153" s="65"/>
      <c r="C153" s="38" t="s">
        <v>186</v>
      </c>
      <c r="D153" s="49">
        <f>(29.92+2.75+5.1)*10.764</f>
        <v>406.55628000000002</v>
      </c>
      <c r="E153" s="38">
        <v>0</v>
      </c>
      <c r="F153" s="38">
        <f t="shared" si="9"/>
        <v>609.83442000000002</v>
      </c>
      <c r="G153" s="69"/>
      <c r="H153" s="70"/>
      <c r="I153" s="32"/>
      <c r="K153" s="33">
        <f>3100000/F153</f>
        <v>5083.3470501714219</v>
      </c>
      <c r="L153" s="63"/>
      <c r="M153" s="63"/>
      <c r="N153" s="32"/>
    </row>
    <row r="154" spans="1:14" s="33" customFormat="1" hidden="1" x14ac:dyDescent="0.3">
      <c r="A154" s="64">
        <f t="shared" si="8"/>
        <v>7</v>
      </c>
      <c r="B154" s="65"/>
      <c r="C154" s="38" t="s">
        <v>186</v>
      </c>
      <c r="D154" s="49">
        <f>(29.92+2.75+5.1)*10.764</f>
        <v>406.55628000000002</v>
      </c>
      <c r="E154" s="38">
        <v>0</v>
      </c>
      <c r="F154" s="38">
        <f t="shared" si="9"/>
        <v>609.83442000000002</v>
      </c>
      <c r="G154" s="69"/>
      <c r="H154" s="70"/>
      <c r="I154" s="32"/>
      <c r="K154" s="33">
        <f>3300000/F153</f>
        <v>5411.3049243760297</v>
      </c>
      <c r="L154" s="63"/>
      <c r="M154" s="63"/>
      <c r="N154" s="32"/>
    </row>
    <row r="155" spans="1:14" s="33" customFormat="1" hidden="1" x14ac:dyDescent="0.3">
      <c r="A155" s="64">
        <f t="shared" si="8"/>
        <v>8</v>
      </c>
      <c r="B155" s="65"/>
      <c r="C155" s="38" t="s">
        <v>186</v>
      </c>
      <c r="D155" s="49">
        <f>(29.92+2.75+5.1)*10.764</f>
        <v>406.55628000000002</v>
      </c>
      <c r="E155" s="38">
        <v>0</v>
      </c>
      <c r="F155" s="38">
        <f t="shared" si="9"/>
        <v>609.83442000000002</v>
      </c>
      <c r="G155" s="69"/>
      <c r="H155" s="70"/>
      <c r="I155" s="32"/>
      <c r="L155" s="63"/>
      <c r="M155" s="63"/>
      <c r="N155" s="32"/>
    </row>
    <row r="156" spans="1:14" s="33" customFormat="1" hidden="1" x14ac:dyDescent="0.3">
      <c r="A156" s="64">
        <f t="shared" si="8"/>
        <v>9</v>
      </c>
      <c r="B156" s="65"/>
      <c r="C156" s="38" t="s">
        <v>186</v>
      </c>
      <c r="D156" s="49">
        <f>(29.92+2.75+5.1)*10.764</f>
        <v>406.55628000000002</v>
      </c>
      <c r="E156" s="38">
        <v>0</v>
      </c>
      <c r="F156" s="38">
        <f t="shared" si="9"/>
        <v>609.83442000000002</v>
      </c>
      <c r="G156" s="69"/>
      <c r="H156" s="70"/>
      <c r="I156" s="32"/>
      <c r="L156" s="63"/>
      <c r="M156" s="63"/>
      <c r="N156" s="32"/>
    </row>
    <row r="157" spans="1:14" s="33" customFormat="1" hidden="1" x14ac:dyDescent="0.3">
      <c r="A157" s="64">
        <f t="shared" si="8"/>
        <v>10</v>
      </c>
      <c r="B157" s="65"/>
      <c r="C157" s="38" t="s">
        <v>186</v>
      </c>
      <c r="D157" s="49">
        <f>(29.92+2.75+5.1)*10.764</f>
        <v>406.55628000000002</v>
      </c>
      <c r="E157" s="38">
        <v>0</v>
      </c>
      <c r="F157" s="38">
        <f t="shared" si="9"/>
        <v>609.83442000000002</v>
      </c>
      <c r="G157" s="71"/>
      <c r="H157" s="72"/>
      <c r="I157" s="32"/>
      <c r="L157" s="63"/>
      <c r="M157" s="63"/>
      <c r="N157" s="32"/>
    </row>
    <row r="158" spans="1:14" s="31" customFormat="1" x14ac:dyDescent="0.3">
      <c r="A158" s="174" t="s">
        <v>69</v>
      </c>
      <c r="B158" s="174"/>
      <c r="C158" s="174"/>
      <c r="D158" s="174"/>
      <c r="E158" s="174"/>
      <c r="F158" s="174"/>
      <c r="G158" s="174"/>
      <c r="H158" s="174"/>
    </row>
    <row r="159" spans="1:14" s="48" customFormat="1" x14ac:dyDescent="0.3">
      <c r="A159" s="176">
        <v>1</v>
      </c>
      <c r="B159" s="90" t="s">
        <v>238</v>
      </c>
      <c r="C159" s="91"/>
      <c r="D159" s="91"/>
      <c r="E159" s="91"/>
      <c r="F159" s="91"/>
      <c r="G159" s="91"/>
      <c r="H159" s="92"/>
    </row>
    <row r="160" spans="1:14" s="31" customFormat="1" x14ac:dyDescent="0.3">
      <c r="A160" s="58">
        <f>A159+1</f>
        <v>2</v>
      </c>
      <c r="B160" s="90" t="str">
        <f>(IF(F121="Saleable area Loading :","We have considered Saleable area of Flats as per our Calculation.","We considered Saleable area of Flat as per Builder area Sheet."))</f>
        <v>We have considered Saleable area of Flats as per our Calculation.</v>
      </c>
      <c r="C160" s="91"/>
      <c r="D160" s="91"/>
      <c r="E160" s="91"/>
      <c r="F160" s="91"/>
      <c r="G160" s="91"/>
      <c r="H160" s="92"/>
    </row>
    <row r="161" spans="1:8" s="31" customFormat="1" x14ac:dyDescent="0.3">
      <c r="A161" s="58">
        <f t="shared" ref="A161:A173" si="10">A160+1</f>
        <v>3</v>
      </c>
      <c r="B161" s="90" t="str">
        <f>(IF(F104="Saleable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1" s="91"/>
      <c r="D161" s="91"/>
      <c r="E161" s="91"/>
      <c r="F161" s="91"/>
      <c r="G161" s="91"/>
      <c r="H161" s="92"/>
    </row>
    <row r="162" spans="1:8" s="31" customFormat="1" x14ac:dyDescent="0.3">
      <c r="A162" s="58">
        <f t="shared" si="10"/>
        <v>4</v>
      </c>
      <c r="B162" s="59" t="s">
        <v>128</v>
      </c>
      <c r="C162" s="60"/>
      <c r="D162" s="60"/>
      <c r="E162" s="60"/>
      <c r="F162" s="60"/>
      <c r="G162" s="60"/>
      <c r="H162" s="61"/>
    </row>
    <row r="163" spans="1:8" s="31" customFormat="1" x14ac:dyDescent="0.3">
      <c r="A163" s="58">
        <f t="shared" si="10"/>
        <v>5</v>
      </c>
      <c r="B163" s="90" t="s">
        <v>190</v>
      </c>
      <c r="C163" s="91"/>
      <c r="D163" s="91"/>
      <c r="E163" s="91"/>
      <c r="F163" s="91"/>
      <c r="G163" s="91"/>
      <c r="H163" s="92"/>
    </row>
    <row r="164" spans="1:8" s="31" customFormat="1" x14ac:dyDescent="0.3">
      <c r="A164" s="58">
        <f t="shared" si="10"/>
        <v>6</v>
      </c>
      <c r="B164" s="59" t="s">
        <v>157</v>
      </c>
      <c r="C164" s="60"/>
      <c r="D164" s="60"/>
      <c r="E164" s="60"/>
      <c r="F164" s="60"/>
      <c r="G164" s="60"/>
      <c r="H164" s="61"/>
    </row>
    <row r="165" spans="1:8" s="31" customFormat="1" x14ac:dyDescent="0.3">
      <c r="A165" s="58">
        <f t="shared" si="10"/>
        <v>7</v>
      </c>
      <c r="B165" s="59" t="s">
        <v>129</v>
      </c>
      <c r="C165" s="60"/>
      <c r="D165" s="60"/>
      <c r="E165" s="60"/>
      <c r="F165" s="60"/>
      <c r="G165" s="60"/>
      <c r="H165" s="61"/>
    </row>
    <row r="166" spans="1:8" s="31" customFormat="1" ht="34.5" customHeight="1" x14ac:dyDescent="0.3">
      <c r="A166" s="58">
        <f t="shared" si="10"/>
        <v>8</v>
      </c>
      <c r="B166" s="59" t="s">
        <v>158</v>
      </c>
      <c r="C166" s="60"/>
      <c r="D166" s="60"/>
      <c r="E166" s="60"/>
      <c r="F166" s="60"/>
      <c r="G166" s="60"/>
      <c r="H166" s="61"/>
    </row>
    <row r="167" spans="1:8" s="31" customFormat="1" x14ac:dyDescent="0.3">
      <c r="A167" s="58">
        <f t="shared" si="10"/>
        <v>9</v>
      </c>
      <c r="B167" s="59" t="s">
        <v>130</v>
      </c>
      <c r="C167" s="60"/>
      <c r="D167" s="60"/>
      <c r="E167" s="60"/>
      <c r="F167" s="60"/>
      <c r="G167" s="60"/>
      <c r="H167" s="61"/>
    </row>
    <row r="168" spans="1:8" s="31" customFormat="1" x14ac:dyDescent="0.3">
      <c r="A168" s="58">
        <f t="shared" si="10"/>
        <v>10</v>
      </c>
      <c r="B168" s="59" t="s">
        <v>208</v>
      </c>
      <c r="C168" s="60"/>
      <c r="D168" s="60"/>
      <c r="E168" s="60"/>
      <c r="F168" s="60"/>
      <c r="G168" s="60"/>
      <c r="H168" s="61"/>
    </row>
    <row r="169" spans="1:8" s="31" customFormat="1" x14ac:dyDescent="0.3">
      <c r="A169" s="58">
        <f>A168+1</f>
        <v>11</v>
      </c>
      <c r="B169" s="59" t="s">
        <v>216</v>
      </c>
      <c r="C169" s="60"/>
      <c r="D169" s="60"/>
      <c r="E169" s="60"/>
      <c r="F169" s="60"/>
      <c r="G169" s="60"/>
      <c r="H169" s="61"/>
    </row>
    <row r="170" spans="1:8" s="31" customFormat="1" x14ac:dyDescent="0.3">
      <c r="A170" s="58">
        <f t="shared" si="10"/>
        <v>12</v>
      </c>
      <c r="B170" s="59" t="s">
        <v>227</v>
      </c>
      <c r="C170" s="60"/>
      <c r="D170" s="60"/>
      <c r="E170" s="60"/>
      <c r="F170" s="60"/>
      <c r="G170" s="60"/>
      <c r="H170" s="61"/>
    </row>
    <row r="171" spans="1:8" s="31" customFormat="1" ht="33.75" customHeight="1" x14ac:dyDescent="0.3">
      <c r="A171" s="58">
        <f t="shared" si="10"/>
        <v>13</v>
      </c>
      <c r="B171" s="59" t="s">
        <v>231</v>
      </c>
      <c r="C171" s="60"/>
      <c r="D171" s="60"/>
      <c r="E171" s="60"/>
      <c r="F171" s="60"/>
      <c r="G171" s="60"/>
      <c r="H171" s="61"/>
    </row>
    <row r="172" spans="1:8" s="31" customFormat="1" ht="49.5" customHeight="1" x14ac:dyDescent="0.3">
      <c r="A172" s="58">
        <f t="shared" si="10"/>
        <v>14</v>
      </c>
      <c r="B172" s="59" t="s">
        <v>233</v>
      </c>
      <c r="C172" s="60"/>
      <c r="D172" s="60"/>
      <c r="E172" s="60"/>
      <c r="F172" s="60"/>
      <c r="G172" s="60"/>
      <c r="H172" s="61"/>
    </row>
    <row r="173" spans="1:8" s="31" customFormat="1" ht="64.5" customHeight="1" x14ac:dyDescent="0.3">
      <c r="A173" s="58">
        <f t="shared" si="10"/>
        <v>15</v>
      </c>
      <c r="B173" s="59" t="s">
        <v>234</v>
      </c>
      <c r="C173" s="60"/>
      <c r="D173" s="60"/>
      <c r="E173" s="60"/>
      <c r="F173" s="60"/>
      <c r="G173" s="60"/>
      <c r="H173" s="61"/>
    </row>
    <row r="174" spans="1:8" x14ac:dyDescent="0.3">
      <c r="A174" s="169" t="s">
        <v>62</v>
      </c>
      <c r="B174" s="169"/>
      <c r="C174" s="169"/>
      <c r="D174" s="169"/>
      <c r="E174" s="169"/>
      <c r="F174" s="169"/>
      <c r="G174" s="169"/>
      <c r="H174" s="169"/>
    </row>
    <row r="175" spans="1:8" x14ac:dyDescent="0.3">
      <c r="A175" s="76" t="s">
        <v>63</v>
      </c>
      <c r="B175" s="76"/>
      <c r="C175" s="76"/>
      <c r="D175" s="76"/>
      <c r="E175" s="76"/>
      <c r="F175" s="76"/>
      <c r="G175" s="76"/>
      <c r="H175" s="76"/>
    </row>
    <row r="176" spans="1:8" ht="15.75" customHeight="1" x14ac:dyDescent="0.3">
      <c r="A176" s="170" t="s">
        <v>64</v>
      </c>
      <c r="B176" s="170"/>
      <c r="C176" s="170"/>
      <c r="D176" s="170"/>
      <c r="E176" s="170"/>
      <c r="F176" s="170"/>
      <c r="G176" s="170"/>
      <c r="H176" s="170"/>
    </row>
    <row r="177" spans="1:8" x14ac:dyDescent="0.3">
      <c r="A177" s="76" t="s">
        <v>65</v>
      </c>
      <c r="B177" s="76"/>
      <c r="C177" s="76"/>
      <c r="D177" s="76"/>
      <c r="E177" s="76"/>
      <c r="F177" s="76"/>
      <c r="G177" s="76"/>
      <c r="H177" s="76"/>
    </row>
    <row r="178" spans="1:8" x14ac:dyDescent="0.3">
      <c r="A178" s="76" t="s">
        <v>66</v>
      </c>
      <c r="B178" s="76"/>
      <c r="C178" s="76"/>
      <c r="D178" s="76"/>
      <c r="E178" s="76"/>
      <c r="F178" s="76"/>
      <c r="G178" s="76"/>
      <c r="H178" s="76"/>
    </row>
    <row r="179" spans="1:8" x14ac:dyDescent="0.3">
      <c r="A179" s="76" t="s">
        <v>131</v>
      </c>
      <c r="B179" s="76"/>
      <c r="C179" s="76"/>
      <c r="D179" s="76"/>
      <c r="E179" s="76"/>
      <c r="F179" s="76"/>
      <c r="G179" s="76"/>
      <c r="H179" s="76"/>
    </row>
    <row r="180" spans="1:8" hidden="1" x14ac:dyDescent="0.3">
      <c r="A180" s="133" t="s">
        <v>132</v>
      </c>
      <c r="B180" s="133"/>
      <c r="C180" s="133"/>
      <c r="D180" s="133"/>
      <c r="E180" s="133"/>
      <c r="F180" s="133"/>
      <c r="G180" s="133"/>
      <c r="H180" s="133"/>
    </row>
    <row r="181" spans="1:8" x14ac:dyDescent="0.3">
      <c r="A181" s="167" t="s">
        <v>79</v>
      </c>
      <c r="B181" s="167"/>
      <c r="C181" s="167" t="s">
        <v>211</v>
      </c>
      <c r="D181" s="167"/>
      <c r="E181" s="167" t="s">
        <v>109</v>
      </c>
      <c r="F181" s="167"/>
      <c r="G181" s="167" t="s">
        <v>236</v>
      </c>
      <c r="H181" s="167"/>
    </row>
    <row r="182" spans="1:8" x14ac:dyDescent="0.3">
      <c r="A182" s="166" t="s">
        <v>81</v>
      </c>
      <c r="B182" s="166"/>
      <c r="C182" s="166"/>
      <c r="D182" s="166"/>
      <c r="E182" s="166"/>
      <c r="F182" s="166"/>
      <c r="G182" s="166"/>
      <c r="H182" s="166"/>
    </row>
    <row r="183" spans="1:8" x14ac:dyDescent="0.3">
      <c r="A183" s="166"/>
      <c r="B183" s="166"/>
      <c r="C183" s="166"/>
      <c r="D183" s="166"/>
      <c r="E183" s="166"/>
      <c r="F183" s="166"/>
      <c r="G183" s="166"/>
      <c r="H183" s="166"/>
    </row>
    <row r="184" spans="1:8" x14ac:dyDescent="0.3">
      <c r="A184" s="166"/>
      <c r="B184" s="166"/>
      <c r="C184" s="166"/>
      <c r="D184" s="166"/>
      <c r="E184" s="166"/>
      <c r="F184" s="166"/>
      <c r="G184" s="166"/>
      <c r="H184" s="166"/>
    </row>
    <row r="185" spans="1:8" x14ac:dyDescent="0.3">
      <c r="A185" s="34" t="s">
        <v>67</v>
      </c>
      <c r="B185" s="35"/>
      <c r="C185" s="35"/>
      <c r="D185" s="34" t="str">
        <f>E8</f>
        <v>Mountain Greens</v>
      </c>
      <c r="F185" s="35"/>
      <c r="G185" s="35"/>
      <c r="H185" s="35"/>
    </row>
    <row r="186" spans="1:8" x14ac:dyDescent="0.3">
      <c r="A186" s="35"/>
      <c r="B186" s="35"/>
      <c r="C186" s="35"/>
      <c r="D186" s="35"/>
      <c r="E186" s="35"/>
      <c r="F186" s="35"/>
      <c r="G186" s="35"/>
      <c r="H186" s="35"/>
    </row>
    <row r="187" spans="1:8" x14ac:dyDescent="0.3">
      <c r="A187" s="35"/>
      <c r="B187" s="35"/>
      <c r="C187" s="35"/>
      <c r="D187" s="35"/>
      <c r="E187" s="35"/>
      <c r="F187" s="35"/>
      <c r="G187" s="35"/>
      <c r="H187" s="35"/>
    </row>
    <row r="188" spans="1:8" ht="15" customHeight="1" x14ac:dyDescent="0.3"/>
    <row r="227" spans="1:1" x14ac:dyDescent="0.3">
      <c r="A227" s="37" t="s">
        <v>230</v>
      </c>
    </row>
    <row r="269" spans="1:1" x14ac:dyDescent="0.3">
      <c r="A269" s="37" t="s">
        <v>229</v>
      </c>
    </row>
    <row r="311" spans="1:1" x14ac:dyDescent="0.3">
      <c r="A311" s="37" t="s">
        <v>235</v>
      </c>
    </row>
    <row r="353" spans="1:1" x14ac:dyDescent="0.3">
      <c r="A353" s="37" t="s">
        <v>169</v>
      </c>
    </row>
    <row r="395" spans="1:1" x14ac:dyDescent="0.3">
      <c r="A395" s="37" t="s">
        <v>68</v>
      </c>
    </row>
  </sheetData>
  <mergeCells count="350">
    <mergeCell ref="B173:H173"/>
    <mergeCell ref="L144:M144"/>
    <mergeCell ref="A145:B145"/>
    <mergeCell ref="L145:M145"/>
    <mergeCell ref="A146:B146"/>
    <mergeCell ref="L146:M146"/>
    <mergeCell ref="L139:M139"/>
    <mergeCell ref="A140:B140"/>
    <mergeCell ref="L140:M140"/>
    <mergeCell ref="A141:B141"/>
    <mergeCell ref="L141:M141"/>
    <mergeCell ref="A142:B142"/>
    <mergeCell ref="L142:M142"/>
    <mergeCell ref="A143:B143"/>
    <mergeCell ref="L143:M143"/>
    <mergeCell ref="B169:H169"/>
    <mergeCell ref="B172:H172"/>
    <mergeCell ref="B168:H168"/>
    <mergeCell ref="B165:H165"/>
    <mergeCell ref="B161:H161"/>
    <mergeCell ref="B162:H162"/>
    <mergeCell ref="B163:H163"/>
    <mergeCell ref="A158:H158"/>
    <mergeCell ref="B170:H170"/>
    <mergeCell ref="E41:H41"/>
    <mergeCell ref="A41:D41"/>
    <mergeCell ref="A179:H179"/>
    <mergeCell ref="A176:H176"/>
    <mergeCell ref="A98:B98"/>
    <mergeCell ref="D121:D122"/>
    <mergeCell ref="E121:E122"/>
    <mergeCell ref="G121:H122"/>
    <mergeCell ref="A74:B74"/>
    <mergeCell ref="F80:H80"/>
    <mergeCell ref="G95:H95"/>
    <mergeCell ref="C48:E48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A182:H184"/>
    <mergeCell ref="A181:B181"/>
    <mergeCell ref="E181:F181"/>
    <mergeCell ref="C181:D181"/>
    <mergeCell ref="G181:H181"/>
    <mergeCell ref="A93:H93"/>
    <mergeCell ref="A91:E91"/>
    <mergeCell ref="F91:H91"/>
    <mergeCell ref="A92:E92"/>
    <mergeCell ref="F92:H92"/>
    <mergeCell ref="A99:B99"/>
    <mergeCell ref="A95:B95"/>
    <mergeCell ref="A177:H177"/>
    <mergeCell ref="A97:H97"/>
    <mergeCell ref="A180:H180"/>
    <mergeCell ref="A178:H178"/>
    <mergeCell ref="A174:H174"/>
    <mergeCell ref="A175:H175"/>
    <mergeCell ref="E98:F98"/>
    <mergeCell ref="B167:H167"/>
    <mergeCell ref="A102:H102"/>
    <mergeCell ref="B159:H159"/>
    <mergeCell ref="A71:B71"/>
    <mergeCell ref="A67:B67"/>
    <mergeCell ref="C121:C122"/>
    <mergeCell ref="F83:H83"/>
    <mergeCell ref="C100:D100"/>
    <mergeCell ref="F89:H89"/>
    <mergeCell ref="E94:F94"/>
    <mergeCell ref="A94:B94"/>
    <mergeCell ref="A101:B101"/>
    <mergeCell ref="C101:D101"/>
    <mergeCell ref="E101:F101"/>
    <mergeCell ref="G101:H101"/>
    <mergeCell ref="A84:E84"/>
    <mergeCell ref="A100:B100"/>
    <mergeCell ref="E100:F100"/>
    <mergeCell ref="F90:H90"/>
    <mergeCell ref="F88:H88"/>
    <mergeCell ref="A73:B73"/>
    <mergeCell ref="F79:H79"/>
    <mergeCell ref="F84:H84"/>
    <mergeCell ref="A120:H120"/>
    <mergeCell ref="A121:A122"/>
    <mergeCell ref="A90:E90"/>
    <mergeCell ref="G100:H100"/>
    <mergeCell ref="A96:B96"/>
    <mergeCell ref="C96:D96"/>
    <mergeCell ref="E96:F96"/>
    <mergeCell ref="G96:H96"/>
    <mergeCell ref="C98:D98"/>
    <mergeCell ref="G98:H98"/>
    <mergeCell ref="F87:H87"/>
    <mergeCell ref="C94:D94"/>
    <mergeCell ref="A103:H103"/>
    <mergeCell ref="G94:H94"/>
    <mergeCell ref="A89:E89"/>
    <mergeCell ref="C95:D95"/>
    <mergeCell ref="E95:F95"/>
    <mergeCell ref="B104:B105"/>
    <mergeCell ref="A104:A105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A65:B65"/>
    <mergeCell ref="C65:H65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D58:H58"/>
    <mergeCell ref="A42:D42"/>
    <mergeCell ref="E42:H42"/>
    <mergeCell ref="E43:H43"/>
    <mergeCell ref="E44:H44"/>
    <mergeCell ref="E45:H45"/>
    <mergeCell ref="A43:D43"/>
    <mergeCell ref="F35:H35"/>
    <mergeCell ref="A45:D45"/>
    <mergeCell ref="A46:H46"/>
    <mergeCell ref="D56:H56"/>
    <mergeCell ref="A56:C56"/>
    <mergeCell ref="G49:H49"/>
    <mergeCell ref="A50:B51"/>
    <mergeCell ref="A48:B48"/>
    <mergeCell ref="A37:B37"/>
    <mergeCell ref="C37:H37"/>
    <mergeCell ref="A44:D44"/>
    <mergeCell ref="L110:M110"/>
    <mergeCell ref="L109:M109"/>
    <mergeCell ref="L108:M108"/>
    <mergeCell ref="L107:M107"/>
    <mergeCell ref="A76:B76"/>
    <mergeCell ref="C99:D99"/>
    <mergeCell ref="E99:F99"/>
    <mergeCell ref="G99:H99"/>
    <mergeCell ref="F86:H86"/>
    <mergeCell ref="A80:E80"/>
    <mergeCell ref="A106:H106"/>
    <mergeCell ref="E104:E105"/>
    <mergeCell ref="G104:H105"/>
    <mergeCell ref="A59:C59"/>
    <mergeCell ref="E69:F78"/>
    <mergeCell ref="G69:H78"/>
    <mergeCell ref="A77:B77"/>
    <mergeCell ref="A78:B78"/>
    <mergeCell ref="D59:H59"/>
    <mergeCell ref="A75:B75"/>
    <mergeCell ref="A68:B68"/>
    <mergeCell ref="C104:C105"/>
    <mergeCell ref="B121:B122"/>
    <mergeCell ref="A129:B129"/>
    <mergeCell ref="A126:B126"/>
    <mergeCell ref="A110:B110"/>
    <mergeCell ref="A127:B127"/>
    <mergeCell ref="A128:B128"/>
    <mergeCell ref="B160:H160"/>
    <mergeCell ref="A125:H125"/>
    <mergeCell ref="A148:B148"/>
    <mergeCell ref="G148:H157"/>
    <mergeCell ref="A153:B153"/>
    <mergeCell ref="A136:H136"/>
    <mergeCell ref="A137:B137"/>
    <mergeCell ref="G137:H146"/>
    <mergeCell ref="A138:B138"/>
    <mergeCell ref="A139:B139"/>
    <mergeCell ref="A144:B144"/>
    <mergeCell ref="A38:B38"/>
    <mergeCell ref="C38:H38"/>
    <mergeCell ref="B166:H166"/>
    <mergeCell ref="A47:B47"/>
    <mergeCell ref="C47:H47"/>
    <mergeCell ref="B164:H164"/>
    <mergeCell ref="F81:H81"/>
    <mergeCell ref="A81:E81"/>
    <mergeCell ref="D104:D105"/>
    <mergeCell ref="A83:E83"/>
    <mergeCell ref="A107:B107"/>
    <mergeCell ref="A108:B108"/>
    <mergeCell ref="A109:B109"/>
    <mergeCell ref="A85:E85"/>
    <mergeCell ref="F85:H85"/>
    <mergeCell ref="A86:E86"/>
    <mergeCell ref="A88:E88"/>
    <mergeCell ref="F82:H82"/>
    <mergeCell ref="A87:E87"/>
    <mergeCell ref="A82:E82"/>
    <mergeCell ref="A79:E79"/>
    <mergeCell ref="A117:B117"/>
    <mergeCell ref="A133:B133"/>
    <mergeCell ref="A147:H147"/>
    <mergeCell ref="L117:M117"/>
    <mergeCell ref="A118:B118"/>
    <mergeCell ref="L118:M118"/>
    <mergeCell ref="A119:B119"/>
    <mergeCell ref="L119:M119"/>
    <mergeCell ref="G107:H119"/>
    <mergeCell ref="A114:B114"/>
    <mergeCell ref="L114:M114"/>
    <mergeCell ref="A115:B115"/>
    <mergeCell ref="L115:M115"/>
    <mergeCell ref="A116:B116"/>
    <mergeCell ref="L116:M116"/>
    <mergeCell ref="A111:B111"/>
    <mergeCell ref="L111:M111"/>
    <mergeCell ref="A112:B112"/>
    <mergeCell ref="L112:M112"/>
    <mergeCell ref="A113:B113"/>
    <mergeCell ref="L113:M113"/>
    <mergeCell ref="A135:B135"/>
    <mergeCell ref="L135:M135"/>
    <mergeCell ref="G126:H135"/>
    <mergeCell ref="A123:H123"/>
    <mergeCell ref="A130:B130"/>
    <mergeCell ref="L130:M130"/>
    <mergeCell ref="A131:B131"/>
    <mergeCell ref="L131:M131"/>
    <mergeCell ref="A132:B132"/>
    <mergeCell ref="L132:M132"/>
    <mergeCell ref="A124:H124"/>
    <mergeCell ref="L129:M129"/>
    <mergeCell ref="L128:M128"/>
    <mergeCell ref="B171:H171"/>
    <mergeCell ref="I10:L10"/>
    <mergeCell ref="L153:M153"/>
    <mergeCell ref="A154:B154"/>
    <mergeCell ref="L154:M154"/>
    <mergeCell ref="A155:B155"/>
    <mergeCell ref="L155:M155"/>
    <mergeCell ref="A156:B156"/>
    <mergeCell ref="L156:M156"/>
    <mergeCell ref="A157:B157"/>
    <mergeCell ref="L157:M157"/>
    <mergeCell ref="L148:M148"/>
    <mergeCell ref="A149:B149"/>
    <mergeCell ref="L149:M149"/>
    <mergeCell ref="A150:B150"/>
    <mergeCell ref="L150:M150"/>
    <mergeCell ref="A151:B151"/>
    <mergeCell ref="L151:M151"/>
    <mergeCell ref="A152:B152"/>
    <mergeCell ref="L152:M152"/>
    <mergeCell ref="C150:F150"/>
    <mergeCell ref="L133:M133"/>
    <mergeCell ref="A134:B134"/>
    <mergeCell ref="L134:M134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7" manualBreakCount="7">
    <brk id="64" max="7" man="1"/>
    <brk id="184" max="16383" man="1"/>
    <brk id="226" max="16383" man="1"/>
    <brk id="268" max="16383" man="1"/>
    <brk id="310" max="7" man="1"/>
    <brk id="352" max="16383" man="1"/>
    <brk id="39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10" zoomScale="85" zoomScaleNormal="85" workbookViewId="0">
      <selection activeCell="B15" sqref="B15"/>
    </sheetView>
  </sheetViews>
  <sheetFormatPr defaultColWidth="8.6640625" defaultRowHeight="14.4" x14ac:dyDescent="0.3"/>
  <cols>
    <col min="1" max="1" width="8.6640625" style="1"/>
    <col min="2" max="2" width="22.3320312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75" t="s">
        <v>110</v>
      </c>
      <c r="C3" s="175"/>
      <c r="D3" s="175"/>
      <c r="E3" s="175"/>
      <c r="F3" s="175"/>
      <c r="G3" s="175"/>
      <c r="H3" s="175"/>
    </row>
    <row r="4" spans="1:9" x14ac:dyDescent="0.3">
      <c r="A4" s="2"/>
      <c r="B4" s="3" t="s">
        <v>111</v>
      </c>
      <c r="C4" s="3" t="s">
        <v>112</v>
      </c>
      <c r="D4" s="3" t="s">
        <v>70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2025-09-13T02:04:25Z</cp:lastPrinted>
  <dcterms:created xsi:type="dcterms:W3CDTF">2019-07-16T09:29:46Z</dcterms:created>
  <dcterms:modified xsi:type="dcterms:W3CDTF">2025-09-13T06:10:10Z</dcterms:modified>
</cp:coreProperties>
</file>