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C:\Users\prani\Downloads\12.09 Dump\"/>
    </mc:Choice>
  </mc:AlternateContent>
  <xr:revisionPtr revIDLastSave="0" documentId="13_ncr:1_{E4F0629C-B45C-46A6-AB30-EB9A26BAEE65}" xr6:coauthVersionLast="47" xr6:coauthVersionMax="47" xr10:uidLastSave="{00000000-0000-0000-0000-000000000000}"/>
  <bookViews>
    <workbookView xWindow="-108" yWindow="-108" windowWidth="23256" windowHeight="12456" tabRatio="725" xr2:uid="{00000000-000D-0000-FFFF-FFFF00000000}"/>
  </bookViews>
  <sheets>
    <sheet name="Report" sheetId="1" r:id="rId1"/>
    <sheet name="valuation" sheetId="5" r:id="rId2"/>
    <sheet name="Research" sheetId="4" r:id="rId3"/>
    <sheet name="Remarks" sheetId="6" r:id="rId4"/>
  </sheets>
  <definedNames>
    <definedName name="_xlnm.Print_Area" localSheetId="0">Report!$A$1:$H$384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6" i="1" l="1"/>
  <c r="L148" i="1" l="1"/>
  <c r="L149" i="1"/>
  <c r="L150" i="1"/>
  <c r="L151" i="1"/>
  <c r="L152" i="1"/>
  <c r="L153" i="1"/>
  <c r="L154" i="1"/>
  <c r="L155" i="1"/>
  <c r="L156" i="1"/>
  <c r="L157" i="1"/>
  <c r="L147" i="1"/>
  <c r="F6" i="5" l="1"/>
  <c r="F7" i="5"/>
  <c r="F8" i="5"/>
  <c r="F5" i="5"/>
  <c r="G5" i="5" s="1"/>
  <c r="K195" i="1"/>
  <c r="N151" i="1"/>
  <c r="D19" i="5" l="1"/>
  <c r="N168" i="1"/>
  <c r="N174" i="1"/>
  <c r="N180" i="1"/>
  <c r="N186" i="1"/>
  <c r="H8" i="5" l="1"/>
  <c r="F9" i="5"/>
  <c r="F10" i="5"/>
  <c r="F11" i="5"/>
  <c r="F19" i="5"/>
  <c r="E167" i="1" l="1"/>
  <c r="D167" i="1"/>
  <c r="E166" i="1"/>
  <c r="D166" i="1"/>
  <c r="E165" i="1"/>
  <c r="D165" i="1"/>
  <c r="E164" i="1"/>
  <c r="D164" i="1"/>
  <c r="E163" i="1"/>
  <c r="D163" i="1"/>
  <c r="E162" i="1"/>
  <c r="D162" i="1"/>
  <c r="C137" i="1" s="1"/>
  <c r="K163" i="1"/>
  <c r="J163" i="1"/>
  <c r="K162" i="1"/>
  <c r="J162" i="1"/>
  <c r="D157" i="1"/>
  <c r="F157" i="1" s="1"/>
  <c r="K157" i="1" s="1"/>
  <c r="D156" i="1"/>
  <c r="D155" i="1"/>
  <c r="F155" i="1" s="1"/>
  <c r="K155" i="1" s="1"/>
  <c r="D154" i="1"/>
  <c r="F154" i="1" s="1"/>
  <c r="K154" i="1" s="1"/>
  <c r="D153" i="1"/>
  <c r="F153" i="1" s="1"/>
  <c r="K153" i="1" s="1"/>
  <c r="D152" i="1"/>
  <c r="F152" i="1" s="1"/>
  <c r="K152" i="1" s="1"/>
  <c r="D151" i="1"/>
  <c r="F151" i="1" s="1"/>
  <c r="K151" i="1" s="1"/>
  <c r="D150" i="1"/>
  <c r="D149" i="1"/>
  <c r="D148" i="1"/>
  <c r="D147" i="1"/>
  <c r="I153" i="1"/>
  <c r="I151" i="1"/>
  <c r="I150" i="1"/>
  <c r="I149" i="1"/>
  <c r="I148" i="1"/>
  <c r="I147" i="1"/>
  <c r="F156" i="1"/>
  <c r="K156" i="1" s="1"/>
  <c r="C54" i="1"/>
  <c r="C56" i="1"/>
  <c r="G56" i="1"/>
  <c r="C58" i="1"/>
  <c r="G58" i="1"/>
  <c r="E43" i="1"/>
  <c r="F166" i="1" l="1"/>
  <c r="H166" i="1" s="1"/>
  <c r="C132" i="1"/>
  <c r="C140" i="1" s="1"/>
  <c r="F167" i="1"/>
  <c r="I45" i="1"/>
  <c r="N166" i="1" l="1"/>
  <c r="H167" i="1"/>
  <c r="N167" i="1"/>
  <c r="J166" i="1"/>
  <c r="I166" i="1"/>
  <c r="B194" i="1"/>
  <c r="J167" i="1" l="1"/>
  <c r="I167" i="1"/>
  <c r="F148" i="1"/>
  <c r="K148" i="1" s="1"/>
  <c r="F149" i="1"/>
  <c r="K149" i="1" s="1"/>
  <c r="F150" i="1"/>
  <c r="K150" i="1" s="1"/>
  <c r="F147" i="1"/>
  <c r="K147" i="1" s="1"/>
  <c r="G132" i="1" l="1"/>
  <c r="E132" i="1"/>
  <c r="S33" i="1"/>
  <c r="G11" i="5" l="1"/>
  <c r="G10" i="5"/>
  <c r="G7" i="5"/>
  <c r="G6" i="5"/>
  <c r="D218" i="1"/>
  <c r="B195" i="1"/>
  <c r="F191" i="1"/>
  <c r="F190" i="1"/>
  <c r="F189" i="1"/>
  <c r="F188" i="1"/>
  <c r="F187" i="1"/>
  <c r="F185" i="1"/>
  <c r="F184" i="1"/>
  <c r="F183" i="1"/>
  <c r="F182" i="1"/>
  <c r="F181" i="1"/>
  <c r="F179" i="1"/>
  <c r="F178" i="1"/>
  <c r="F177" i="1"/>
  <c r="F176" i="1"/>
  <c r="F175" i="1"/>
  <c r="F173" i="1"/>
  <c r="F172" i="1"/>
  <c r="F171" i="1"/>
  <c r="F170" i="1"/>
  <c r="F169" i="1"/>
  <c r="A169" i="1"/>
  <c r="A170" i="1" s="1"/>
  <c r="A171" i="1" s="1"/>
  <c r="A172" i="1" s="1"/>
  <c r="A173" i="1" s="1"/>
  <c r="F165" i="1"/>
  <c r="F164" i="1"/>
  <c r="F163" i="1"/>
  <c r="A163" i="1"/>
  <c r="A164" i="1" s="1"/>
  <c r="A165" i="1" s="1"/>
  <c r="A166" i="1" s="1"/>
  <c r="A167" i="1" s="1"/>
  <c r="F162" i="1"/>
  <c r="A148" i="1"/>
  <c r="A149" i="1" s="1"/>
  <c r="A150" i="1" s="1"/>
  <c r="A151" i="1" s="1"/>
  <c r="A152" i="1" s="1"/>
  <c r="A153" i="1" s="1"/>
  <c r="A154" i="1" s="1"/>
  <c r="A155" i="1" s="1"/>
  <c r="A156" i="1" s="1"/>
  <c r="A157" i="1" s="1"/>
  <c r="F129" i="1"/>
  <c r="C103" i="1"/>
  <c r="C89" i="1"/>
  <c r="C75" i="1"/>
  <c r="D69" i="1"/>
  <c r="G51" i="1"/>
  <c r="G52" i="1" s="1"/>
  <c r="C51" i="1"/>
  <c r="C52" i="1" s="1"/>
  <c r="E44" i="1"/>
  <c r="E45" i="1" s="1"/>
  <c r="E31" i="1"/>
  <c r="E28" i="1"/>
  <c r="E26" i="1"/>
  <c r="I15" i="1"/>
  <c r="Z13" i="1"/>
  <c r="E8" i="1"/>
  <c r="E3" i="1"/>
  <c r="H76" i="1"/>
  <c r="H104" i="1"/>
  <c r="A187" i="1"/>
  <c r="H90" i="1"/>
  <c r="A181" i="1"/>
  <c r="A175" i="1"/>
  <c r="H162" i="1" l="1"/>
  <c r="I162" i="1" s="1"/>
  <c r="N162" i="1"/>
  <c r="H165" i="1"/>
  <c r="I165" i="1" s="1"/>
  <c r="N165" i="1"/>
  <c r="H171" i="1"/>
  <c r="N171" i="1"/>
  <c r="H176" i="1"/>
  <c r="N176" i="1"/>
  <c r="H181" i="1"/>
  <c r="N181" i="1"/>
  <c r="H185" i="1"/>
  <c r="N185" i="1"/>
  <c r="H190" i="1"/>
  <c r="N190" i="1"/>
  <c r="H172" i="1"/>
  <c r="N172" i="1"/>
  <c r="H177" i="1"/>
  <c r="N177" i="1"/>
  <c r="H182" i="1"/>
  <c r="N182" i="1"/>
  <c r="H187" i="1"/>
  <c r="N187" i="1"/>
  <c r="H191" i="1"/>
  <c r="N191" i="1"/>
  <c r="H163" i="1"/>
  <c r="I163" i="1" s="1"/>
  <c r="N163" i="1"/>
  <c r="H169" i="1"/>
  <c r="N169" i="1"/>
  <c r="H173" i="1"/>
  <c r="N173" i="1"/>
  <c r="H178" i="1"/>
  <c r="N178" i="1"/>
  <c r="H183" i="1"/>
  <c r="N183" i="1"/>
  <c r="H188" i="1"/>
  <c r="N188" i="1"/>
  <c r="H164" i="1"/>
  <c r="I164" i="1" s="1"/>
  <c r="N164" i="1"/>
  <c r="H170" i="1"/>
  <c r="N170" i="1"/>
  <c r="H175" i="1"/>
  <c r="N175" i="1"/>
  <c r="H179" i="1"/>
  <c r="N179" i="1"/>
  <c r="H184" i="1"/>
  <c r="N184" i="1"/>
  <c r="H189" i="1"/>
  <c r="N189" i="1"/>
  <c r="E137" i="1"/>
  <c r="E140" i="1" s="1"/>
  <c r="J75" i="1"/>
  <c r="J77" i="1" s="1"/>
  <c r="J78" i="1"/>
  <c r="J79" i="1"/>
  <c r="J80" i="1"/>
  <c r="C79" i="1" s="1"/>
  <c r="J94" i="1"/>
  <c r="E93" i="1"/>
  <c r="D98" i="1"/>
  <c r="D100" i="1"/>
  <c r="D94" i="1"/>
  <c r="J93" i="1"/>
  <c r="D99" i="1"/>
  <c r="J89" i="1"/>
  <c r="J91" i="1" s="1"/>
  <c r="D97" i="1"/>
  <c r="J92" i="1"/>
  <c r="D96" i="1"/>
  <c r="D102" i="1"/>
  <c r="D101" i="1"/>
  <c r="D95" i="1"/>
  <c r="D83" i="1"/>
  <c r="D85" i="1"/>
  <c r="D84" i="1"/>
  <c r="D88" i="1"/>
  <c r="D82" i="1"/>
  <c r="D87" i="1"/>
  <c r="D81" i="1"/>
  <c r="D86" i="1"/>
  <c r="C109" i="1"/>
  <c r="J103" i="1" s="1"/>
  <c r="J105" i="1" s="1"/>
  <c r="D112" i="1"/>
  <c r="D114" i="1"/>
  <c r="J108" i="1"/>
  <c r="C107" i="1" s="1"/>
  <c r="D107" i="1" s="1"/>
  <c r="D113" i="1"/>
  <c r="J107" i="1"/>
  <c r="D111" i="1"/>
  <c r="J106" i="1"/>
  <c r="D110" i="1"/>
  <c r="D116" i="1"/>
  <c r="D115" i="1"/>
  <c r="B104" i="1"/>
  <c r="B90" i="1"/>
  <c r="B76" i="1"/>
  <c r="J81" i="1" s="1"/>
  <c r="A188" i="1"/>
  <c r="A182" i="1"/>
  <c r="A176" i="1"/>
  <c r="G137" i="1" l="1"/>
  <c r="G140" i="1" s="1"/>
  <c r="C93" i="1"/>
  <c r="D93" i="1" s="1"/>
  <c r="I90" i="1" s="1"/>
  <c r="I91" i="1" s="1"/>
  <c r="D79" i="1"/>
  <c r="D109" i="1"/>
  <c r="J114" i="1"/>
  <c r="J111" i="1"/>
  <c r="J113" i="1"/>
  <c r="J112" i="1"/>
  <c r="J109" i="1"/>
  <c r="J110" i="1" s="1"/>
  <c r="J115" i="1" s="1"/>
  <c r="J116" i="1" s="1"/>
  <c r="C108" i="1" s="1"/>
  <c r="E107" i="1" s="1"/>
  <c r="J100" i="1"/>
  <c r="J97" i="1"/>
  <c r="J99" i="1"/>
  <c r="J98" i="1"/>
  <c r="J95" i="1"/>
  <c r="J96" i="1" s="1"/>
  <c r="J85" i="1"/>
  <c r="J83" i="1"/>
  <c r="J84" i="1"/>
  <c r="J82" i="1"/>
  <c r="J87" i="1" s="1"/>
  <c r="J88" i="1" s="1"/>
  <c r="C80" i="1" s="1"/>
  <c r="J86" i="1"/>
  <c r="A177" i="1"/>
  <c r="A189" i="1"/>
  <c r="A183" i="1"/>
  <c r="G93" i="1" l="1"/>
  <c r="J76" i="1"/>
  <c r="J101" i="1"/>
  <c r="J102" i="1" s="1"/>
  <c r="J90" i="1" s="1"/>
  <c r="I89" i="1" s="1"/>
  <c r="C91" i="1" s="1"/>
  <c r="D108" i="1"/>
  <c r="I104" i="1" s="1"/>
  <c r="J104" i="1"/>
  <c r="G107" i="1"/>
  <c r="E79" i="1"/>
  <c r="D80" i="1"/>
  <c r="I76" i="1" s="1"/>
  <c r="G79" i="1"/>
  <c r="D73" i="1" s="1"/>
  <c r="A184" i="1"/>
  <c r="A178" i="1"/>
  <c r="A190" i="1"/>
  <c r="F74" i="1" l="1"/>
  <c r="D74" i="1"/>
  <c r="I105" i="1"/>
  <c r="I103" i="1" s="1"/>
  <c r="C105" i="1" s="1"/>
  <c r="I77" i="1"/>
  <c r="I75" i="1" s="1"/>
  <c r="C77" i="1" s="1"/>
  <c r="A185" i="1"/>
  <c r="A191" i="1"/>
  <c r="A179" i="1"/>
  <c r="G12" i="5" l="1"/>
  <c r="G9" i="5"/>
  <c r="H9"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Sachin</author>
    <author>SACHIN</author>
  </authors>
  <commentList>
    <comment ref="E12" authorId="0" shapeId="0" xr:uid="{00000000-0006-0000-0000-000001000000}">
      <text>
        <r>
          <rPr>
            <b/>
            <sz val="9"/>
            <color indexed="81"/>
            <rFont val="Tahoma"/>
            <family val="2"/>
          </rPr>
          <t>Sachin:</t>
        </r>
        <r>
          <rPr>
            <sz val="9"/>
            <color indexed="81"/>
            <rFont val="Tahoma"/>
            <family val="2"/>
          </rPr>
          <t xml:space="preserve">
Building No. 
Tower No.
Wing 
Bunglow No., etc</t>
        </r>
      </text>
    </comment>
    <comment ref="E13" authorId="0" shapeId="0" xr:uid="{00000000-0006-0000-0000-000002000000}">
      <text>
        <r>
          <rPr>
            <b/>
            <sz val="9"/>
            <color indexed="81"/>
            <rFont val="Tahoma"/>
            <family val="2"/>
          </rPr>
          <t>Sachin:</t>
        </r>
        <r>
          <rPr>
            <sz val="9"/>
            <color indexed="81"/>
            <rFont val="Tahoma"/>
            <family val="2"/>
          </rPr>
          <t xml:space="preserve">
If exisiting Building is provided write it or else
NA</t>
        </r>
      </text>
    </comment>
    <comment ref="C55" authorId="1" shapeId="0" xr:uid="{00000000-0006-0000-0000-000003000000}">
      <text>
        <r>
          <rPr>
            <b/>
            <sz val="9"/>
            <color indexed="81"/>
            <rFont val="Tahoma"/>
            <family val="2"/>
          </rPr>
          <t>SACHIN:</t>
        </r>
        <r>
          <rPr>
            <sz val="9"/>
            <color indexed="81"/>
            <rFont val="Tahoma"/>
            <family val="2"/>
          </rPr>
          <t xml:space="preserve">
Floor with height</t>
        </r>
      </text>
    </comment>
    <comment ref="C57" authorId="1" shapeId="0" xr:uid="{00000000-0006-0000-0000-000004000000}">
      <text>
        <r>
          <rPr>
            <b/>
            <sz val="9"/>
            <color indexed="81"/>
            <rFont val="Tahoma"/>
            <family val="2"/>
          </rPr>
          <t>SACHIN:</t>
        </r>
        <r>
          <rPr>
            <sz val="9"/>
            <color indexed="81"/>
            <rFont val="Tahoma"/>
            <family val="2"/>
          </rPr>
          <t xml:space="preserve">
Survey Nos.</t>
        </r>
      </text>
    </comment>
    <comment ref="C59" authorId="1" shapeId="0" xr:uid="{00000000-0006-0000-0000-000005000000}">
      <text>
        <r>
          <rPr>
            <b/>
            <sz val="9"/>
            <color indexed="81"/>
            <rFont val="Tahoma"/>
            <family val="2"/>
          </rPr>
          <t>SACHIN:</t>
        </r>
        <r>
          <rPr>
            <sz val="9"/>
            <color indexed="81"/>
            <rFont val="Tahoma"/>
            <family val="2"/>
          </rPr>
          <t xml:space="preserve">
Height from AMSL</t>
        </r>
      </text>
    </comment>
    <comment ref="D62" authorId="0" shapeId="0" xr:uid="{00000000-0006-0000-0000-000006000000}">
      <text>
        <r>
          <rPr>
            <b/>
            <sz val="9"/>
            <color indexed="81"/>
            <rFont val="Tahoma"/>
            <family val="2"/>
          </rPr>
          <t>Sachin:</t>
        </r>
        <r>
          <rPr>
            <sz val="9"/>
            <color indexed="81"/>
            <rFont val="Tahoma"/>
            <family val="2"/>
          </rPr>
          <t xml:space="preserve">
If multiple building in project or complex just mention builtup of required building</t>
        </r>
      </text>
    </comment>
    <comment ref="F122" authorId="1" shapeId="0" xr:uid="{00000000-0006-0000-0000-000007000000}">
      <text>
        <r>
          <rPr>
            <b/>
            <sz val="9"/>
            <color indexed="81"/>
            <rFont val="Tahoma"/>
            <family val="2"/>
          </rPr>
          <t>SACHIN:</t>
        </r>
        <r>
          <rPr>
            <sz val="9"/>
            <color indexed="81"/>
            <rFont val="Tahoma"/>
            <family val="2"/>
          </rPr>
          <t xml:space="preserve">
Other charges should be given on basis of location amenties builder type n should not exceed above 12 lakhs or 8% of flat value</t>
        </r>
      </text>
    </comment>
    <comment ref="H160" authorId="1" shapeId="0" xr:uid="{00000000-0006-0000-0000-000008000000}">
      <text>
        <r>
          <rPr>
            <b/>
            <sz val="9"/>
            <color indexed="81"/>
            <rFont val="Tahoma"/>
            <family val="2"/>
          </rPr>
          <t>SACHIN:</t>
        </r>
        <r>
          <rPr>
            <sz val="9"/>
            <color indexed="81"/>
            <rFont val="Tahoma"/>
            <family val="2"/>
          </rPr>
          <t xml:space="preserve">
Give loading of 50% for A Category</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SACHIN</author>
  </authors>
  <commentList>
    <comment ref="C9" authorId="0" shapeId="0" xr:uid="{00000000-0006-0000-0300-000001000000}">
      <text>
        <r>
          <rPr>
            <b/>
            <sz val="9"/>
            <color indexed="81"/>
            <rFont val="Tahoma"/>
            <family val="2"/>
          </rPr>
          <t>SACHIN:</t>
        </r>
        <r>
          <rPr>
            <sz val="9"/>
            <color indexed="81"/>
            <rFont val="Tahoma"/>
            <family val="2"/>
          </rPr>
          <t xml:space="preserve">
If banker changes the rate</t>
        </r>
      </text>
    </comment>
    <comment ref="C10" authorId="0" shapeId="0" xr:uid="{00000000-0006-0000-0300-000002000000}">
      <text>
        <r>
          <rPr>
            <b/>
            <sz val="9"/>
            <color indexed="81"/>
            <rFont val="Tahoma"/>
            <family val="2"/>
          </rPr>
          <t>SACHIN:</t>
        </r>
        <r>
          <rPr>
            <sz val="9"/>
            <color indexed="81"/>
            <rFont val="Tahoma"/>
            <family val="2"/>
          </rPr>
          <t xml:space="preserve">
If we change the rate</t>
        </r>
      </text>
    </comment>
  </commentList>
</comments>
</file>

<file path=xl/sharedStrings.xml><?xml version="1.0" encoding="utf-8"?>
<sst xmlns="http://schemas.openxmlformats.org/spreadsheetml/2006/main" count="625" uniqueCount="357">
  <si>
    <t xml:space="preserve">Valuation Report </t>
  </si>
  <si>
    <t>Date:</t>
  </si>
  <si>
    <t>CPC Name:</t>
  </si>
  <si>
    <t>Date Of Property Visit</t>
  </si>
  <si>
    <t>Name of the builder group</t>
  </si>
  <si>
    <t>Name of the builder company</t>
  </si>
  <si>
    <t>Name of the Project</t>
  </si>
  <si>
    <t>Name / No of the Building</t>
  </si>
  <si>
    <t>RERA No.</t>
  </si>
  <si>
    <t xml:space="preserve">Project location details       </t>
  </si>
  <si>
    <t>Road</t>
  </si>
  <si>
    <t>District</t>
  </si>
  <si>
    <t>City</t>
  </si>
  <si>
    <t>Pin Code</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</si>
  <si>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</si>
  <si>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</si>
  <si>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</si>
  <si>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</si>
  <si>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</si>
  <si>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</si>
  <si>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</si>
  <si>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</si>
  <si>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</si>
  <si>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</si>
  <si>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East</t>
  </si>
  <si>
    <t>West</t>
  </si>
  <si>
    <t>South</t>
  </si>
  <si>
    <t>North</t>
  </si>
  <si>
    <t>NA</t>
  </si>
  <si>
    <t>At site</t>
  </si>
  <si>
    <t xml:space="preserve">Approved usage of the Property:                                                                                                                                             </t>
  </si>
  <si>
    <t>No</t>
  </si>
  <si>
    <t>Area Statement Details :</t>
  </si>
  <si>
    <t>Total land area of the project in Sq. Mt.</t>
  </si>
  <si>
    <t>Permissible FSI</t>
  </si>
  <si>
    <t>Permissible TDR/Paid FSI</t>
  </si>
  <si>
    <t>Total FSI availaible for the project</t>
  </si>
  <si>
    <t>Total number of Buildings</t>
  </si>
  <si>
    <t xml:space="preserve">Approval Detail : Plan approval </t>
  </si>
  <si>
    <t xml:space="preserve">Layout Approval No     </t>
  </si>
  <si>
    <t>Dated</t>
  </si>
  <si>
    <t xml:space="preserve">Approved Floor plan No.  </t>
  </si>
  <si>
    <t xml:space="preserve">O. Certificate No.: </t>
  </si>
  <si>
    <t>Expected Completion</t>
  </si>
  <si>
    <t>Building wise Construction details</t>
  </si>
  <si>
    <t>Approved no of units</t>
  </si>
  <si>
    <t>Approved no of Floors</t>
  </si>
  <si>
    <t>Type of Work</t>
  </si>
  <si>
    <t>Plinth</t>
  </si>
  <si>
    <t xml:space="preserve">Recommended rate of Parking </t>
  </si>
  <si>
    <t>Distressed valuation of the Property</t>
  </si>
  <si>
    <t>Building &amp; Wing</t>
  </si>
  <si>
    <t>Total Carpet Area</t>
  </si>
  <si>
    <t>Total Saleable Area</t>
  </si>
  <si>
    <t>Building details Floor Wise</t>
  </si>
  <si>
    <t>Description</t>
  </si>
  <si>
    <t>Gross Carpet area</t>
  </si>
  <si>
    <t>Attached Terrace area</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</si>
  <si>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</si>
  <si>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</si>
  <si>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</si>
  <si>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</si>
  <si>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</si>
  <si>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 xml:space="preserve">PHOTOGRAPHS OF PROPERTY : 
</t>
  </si>
  <si>
    <t>Google Map :</t>
  </si>
  <si>
    <t xml:space="preserve">Remarks:  </t>
  </si>
  <si>
    <t>Flat</t>
  </si>
  <si>
    <t>Residential Area Details :</t>
  </si>
  <si>
    <t>Podium</t>
  </si>
  <si>
    <t>Ground</t>
  </si>
  <si>
    <t>Locality/Village</t>
  </si>
  <si>
    <t>Taluka</t>
  </si>
  <si>
    <t>Commercial Area Details :</t>
  </si>
  <si>
    <t>Accessibility to the Project from the City: (Proximity to civic amenities like school, hospital, market, etc.)</t>
  </si>
  <si>
    <t>Inspected By :</t>
  </si>
  <si>
    <t>No. of Units</t>
  </si>
  <si>
    <t>Authorized Signatory
Name &amp; Seal of the agency</t>
  </si>
  <si>
    <t>Floors</t>
  </si>
  <si>
    <t>Type of Structure</t>
  </si>
  <si>
    <t>RCC Frame Structure</t>
  </si>
  <si>
    <t>Complition %</t>
  </si>
  <si>
    <t>Disbursement %</t>
  </si>
  <si>
    <t>Progress %</t>
  </si>
  <si>
    <t xml:space="preserve">Material laying at Site: </t>
  </si>
  <si>
    <t>Projected life of the structure</t>
  </si>
  <si>
    <t xml:space="preserve">Quality of construction: </t>
  </si>
  <si>
    <t>Proposed no of Floors</t>
  </si>
  <si>
    <t xml:space="preserve">Stage of construction: </t>
  </si>
  <si>
    <t>Approved area of building (Sq.Mt)</t>
  </si>
  <si>
    <t>Total Approved Builtup area of the project (Sq.Mt)</t>
  </si>
  <si>
    <t>Restrictive Covenants in regard to Land Use</t>
  </si>
  <si>
    <t>Boundries</t>
  </si>
  <si>
    <t>Development Charges</t>
  </si>
  <si>
    <t>Club Charges</t>
  </si>
  <si>
    <t>Gas Connection Charges</t>
  </si>
  <si>
    <t>Water, Electricity, Drainages, Sewerage Connection</t>
  </si>
  <si>
    <t>Society Formation Charges</t>
  </si>
  <si>
    <t>Advance Maintenance Charges</t>
  </si>
  <si>
    <t>Excavation in process</t>
  </si>
  <si>
    <t>Excavation Completed</t>
  </si>
  <si>
    <t>Footing in Process</t>
  </si>
  <si>
    <t>Footing Completed</t>
  </si>
  <si>
    <t>Plinth completed</t>
  </si>
  <si>
    <t>NA
Approved upto : NA</t>
  </si>
  <si>
    <t>Report By :</t>
  </si>
  <si>
    <t>Market Research Data</t>
  </si>
  <si>
    <t>Source</t>
  </si>
  <si>
    <t>Distance from proposed property</t>
  </si>
  <si>
    <t>Net Carpet</t>
  </si>
  <si>
    <t>Market Value</t>
  </si>
  <si>
    <t>99 Acres</t>
  </si>
  <si>
    <t>Average</t>
  </si>
  <si>
    <t xml:space="preserve">Valuation Adopted </t>
  </si>
  <si>
    <t>Saleable Area</t>
  </si>
  <si>
    <t>Rate on Saleable</t>
  </si>
  <si>
    <t xml:space="preserve">Wheather the construction is as per approved Building plan : </t>
  </si>
  <si>
    <t>2nd Floor</t>
  </si>
  <si>
    <r>
      <t xml:space="preserve">Flat No.
</t>
    </r>
    <r>
      <rPr>
        <b/>
        <sz val="11"/>
        <color rgb="FF000000"/>
        <rFont val="Times New Roman"/>
        <family val="1"/>
      </rPr>
      <t>(Approved Plan)</t>
    </r>
  </si>
  <si>
    <t>01 Building</t>
  </si>
  <si>
    <t>Nearby Landmark</t>
  </si>
  <si>
    <t>We considered Carpet area as per Approved Plan.</t>
  </si>
  <si>
    <t>We have considered rate by verifying it from market inquire.</t>
  </si>
  <si>
    <t>Car parking is subjected to authentic documentation.</t>
  </si>
  <si>
    <t>5) Gross carpet area =  Net Carpet area + Fungible area.</t>
  </si>
  <si>
    <t>6) Fungible Area= Enclosed Balcony + Flower Bed + Covered Balcony + Service Slab + Duct + Chajja + Wheather Shed area.</t>
  </si>
  <si>
    <t>Excavation</t>
  </si>
  <si>
    <t>RCC (Including podiums)</t>
  </si>
  <si>
    <t>Brickwork &amp; Internal Plaster</t>
  </si>
  <si>
    <t>Flooring &amp; Fitting</t>
  </si>
  <si>
    <t>External Plaster &amp; Plumbing</t>
  </si>
  <si>
    <t>Building Common Amenities</t>
  </si>
  <si>
    <t>Possession</t>
  </si>
  <si>
    <t>Ext. Plaster &amp; Plumbing</t>
  </si>
  <si>
    <t>Brickwork</t>
  </si>
  <si>
    <t>Internal Plaster</t>
  </si>
  <si>
    <t>Painting &amp; Wooden</t>
  </si>
  <si>
    <t>Slab/Floor</t>
  </si>
  <si>
    <t>Construction details:</t>
  </si>
  <si>
    <t>Piling Work in process</t>
  </si>
  <si>
    <t>Basement</t>
  </si>
  <si>
    <t>Basement 2</t>
  </si>
  <si>
    <t>Basement 3</t>
  </si>
  <si>
    <t>Basement 4</t>
  </si>
  <si>
    <t>2nd to 5th Floor</t>
  </si>
  <si>
    <t>2nd &amp; 5th Floor</t>
  </si>
  <si>
    <t>Basement 1</t>
  </si>
  <si>
    <t>Plinth in process</t>
  </si>
  <si>
    <t xml:space="preserve">Violations Observed if any : </t>
  </si>
  <si>
    <t>3rd, 5th, 7th, 9th, 11th, 13th, 15th Floor</t>
  </si>
  <si>
    <t>Total</t>
  </si>
  <si>
    <t>Name of Municipal Corporation/Authority</t>
  </si>
  <si>
    <t>We have considered proposed No. of Floor for Stage Calculation.</t>
  </si>
  <si>
    <t>*</t>
  </si>
  <si>
    <t>Recommended rate should be considered as all inclusive rate if other charges are not mentioned. (Excluding GST &amp; other government Taxes)</t>
  </si>
  <si>
    <t xml:space="preserve">Commencement-CC No
Valid Up to: </t>
  </si>
  <si>
    <t>Attached Loft area</t>
  </si>
  <si>
    <t xml:space="preserve">Recommended Rates of the Property : </t>
  </si>
  <si>
    <t>Recommended rate of the Shop Per Sq. Ft.</t>
  </si>
  <si>
    <t>Recommended rate of the Flat Per Sq. Ft.</t>
  </si>
  <si>
    <t>Recommended rate of the Office Per Sq. Ft.</t>
  </si>
  <si>
    <t>On Saleable Area</t>
  </si>
  <si>
    <t>Location Link</t>
  </si>
  <si>
    <t>Locality</t>
  </si>
  <si>
    <t>Layout :</t>
  </si>
  <si>
    <t>Office No. 1031, Wing J, Akshar Business Park, Plot No. 03 Sector 25, Near APMC Market, Vashi, Navi Mumbai, Maharashtra 400703 TEL: 022-46090378/79/80                                                                       
E mail : vsjcapf@gmail.com. Web site : www.vsjadon.com</t>
  </si>
  <si>
    <t>Latitude, Longitude</t>
  </si>
  <si>
    <t>Grand Total</t>
  </si>
  <si>
    <t>Provided Contact Details (Name &amp; Contact No.)</t>
  </si>
  <si>
    <t>Site Person - Contact Details (Name &amp; Contact No.)</t>
  </si>
  <si>
    <t>C Wing = 1B + G + 1st to 20th Floor</t>
  </si>
  <si>
    <t>Approved Plans, CC, Sale Plans, Builder Saleable Area, Cost Sheet, Airport Noc, Railway Noc, OC</t>
  </si>
  <si>
    <t>Axis Goregaon</t>
  </si>
  <si>
    <t>Name / No of the Existing Building</t>
  </si>
  <si>
    <t>Mumbai</t>
  </si>
  <si>
    <t>As per Layout</t>
  </si>
  <si>
    <t xml:space="preserve">Details of Residential &amp; Commercials in Building   </t>
  </si>
  <si>
    <t>Floor Rise Rate from    Floor</t>
  </si>
  <si>
    <t>Shop No. (Sale Plan)</t>
  </si>
  <si>
    <t>Flat No. (Sale Plan)</t>
  </si>
  <si>
    <t xml:space="preserve">Thane </t>
  </si>
  <si>
    <t>Thane</t>
  </si>
  <si>
    <t>Shahpur</t>
  </si>
  <si>
    <t>Kalyan</t>
  </si>
  <si>
    <t>Bhiwandi</t>
  </si>
  <si>
    <t>Ulhasnagar</t>
  </si>
  <si>
    <t>Ambernath</t>
  </si>
  <si>
    <t>Murbad</t>
  </si>
  <si>
    <t>Mokhada</t>
  </si>
  <si>
    <t>Talasari</t>
  </si>
  <si>
    <t>Palghar</t>
  </si>
  <si>
    <t>Vasai</t>
  </si>
  <si>
    <t>Vikramgad</t>
  </si>
  <si>
    <t>Dahanu</t>
  </si>
  <si>
    <t>Wada</t>
  </si>
  <si>
    <t>Raigad</t>
  </si>
  <si>
    <t>Alibag</t>
  </si>
  <si>
    <t>Panvel</t>
  </si>
  <si>
    <t>Uran</t>
  </si>
  <si>
    <t>Karjat</t>
  </si>
  <si>
    <t>Khalapur</t>
  </si>
  <si>
    <t>Pen</t>
  </si>
  <si>
    <t>Sudhagad</t>
  </si>
  <si>
    <t>Mahad</t>
  </si>
  <si>
    <t>Roha</t>
  </si>
  <si>
    <t>Mangaon</t>
  </si>
  <si>
    <t>Poladpur</t>
  </si>
  <si>
    <t>Mahasala</t>
  </si>
  <si>
    <t>Shriwardhan</t>
  </si>
  <si>
    <t>Murud</t>
  </si>
  <si>
    <t>Andheri</t>
  </si>
  <si>
    <t>Borivali</t>
  </si>
  <si>
    <t>Kurla</t>
  </si>
  <si>
    <t>Pune</t>
  </si>
  <si>
    <t>Pune City</t>
  </si>
  <si>
    <t>Khed</t>
  </si>
  <si>
    <t>Baramati</t>
  </si>
  <si>
    <t>Junnar</t>
  </si>
  <si>
    <t>Shirur</t>
  </si>
  <si>
    <t>Indapur</t>
  </si>
  <si>
    <t>Daund</t>
  </si>
  <si>
    <t>Mawal</t>
  </si>
  <si>
    <t>Ambegaon</t>
  </si>
  <si>
    <t>Purandhar</t>
  </si>
  <si>
    <t>Bhor</t>
  </si>
  <si>
    <t>Mulshi</t>
  </si>
  <si>
    <t>Velhe</t>
  </si>
  <si>
    <t>Haveli</t>
  </si>
  <si>
    <t>Approved Plans, CC</t>
  </si>
  <si>
    <t>Approved Plans, CC, Sale Plans</t>
  </si>
  <si>
    <t>Approved Plans, CC, Sale Plans, Builder Saleable Area</t>
  </si>
  <si>
    <t>Approved Plans, CC, Sale Plans, Builder Saleable Area, Cost Sheet,</t>
  </si>
  <si>
    <t>Approved Plans, CC, Builder Saleable Area,</t>
  </si>
  <si>
    <t>Carpet area</t>
  </si>
  <si>
    <t>Bank Name:</t>
  </si>
  <si>
    <t>Axis Bank</t>
  </si>
  <si>
    <t>Branch</t>
  </si>
  <si>
    <t>Bank</t>
  </si>
  <si>
    <t>Cent Bank</t>
  </si>
  <si>
    <t>Indiabulls Housing Finance Ltd</t>
  </si>
  <si>
    <t>PNB Housing Finance Limited</t>
  </si>
  <si>
    <t>ABFHL</t>
  </si>
  <si>
    <t>Axis Thane</t>
  </si>
  <si>
    <t>Axis Sanpada</t>
  </si>
  <si>
    <t>Axis Badlapur</t>
  </si>
  <si>
    <t>PNB Thane</t>
  </si>
  <si>
    <t>PNB Borivali</t>
  </si>
  <si>
    <t>Cent Kalyan</t>
  </si>
  <si>
    <t>Cent Belapur</t>
  </si>
  <si>
    <t>IBHF Kalyan</t>
  </si>
  <si>
    <t>IBHF Badlapur</t>
  </si>
  <si>
    <t>IBHF Vashi</t>
  </si>
  <si>
    <t>IBHF Thane</t>
  </si>
  <si>
    <t>IBHF Andheri</t>
  </si>
  <si>
    <t>Authorites</t>
  </si>
  <si>
    <t>Slum Rehabilitation Authority (SRA)</t>
  </si>
  <si>
    <t>Municipal Corporation of Greater Mumbai (MCGM)</t>
  </si>
  <si>
    <t>Maharashtra Housing and Area Development Authority(MHADA)</t>
  </si>
  <si>
    <t>Mumbai Metropolitan Region Development Authority (MMRDA)</t>
  </si>
  <si>
    <t>Maharashtra State Road Development Corporation Limited (MSRDC)</t>
  </si>
  <si>
    <t>Navi Mumbai Municipal Corporation (NMMC)</t>
  </si>
  <si>
    <t>Thane Muncipal Cooperation (TMC)</t>
  </si>
  <si>
    <t>Kalyan Dombivli Municipal Corporation (KMDC)</t>
  </si>
  <si>
    <t>Kulgoan Badlapur Municipal Council</t>
  </si>
  <si>
    <t>Town Planning Thane</t>
  </si>
  <si>
    <t>Ambernath Municipal Council (AMC)</t>
  </si>
  <si>
    <t>Ulhasnagar Municipal Corporation</t>
  </si>
  <si>
    <t>Nagar Rachana Ani Mulya Nirdharan Vibhag Thane</t>
  </si>
  <si>
    <t>Bhiwandi Nizampur City Municipal Corporation</t>
  </si>
  <si>
    <t>City and Industrial Development Corporation (CIDCO)</t>
  </si>
  <si>
    <t>Maharashtra Industrial Development Corporation (MIDC)</t>
  </si>
  <si>
    <t>Panvel Municipal Corporation</t>
  </si>
  <si>
    <t>Navi Mumbai Airport Influence Notified Area (NAINA)</t>
  </si>
  <si>
    <t>Pen Municipal Council</t>
  </si>
  <si>
    <t>Raigad Zilha Parishad</t>
  </si>
  <si>
    <t>Roha Municipal Council</t>
  </si>
  <si>
    <t>Vasai-Virar City Municipal Corporation. (VVCMC)</t>
  </si>
  <si>
    <t>Collector Of Palghar</t>
  </si>
  <si>
    <t>Town Planner, Palghar</t>
  </si>
  <si>
    <t>Mira-Bhayandar Municipal Corporation</t>
  </si>
  <si>
    <t>Documents Provided</t>
  </si>
  <si>
    <t>Does the boundaries at site match, as mentioned in the Documentation: NA</t>
  </si>
  <si>
    <t xml:space="preserve">Fire Noc No
Valid Up to: </t>
  </si>
  <si>
    <t xml:space="preserve">Environmental Clearance Certificate (EC) No
Valid Up for: </t>
  </si>
  <si>
    <t xml:space="preserve">Airport Noc No
Valid Up to: </t>
  </si>
  <si>
    <t xml:space="preserve">As per RERA, completion period of project Yashwant Height is expired on 30/06/2021 but still project is under construction.
</t>
  </si>
  <si>
    <t>Validity of CC is expired on 31/01/2021. Please provide latest CC.</t>
  </si>
  <si>
    <t>Construction work is same as last visit but work is in process at the time of visit. (Slow Speed)</t>
  </si>
  <si>
    <t>As per CRZ Norms, The said plot is coming under list of plots affected by CRZ. Ref Letter No. CIDCO/PLNG/ACP(BP)/2021/895/E-19416 Date : 09/03/2021.</t>
  </si>
  <si>
    <t>Construction work has increased from last visit but no active work was found during site visit</t>
  </si>
  <si>
    <t>As per Approved Floor plan, Wing A consist of 62 units ( Rehab = 40 units &amp; Sale = 22 Units),  but which unit no should be considered as rehab or sale is not mentioned in Approved plan.</t>
  </si>
  <si>
    <t>If stage is not identifibale due to external Visit,
1. Confirm with visitor that internal visit was possible or not, if internal visit possible ask visitor to to revisit
2. If internal visit not possible in category A Builders, if stage is not possible to increase mention below remark Since internal visit were not permitted, we were unable to determine building progress from an external visit; so, we are maintaining the same progress as in the previous report (dtd.    )
3. If Stage is identifiable increase the stage. Mention internal visit is not allowed in Remark</t>
  </si>
  <si>
    <r>
      <t xml:space="preserve">Recommended Rates / Other charges of the Property have been revised on </t>
    </r>
    <r>
      <rPr>
        <b/>
        <sz val="11"/>
        <color rgb="FF000000"/>
        <rFont val="Calibri"/>
        <family val="2"/>
      </rPr>
      <t>23/10/2023</t>
    </r>
    <r>
      <rPr>
        <sz val="11"/>
        <color rgb="FF000000"/>
        <rFont val="Calibri"/>
        <family val="2"/>
      </rPr>
      <t>.</t>
    </r>
  </si>
  <si>
    <t>Other charges/ Rate has been revised as per market inquiry (on 12/10/2023)</t>
  </si>
  <si>
    <t>Cementry of Hindu, Muslim, &amp; Christian Religion is located in 150 to 200m from project</t>
  </si>
  <si>
    <t>There is a road on the west side of the project, and a creek is next to the other side of the road.</t>
  </si>
  <si>
    <t>We have updated revised approved plans &amp; CC (on 15/12/2022).</t>
  </si>
  <si>
    <t>High Tension lines are passing through project (name)</t>
  </si>
  <si>
    <t>Collector Of Raigad</t>
  </si>
  <si>
    <t>B Wing = 1B + G + 1st to 19th Floor</t>
  </si>
  <si>
    <t>As the project is redevelopement project but rehab statement or rehab flats is not mentioned approved layout plan &amp; floor plan.</t>
  </si>
  <si>
    <t>Construction work was stopped since visit 04/12/2017, but during 07/10/2021 site visit some construction activity was seen on site (Single room flooring work was seen)</t>
  </si>
  <si>
    <t>Builder is selling Bare Shell Office units</t>
  </si>
  <si>
    <t>We did not consider the terrace area attached to the 1st floor flats because it was not shown in the approved plans. However, it was shown in the sale plan.</t>
  </si>
  <si>
    <t xml:space="preserve">One Palace Infrastructure </t>
  </si>
  <si>
    <t>Netra Aarambh Building No 6</t>
  </si>
  <si>
    <t>Approved Plans, CC, Builder Saleable Area, Cost Sheet.</t>
  </si>
  <si>
    <t>P99000055638</t>
  </si>
  <si>
    <t>`</t>
  </si>
  <si>
    <t>19.690146,72.775547</t>
  </si>
  <si>
    <t>https://maps.app.goo.gl/USNKfjuPJC2WWLiH6</t>
  </si>
  <si>
    <t>Vevoor</t>
  </si>
  <si>
    <t>Navali</t>
  </si>
  <si>
    <t>52/1</t>
  </si>
  <si>
    <t>Intenal Road</t>
  </si>
  <si>
    <t>Palghar East</t>
  </si>
  <si>
    <t>1.10KM from Palghar Railway Station</t>
  </si>
  <si>
    <t>Open Plot</t>
  </si>
  <si>
    <t>Building/Internal Road/Railway Track</t>
  </si>
  <si>
    <t>Gut No. 54</t>
  </si>
  <si>
    <t>Gut No. 51</t>
  </si>
  <si>
    <t>Other Plot</t>
  </si>
  <si>
    <t>Type A3 Building No 6</t>
  </si>
  <si>
    <t>Palghar Municipal Council</t>
  </si>
  <si>
    <t>CBPPE/B/2022/APL/00581</t>
  </si>
  <si>
    <t>Building No. 6 Type A3 = Ground + 1st to 7th Floor</t>
  </si>
  <si>
    <t>As per RERA - 31/12/2026</t>
  </si>
  <si>
    <r>
      <t xml:space="preserve">Proposed Amenities :                                                                                                                                                                                                                         </t>
    </r>
    <r>
      <rPr>
        <b/>
        <sz val="12"/>
        <rFont val="Times New Roman"/>
        <family val="1"/>
      </rPr>
      <t xml:space="preserve">                                               </t>
    </r>
  </si>
  <si>
    <t>Vitrified tiles flooring, Granite Kitchen Platform, Decorative Entrance, etc.</t>
  </si>
  <si>
    <t>Shop</t>
  </si>
  <si>
    <t>Ground Floor For Residential, Fitness Centre/Society Office, Emtramce Lobby &amp; Parking</t>
  </si>
  <si>
    <t>RERA Carpet area</t>
  </si>
  <si>
    <r>
      <t xml:space="preserve">Shop No.
</t>
    </r>
    <r>
      <rPr>
        <b/>
        <sz val="11"/>
        <rFont val="Times New Roman"/>
        <family val="1"/>
      </rPr>
      <t>(Approved Plan)</t>
    </r>
  </si>
  <si>
    <t>1st to 7th Floor For Residential</t>
  </si>
  <si>
    <t>1BHK</t>
  </si>
  <si>
    <t>2BHK</t>
  </si>
  <si>
    <t>Balcony Area</t>
  </si>
  <si>
    <t>We considered Gross carpet area = Net carpet + Balcony.</t>
  </si>
  <si>
    <t>Building No. 6 Type A3</t>
  </si>
  <si>
    <t>Flats</t>
  </si>
  <si>
    <t>Flats - 42, Shops - 11</t>
  </si>
  <si>
    <t>Project address mentioned in Architects letter provided by Bank officials on mail is S.No. 52, H. No. 1/K/1, 1/K/2 &amp; 1/B/2 (Architects Letter attached Below).</t>
  </si>
  <si>
    <t>Architects Letter :</t>
  </si>
  <si>
    <t>We have considered project address as per CC.</t>
  </si>
  <si>
    <t>Square Yard</t>
  </si>
  <si>
    <t xml:space="preserve"> The Park Realty</t>
  </si>
  <si>
    <t>400m</t>
  </si>
  <si>
    <t>Builder Saleable Area</t>
  </si>
  <si>
    <t>Builder</t>
  </si>
  <si>
    <t>CTS No as per CC</t>
  </si>
  <si>
    <t>CTS No./Survey No. mentioned in Approved plans is 29/51.
Survey No./Gut No. mentioned in CC is 52/1.
Gut No. mentioned in Legal Title is 52/1/C/1, 52/1/C/2 &amp; 52/1/B/2.</t>
  </si>
  <si>
    <t>Please check for which Survey No/Gut No/CTS No should be take into consideration.</t>
  </si>
  <si>
    <t>Saleable area Loading :</t>
  </si>
  <si>
    <t>Balaji Krupa Society</t>
  </si>
  <si>
    <t>Mr. Summi Jha 9309265123</t>
  </si>
  <si>
    <t>Construction work is in process at the time of Visit.</t>
  </si>
  <si>
    <t>Harshad Pawade</t>
  </si>
  <si>
    <t>Pranita Mhatre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</si>
</sst>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0.0"/>
    <numFmt numFmtId="166" formatCode="_(* #,##0.00_);_(* \(#,##0.00\);_(* &quot;-&quot;??_);_(@_)"/>
    <numFmt numFmtId="167" formatCode="_(* #,##0_);_(* \(#,##0\);_(* &quot;-&quot;??_);_(@_)"/>
    <numFmt numFmtId="168" formatCode="_ * #,##0_ ;_ * \-#,##0_ ;_ * &quot;-&quot;??_ ;_ @_ "/>
    <numFmt numFmtId="169" formatCode="0.000"/>
  </numFmts>
  <fonts count="32"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b/>
      <sz val="11.5"/>
      <color indexed="8"/>
      <name val="Times New Roman"/>
      <family val="1"/>
    </font>
    <font>
      <sz val="12"/>
      <name val="Times New Roman"/>
      <family val="1"/>
    </font>
    <font>
      <b/>
      <sz val="12"/>
      <name val="Times New Roman"/>
      <family val="1"/>
    </font>
    <font>
      <sz val="11"/>
      <name val="Times New Roman"/>
      <family val="1"/>
    </font>
    <font>
      <sz val="12"/>
      <color rgb="FFFF0000"/>
      <name val="Times New Roman"/>
      <family val="1"/>
    </font>
    <font>
      <sz val="11"/>
      <color theme="1"/>
      <name val="Times New Roman"/>
      <family val="1"/>
    </font>
    <font>
      <sz val="11"/>
      <color rgb="FF000000"/>
      <name val="Times New Roman"/>
      <family val="1"/>
    </font>
    <font>
      <sz val="11"/>
      <color rgb="FFFF0000"/>
      <name val="Calibri"/>
      <family val="2"/>
      <scheme val="minor"/>
    </font>
    <font>
      <sz val="11"/>
      <color rgb="FFFF0000"/>
      <name val="Calibri"/>
      <family val="2"/>
    </font>
    <font>
      <sz val="10"/>
      <name val="Arial"/>
      <family val="2"/>
    </font>
    <font>
      <sz val="11"/>
      <color rgb="FF000000"/>
      <name val="Calibri"/>
      <family val="2"/>
    </font>
    <font>
      <b/>
      <sz val="11"/>
      <color rgb="FF000000"/>
      <name val="Times New Roman"/>
      <family val="1"/>
    </font>
    <font>
      <sz val="10"/>
      <color theme="1"/>
      <name val="Times New Roman"/>
      <family val="1"/>
    </font>
    <font>
      <sz val="11"/>
      <name val="Calibri"/>
      <family val="2"/>
    </font>
    <font>
      <sz val="11"/>
      <color theme="0"/>
      <name val="Calibri"/>
      <family val="2"/>
    </font>
    <font>
      <u/>
      <sz val="11"/>
      <color theme="10"/>
      <name val="Calibri"/>
      <family val="2"/>
    </font>
    <font>
      <sz val="9"/>
      <color indexed="81"/>
      <name val="Tahoma"/>
      <family val="2"/>
    </font>
    <font>
      <b/>
      <sz val="9"/>
      <color indexed="81"/>
      <name val="Tahoma"/>
      <family val="2"/>
    </font>
    <font>
      <b/>
      <sz val="11"/>
      <color rgb="FF000000"/>
      <name val="Calibri"/>
      <family val="2"/>
    </font>
    <font>
      <b/>
      <sz val="11"/>
      <name val="Times New Roman"/>
      <family val="1"/>
    </font>
  </fonts>
  <fills count="3">
    <fill>
      <patternFill patternType="none"/>
    </fill>
    <fill>
      <patternFill patternType="gray125"/>
    </fill>
    <fill>
      <patternFill patternType="solid">
        <fgColor rgb="FFFFFF00"/>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style="medium">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s>
  <cellStyleXfs count="11">
    <xf numFmtId="0" fontId="0" fillId="0" borderId="0"/>
    <xf numFmtId="0" fontId="5" fillId="0" borderId="0"/>
    <xf numFmtId="0" fontId="6" fillId="0" borderId="0"/>
    <xf numFmtId="0" fontId="4" fillId="0" borderId="0"/>
    <xf numFmtId="0" fontId="6" fillId="0" borderId="0"/>
    <xf numFmtId="0" fontId="3" fillId="0" borderId="0"/>
    <xf numFmtId="166" fontId="6" fillId="0" borderId="0" applyFont="0" applyFill="0" applyBorder="0" applyAlignment="0" applyProtection="0"/>
    <xf numFmtId="0" fontId="21" fillId="0" borderId="0"/>
    <xf numFmtId="9" fontId="22" fillId="0" borderId="0" applyFont="0" applyFill="0" applyBorder="0" applyAlignment="0" applyProtection="0"/>
    <xf numFmtId="164" fontId="22" fillId="0" borderId="0" applyFont="0" applyFill="0" applyBorder="0" applyAlignment="0" applyProtection="0"/>
    <xf numFmtId="0" fontId="27" fillId="0" borderId="0" applyNumberFormat="0" applyFill="0" applyBorder="0" applyAlignment="0" applyProtection="0"/>
  </cellStyleXfs>
  <cellXfs count="231">
    <xf numFmtId="0" fontId="0" fillId="0" borderId="0" xfId="0"/>
    <xf numFmtId="0" fontId="6" fillId="0" borderId="0" xfId="4"/>
    <xf numFmtId="0" fontId="3" fillId="0" borderId="0" xfId="5"/>
    <xf numFmtId="0" fontId="10" fillId="0" borderId="1" xfId="5" applyFont="1" applyBorder="1" applyAlignment="1">
      <alignment horizontal="center" vertical="top" wrapText="1"/>
    </xf>
    <xf numFmtId="0" fontId="20" fillId="0" borderId="0" xfId="4" applyFont="1"/>
    <xf numFmtId="0" fontId="3" fillId="0" borderId="1" xfId="5" applyBorder="1" applyAlignment="1">
      <alignment horizontal="center" vertical="center"/>
    </xf>
    <xf numFmtId="0" fontId="3" fillId="0" borderId="1" xfId="5" applyBorder="1" applyAlignment="1">
      <alignment horizontal="left" vertical="center"/>
    </xf>
    <xf numFmtId="1" fontId="3" fillId="0" borderId="1" xfId="5" applyNumberFormat="1" applyBorder="1" applyAlignment="1">
      <alignment horizontal="center" vertical="center"/>
    </xf>
    <xf numFmtId="167" fontId="3" fillId="0" borderId="1" xfId="6" applyNumberFormat="1" applyFont="1" applyBorder="1" applyAlignment="1">
      <alignment horizontal="right" vertical="center"/>
    </xf>
    <xf numFmtId="0" fontId="3" fillId="0" borderId="1" xfId="5" applyBorder="1" applyAlignment="1">
      <alignment horizontal="left" vertical="center" wrapText="1"/>
    </xf>
    <xf numFmtId="0" fontId="10" fillId="0" borderId="1" xfId="5" applyFont="1" applyBorder="1" applyAlignment="1">
      <alignment horizontal="center" vertical="center"/>
    </xf>
    <xf numFmtId="1" fontId="19" fillId="0" borderId="1" xfId="5" applyNumberFormat="1" applyFont="1" applyBorder="1" applyAlignment="1">
      <alignment horizontal="center" vertical="center"/>
    </xf>
    <xf numFmtId="0" fontId="6" fillId="0" borderId="1" xfId="4" applyBorder="1" applyAlignment="1">
      <alignment horizontal="center" vertical="center"/>
    </xf>
    <xf numFmtId="0" fontId="18" fillId="0" borderId="0" xfId="0" applyFont="1" applyProtection="1">
      <protection hidden="1"/>
    </xf>
    <xf numFmtId="0" fontId="16" fillId="0" borderId="1" xfId="1" applyFont="1" applyBorder="1" applyAlignment="1" applyProtection="1">
      <alignment horizontal="center" vertical="top"/>
      <protection locked="0"/>
    </xf>
    <xf numFmtId="0" fontId="18" fillId="0" borderId="11" xfId="0" applyFont="1" applyBorder="1" applyProtection="1">
      <protection hidden="1"/>
    </xf>
    <xf numFmtId="0" fontId="13" fillId="0" borderId="4" xfId="1" applyFont="1" applyBorder="1" applyAlignment="1" applyProtection="1">
      <alignment horizontal="center" vertical="top"/>
      <protection locked="0"/>
    </xf>
    <xf numFmtId="0" fontId="13" fillId="0" borderId="5" xfId="1" applyFont="1" applyBorder="1" applyAlignment="1" applyProtection="1">
      <alignment horizontal="center" vertical="top"/>
      <protection locked="0"/>
    </xf>
    <xf numFmtId="0" fontId="7" fillId="0" borderId="1" xfId="1" applyFont="1" applyBorder="1" applyAlignment="1" applyProtection="1">
      <alignment vertical="top" wrapText="1"/>
      <protection locked="0"/>
    </xf>
    <xf numFmtId="9" fontId="8" fillId="0" borderId="1" xfId="8" applyFont="1" applyFill="1" applyBorder="1" applyAlignment="1" applyProtection="1">
      <alignment horizontal="center" vertical="top" wrapText="1"/>
      <protection locked="0"/>
    </xf>
    <xf numFmtId="9" fontId="8" fillId="0" borderId="7" xfId="8" applyFont="1" applyFill="1" applyBorder="1" applyAlignment="1" applyProtection="1">
      <alignment horizontal="center" vertical="top" wrapText="1"/>
      <protection locked="0"/>
    </xf>
    <xf numFmtId="0" fontId="8" fillId="0" borderId="0" xfId="1" applyFont="1"/>
    <xf numFmtId="0" fontId="16" fillId="0" borderId="0" xfId="1" applyFont="1"/>
    <xf numFmtId="0" fontId="13" fillId="0" borderId="0" xfId="1" applyFont="1"/>
    <xf numFmtId="1" fontId="8" fillId="0" borderId="0" xfId="1" applyNumberFormat="1" applyFont="1"/>
    <xf numFmtId="14" fontId="8" fillId="0" borderId="0" xfId="1" applyNumberFormat="1" applyFont="1"/>
    <xf numFmtId="0" fontId="8" fillId="0" borderId="0" xfId="1" applyFont="1" applyProtection="1">
      <protection hidden="1"/>
    </xf>
    <xf numFmtId="0" fontId="24" fillId="0" borderId="0" xfId="1" applyFont="1"/>
    <xf numFmtId="0" fontId="8" fillId="0" borderId="10" xfId="1" applyFont="1" applyBorder="1"/>
    <xf numFmtId="0" fontId="18" fillId="0" borderId="10" xfId="0" applyFont="1" applyBorder="1" applyProtection="1">
      <protection hidden="1"/>
    </xf>
    <xf numFmtId="1" fontId="0" fillId="0" borderId="10" xfId="0" applyNumberFormat="1" applyBorder="1"/>
    <xf numFmtId="1" fontId="0" fillId="0" borderId="10" xfId="0" applyNumberFormat="1" applyBorder="1" applyAlignment="1">
      <alignment horizontal="right"/>
    </xf>
    <xf numFmtId="1" fontId="0" fillId="0" borderId="12" xfId="0" applyNumberFormat="1" applyBorder="1"/>
    <xf numFmtId="0" fontId="17" fillId="0" borderId="0" xfId="1" applyFont="1"/>
    <xf numFmtId="0" fontId="7" fillId="0" borderId="0" xfId="2" applyFont="1"/>
    <xf numFmtId="0" fontId="8" fillId="0" borderId="0" xfId="0" applyFont="1" applyAlignment="1">
      <alignment horizontal="center" vertical="center"/>
    </xf>
    <xf numFmtId="1" fontId="8" fillId="0" borderId="0" xfId="1" applyNumberFormat="1" applyFont="1" applyAlignment="1">
      <alignment horizontal="center" vertical="center"/>
    </xf>
    <xf numFmtId="0" fontId="8" fillId="0" borderId="0" xfId="1" applyFont="1" applyAlignment="1">
      <alignment horizontal="center" vertical="center"/>
    </xf>
    <xf numFmtId="0" fontId="9" fillId="0" borderId="0" xfId="1" applyFont="1" applyAlignment="1" applyProtection="1">
      <alignment vertical="top"/>
      <protection locked="0"/>
    </xf>
    <xf numFmtId="0" fontId="9" fillId="0" borderId="0" xfId="1" applyFont="1" applyAlignment="1" applyProtection="1">
      <alignment vertical="top" wrapText="1"/>
      <protection locked="0"/>
    </xf>
    <xf numFmtId="0" fontId="8" fillId="0" borderId="0" xfId="1" applyFont="1" applyProtection="1">
      <protection locked="0"/>
    </xf>
    <xf numFmtId="0" fontId="11" fillId="0" borderId="0" xfId="1" applyFont="1" applyProtection="1">
      <protection locked="0"/>
    </xf>
    <xf numFmtId="1" fontId="7" fillId="0" borderId="1" xfId="1" applyNumberFormat="1" applyFont="1" applyBorder="1" applyAlignment="1" applyProtection="1">
      <alignment horizontal="center" vertical="center" wrapText="1"/>
      <protection locked="0"/>
    </xf>
    <xf numFmtId="0" fontId="8" fillId="0" borderId="1" xfId="1" applyFont="1" applyBorder="1" applyAlignment="1" applyProtection="1">
      <alignment horizontal="center" vertical="top" wrapText="1"/>
      <protection locked="0"/>
    </xf>
    <xf numFmtId="0" fontId="8" fillId="0" borderId="7" xfId="1" applyFont="1" applyBorder="1" applyAlignment="1" applyProtection="1">
      <alignment horizontal="center" vertical="top" wrapText="1"/>
      <protection locked="0"/>
    </xf>
    <xf numFmtId="0" fontId="9" fillId="0" borderId="1" xfId="1" applyFont="1" applyBorder="1" applyAlignment="1" applyProtection="1">
      <alignment vertical="top"/>
      <protection locked="0"/>
    </xf>
    <xf numFmtId="1" fontId="7" fillId="0" borderId="1" xfId="0" applyNumberFormat="1" applyFont="1" applyBorder="1" applyAlignment="1" applyProtection="1">
      <alignment horizontal="center" vertical="center" wrapText="1"/>
      <protection locked="0"/>
    </xf>
    <xf numFmtId="0" fontId="13" fillId="0" borderId="1" xfId="1" applyFont="1" applyBorder="1" applyAlignment="1" applyProtection="1">
      <alignment horizontal="center" vertical="top"/>
      <protection locked="0"/>
    </xf>
    <xf numFmtId="0" fontId="7" fillId="0" borderId="1" xfId="1" applyFont="1" applyBorder="1" applyAlignment="1" applyProtection="1">
      <alignment horizontal="center" vertical="top"/>
      <protection locked="0"/>
    </xf>
    <xf numFmtId="0" fontId="25" fillId="2" borderId="30" xfId="0" applyFont="1" applyFill="1" applyBorder="1"/>
    <xf numFmtId="0" fontId="26" fillId="0" borderId="31" xfId="0" applyFont="1" applyBorder="1"/>
    <xf numFmtId="0" fontId="26" fillId="0" borderId="1" xfId="0" applyFont="1" applyBorder="1"/>
    <xf numFmtId="0" fontId="26" fillId="0" borderId="5" xfId="0" applyFont="1" applyBorder="1"/>
    <xf numFmtId="0" fontId="0" fillId="0" borderId="0" xfId="0" applyAlignment="1">
      <alignment horizontal="center" vertical="center"/>
    </xf>
    <xf numFmtId="0" fontId="0" fillId="0" borderId="1" xfId="0" applyBorder="1" applyAlignment="1">
      <alignment horizontal="center" vertical="center"/>
    </xf>
    <xf numFmtId="0" fontId="0" fillId="0" borderId="0" xfId="0" applyAlignment="1">
      <alignment horizontal="center"/>
    </xf>
    <xf numFmtId="0" fontId="0" fillId="0" borderId="1" xfId="0" applyBorder="1"/>
    <xf numFmtId="0" fontId="0" fillId="0" borderId="1" xfId="0" applyBorder="1" applyAlignment="1">
      <alignment wrapText="1"/>
    </xf>
    <xf numFmtId="0" fontId="0" fillId="0" borderId="1" xfId="0" applyBorder="1" applyAlignment="1">
      <alignment horizontal="left" vertical="top" wrapText="1"/>
    </xf>
    <xf numFmtId="0" fontId="16" fillId="0" borderId="1" xfId="1" applyFont="1" applyBorder="1" applyAlignment="1" applyProtection="1">
      <alignment horizontal="center" vertical="top" wrapText="1"/>
      <protection locked="0"/>
    </xf>
    <xf numFmtId="1" fontId="16" fillId="0" borderId="1" xfId="1" applyNumberFormat="1" applyFont="1" applyBorder="1" applyAlignment="1" applyProtection="1">
      <alignment horizontal="center" vertical="top" wrapText="1"/>
      <protection locked="0"/>
    </xf>
    <xf numFmtId="0" fontId="0" fillId="0" borderId="25" xfId="0" applyBorder="1"/>
    <xf numFmtId="0" fontId="0" fillId="0" borderId="8" xfId="0" applyBorder="1"/>
    <xf numFmtId="0" fontId="0" fillId="0" borderId="1" xfId="0" applyBorder="1" applyAlignment="1">
      <alignment vertical="top" wrapText="1"/>
    </xf>
    <xf numFmtId="165" fontId="8" fillId="0" borderId="0" xfId="1" applyNumberFormat="1" applyFont="1"/>
    <xf numFmtId="9" fontId="13" fillId="0" borderId="1" xfId="8" applyFont="1" applyFill="1" applyBorder="1" applyAlignment="1" applyProtection="1">
      <alignment horizontal="center" vertical="top" wrapText="1"/>
      <protection locked="0"/>
    </xf>
    <xf numFmtId="1" fontId="14" fillId="0" borderId="3" xfId="1" applyNumberFormat="1" applyFont="1" applyBorder="1" applyAlignment="1" applyProtection="1">
      <alignment horizontal="center" vertical="top" wrapText="1"/>
      <protection locked="0"/>
    </xf>
    <xf numFmtId="9" fontId="14" fillId="0" borderId="16" xfId="8" applyFont="1" applyFill="1" applyBorder="1" applyAlignment="1" applyProtection="1">
      <alignment horizontal="center" vertical="top" wrapText="1"/>
      <protection locked="0"/>
    </xf>
    <xf numFmtId="0" fontId="8" fillId="0" borderId="0" xfId="1" applyFont="1" applyAlignment="1">
      <alignment horizontal="center"/>
    </xf>
    <xf numFmtId="1" fontId="7" fillId="0" borderId="8" xfId="1" applyNumberFormat="1" applyFont="1" applyBorder="1" applyAlignment="1" applyProtection="1">
      <alignment horizontal="center" vertical="center" wrapText="1"/>
      <protection locked="0"/>
    </xf>
    <xf numFmtId="0" fontId="2" fillId="0" borderId="1" xfId="5" applyFont="1" applyBorder="1" applyAlignment="1">
      <alignment horizontal="center" vertical="center"/>
    </xf>
    <xf numFmtId="0" fontId="2" fillId="0" borderId="1" xfId="5" applyFont="1" applyBorder="1" applyAlignment="1">
      <alignment horizontal="center" vertical="center" wrapText="1"/>
    </xf>
    <xf numFmtId="0" fontId="17" fillId="0" borderId="0" xfId="1" applyFont="1" applyAlignment="1">
      <alignment horizontal="center" vertical="center"/>
    </xf>
    <xf numFmtId="169" fontId="8" fillId="0" borderId="0" xfId="1" applyNumberFormat="1" applyFont="1" applyAlignment="1">
      <alignment horizontal="center" vertical="center"/>
    </xf>
    <xf numFmtId="1" fontId="7" fillId="0" borderId="25" xfId="1" applyNumberFormat="1" applyFont="1" applyBorder="1" applyAlignment="1" applyProtection="1">
      <alignment horizontal="center" vertical="center" wrapText="1"/>
      <protection locked="0"/>
    </xf>
    <xf numFmtId="0" fontId="1" fillId="0" borderId="1" xfId="5" applyFont="1" applyBorder="1" applyAlignment="1">
      <alignment horizontal="center" vertical="center"/>
    </xf>
    <xf numFmtId="1" fontId="8" fillId="0" borderId="1" xfId="0" applyNumberFormat="1" applyFont="1" applyBorder="1" applyAlignment="1" applyProtection="1">
      <alignment horizontal="center" vertical="center" wrapText="1"/>
      <protection locked="0"/>
    </xf>
    <xf numFmtId="0" fontId="13" fillId="0" borderId="1" xfId="1" applyFont="1" applyBorder="1" applyAlignment="1" applyProtection="1">
      <alignment horizontal="center" vertical="top" wrapText="1"/>
      <protection locked="0"/>
    </xf>
    <xf numFmtId="0" fontId="25" fillId="2" borderId="15" xfId="0" applyFont="1" applyFill="1" applyBorder="1"/>
    <xf numFmtId="0" fontId="26" fillId="0" borderId="9" xfId="0" applyFont="1" applyBorder="1"/>
    <xf numFmtId="1" fontId="14" fillId="0" borderId="1" xfId="1" applyNumberFormat="1" applyFont="1" applyBorder="1" applyAlignment="1" applyProtection="1">
      <alignment horizontal="center" vertical="top" wrapText="1"/>
      <protection locked="0"/>
    </xf>
    <xf numFmtId="9" fontId="14" fillId="0" borderId="1" xfId="8" applyFont="1" applyFill="1" applyBorder="1" applyAlignment="1" applyProtection="1">
      <alignment horizontal="center" vertical="top" wrapText="1"/>
      <protection locked="0"/>
    </xf>
    <xf numFmtId="0" fontId="8" fillId="0" borderId="0" xfId="1" applyFont="1" applyAlignment="1">
      <alignment horizontal="center"/>
    </xf>
    <xf numFmtId="0" fontId="8" fillId="0" borderId="0" xfId="1" applyFont="1" applyAlignment="1">
      <alignment horizontal="center" wrapText="1"/>
    </xf>
    <xf numFmtId="0" fontId="8" fillId="0" borderId="0" xfId="1" applyFont="1" applyAlignment="1">
      <alignment horizontal="center" vertical="center"/>
    </xf>
    <xf numFmtId="1" fontId="7" fillId="0" borderId="8" xfId="1" applyNumberFormat="1" applyFont="1" applyBorder="1" applyAlignment="1" applyProtection="1">
      <alignment horizontal="center" vertical="center" wrapText="1"/>
      <protection locked="0"/>
    </xf>
    <xf numFmtId="1" fontId="7" fillId="0" borderId="9" xfId="1" applyNumberFormat="1" applyFont="1" applyBorder="1" applyAlignment="1" applyProtection="1">
      <alignment horizontal="center" vertical="center" wrapText="1"/>
      <protection locked="0"/>
    </xf>
    <xf numFmtId="1" fontId="7" fillId="0" borderId="1" xfId="1" applyNumberFormat="1" applyFont="1" applyBorder="1" applyAlignment="1" applyProtection="1">
      <alignment horizontal="center" vertical="center" wrapText="1"/>
      <protection locked="0"/>
    </xf>
    <xf numFmtId="1" fontId="9" fillId="0" borderId="1" xfId="1" applyNumberFormat="1" applyFont="1" applyBorder="1" applyAlignment="1" applyProtection="1">
      <alignment horizontal="center" vertical="top" wrapText="1"/>
      <protection locked="0"/>
    </xf>
    <xf numFmtId="1" fontId="14" fillId="0" borderId="1" xfId="1" applyNumberFormat="1" applyFont="1" applyBorder="1" applyAlignment="1" applyProtection="1">
      <alignment horizontal="center" vertical="top" wrapText="1"/>
      <protection locked="0"/>
    </xf>
    <xf numFmtId="1" fontId="14" fillId="0" borderId="8" xfId="1" applyNumberFormat="1" applyFont="1" applyBorder="1" applyAlignment="1" applyProtection="1">
      <alignment horizontal="center" vertical="center" wrapText="1"/>
      <protection locked="0"/>
    </xf>
    <xf numFmtId="1" fontId="14" fillId="0" borderId="21" xfId="1" applyNumberFormat="1" applyFont="1" applyBorder="1" applyAlignment="1" applyProtection="1">
      <alignment horizontal="center" vertical="center" wrapText="1"/>
      <protection locked="0"/>
    </xf>
    <xf numFmtId="1" fontId="14" fillId="0" borderId="9" xfId="1" applyNumberFormat="1" applyFont="1" applyBorder="1" applyAlignment="1" applyProtection="1">
      <alignment horizontal="center" vertical="center" wrapText="1"/>
      <protection locked="0"/>
    </xf>
    <xf numFmtId="1" fontId="11" fillId="0" borderId="8" xfId="0" applyNumberFormat="1" applyFont="1" applyBorder="1" applyAlignment="1" applyProtection="1">
      <alignment vertical="top" wrapText="1"/>
      <protection locked="0"/>
    </xf>
    <xf numFmtId="1" fontId="11" fillId="0" borderId="21" xfId="0" applyNumberFormat="1" applyFont="1" applyBorder="1" applyAlignment="1" applyProtection="1">
      <alignment vertical="top" wrapText="1"/>
      <protection locked="0"/>
    </xf>
    <xf numFmtId="1" fontId="11" fillId="0" borderId="9" xfId="0" applyNumberFormat="1" applyFont="1" applyBorder="1" applyAlignment="1" applyProtection="1">
      <alignment vertical="top" wrapText="1"/>
      <protection locked="0"/>
    </xf>
    <xf numFmtId="0" fontId="7" fillId="0" borderId="1" xfId="1" applyFont="1" applyBorder="1" applyAlignment="1" applyProtection="1">
      <alignment horizontal="left" vertical="top"/>
      <protection locked="0"/>
    </xf>
    <xf numFmtId="0" fontId="8" fillId="0" borderId="6" xfId="1" applyFont="1" applyBorder="1" applyAlignment="1" applyProtection="1">
      <alignment horizontal="center" vertical="top" wrapText="1"/>
      <protection locked="0"/>
    </xf>
    <xf numFmtId="0" fontId="8" fillId="0" borderId="7" xfId="1" applyFont="1" applyBorder="1" applyAlignment="1" applyProtection="1">
      <alignment horizontal="center" vertical="top" wrapText="1"/>
      <protection locked="0"/>
    </xf>
    <xf numFmtId="0" fontId="8" fillId="0" borderId="4" xfId="1" applyFont="1" applyBorder="1" applyAlignment="1" applyProtection="1">
      <alignment horizontal="center" vertical="top" wrapText="1"/>
      <protection locked="0"/>
    </xf>
    <xf numFmtId="0" fontId="8" fillId="0" borderId="1" xfId="1" applyFont="1" applyBorder="1" applyAlignment="1" applyProtection="1">
      <alignment horizontal="center" vertical="top" wrapText="1"/>
      <protection locked="0"/>
    </xf>
    <xf numFmtId="1" fontId="9" fillId="0" borderId="3" xfId="0" applyNumberFormat="1" applyFont="1" applyBorder="1" applyAlignment="1" applyProtection="1">
      <alignment horizontal="center" vertical="center" wrapText="1"/>
      <protection locked="0"/>
    </xf>
    <xf numFmtId="0" fontId="11" fillId="0" borderId="3" xfId="0" applyFont="1" applyBorder="1" applyAlignment="1" applyProtection="1">
      <alignment horizontal="center" vertical="top" wrapText="1"/>
      <protection locked="0"/>
    </xf>
    <xf numFmtId="0" fontId="14" fillId="0" borderId="1" xfId="1" applyFont="1" applyBorder="1" applyAlignment="1" applyProtection="1">
      <alignment horizontal="left" vertical="top" wrapText="1"/>
      <protection locked="0"/>
    </xf>
    <xf numFmtId="0" fontId="14" fillId="0" borderId="5" xfId="1" applyFont="1" applyBorder="1" applyAlignment="1" applyProtection="1">
      <alignment horizontal="left" vertical="top" wrapText="1"/>
      <protection locked="0"/>
    </xf>
    <xf numFmtId="1" fontId="9" fillId="0" borderId="3" xfId="0" applyNumberFormat="1" applyFont="1" applyBorder="1" applyAlignment="1" applyProtection="1">
      <alignment horizontal="center" vertical="top" wrapText="1"/>
      <protection locked="0"/>
    </xf>
    <xf numFmtId="0" fontId="8" fillId="0" borderId="1" xfId="0" applyFont="1" applyBorder="1" applyAlignment="1" applyProtection="1">
      <alignment horizontal="center" vertical="center"/>
      <protection locked="0"/>
    </xf>
    <xf numFmtId="0" fontId="8" fillId="0" borderId="1" xfId="0" applyFont="1" applyBorder="1" applyAlignment="1" applyProtection="1">
      <alignment horizontal="center" vertical="top" wrapText="1"/>
      <protection locked="0"/>
    </xf>
    <xf numFmtId="1" fontId="7" fillId="0" borderId="1" xfId="0" applyNumberFormat="1" applyFont="1" applyBorder="1" applyAlignment="1" applyProtection="1">
      <alignment horizontal="center" vertical="top" wrapText="1"/>
      <protection locked="0"/>
    </xf>
    <xf numFmtId="1" fontId="9" fillId="0" borderId="1" xfId="0" applyNumberFormat="1" applyFont="1" applyBorder="1" applyAlignment="1" applyProtection="1">
      <alignment horizontal="center" vertical="center" wrapText="1"/>
      <protection locked="0"/>
    </xf>
    <xf numFmtId="0" fontId="11" fillId="0" borderId="1" xfId="0" applyFont="1" applyBorder="1" applyAlignment="1" applyProtection="1">
      <alignment horizontal="center" vertical="center"/>
      <protection locked="0"/>
    </xf>
    <xf numFmtId="0" fontId="11" fillId="0" borderId="1" xfId="0" applyFont="1" applyBorder="1" applyAlignment="1" applyProtection="1">
      <alignment horizontal="center" vertical="top" wrapText="1"/>
      <protection locked="0"/>
    </xf>
    <xf numFmtId="1" fontId="9" fillId="0" borderId="1" xfId="0" applyNumberFormat="1" applyFont="1" applyBorder="1" applyAlignment="1" applyProtection="1">
      <alignment horizontal="center" vertical="top" wrapText="1"/>
      <protection locked="0"/>
    </xf>
    <xf numFmtId="1" fontId="7" fillId="0" borderId="1" xfId="0" applyNumberFormat="1" applyFont="1" applyBorder="1" applyAlignment="1" applyProtection="1">
      <alignment horizontal="center" vertical="center" wrapText="1"/>
      <protection locked="0"/>
    </xf>
    <xf numFmtId="1" fontId="9" fillId="0" borderId="8" xfId="0" applyNumberFormat="1" applyFont="1" applyBorder="1" applyAlignment="1" applyProtection="1">
      <alignment vertical="top" wrapText="1"/>
      <protection locked="0"/>
    </xf>
    <xf numFmtId="1" fontId="9" fillId="0" borderId="21" xfId="0" applyNumberFormat="1" applyFont="1" applyBorder="1" applyAlignment="1" applyProtection="1">
      <alignment vertical="top" wrapText="1"/>
      <protection locked="0"/>
    </xf>
    <xf numFmtId="1" fontId="9" fillId="0" borderId="9" xfId="0" applyNumberFormat="1" applyFont="1" applyBorder="1" applyAlignment="1" applyProtection="1">
      <alignment vertical="top" wrapText="1"/>
      <protection locked="0"/>
    </xf>
    <xf numFmtId="9" fontId="8" fillId="0" borderId="17" xfId="8" applyFont="1" applyFill="1" applyBorder="1" applyAlignment="1" applyProtection="1">
      <alignment horizontal="center" vertical="center" wrapText="1"/>
      <protection locked="0"/>
    </xf>
    <xf numFmtId="9" fontId="8" fillId="0" borderId="27" xfId="8" applyFont="1" applyFill="1" applyBorder="1" applyAlignment="1" applyProtection="1">
      <alignment horizontal="center" vertical="center" wrapText="1"/>
      <protection locked="0"/>
    </xf>
    <xf numFmtId="9" fontId="8" fillId="0" borderId="25" xfId="8" applyFont="1" applyFill="1" applyBorder="1" applyAlignment="1" applyProtection="1">
      <alignment horizontal="center" vertical="center" wrapText="1"/>
      <protection locked="0"/>
    </xf>
    <xf numFmtId="9" fontId="8" fillId="0" borderId="10" xfId="8" applyFont="1" applyFill="1" applyBorder="1" applyAlignment="1" applyProtection="1">
      <alignment horizontal="center" vertical="center" wrapText="1"/>
      <protection locked="0"/>
    </xf>
    <xf numFmtId="9" fontId="8" fillId="0" borderId="28" xfId="8" applyFont="1" applyFill="1" applyBorder="1" applyAlignment="1" applyProtection="1">
      <alignment horizontal="center" vertical="center" wrapText="1"/>
      <protection locked="0"/>
    </xf>
    <xf numFmtId="9" fontId="8" fillId="0" borderId="12" xfId="8" applyFont="1" applyFill="1" applyBorder="1" applyAlignment="1" applyProtection="1">
      <alignment horizontal="center" vertical="center" wrapText="1"/>
      <protection locked="0"/>
    </xf>
    <xf numFmtId="1" fontId="14" fillId="0" borderId="3" xfId="1" applyNumberFormat="1" applyFont="1" applyBorder="1" applyAlignment="1" applyProtection="1">
      <alignment horizontal="center" vertical="top" wrapText="1"/>
      <protection locked="0"/>
    </xf>
    <xf numFmtId="1" fontId="14" fillId="0" borderId="16" xfId="1" applyNumberFormat="1" applyFont="1" applyBorder="1" applyAlignment="1" applyProtection="1">
      <alignment horizontal="center" vertical="top" wrapText="1"/>
      <protection locked="0"/>
    </xf>
    <xf numFmtId="0" fontId="9" fillId="0" borderId="16" xfId="1" applyFont="1" applyBorder="1" applyAlignment="1" applyProtection="1">
      <alignment horizontal="left" vertical="top"/>
      <protection locked="0"/>
    </xf>
    <xf numFmtId="168" fontId="13" fillId="0" borderId="1" xfId="9" applyNumberFormat="1" applyFont="1" applyFill="1" applyBorder="1" applyAlignment="1" applyProtection="1">
      <alignment horizontal="left" vertical="top"/>
      <protection locked="0"/>
    </xf>
    <xf numFmtId="0" fontId="8" fillId="0" borderId="5" xfId="1" applyFont="1" applyBorder="1" applyAlignment="1" applyProtection="1">
      <alignment horizontal="center" vertical="top" wrapText="1"/>
      <protection locked="0"/>
    </xf>
    <xf numFmtId="1" fontId="31" fillId="0" borderId="3" xfId="1" applyNumberFormat="1" applyFont="1" applyBorder="1" applyAlignment="1" applyProtection="1">
      <alignment horizontal="center" vertical="top" wrapText="1"/>
      <protection locked="0"/>
    </xf>
    <xf numFmtId="1" fontId="31" fillId="0" borderId="16" xfId="1" applyNumberFormat="1" applyFont="1" applyBorder="1" applyAlignment="1" applyProtection="1">
      <alignment horizontal="center" vertical="top" wrapText="1"/>
      <protection locked="0"/>
    </xf>
    <xf numFmtId="0" fontId="9" fillId="0" borderId="16" xfId="1" applyFont="1" applyBorder="1" applyAlignment="1" applyProtection="1">
      <alignment horizontal="center" vertical="top"/>
      <protection locked="0"/>
    </xf>
    <xf numFmtId="0" fontId="27" fillId="0" borderId="1" xfId="10" applyFill="1" applyBorder="1" applyAlignment="1" applyProtection="1">
      <alignment horizontal="left" vertical="top" wrapText="1"/>
      <protection locked="0"/>
    </xf>
    <xf numFmtId="0" fontId="13" fillId="0" borderId="1" xfId="1" applyFont="1" applyBorder="1" applyAlignment="1" applyProtection="1">
      <alignment horizontal="left" vertical="top" wrapText="1"/>
      <protection locked="0"/>
    </xf>
    <xf numFmtId="1" fontId="8" fillId="0" borderId="1" xfId="0" applyNumberFormat="1" applyFont="1" applyBorder="1" applyAlignment="1" applyProtection="1">
      <alignment horizontal="center" vertical="center"/>
      <protection locked="0"/>
    </xf>
    <xf numFmtId="1" fontId="31" fillId="0" borderId="1" xfId="1" applyNumberFormat="1" applyFont="1" applyBorder="1" applyAlignment="1" applyProtection="1">
      <alignment horizontal="center" vertical="top" wrapText="1"/>
      <protection locked="0"/>
    </xf>
    <xf numFmtId="1" fontId="11" fillId="0" borderId="33" xfId="0" applyNumberFormat="1" applyFont="1" applyBorder="1" applyAlignment="1" applyProtection="1">
      <alignment horizontal="center" vertical="center"/>
      <protection locked="0"/>
    </xf>
    <xf numFmtId="0" fontId="11" fillId="0" borderId="33" xfId="0" applyFont="1" applyBorder="1" applyAlignment="1" applyProtection="1">
      <alignment horizontal="center" vertical="center"/>
      <protection locked="0"/>
    </xf>
    <xf numFmtId="0" fontId="7" fillId="0" borderId="8" xfId="1" applyFont="1" applyBorder="1" applyAlignment="1" applyProtection="1">
      <alignment vertical="top" wrapText="1"/>
      <protection locked="0"/>
    </xf>
    <xf numFmtId="0" fontId="7" fillId="0" borderId="21" xfId="1" applyFont="1" applyBorder="1" applyAlignment="1" applyProtection="1">
      <alignment vertical="top" wrapText="1"/>
      <protection locked="0"/>
    </xf>
    <xf numFmtId="0" fontId="7" fillId="0" borderId="9" xfId="1" applyFont="1" applyBorder="1" applyAlignment="1" applyProtection="1">
      <alignment vertical="top" wrapText="1"/>
      <protection locked="0"/>
    </xf>
    <xf numFmtId="0" fontId="7" fillId="0" borderId="8" xfId="1" applyFont="1" applyBorder="1" applyAlignment="1" applyProtection="1">
      <alignment horizontal="left" vertical="top" wrapText="1"/>
      <protection locked="0"/>
    </xf>
    <xf numFmtId="0" fontId="7" fillId="0" borderId="9" xfId="1" applyFont="1" applyBorder="1" applyAlignment="1" applyProtection="1">
      <alignment horizontal="left" vertical="top" wrapText="1"/>
      <protection locked="0"/>
    </xf>
    <xf numFmtId="0" fontId="14" fillId="0" borderId="8" xfId="1" applyFont="1" applyBorder="1" applyAlignment="1" applyProtection="1">
      <alignment horizontal="left" vertical="top"/>
      <protection locked="0"/>
    </xf>
    <xf numFmtId="0" fontId="14" fillId="0" borderId="21" xfId="1" applyFont="1" applyBorder="1" applyAlignment="1" applyProtection="1">
      <alignment horizontal="left" vertical="top"/>
      <protection locked="0"/>
    </xf>
    <xf numFmtId="0" fontId="14" fillId="0" borderId="9" xfId="1" applyFont="1" applyBorder="1" applyAlignment="1" applyProtection="1">
      <alignment horizontal="left" vertical="top"/>
      <protection locked="0"/>
    </xf>
    <xf numFmtId="0" fontId="14" fillId="0" borderId="1" xfId="1" applyFont="1" applyBorder="1" applyAlignment="1" applyProtection="1">
      <alignment horizontal="left" vertical="top"/>
      <protection locked="0"/>
    </xf>
    <xf numFmtId="0" fontId="9" fillId="0" borderId="1" xfId="1" applyFont="1" applyBorder="1" applyAlignment="1" applyProtection="1">
      <alignment horizontal="left" vertical="top" wrapText="1"/>
      <protection locked="0"/>
    </xf>
    <xf numFmtId="0" fontId="7" fillId="0" borderId="1" xfId="1" applyFont="1" applyBorder="1" applyAlignment="1" applyProtection="1">
      <alignment horizontal="left" vertical="top" wrapText="1"/>
      <protection locked="0"/>
    </xf>
    <xf numFmtId="0" fontId="9" fillId="0" borderId="1" xfId="1" applyFont="1" applyBorder="1" applyAlignment="1" applyProtection="1">
      <alignment horizontal="left" vertical="top"/>
      <protection locked="0"/>
    </xf>
    <xf numFmtId="0" fontId="9" fillId="0" borderId="22" xfId="1" applyFont="1" applyBorder="1" applyAlignment="1" applyProtection="1">
      <alignment horizontal="left" vertical="top" wrapText="1"/>
      <protection locked="0"/>
    </xf>
    <xf numFmtId="0" fontId="9" fillId="0" borderId="15" xfId="1" applyFont="1" applyBorder="1" applyAlignment="1" applyProtection="1">
      <alignment horizontal="left" vertical="top" wrapText="1"/>
      <protection locked="0"/>
    </xf>
    <xf numFmtId="0" fontId="9" fillId="0" borderId="13" xfId="1" applyFont="1" applyBorder="1" applyAlignment="1" applyProtection="1">
      <alignment horizontal="left" vertical="top" wrapText="1"/>
      <protection locked="0"/>
    </xf>
    <xf numFmtId="0" fontId="9" fillId="0" borderId="14" xfId="1" applyFont="1" applyBorder="1" applyAlignment="1" applyProtection="1">
      <alignment horizontal="left" vertical="top" wrapText="1"/>
      <protection locked="0"/>
    </xf>
    <xf numFmtId="0" fontId="9" fillId="0" borderId="23" xfId="1" applyFont="1" applyBorder="1" applyAlignment="1" applyProtection="1">
      <alignment horizontal="left" vertical="top" wrapText="1"/>
      <protection locked="0"/>
    </xf>
    <xf numFmtId="0" fontId="13" fillId="0" borderId="1" xfId="1" applyFont="1" applyBorder="1" applyAlignment="1" applyProtection="1">
      <alignment horizontal="left" vertical="top"/>
      <protection locked="0"/>
    </xf>
    <xf numFmtId="0" fontId="13" fillId="0" borderId="3" xfId="1" applyFont="1" applyBorder="1" applyAlignment="1" applyProtection="1">
      <alignment horizontal="left" vertical="top" wrapText="1"/>
      <protection locked="0"/>
    </xf>
    <xf numFmtId="0" fontId="13" fillId="0" borderId="3" xfId="1" applyFont="1" applyBorder="1" applyAlignment="1" applyProtection="1">
      <alignment horizontal="left" vertical="top"/>
      <protection locked="0"/>
    </xf>
    <xf numFmtId="0" fontId="13" fillId="0" borderId="17" xfId="1" applyFont="1" applyBorder="1" applyAlignment="1" applyProtection="1">
      <alignment horizontal="left" vertical="top" wrapText="1"/>
      <protection locked="0"/>
    </xf>
    <xf numFmtId="0" fontId="13" fillId="0" borderId="24" xfId="1" applyFont="1" applyBorder="1" applyAlignment="1" applyProtection="1">
      <alignment horizontal="left" vertical="top" wrapText="1"/>
      <protection locked="0"/>
    </xf>
    <xf numFmtId="0" fontId="13" fillId="0" borderId="18" xfId="1" applyFont="1" applyBorder="1" applyAlignment="1" applyProtection="1">
      <alignment horizontal="left" vertical="top" wrapText="1"/>
      <protection locked="0"/>
    </xf>
    <xf numFmtId="0" fontId="13" fillId="0" borderId="1" xfId="1" applyFont="1" applyBorder="1" applyAlignment="1" applyProtection="1">
      <alignment horizontal="center"/>
      <protection locked="0"/>
    </xf>
    <xf numFmtId="0" fontId="13" fillId="0" borderId="1" xfId="1" applyFont="1" applyBorder="1" applyAlignment="1" applyProtection="1">
      <alignment horizontal="center" vertical="top"/>
      <protection locked="0"/>
    </xf>
    <xf numFmtId="2" fontId="7" fillId="0" borderId="1" xfId="1" applyNumberFormat="1" applyFont="1" applyBorder="1" applyAlignment="1" applyProtection="1">
      <alignment horizontal="left" vertical="top" wrapText="1"/>
      <protection locked="0"/>
    </xf>
    <xf numFmtId="0" fontId="7" fillId="0" borderId="16" xfId="1" applyFont="1" applyBorder="1" applyAlignment="1" applyProtection="1">
      <alignment horizontal="left" vertical="top" wrapText="1"/>
      <protection locked="0"/>
    </xf>
    <xf numFmtId="9" fontId="13" fillId="0" borderId="1" xfId="8" applyFont="1" applyFill="1" applyBorder="1" applyAlignment="1" applyProtection="1">
      <alignment horizontal="center" vertical="center" wrapText="1"/>
      <protection locked="0"/>
    </xf>
    <xf numFmtId="1" fontId="7" fillId="0" borderId="1" xfId="1" applyNumberFormat="1" applyFont="1" applyBorder="1" applyAlignment="1" applyProtection="1">
      <alignment horizontal="left" vertical="top" wrapText="1"/>
      <protection locked="0"/>
    </xf>
    <xf numFmtId="165" fontId="7" fillId="0" borderId="1" xfId="1" applyNumberFormat="1" applyFont="1" applyBorder="1" applyAlignment="1" applyProtection="1">
      <alignment horizontal="left" vertical="top"/>
      <protection locked="0"/>
    </xf>
    <xf numFmtId="2" fontId="7" fillId="0" borderId="1" xfId="1" applyNumberFormat="1" applyFont="1" applyBorder="1" applyAlignment="1" applyProtection="1">
      <alignment horizontal="left" vertical="top"/>
      <protection locked="0"/>
    </xf>
    <xf numFmtId="0" fontId="7" fillId="0" borderId="21" xfId="1" applyFont="1" applyBorder="1" applyAlignment="1" applyProtection="1">
      <alignment horizontal="left" vertical="top" wrapText="1"/>
      <protection locked="0"/>
    </xf>
    <xf numFmtId="0" fontId="14" fillId="0" borderId="4" xfId="1" applyFont="1" applyBorder="1" applyAlignment="1" applyProtection="1">
      <alignment horizontal="left" vertical="top"/>
      <protection locked="0"/>
    </xf>
    <xf numFmtId="0" fontId="14" fillId="0" borderId="1" xfId="1" applyFont="1" applyBorder="1" applyAlignment="1" applyProtection="1">
      <alignment horizontal="center" vertical="top"/>
      <protection locked="0"/>
    </xf>
    <xf numFmtId="0" fontId="14" fillId="0" borderId="1" xfId="1" applyFont="1" applyBorder="1" applyAlignment="1" applyProtection="1">
      <alignment horizontal="center"/>
      <protection locked="0"/>
    </xf>
    <xf numFmtId="0" fontId="13" fillId="0" borderId="1" xfId="1" applyFont="1" applyBorder="1" applyAlignment="1" applyProtection="1">
      <alignment horizontal="left"/>
      <protection locked="0"/>
    </xf>
    <xf numFmtId="0" fontId="12" fillId="0" borderId="1" xfId="1" applyFont="1" applyBorder="1" applyAlignment="1" applyProtection="1">
      <alignment horizontal="center" vertical="top" wrapText="1"/>
      <protection locked="0"/>
    </xf>
    <xf numFmtId="0" fontId="9" fillId="0" borderId="1" xfId="1" applyFont="1" applyBorder="1" applyAlignment="1" applyProtection="1">
      <alignment horizontal="center" vertical="top"/>
      <protection locked="0"/>
    </xf>
    <xf numFmtId="14" fontId="13" fillId="0" borderId="1" xfId="1" applyNumberFormat="1" applyFont="1" applyBorder="1" applyAlignment="1" applyProtection="1">
      <alignment horizontal="left" vertical="top"/>
      <protection locked="0"/>
    </xf>
    <xf numFmtId="0" fontId="13" fillId="0" borderId="1" xfId="1" applyFont="1" applyBorder="1" applyAlignment="1" applyProtection="1">
      <alignment horizontal="center" vertical="top" wrapText="1"/>
      <protection locked="0"/>
    </xf>
    <xf numFmtId="0" fontId="7" fillId="0" borderId="3" xfId="1" applyFont="1" applyBorder="1" applyAlignment="1" applyProtection="1">
      <alignment horizontal="left" vertical="top" wrapText="1"/>
      <protection locked="0"/>
    </xf>
    <xf numFmtId="0" fontId="14" fillId="0" borderId="1" xfId="1" applyFont="1" applyBorder="1" applyAlignment="1" applyProtection="1">
      <alignment horizontal="center" vertical="top" wrapText="1"/>
      <protection locked="0"/>
    </xf>
    <xf numFmtId="0" fontId="15" fillId="0" borderId="1" xfId="1" applyFont="1" applyBorder="1" applyAlignment="1" applyProtection="1">
      <alignment horizontal="center" vertical="top" wrapText="1"/>
      <protection locked="0"/>
    </xf>
    <xf numFmtId="1" fontId="9" fillId="0" borderId="1" xfId="1" applyNumberFormat="1" applyFont="1" applyBorder="1" applyAlignment="1" applyProtection="1">
      <alignment horizontal="center" vertical="center" wrapText="1"/>
      <protection locked="0"/>
    </xf>
    <xf numFmtId="0" fontId="9" fillId="0" borderId="1" xfId="1" applyFont="1" applyBorder="1" applyAlignment="1" applyProtection="1">
      <alignment vertical="top"/>
      <protection locked="0"/>
    </xf>
    <xf numFmtId="9" fontId="8" fillId="0" borderId="18" xfId="8" applyFont="1" applyFill="1" applyBorder="1" applyAlignment="1" applyProtection="1">
      <alignment horizontal="center" vertical="center" wrapText="1"/>
      <protection locked="0"/>
    </xf>
    <xf numFmtId="9" fontId="8" fillId="0" borderId="26" xfId="8" applyFont="1" applyFill="1" applyBorder="1" applyAlignment="1" applyProtection="1">
      <alignment horizontal="center" vertical="center" wrapText="1"/>
      <protection locked="0"/>
    </xf>
    <xf numFmtId="9" fontId="8" fillId="0" borderId="29" xfId="8" applyFont="1" applyFill="1" applyBorder="1" applyAlignment="1" applyProtection="1">
      <alignment horizontal="center" vertical="center" wrapText="1"/>
      <protection locked="0"/>
    </xf>
    <xf numFmtId="1" fontId="9" fillId="0" borderId="32" xfId="0" applyNumberFormat="1" applyFont="1" applyBorder="1" applyAlignment="1" applyProtection="1">
      <alignment horizontal="center" vertical="center" wrapText="1"/>
      <protection locked="0"/>
    </xf>
    <xf numFmtId="1" fontId="9" fillId="0" borderId="33" xfId="0" applyNumberFormat="1" applyFont="1" applyBorder="1" applyAlignment="1" applyProtection="1">
      <alignment horizontal="center" vertical="center" wrapText="1"/>
      <protection locked="0"/>
    </xf>
    <xf numFmtId="1" fontId="14" fillId="0" borderId="8" xfId="0" applyNumberFormat="1" applyFont="1" applyBorder="1" applyAlignment="1" applyProtection="1">
      <alignment vertical="top" wrapText="1"/>
      <protection locked="0"/>
    </xf>
    <xf numFmtId="1" fontId="14" fillId="0" borderId="21" xfId="0" applyNumberFormat="1" applyFont="1" applyBorder="1" applyAlignment="1" applyProtection="1">
      <alignment vertical="top" wrapText="1"/>
      <protection locked="0"/>
    </xf>
    <xf numFmtId="1" fontId="14" fillId="0" borderId="9" xfId="0" applyNumberFormat="1" applyFont="1" applyBorder="1" applyAlignment="1" applyProtection="1">
      <alignment vertical="top" wrapText="1"/>
      <protection locked="0"/>
    </xf>
    <xf numFmtId="1" fontId="9" fillId="0" borderId="8" xfId="1" applyNumberFormat="1" applyFont="1" applyBorder="1" applyAlignment="1" applyProtection="1">
      <alignment horizontal="center" vertical="center" wrapText="1"/>
      <protection locked="0"/>
    </xf>
    <xf numFmtId="1" fontId="9" fillId="0" borderId="21" xfId="1" applyNumberFormat="1" applyFont="1" applyBorder="1" applyAlignment="1" applyProtection="1">
      <alignment horizontal="center" vertical="center" wrapText="1"/>
      <protection locked="0"/>
    </xf>
    <xf numFmtId="1" fontId="9" fillId="0" borderId="9" xfId="1" applyNumberFormat="1" applyFont="1" applyBorder="1" applyAlignment="1" applyProtection="1">
      <alignment horizontal="center" vertical="center" wrapText="1"/>
      <protection locked="0"/>
    </xf>
    <xf numFmtId="1" fontId="9" fillId="0" borderId="1" xfId="0" applyNumberFormat="1" applyFont="1" applyBorder="1" applyAlignment="1" applyProtection="1">
      <alignment horizontal="left" vertical="top" wrapText="1"/>
      <protection locked="0"/>
    </xf>
    <xf numFmtId="0" fontId="13" fillId="0" borderId="25" xfId="1" applyFont="1" applyBorder="1" applyAlignment="1" applyProtection="1">
      <alignment horizontal="left" vertical="top" wrapText="1"/>
      <protection locked="0"/>
    </xf>
    <xf numFmtId="0" fontId="13" fillId="0" borderId="0" xfId="1" applyFont="1" applyAlignment="1" applyProtection="1">
      <alignment horizontal="left" vertical="top" wrapText="1"/>
      <protection locked="0"/>
    </xf>
    <xf numFmtId="0" fontId="13" fillId="0" borderId="19" xfId="1" applyFont="1" applyBorder="1" applyAlignment="1" applyProtection="1">
      <alignment horizontal="left" vertical="top" wrapText="1"/>
      <protection locked="0"/>
    </xf>
    <xf numFmtId="0" fontId="13" fillId="0" borderId="2" xfId="1" applyFont="1" applyBorder="1" applyAlignment="1" applyProtection="1">
      <alignment horizontal="left" vertical="top" wrapText="1"/>
      <protection locked="0"/>
    </xf>
    <xf numFmtId="0" fontId="13" fillId="0" borderId="8" xfId="1" applyFont="1" applyBorder="1" applyAlignment="1" applyProtection="1">
      <alignment horizontal="left" vertical="top"/>
      <protection locked="0"/>
    </xf>
    <xf numFmtId="0" fontId="13" fillId="0" borderId="21" xfId="1" applyFont="1" applyBorder="1" applyAlignment="1" applyProtection="1">
      <alignment horizontal="left" vertical="top"/>
      <protection locked="0"/>
    </xf>
    <xf numFmtId="0" fontId="13" fillId="0" borderId="9" xfId="1" applyFont="1" applyBorder="1" applyAlignment="1" applyProtection="1">
      <alignment horizontal="left" vertical="top"/>
      <protection locked="0"/>
    </xf>
    <xf numFmtId="0" fontId="16" fillId="0" borderId="25" xfId="1" applyFont="1" applyBorder="1" applyAlignment="1" applyProtection="1">
      <alignment horizontal="left" vertical="top"/>
      <protection locked="0"/>
    </xf>
    <xf numFmtId="0" fontId="16" fillId="0" borderId="0" xfId="1" applyFont="1" applyAlignment="1" applyProtection="1">
      <alignment horizontal="left" vertical="top"/>
      <protection locked="0"/>
    </xf>
    <xf numFmtId="0" fontId="16" fillId="0" borderId="26" xfId="1" applyFont="1" applyBorder="1" applyAlignment="1" applyProtection="1">
      <alignment horizontal="left" vertical="top"/>
      <protection locked="0"/>
    </xf>
    <xf numFmtId="0" fontId="7" fillId="0" borderId="1" xfId="1" applyFont="1" applyBorder="1" applyAlignment="1" applyProtection="1">
      <alignment vertical="top"/>
      <protection locked="0"/>
    </xf>
    <xf numFmtId="0" fontId="11" fillId="0" borderId="3" xfId="0" applyFont="1" applyBorder="1" applyAlignment="1" applyProtection="1">
      <alignment horizontal="center" vertical="center"/>
      <protection locked="0"/>
    </xf>
    <xf numFmtId="14" fontId="7" fillId="0" borderId="8" xfId="1" applyNumberFormat="1" applyFont="1" applyBorder="1" applyAlignment="1" applyProtection="1">
      <alignment horizontal="left" vertical="top" wrapText="1"/>
      <protection locked="0"/>
    </xf>
    <xf numFmtId="0" fontId="9" fillId="0" borderId="8" xfId="1" applyFont="1" applyBorder="1" applyAlignment="1" applyProtection="1">
      <alignment horizontal="left" vertical="top"/>
      <protection locked="0"/>
    </xf>
    <xf numFmtId="0" fontId="9" fillId="0" borderId="9" xfId="1" applyFont="1" applyBorder="1" applyAlignment="1" applyProtection="1">
      <alignment horizontal="left" vertical="top"/>
      <protection locked="0"/>
    </xf>
    <xf numFmtId="0" fontId="16" fillId="0" borderId="17" xfId="1" applyFont="1" applyBorder="1" applyAlignment="1" applyProtection="1">
      <alignment horizontal="left" vertical="top" wrapText="1"/>
      <protection locked="0"/>
    </xf>
    <xf numFmtId="0" fontId="16" fillId="0" borderId="18" xfId="1" applyFont="1" applyBorder="1" applyAlignment="1" applyProtection="1">
      <alignment horizontal="left" vertical="top" wrapText="1"/>
      <protection locked="0"/>
    </xf>
    <xf numFmtId="0" fontId="16" fillId="0" borderId="19" xfId="1" applyFont="1" applyBorder="1" applyAlignment="1" applyProtection="1">
      <alignment horizontal="left" vertical="top" wrapText="1"/>
      <protection locked="0"/>
    </xf>
    <xf numFmtId="0" fontId="16" fillId="0" borderId="20" xfId="1" applyFont="1" applyBorder="1" applyAlignment="1" applyProtection="1">
      <alignment horizontal="left" vertical="top" wrapText="1"/>
      <protection locked="0"/>
    </xf>
    <xf numFmtId="0" fontId="7" fillId="0" borderId="17" xfId="1" applyFont="1" applyBorder="1" applyAlignment="1" applyProtection="1">
      <alignment horizontal="left" vertical="top" wrapText="1"/>
      <protection locked="0"/>
    </xf>
    <xf numFmtId="0" fontId="7" fillId="0" borderId="18" xfId="1" applyFont="1" applyBorder="1" applyAlignment="1" applyProtection="1">
      <alignment horizontal="left" vertical="top" wrapText="1"/>
      <protection locked="0"/>
    </xf>
    <xf numFmtId="0" fontId="7" fillId="0" borderId="19" xfId="1" applyFont="1" applyBorder="1" applyAlignment="1" applyProtection="1">
      <alignment horizontal="left" vertical="top" wrapText="1"/>
      <protection locked="0"/>
    </xf>
    <xf numFmtId="0" fontId="7" fillId="0" borderId="20" xfId="1" applyFont="1" applyBorder="1" applyAlignment="1" applyProtection="1">
      <alignment horizontal="left" vertical="top" wrapText="1"/>
      <protection locked="0"/>
    </xf>
    <xf numFmtId="0" fontId="16" fillId="0" borderId="19" xfId="1" applyFont="1" applyBorder="1" applyAlignment="1" applyProtection="1">
      <alignment horizontal="left" vertical="top"/>
      <protection locked="0"/>
    </xf>
    <xf numFmtId="0" fontId="16" fillId="0" borderId="2" xfId="1" applyFont="1" applyBorder="1" applyAlignment="1" applyProtection="1">
      <alignment horizontal="left" vertical="top"/>
      <protection locked="0"/>
    </xf>
    <xf numFmtId="0" fontId="16" fillId="0" borderId="20" xfId="1" applyFont="1" applyBorder="1" applyAlignment="1" applyProtection="1">
      <alignment horizontal="left" vertical="top"/>
      <protection locked="0"/>
    </xf>
    <xf numFmtId="0" fontId="8" fillId="0" borderId="25" xfId="1" applyFont="1" applyBorder="1" applyAlignment="1">
      <alignment horizontal="center"/>
    </xf>
    <xf numFmtId="0" fontId="9" fillId="0" borderId="8" xfId="1" applyFont="1" applyBorder="1" applyAlignment="1" applyProtection="1">
      <alignment horizontal="left" vertical="top" wrapText="1"/>
      <protection locked="0"/>
    </xf>
    <xf numFmtId="0" fontId="9" fillId="0" borderId="9" xfId="1" applyFont="1" applyBorder="1" applyAlignment="1" applyProtection="1">
      <alignment horizontal="left" vertical="top" wrapText="1"/>
      <protection locked="0"/>
    </xf>
    <xf numFmtId="0" fontId="9" fillId="0" borderId="21" xfId="1" applyFont="1" applyBorder="1" applyAlignment="1" applyProtection="1">
      <alignment horizontal="left" vertical="top" wrapText="1"/>
      <protection locked="0"/>
    </xf>
    <xf numFmtId="0" fontId="7" fillId="0" borderId="3" xfId="1" applyFont="1" applyBorder="1" applyAlignment="1" applyProtection="1">
      <alignment horizontal="left" vertical="top"/>
      <protection locked="0"/>
    </xf>
    <xf numFmtId="0" fontId="9" fillId="0" borderId="34" xfId="1" applyFont="1" applyBorder="1" applyAlignment="1" applyProtection="1">
      <alignment horizontal="left" vertical="top" wrapText="1"/>
      <protection locked="0"/>
    </xf>
    <xf numFmtId="0" fontId="9" fillId="0" borderId="20" xfId="1" applyFont="1" applyBorder="1" applyAlignment="1" applyProtection="1">
      <alignment horizontal="left" vertical="top" wrapText="1"/>
      <protection locked="0"/>
    </xf>
    <xf numFmtId="0" fontId="9" fillId="0" borderId="19" xfId="1" applyFont="1" applyBorder="1" applyAlignment="1" applyProtection="1">
      <alignment horizontal="left" vertical="top" wrapText="1"/>
      <protection locked="0"/>
    </xf>
    <xf numFmtId="0" fontId="9" fillId="0" borderId="2" xfId="1" applyFont="1" applyBorder="1" applyAlignment="1" applyProtection="1">
      <alignment horizontal="left" vertical="top" wrapText="1"/>
      <protection locked="0"/>
    </xf>
    <xf numFmtId="0" fontId="9" fillId="0" borderId="35" xfId="1" applyFont="1" applyBorder="1" applyAlignment="1" applyProtection="1">
      <alignment horizontal="left" vertical="top" wrapText="1"/>
      <protection locked="0"/>
    </xf>
    <xf numFmtId="0" fontId="10" fillId="0" borderId="1" xfId="5" applyFont="1" applyBorder="1" applyAlignment="1">
      <alignment horizontal="left"/>
    </xf>
  </cellXfs>
  <cellStyles count="11">
    <cellStyle name="Comma" xfId="9" builtinId="3"/>
    <cellStyle name="Comma 2" xfId="6" xr:uid="{00000000-0005-0000-0000-000001000000}"/>
    <cellStyle name="Excel Built-in Normal" xfId="2" xr:uid="{00000000-0005-0000-0000-000002000000}"/>
    <cellStyle name="Excel Built-in Normal 2" xfId="4" xr:uid="{00000000-0005-0000-0000-000003000000}"/>
    <cellStyle name="Hyperlink" xfId="10" builtinId="8"/>
    <cellStyle name="Normal" xfId="0" builtinId="0"/>
    <cellStyle name="Normal 2" xfId="3" xr:uid="{00000000-0005-0000-0000-000006000000}"/>
    <cellStyle name="Normal 3" xfId="1" xr:uid="{00000000-0005-0000-0000-000007000000}"/>
    <cellStyle name="Normal 3 3" xfId="7" xr:uid="{00000000-0005-0000-0000-000008000000}"/>
    <cellStyle name="Normal 4"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png"/><Relationship Id="rId18" Type="http://schemas.openxmlformats.org/officeDocument/2006/relationships/image" Target="../media/image18.jpeg"/><Relationship Id="rId3" Type="http://schemas.openxmlformats.org/officeDocument/2006/relationships/image" Target="../media/image3.png"/><Relationship Id="rId7" Type="http://schemas.openxmlformats.org/officeDocument/2006/relationships/image" Target="../media/image7.jpeg"/><Relationship Id="rId12" Type="http://schemas.openxmlformats.org/officeDocument/2006/relationships/image" Target="../media/image12.png"/><Relationship Id="rId17" Type="http://schemas.openxmlformats.org/officeDocument/2006/relationships/image" Target="../media/image17.jpeg"/><Relationship Id="rId2" Type="http://schemas.openxmlformats.org/officeDocument/2006/relationships/image" Target="../media/image2.png"/><Relationship Id="rId16" Type="http://schemas.openxmlformats.org/officeDocument/2006/relationships/image" Target="../media/image16.jpe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5" Type="http://schemas.openxmlformats.org/officeDocument/2006/relationships/image" Target="../media/image15.jpeg"/><Relationship Id="rId10" Type="http://schemas.openxmlformats.org/officeDocument/2006/relationships/image" Target="../media/image10.png"/><Relationship Id="rId19" Type="http://schemas.openxmlformats.org/officeDocument/2006/relationships/image" Target="../media/image19.jpe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jpeg"/></Relationships>
</file>

<file path=xl/drawings/_rels/drawing2.xml.rels><?xml version="1.0" encoding="UTF-8" standalone="yes"?>
<Relationships xmlns="http://schemas.openxmlformats.org/package/2006/relationships"><Relationship Id="rId3" Type="http://schemas.openxmlformats.org/officeDocument/2006/relationships/image" Target="../media/image24.png"/><Relationship Id="rId2" Type="http://schemas.openxmlformats.org/officeDocument/2006/relationships/image" Target="../media/image23.png"/><Relationship Id="rId1" Type="http://schemas.openxmlformats.org/officeDocument/2006/relationships/image" Target="../media/image22.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21.png"/><Relationship Id="rId1" Type="http://schemas.openxmlformats.org/officeDocument/2006/relationships/image" Target="../media/image20.png"/></Relationships>
</file>

<file path=xl/drawings/drawing1.xml><?xml version="1.0" encoding="utf-8"?>
<xdr:wsDr xmlns:xdr="http://schemas.openxmlformats.org/drawingml/2006/spreadsheetDrawing" xmlns:a="http://schemas.openxmlformats.org/drawingml/2006/main">
  <xdr:twoCellAnchor editAs="oneCell">
    <xdr:from>
      <xdr:col>8</xdr:col>
      <xdr:colOff>647700</xdr:colOff>
      <xdr:row>14</xdr:row>
      <xdr:rowOff>85757</xdr:rowOff>
    </xdr:from>
    <xdr:to>
      <xdr:col>12</xdr:col>
      <xdr:colOff>406875</xdr:colOff>
      <xdr:row>21</xdr:row>
      <xdr:rowOff>302764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6962775" y="3476657"/>
          <a:ext cx="3312000" cy="1836257"/>
        </a:xfrm>
        <a:prstGeom prst="rect">
          <a:avLst/>
        </a:prstGeom>
        <a:ln>
          <a:solidFill>
            <a:sysClr val="windowText" lastClr="000000"/>
          </a:solidFill>
        </a:ln>
      </xdr:spPr>
    </xdr:pic>
    <xdr:clientData/>
  </xdr:twoCellAnchor>
  <xdr:twoCellAnchor editAs="oneCell">
    <xdr:from>
      <xdr:col>8</xdr:col>
      <xdr:colOff>390525</xdr:colOff>
      <xdr:row>8</xdr:row>
      <xdr:rowOff>133352</xdr:rowOff>
    </xdr:from>
    <xdr:to>
      <xdr:col>14</xdr:col>
      <xdr:colOff>680925</xdr:colOff>
      <xdr:row>14</xdr:row>
      <xdr:rowOff>92944</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tretch>
          <a:fillRect/>
        </a:stretch>
      </xdr:blipFill>
      <xdr:spPr>
        <a:xfrm>
          <a:off x="6705600" y="2114552"/>
          <a:ext cx="5472000" cy="1369292"/>
        </a:xfrm>
        <a:prstGeom prst="rect">
          <a:avLst/>
        </a:prstGeom>
      </xdr:spPr>
    </xdr:pic>
    <xdr:clientData/>
  </xdr:twoCellAnchor>
  <xdr:twoCellAnchor editAs="oneCell">
    <xdr:from>
      <xdr:col>8</xdr:col>
      <xdr:colOff>638175</xdr:colOff>
      <xdr:row>21</xdr:row>
      <xdr:rowOff>200026</xdr:rowOff>
    </xdr:from>
    <xdr:to>
      <xdr:col>13</xdr:col>
      <xdr:colOff>614775</xdr:colOff>
      <xdr:row>25</xdr:row>
      <xdr:rowOff>168541</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rotWithShape="1">
        <a:blip xmlns:r="http://schemas.openxmlformats.org/officeDocument/2006/relationships" r:embed="rId3" cstate="screen">
          <a:extLst>
            <a:ext uri="{28A0092B-C50C-407E-A947-70E740481C1C}">
              <a14:useLocalDpi xmlns:a14="http://schemas.microsoft.com/office/drawing/2010/main"/>
            </a:ext>
          </a:extLst>
        </a:blip>
        <a:srcRect l="5044" r="9431"/>
        <a:stretch/>
      </xdr:blipFill>
      <xdr:spPr>
        <a:xfrm>
          <a:off x="6953250" y="5410201"/>
          <a:ext cx="4320000" cy="997215"/>
        </a:xfrm>
        <a:prstGeom prst="rect">
          <a:avLst/>
        </a:prstGeom>
        <a:ln>
          <a:solidFill>
            <a:schemeClr val="tx1"/>
          </a:solidFill>
        </a:ln>
      </xdr:spPr>
    </xdr:pic>
    <xdr:clientData/>
  </xdr:twoCellAnchor>
  <xdr:twoCellAnchor>
    <xdr:from>
      <xdr:col>0</xdr:col>
      <xdr:colOff>587188</xdr:colOff>
      <xdr:row>301</xdr:row>
      <xdr:rowOff>56029</xdr:rowOff>
    </xdr:from>
    <xdr:to>
      <xdr:col>7</xdr:col>
      <xdr:colOff>282388</xdr:colOff>
      <xdr:row>341</xdr:row>
      <xdr:rowOff>146337</xdr:rowOff>
    </xdr:to>
    <xdr:grpSp>
      <xdr:nvGrpSpPr>
        <xdr:cNvPr id="12" name="Group 11">
          <a:extLst>
            <a:ext uri="{FF2B5EF4-FFF2-40B4-BE49-F238E27FC236}">
              <a16:creationId xmlns:a16="http://schemas.microsoft.com/office/drawing/2014/main" id="{00000000-0008-0000-0000-00000C000000}"/>
            </a:ext>
          </a:extLst>
        </xdr:cNvPr>
        <xdr:cNvGrpSpPr/>
      </xdr:nvGrpSpPr>
      <xdr:grpSpPr>
        <a:xfrm>
          <a:off x="587188" y="49039182"/>
          <a:ext cx="5459506" cy="7979249"/>
          <a:chOff x="807828" y="0"/>
          <a:chExt cx="5276850" cy="8091307"/>
        </a:xfrm>
      </xdr:grpSpPr>
      <xdr:pic>
        <xdr:nvPicPr>
          <xdr:cNvPr id="13" name="Picture 12">
            <a:extLst>
              <a:ext uri="{FF2B5EF4-FFF2-40B4-BE49-F238E27FC236}">
                <a16:creationId xmlns:a16="http://schemas.microsoft.com/office/drawing/2014/main" id="{00000000-0008-0000-0000-00000D000000}"/>
              </a:ext>
            </a:extLst>
          </xdr:cNvPr>
          <xdr:cNvPicPr>
            <a:picLocks noChangeAspect="1"/>
          </xdr:cNvPicPr>
        </xdr:nvPicPr>
        <xdr:blipFill>
          <a:blip xmlns:r="http://schemas.openxmlformats.org/officeDocument/2006/relationships" r:embed="rId4"/>
          <a:stretch>
            <a:fillRect/>
          </a:stretch>
        </xdr:blipFill>
        <xdr:spPr>
          <a:xfrm>
            <a:off x="1493628" y="5262382"/>
            <a:ext cx="3905250" cy="2828925"/>
          </a:xfrm>
          <a:prstGeom prst="rect">
            <a:avLst/>
          </a:prstGeom>
          <a:ln>
            <a:solidFill>
              <a:schemeClr val="tx1"/>
            </a:solidFill>
          </a:ln>
        </xdr:spPr>
      </xdr:pic>
      <xdr:grpSp>
        <xdr:nvGrpSpPr>
          <xdr:cNvPr id="14" name="Group 13">
            <a:extLst>
              <a:ext uri="{FF2B5EF4-FFF2-40B4-BE49-F238E27FC236}">
                <a16:creationId xmlns:a16="http://schemas.microsoft.com/office/drawing/2014/main" id="{00000000-0008-0000-0000-00000E000000}"/>
              </a:ext>
            </a:extLst>
          </xdr:cNvPr>
          <xdr:cNvGrpSpPr/>
        </xdr:nvGrpSpPr>
        <xdr:grpSpPr>
          <a:xfrm>
            <a:off x="807828" y="0"/>
            <a:ext cx="5276850" cy="5124450"/>
            <a:chOff x="807828" y="0"/>
            <a:chExt cx="5276850" cy="5124450"/>
          </a:xfrm>
        </xdr:grpSpPr>
        <xdr:pic>
          <xdr:nvPicPr>
            <xdr:cNvPr id="15" name="Picture 14">
              <a:extLst>
                <a:ext uri="{FF2B5EF4-FFF2-40B4-BE49-F238E27FC236}">
                  <a16:creationId xmlns:a16="http://schemas.microsoft.com/office/drawing/2014/main" id="{00000000-0008-0000-0000-00000F000000}"/>
                </a:ext>
              </a:extLst>
            </xdr:cNvPr>
            <xdr:cNvPicPr>
              <a:picLocks noChangeAspect="1"/>
            </xdr:cNvPicPr>
          </xdr:nvPicPr>
          <xdr:blipFill>
            <a:blip xmlns:r="http://schemas.openxmlformats.org/officeDocument/2006/relationships" r:embed="rId5"/>
            <a:stretch>
              <a:fillRect/>
            </a:stretch>
          </xdr:blipFill>
          <xdr:spPr>
            <a:xfrm>
              <a:off x="807828" y="0"/>
              <a:ext cx="5276850" cy="5124450"/>
            </a:xfrm>
            <a:prstGeom prst="rect">
              <a:avLst/>
            </a:prstGeom>
            <a:ln>
              <a:solidFill>
                <a:schemeClr val="tx1"/>
              </a:solidFill>
            </a:ln>
          </xdr:spPr>
        </xdr:pic>
        <xdr:sp macro="" textlink="">
          <xdr:nvSpPr>
            <xdr:cNvPr id="16" name="Rectangle 15">
              <a:extLst>
                <a:ext uri="{FF2B5EF4-FFF2-40B4-BE49-F238E27FC236}">
                  <a16:creationId xmlns:a16="http://schemas.microsoft.com/office/drawing/2014/main" id="{00000000-0008-0000-0000-000010000000}"/>
                </a:ext>
              </a:extLst>
            </xdr:cNvPr>
            <xdr:cNvSpPr/>
          </xdr:nvSpPr>
          <xdr:spPr>
            <a:xfrm>
              <a:off x="4502989" y="1880558"/>
              <a:ext cx="1431985" cy="1035170"/>
            </a:xfrm>
            <a:prstGeom prst="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cxnSp macro="">
          <xdr:nvCxnSpPr>
            <xdr:cNvPr id="17" name="Straight Arrow Connector 16">
              <a:extLst>
                <a:ext uri="{FF2B5EF4-FFF2-40B4-BE49-F238E27FC236}">
                  <a16:creationId xmlns:a16="http://schemas.microsoft.com/office/drawing/2014/main" id="{00000000-0008-0000-0000-000011000000}"/>
                </a:ext>
              </a:extLst>
            </xdr:cNvPr>
            <xdr:cNvCxnSpPr/>
          </xdr:nvCxnSpPr>
          <xdr:spPr>
            <a:xfrm>
              <a:off x="4597400" y="1543050"/>
              <a:ext cx="107950" cy="294826"/>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8" name="TextBox 8">
              <a:extLst>
                <a:ext uri="{FF2B5EF4-FFF2-40B4-BE49-F238E27FC236}">
                  <a16:creationId xmlns:a16="http://schemas.microsoft.com/office/drawing/2014/main" id="{00000000-0008-0000-0000-000012000000}"/>
                </a:ext>
              </a:extLst>
            </xdr:cNvPr>
            <xdr:cNvSpPr txBox="1"/>
          </xdr:nvSpPr>
          <xdr:spPr>
            <a:xfrm>
              <a:off x="4216400" y="990600"/>
              <a:ext cx="1691489" cy="646331"/>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b="1">
                  <a:solidFill>
                    <a:srgbClr val="FF0000"/>
                  </a:solidFill>
                </a:rPr>
                <a:t>Building No. 06 </a:t>
              </a:r>
            </a:p>
            <a:p>
              <a:r>
                <a:rPr lang="en-IN" b="1">
                  <a:solidFill>
                    <a:srgbClr val="FF0000"/>
                  </a:solidFill>
                </a:rPr>
                <a:t>Type A3</a:t>
              </a:r>
            </a:p>
          </xdr:txBody>
        </xdr:sp>
      </xdr:grpSp>
    </xdr:grpSp>
    <xdr:clientData/>
  </xdr:twoCellAnchor>
  <xdr:twoCellAnchor>
    <xdr:from>
      <xdr:col>0</xdr:col>
      <xdr:colOff>298636</xdr:colOff>
      <xdr:row>343</xdr:row>
      <xdr:rowOff>64995</xdr:rowOff>
    </xdr:from>
    <xdr:to>
      <xdr:col>7</xdr:col>
      <xdr:colOff>304799</xdr:colOff>
      <xdr:row>381</xdr:row>
      <xdr:rowOff>143436</xdr:rowOff>
    </xdr:to>
    <xdr:grpSp>
      <xdr:nvGrpSpPr>
        <xdr:cNvPr id="19" name="Group 18">
          <a:extLst>
            <a:ext uri="{FF2B5EF4-FFF2-40B4-BE49-F238E27FC236}">
              <a16:creationId xmlns:a16="http://schemas.microsoft.com/office/drawing/2014/main" id="{00000000-0008-0000-0000-000013000000}"/>
            </a:ext>
          </a:extLst>
        </xdr:cNvPr>
        <xdr:cNvGrpSpPr/>
      </xdr:nvGrpSpPr>
      <xdr:grpSpPr>
        <a:xfrm>
          <a:off x="298636" y="57331536"/>
          <a:ext cx="5770469" cy="7572935"/>
          <a:chOff x="762000" y="152400"/>
          <a:chExt cx="5619750" cy="8077200"/>
        </a:xfrm>
      </xdr:grpSpPr>
      <xdr:pic>
        <xdr:nvPicPr>
          <xdr:cNvPr id="20" name="Picture 19">
            <a:extLst>
              <a:ext uri="{FF2B5EF4-FFF2-40B4-BE49-F238E27FC236}">
                <a16:creationId xmlns:a16="http://schemas.microsoft.com/office/drawing/2014/main" id="{00000000-0008-0000-0000-000014000000}"/>
              </a:ext>
            </a:extLst>
          </xdr:cNvPr>
          <xdr:cNvPicPr>
            <a:picLocks noChangeAspect="1"/>
          </xdr:cNvPicPr>
        </xdr:nvPicPr>
        <xdr:blipFill rotWithShape="1">
          <a:blip xmlns:r="http://schemas.openxmlformats.org/officeDocument/2006/relationships" r:embed="rId6" cstate="screen">
            <a:extLst>
              <a:ext uri="{28A0092B-C50C-407E-A947-70E740481C1C}">
                <a14:useLocalDpi xmlns:a14="http://schemas.microsoft.com/office/drawing/2010/main"/>
              </a:ext>
            </a:extLst>
          </a:blip>
          <a:srcRect/>
          <a:stretch/>
        </xdr:blipFill>
        <xdr:spPr>
          <a:xfrm>
            <a:off x="1495425" y="152400"/>
            <a:ext cx="4152900" cy="3733800"/>
          </a:xfrm>
          <a:prstGeom prst="rect">
            <a:avLst/>
          </a:prstGeom>
          <a:ln>
            <a:solidFill>
              <a:schemeClr val="tx1"/>
            </a:solidFill>
          </a:ln>
        </xdr:spPr>
      </xdr:pic>
      <xdr:grpSp>
        <xdr:nvGrpSpPr>
          <xdr:cNvPr id="21" name="Group 20">
            <a:extLst>
              <a:ext uri="{FF2B5EF4-FFF2-40B4-BE49-F238E27FC236}">
                <a16:creationId xmlns:a16="http://schemas.microsoft.com/office/drawing/2014/main" id="{00000000-0008-0000-0000-000015000000}"/>
              </a:ext>
            </a:extLst>
          </xdr:cNvPr>
          <xdr:cNvGrpSpPr/>
        </xdr:nvGrpSpPr>
        <xdr:grpSpPr>
          <a:xfrm>
            <a:off x="762000" y="4057650"/>
            <a:ext cx="5619750" cy="4171950"/>
            <a:chOff x="762000" y="4057650"/>
            <a:chExt cx="5619750" cy="4171950"/>
          </a:xfrm>
        </xdr:grpSpPr>
        <xdr:pic>
          <xdr:nvPicPr>
            <xdr:cNvPr id="22" name="Picture 21">
              <a:extLst>
                <a:ext uri="{FF2B5EF4-FFF2-40B4-BE49-F238E27FC236}">
                  <a16:creationId xmlns:a16="http://schemas.microsoft.com/office/drawing/2014/main" id="{00000000-0008-0000-0000-000016000000}"/>
                </a:ext>
              </a:extLst>
            </xdr:cNvPr>
            <xdr:cNvPicPr>
              <a:picLocks noChangeAspect="1"/>
            </xdr:cNvPicPr>
          </xdr:nvPicPr>
          <xdr:blipFill rotWithShape="1">
            <a:blip xmlns:r="http://schemas.openxmlformats.org/officeDocument/2006/relationships" r:embed="rId7" cstate="screen">
              <a:extLst>
                <a:ext uri="{28A0092B-C50C-407E-A947-70E740481C1C}">
                  <a14:useLocalDpi xmlns:a14="http://schemas.microsoft.com/office/drawing/2010/main"/>
                </a:ext>
              </a:extLst>
            </a:blip>
            <a:srcRect/>
            <a:stretch/>
          </xdr:blipFill>
          <xdr:spPr>
            <a:xfrm>
              <a:off x="762000" y="4057650"/>
              <a:ext cx="5619750" cy="4171950"/>
            </a:xfrm>
            <a:prstGeom prst="rect">
              <a:avLst/>
            </a:prstGeom>
            <a:ln>
              <a:solidFill>
                <a:schemeClr val="tx1"/>
              </a:solidFill>
            </a:ln>
          </xdr:spPr>
        </xdr:pic>
        <xdr:sp macro="" textlink="">
          <xdr:nvSpPr>
            <xdr:cNvPr id="23" name="Rectangle 22">
              <a:extLst>
                <a:ext uri="{FF2B5EF4-FFF2-40B4-BE49-F238E27FC236}">
                  <a16:creationId xmlns:a16="http://schemas.microsoft.com/office/drawing/2014/main" id="{00000000-0008-0000-0000-000017000000}"/>
                </a:ext>
              </a:extLst>
            </xdr:cNvPr>
            <xdr:cNvSpPr/>
          </xdr:nvSpPr>
          <xdr:spPr>
            <a:xfrm>
              <a:off x="4152900" y="5505450"/>
              <a:ext cx="1066800" cy="857250"/>
            </a:xfrm>
            <a:prstGeom prst="rect">
              <a:avLst/>
            </a:prstGeom>
            <a:noFill/>
            <a:ln w="38100">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24" name="Rectangle 23">
              <a:extLst>
                <a:ext uri="{FF2B5EF4-FFF2-40B4-BE49-F238E27FC236}">
                  <a16:creationId xmlns:a16="http://schemas.microsoft.com/office/drawing/2014/main" id="{00000000-0008-0000-0000-000018000000}"/>
                </a:ext>
              </a:extLst>
            </xdr:cNvPr>
            <xdr:cNvSpPr/>
          </xdr:nvSpPr>
          <xdr:spPr>
            <a:xfrm rot="720449">
              <a:off x="2381249" y="4629148"/>
              <a:ext cx="3238500" cy="2609850"/>
            </a:xfrm>
            <a:prstGeom prst="rect">
              <a:avLst/>
            </a:prstGeom>
            <a:noFill/>
            <a:ln>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grpSp>
    </xdr:grpSp>
    <xdr:clientData/>
  </xdr:twoCellAnchor>
  <xdr:twoCellAnchor editAs="oneCell">
    <xdr:from>
      <xdr:col>0</xdr:col>
      <xdr:colOff>276225</xdr:colOff>
      <xdr:row>261</xdr:row>
      <xdr:rowOff>28575</xdr:rowOff>
    </xdr:from>
    <xdr:to>
      <xdr:col>7</xdr:col>
      <xdr:colOff>454575</xdr:colOff>
      <xdr:row>292</xdr:row>
      <xdr:rowOff>57355</xdr:rowOff>
    </xdr:to>
    <xdr:pic>
      <xdr:nvPicPr>
        <xdr:cNvPr id="33" name="Picture 32">
          <a:extLst>
            <a:ext uri="{FF2B5EF4-FFF2-40B4-BE49-F238E27FC236}">
              <a16:creationId xmlns:a16="http://schemas.microsoft.com/office/drawing/2014/main" id="{00000000-0008-0000-0000-000021000000}"/>
            </a:ext>
          </a:extLst>
        </xdr:cNvPr>
        <xdr:cNvPicPr>
          <a:picLocks noChangeAspect="1"/>
        </xdr:cNvPicPr>
      </xdr:nvPicPr>
      <xdr:blipFill rotWithShape="1">
        <a:blip xmlns:r="http://schemas.openxmlformats.org/officeDocument/2006/relationships" r:embed="rId8" cstate="screen">
          <a:extLst>
            <a:ext uri="{28A0092B-C50C-407E-A947-70E740481C1C}">
              <a14:useLocalDpi xmlns:a14="http://schemas.microsoft.com/office/drawing/2010/main"/>
            </a:ext>
          </a:extLst>
        </a:blip>
        <a:srcRect/>
        <a:stretch/>
      </xdr:blipFill>
      <xdr:spPr>
        <a:xfrm>
          <a:off x="276225" y="43481625"/>
          <a:ext cx="5760000" cy="6229555"/>
        </a:xfrm>
        <a:prstGeom prst="rect">
          <a:avLst/>
        </a:prstGeom>
        <a:ln>
          <a:solidFill>
            <a:schemeClr val="tx1"/>
          </a:solidFill>
        </a:ln>
      </xdr:spPr>
    </xdr:pic>
    <xdr:clientData/>
  </xdr:twoCellAnchor>
  <xdr:twoCellAnchor>
    <xdr:from>
      <xdr:col>8</xdr:col>
      <xdr:colOff>897890</xdr:colOff>
      <xdr:row>218</xdr:row>
      <xdr:rowOff>20320</xdr:rowOff>
    </xdr:from>
    <xdr:to>
      <xdr:col>15</xdr:col>
      <xdr:colOff>727098</xdr:colOff>
      <xdr:row>247</xdr:row>
      <xdr:rowOff>157640</xdr:rowOff>
    </xdr:to>
    <xdr:grpSp>
      <xdr:nvGrpSpPr>
        <xdr:cNvPr id="6" name="Group 5">
          <a:extLst>
            <a:ext uri="{FF2B5EF4-FFF2-40B4-BE49-F238E27FC236}">
              <a16:creationId xmlns:a16="http://schemas.microsoft.com/office/drawing/2014/main" id="{00000000-0008-0000-0000-000006000000}"/>
            </a:ext>
          </a:extLst>
        </xdr:cNvPr>
        <xdr:cNvGrpSpPr/>
      </xdr:nvGrpSpPr>
      <xdr:grpSpPr>
        <a:xfrm>
          <a:off x="7415231" y="32642885"/>
          <a:ext cx="5987961" cy="5847837"/>
          <a:chOff x="273050" y="32524700"/>
          <a:chExt cx="6080148" cy="5838350"/>
        </a:xfrm>
      </xdr:grpSpPr>
      <xdr:pic>
        <xdr:nvPicPr>
          <xdr:cNvPr id="32" name="Picture 31">
            <a:extLst>
              <a:ext uri="{FF2B5EF4-FFF2-40B4-BE49-F238E27FC236}">
                <a16:creationId xmlns:a16="http://schemas.microsoft.com/office/drawing/2014/main" id="{00000000-0008-0000-0000-000020000000}"/>
              </a:ext>
            </a:extLst>
          </xdr:cNvPr>
          <xdr:cNvPicPr>
            <a:picLocks noChangeAspect="1"/>
          </xdr:cNvPicPr>
        </xdr:nvPicPr>
        <xdr:blipFill>
          <a:blip xmlns:r="http://schemas.openxmlformats.org/officeDocument/2006/relationships" r:embed="rId9"/>
          <a:stretch>
            <a:fillRect/>
          </a:stretch>
        </xdr:blipFill>
        <xdr:spPr>
          <a:xfrm>
            <a:off x="987542" y="34825246"/>
            <a:ext cx="4796536" cy="2160000"/>
          </a:xfrm>
          <a:prstGeom prst="rect">
            <a:avLst/>
          </a:prstGeom>
          <a:ln>
            <a:solidFill>
              <a:schemeClr val="tx1"/>
            </a:solidFill>
          </a:ln>
        </xdr:spPr>
      </xdr:pic>
      <xdr:pic>
        <xdr:nvPicPr>
          <xdr:cNvPr id="38" name="Picture 37">
            <a:extLst>
              <a:ext uri="{FF2B5EF4-FFF2-40B4-BE49-F238E27FC236}">
                <a16:creationId xmlns:a16="http://schemas.microsoft.com/office/drawing/2014/main" id="{00000000-0008-0000-0000-000026000000}"/>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a:ext>
            </a:extLst>
          </a:blip>
          <a:stretch>
            <a:fillRect/>
          </a:stretch>
        </xdr:blipFill>
        <xdr:spPr>
          <a:xfrm>
            <a:off x="5214959" y="32524700"/>
            <a:ext cx="1138239" cy="2160000"/>
          </a:xfrm>
          <a:prstGeom prst="rect">
            <a:avLst/>
          </a:prstGeom>
          <a:ln>
            <a:solidFill>
              <a:schemeClr val="tx1"/>
            </a:solidFill>
          </a:ln>
        </xdr:spPr>
      </xdr:pic>
      <xdr:pic>
        <xdr:nvPicPr>
          <xdr:cNvPr id="39" name="Picture 38">
            <a:extLst>
              <a:ext uri="{FF2B5EF4-FFF2-40B4-BE49-F238E27FC236}">
                <a16:creationId xmlns:a16="http://schemas.microsoft.com/office/drawing/2014/main" id="{00000000-0008-0000-0000-000027000000}"/>
              </a:ext>
            </a:extLst>
          </xdr:cNvPr>
          <xdr:cNvPicPr>
            <a:picLocks noChangeAspect="1"/>
          </xdr:cNvPicPr>
        </xdr:nvPicPr>
        <xdr:blipFill>
          <a:blip xmlns:r="http://schemas.openxmlformats.org/officeDocument/2006/relationships" r:embed="rId11"/>
          <a:stretch>
            <a:fillRect/>
          </a:stretch>
        </xdr:blipFill>
        <xdr:spPr>
          <a:xfrm>
            <a:off x="273050" y="32524700"/>
            <a:ext cx="4796536" cy="2160000"/>
          </a:xfrm>
          <a:prstGeom prst="rect">
            <a:avLst/>
          </a:prstGeom>
          <a:ln>
            <a:solidFill>
              <a:schemeClr val="tx1"/>
            </a:solidFill>
          </a:ln>
        </xdr:spPr>
      </xdr:pic>
      <xdr:pic>
        <xdr:nvPicPr>
          <xdr:cNvPr id="48" name="Picture 47">
            <a:extLst>
              <a:ext uri="{FF2B5EF4-FFF2-40B4-BE49-F238E27FC236}">
                <a16:creationId xmlns:a16="http://schemas.microsoft.com/office/drawing/2014/main" id="{00000000-0008-0000-0000-000030000000}"/>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a:ext>
            </a:extLst>
          </a:blip>
          <a:stretch>
            <a:fillRect/>
          </a:stretch>
        </xdr:blipFill>
        <xdr:spPr>
          <a:xfrm>
            <a:off x="3331495" y="37103050"/>
            <a:ext cx="2797980" cy="1260000"/>
          </a:xfrm>
          <a:prstGeom prst="rect">
            <a:avLst/>
          </a:prstGeom>
          <a:ln>
            <a:solidFill>
              <a:schemeClr val="tx1"/>
            </a:solidFill>
          </a:ln>
        </xdr:spPr>
      </xdr:pic>
      <xdr:pic>
        <xdr:nvPicPr>
          <xdr:cNvPr id="49" name="Picture 48">
            <a:extLst>
              <a:ext uri="{FF2B5EF4-FFF2-40B4-BE49-F238E27FC236}">
                <a16:creationId xmlns:a16="http://schemas.microsoft.com/office/drawing/2014/main" id="{00000000-0008-0000-0000-000031000000}"/>
              </a:ext>
            </a:extLst>
          </xdr:cNvPr>
          <xdr:cNvPicPr>
            <a:picLocks noChangeAspect="1"/>
          </xdr:cNvPicPr>
        </xdr:nvPicPr>
        <xdr:blipFill>
          <a:blip xmlns:r="http://schemas.openxmlformats.org/officeDocument/2006/relationships" r:embed="rId13"/>
          <a:stretch>
            <a:fillRect/>
          </a:stretch>
        </xdr:blipFill>
        <xdr:spPr>
          <a:xfrm>
            <a:off x="400050" y="37103050"/>
            <a:ext cx="2791663" cy="1260000"/>
          </a:xfrm>
          <a:prstGeom prst="rect">
            <a:avLst/>
          </a:prstGeom>
          <a:ln>
            <a:solidFill>
              <a:schemeClr val="tx1"/>
            </a:solidFill>
          </a:ln>
        </xdr:spPr>
      </xdr:pic>
    </xdr:grpSp>
    <xdr:clientData/>
  </xdr:twoCellAnchor>
  <xdr:twoCellAnchor>
    <xdr:from>
      <xdr:col>0</xdr:col>
      <xdr:colOff>464821</xdr:colOff>
      <xdr:row>218</xdr:row>
      <xdr:rowOff>129540</xdr:rowOff>
    </xdr:from>
    <xdr:to>
      <xdr:col>7</xdr:col>
      <xdr:colOff>318908</xdr:colOff>
      <xdr:row>257</xdr:row>
      <xdr:rowOff>162819</xdr:rowOff>
    </xdr:to>
    <xdr:grpSp>
      <xdr:nvGrpSpPr>
        <xdr:cNvPr id="26" name="Group 25">
          <a:extLst>
            <a:ext uri="{FF2B5EF4-FFF2-40B4-BE49-F238E27FC236}">
              <a16:creationId xmlns:a16="http://schemas.microsoft.com/office/drawing/2014/main" id="{40073C0B-C283-E999-C349-365C86AA2C81}"/>
            </a:ext>
          </a:extLst>
        </xdr:cNvPr>
        <xdr:cNvGrpSpPr/>
      </xdr:nvGrpSpPr>
      <xdr:grpSpPr>
        <a:xfrm>
          <a:off x="464821" y="32752105"/>
          <a:ext cx="5618393" cy="7716032"/>
          <a:chOff x="464821" y="32752105"/>
          <a:chExt cx="5618393" cy="7716032"/>
        </a:xfrm>
      </xdr:grpSpPr>
      <xdr:grpSp>
        <xdr:nvGrpSpPr>
          <xdr:cNvPr id="5" name="Group 4">
            <a:extLst>
              <a:ext uri="{FF2B5EF4-FFF2-40B4-BE49-F238E27FC236}">
                <a16:creationId xmlns:a16="http://schemas.microsoft.com/office/drawing/2014/main" id="{0FAD6FD2-2986-AF31-6F3A-FFA3651A218A}"/>
              </a:ext>
            </a:extLst>
          </xdr:cNvPr>
          <xdr:cNvGrpSpPr/>
        </xdr:nvGrpSpPr>
        <xdr:grpSpPr>
          <a:xfrm>
            <a:off x="464821" y="32752105"/>
            <a:ext cx="5618393" cy="7674236"/>
            <a:chOff x="511021" y="-776591"/>
            <a:chExt cx="6283836" cy="9081116"/>
          </a:xfrm>
        </xdr:grpSpPr>
        <xdr:pic>
          <xdr:nvPicPr>
            <xdr:cNvPr id="7" name="Picture 6">
              <a:extLst>
                <a:ext uri="{FF2B5EF4-FFF2-40B4-BE49-F238E27FC236}">
                  <a16:creationId xmlns:a16="http://schemas.microsoft.com/office/drawing/2014/main" id="{32F1691B-F7CC-FD45-C53B-C6B49E66E261}"/>
                </a:ext>
              </a:extLst>
            </xdr:cNvPr>
            <xdr:cNvPicPr>
              <a:picLocks noChangeAspect="1" noChangeArrowheads="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bwMode="auto">
            <a:xfrm>
              <a:off x="5176357" y="6144525"/>
              <a:ext cx="1618500"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8" name="Picture 7">
              <a:extLst>
                <a:ext uri="{FF2B5EF4-FFF2-40B4-BE49-F238E27FC236}">
                  <a16:creationId xmlns:a16="http://schemas.microsoft.com/office/drawing/2014/main" id="{E22DA4E9-CB79-E04E-D003-D539DD7ECB00}"/>
                </a:ext>
              </a:extLst>
            </xdr:cNvPr>
            <xdr:cNvPicPr>
              <a:picLocks noChangeAspect="1" noChangeArrowheads="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bwMode="auto">
            <a:xfrm>
              <a:off x="511021" y="3148353"/>
              <a:ext cx="2124011" cy="2834639"/>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9" name="Picture 8">
              <a:extLst>
                <a:ext uri="{FF2B5EF4-FFF2-40B4-BE49-F238E27FC236}">
                  <a16:creationId xmlns:a16="http://schemas.microsoft.com/office/drawing/2014/main" id="{208AD558-0A36-2F45-F66C-7D1E2F64EE37}"/>
                </a:ext>
              </a:extLst>
            </xdr:cNvPr>
            <xdr:cNvPicPr>
              <a:picLocks noChangeAspect="1" noChangeArrowheads="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878623" y="-776591"/>
              <a:ext cx="5100753" cy="3829107"/>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10" name="Picture 9">
              <a:extLst>
                <a:ext uri="{FF2B5EF4-FFF2-40B4-BE49-F238E27FC236}">
                  <a16:creationId xmlns:a16="http://schemas.microsoft.com/office/drawing/2014/main" id="{6F4263B5-405B-0B9C-89E0-937A64AB39AF}"/>
                </a:ext>
              </a:extLst>
            </xdr:cNvPr>
            <xdr:cNvPicPr>
              <a:picLocks noChangeAspect="1" noChangeArrowheads="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bwMode="auto">
            <a:xfrm>
              <a:off x="2188881" y="6144525"/>
              <a:ext cx="2877336"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11" name="Picture 10">
              <a:extLst>
                <a:ext uri="{FF2B5EF4-FFF2-40B4-BE49-F238E27FC236}">
                  <a16:creationId xmlns:a16="http://schemas.microsoft.com/office/drawing/2014/main" id="{B6D151DF-7261-D844-9E19-326F17FC2447}"/>
                </a:ext>
              </a:extLst>
            </xdr:cNvPr>
            <xdr:cNvPicPr>
              <a:picLocks noChangeAspect="1" noChangeArrowheads="1"/>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a:stretch>
              <a:fillRect/>
            </a:stretch>
          </xdr:blipFill>
          <xdr:spPr bwMode="auto">
            <a:xfrm>
              <a:off x="2755902" y="3150734"/>
              <a:ext cx="3776024" cy="2834639"/>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grpSp>
      <xdr:pic>
        <xdr:nvPicPr>
          <xdr:cNvPr id="25" name="Picture 24">
            <a:extLst>
              <a:ext uri="{FF2B5EF4-FFF2-40B4-BE49-F238E27FC236}">
                <a16:creationId xmlns:a16="http://schemas.microsoft.com/office/drawing/2014/main" id="{DB6B13BE-C6A2-715B-BDB2-F9D3275369DD}"/>
              </a:ext>
            </a:extLst>
          </xdr:cNvPr>
          <xdr:cNvPicPr>
            <a:picLocks noChangeAspect="1" noChangeArrowheads="1"/>
          </xdr:cNvPicPr>
        </xdr:nvPicPr>
        <xdr:blipFill>
          <a:blip xmlns:r="http://schemas.openxmlformats.org/officeDocument/2006/relationships" r:embed="rId19" cstate="print">
            <a:extLst>
              <a:ext uri="{28A0092B-C50C-407E-A947-70E740481C1C}">
                <a14:useLocalDpi xmlns:a14="http://schemas.microsoft.com/office/drawing/2010/main" val="0"/>
              </a:ext>
            </a:extLst>
          </a:blip>
          <a:srcRect/>
          <a:stretch>
            <a:fillRect/>
          </a:stretch>
        </xdr:blipFill>
        <xdr:spPr bwMode="auto">
          <a:xfrm>
            <a:off x="469672" y="38601734"/>
            <a:ext cx="1403952" cy="1866403"/>
          </a:xfrm>
          <a:prstGeom prst="rect">
            <a:avLst/>
          </a:prstGeom>
          <a:noFill/>
          <a:ln>
            <a:solidFill>
              <a:sysClr val="windowText" lastClr="000000"/>
            </a:solidFill>
          </a:ln>
          <a:extLst>
            <a:ext uri="{909E8E84-426E-40DD-AFC4-6F175D3DCCD1}">
              <a14:hiddenFill xmlns:a14="http://schemas.microsoft.com/office/drawing/2010/main">
                <a:solidFill>
                  <a:srgbClr val="FFFFFF"/>
                </a:solidFill>
              </a14:hiddenFill>
            </a:ext>
          </a:extLst>
        </xdr:spPr>
      </xdr:pic>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493058</xdr:colOff>
      <xdr:row>1</xdr:row>
      <xdr:rowOff>168088</xdr:rowOff>
    </xdr:from>
    <xdr:to>
      <xdr:col>14</xdr:col>
      <xdr:colOff>253521</xdr:colOff>
      <xdr:row>24</xdr:row>
      <xdr:rowOff>95382</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cstate="screen">
          <a:extLst>
            <a:ext uri="{28A0092B-C50C-407E-A947-70E740481C1C}">
              <a14:useLocalDpi xmlns:a14="http://schemas.microsoft.com/office/drawing/2010/main"/>
            </a:ext>
          </a:extLst>
        </a:blip>
        <a:srcRect/>
        <a:stretch/>
      </xdr:blipFill>
      <xdr:spPr>
        <a:xfrm>
          <a:off x="9905999" y="358588"/>
          <a:ext cx="3256698" cy="4320000"/>
        </a:xfrm>
        <a:prstGeom prst="rect">
          <a:avLst/>
        </a:prstGeom>
      </xdr:spPr>
    </xdr:pic>
    <xdr:clientData/>
  </xdr:twoCellAnchor>
  <xdr:twoCellAnchor editAs="oneCell">
    <xdr:from>
      <xdr:col>1</xdr:col>
      <xdr:colOff>0</xdr:colOff>
      <xdr:row>22</xdr:row>
      <xdr:rowOff>0</xdr:rowOff>
    </xdr:from>
    <xdr:to>
      <xdr:col>6</xdr:col>
      <xdr:colOff>4566</xdr:colOff>
      <xdr:row>40</xdr:row>
      <xdr:rowOff>171000</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tretch>
          <a:fillRect/>
        </a:stretch>
      </xdr:blipFill>
      <xdr:spPr>
        <a:xfrm>
          <a:off x="582706" y="4202206"/>
          <a:ext cx="6403125" cy="3600000"/>
        </a:xfrm>
        <a:prstGeom prst="rect">
          <a:avLst/>
        </a:prstGeom>
      </xdr:spPr>
    </xdr:pic>
    <xdr:clientData/>
  </xdr:twoCellAnchor>
  <xdr:twoCellAnchor editAs="oneCell">
    <xdr:from>
      <xdr:col>1</xdr:col>
      <xdr:colOff>0</xdr:colOff>
      <xdr:row>41</xdr:row>
      <xdr:rowOff>166116</xdr:rowOff>
    </xdr:from>
    <xdr:to>
      <xdr:col>6</xdr:col>
      <xdr:colOff>4566</xdr:colOff>
      <xdr:row>60</xdr:row>
      <xdr:rowOff>146616</xdr:rowOff>
    </xdr:to>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3" cstate="screen">
          <a:extLst>
            <a:ext uri="{28A0092B-C50C-407E-A947-70E740481C1C}">
              <a14:useLocalDpi xmlns:a14="http://schemas.microsoft.com/office/drawing/2010/main"/>
            </a:ext>
          </a:extLst>
        </a:blip>
        <a:stretch>
          <a:fillRect/>
        </a:stretch>
      </xdr:blipFill>
      <xdr:spPr>
        <a:xfrm>
          <a:off x="582706" y="7987822"/>
          <a:ext cx="6403125" cy="3600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maps.app.goo.gl/USNKfjuPJC2WWLiH6" TargetMode="External"/><Relationship Id="rId6" Type="http://schemas.openxmlformats.org/officeDocument/2006/relationships/comments" Target="../comments1.xm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Z343"/>
  <sheetViews>
    <sheetView tabSelected="1" view="pageBreakPreview" topLeftCell="A8" zoomScale="85" zoomScaleNormal="100" zoomScaleSheetLayoutView="85" zoomScalePageLayoutView="85" workbookViewId="0">
      <selection activeCell="K27" sqref="K27"/>
    </sheetView>
  </sheetViews>
  <sheetFormatPr defaultColWidth="9.21875" defaultRowHeight="15.6" x14ac:dyDescent="0.3"/>
  <cols>
    <col min="1" max="1" width="11.44140625" style="40" customWidth="1"/>
    <col min="2" max="2" width="12" style="40" customWidth="1"/>
    <col min="3" max="3" width="12.77734375" style="40" customWidth="1"/>
    <col min="4" max="4" width="13.77734375" style="40" customWidth="1"/>
    <col min="5" max="5" width="11.77734375" style="40" customWidth="1"/>
    <col min="6" max="6" width="11.21875" style="40" customWidth="1"/>
    <col min="7" max="8" width="11" style="40" customWidth="1"/>
    <col min="9" max="9" width="17.44140625" style="21" customWidth="1"/>
    <col min="10" max="10" width="11.44140625" style="21" customWidth="1"/>
    <col min="11" max="11" width="10.5546875" style="21" bestFit="1" customWidth="1"/>
    <col min="12" max="12" width="13.77734375" style="21" bestFit="1" customWidth="1"/>
    <col min="13" max="13" width="11.77734375" style="21" customWidth="1"/>
    <col min="14" max="14" width="12.5546875" style="21" customWidth="1"/>
    <col min="15" max="15" width="12.21875" style="21" customWidth="1"/>
    <col min="16" max="16" width="11.77734375" style="21" customWidth="1"/>
    <col min="17" max="18" width="9.21875" style="21"/>
    <col min="19" max="19" width="10.77734375" style="21" bestFit="1" customWidth="1"/>
    <col min="20" max="20" width="10.77734375" style="21" customWidth="1"/>
    <col min="21" max="247" width="9.21875" style="21"/>
    <col min="248" max="248" width="8.77734375" style="21" customWidth="1"/>
    <col min="249" max="249" width="9.77734375" style="21" customWidth="1"/>
    <col min="250" max="250" width="14.44140625" style="21" customWidth="1"/>
    <col min="251" max="251" width="7.21875" style="21" customWidth="1"/>
    <col min="252" max="252" width="5.5546875" style="21" customWidth="1"/>
    <col min="253" max="253" width="9" style="21" customWidth="1"/>
    <col min="254" max="255" width="9.77734375" style="21" customWidth="1"/>
    <col min="256" max="256" width="11.21875" style="21" customWidth="1"/>
    <col min="257" max="257" width="2.77734375" style="21" customWidth="1"/>
    <col min="258" max="258" width="3.5546875" style="21" customWidth="1"/>
    <col min="259" max="503" width="9.21875" style="21"/>
    <col min="504" max="504" width="8.77734375" style="21" customWidth="1"/>
    <col min="505" max="505" width="9.77734375" style="21" customWidth="1"/>
    <col min="506" max="506" width="14.44140625" style="21" customWidth="1"/>
    <col min="507" max="507" width="7.21875" style="21" customWidth="1"/>
    <col min="508" max="508" width="5.5546875" style="21" customWidth="1"/>
    <col min="509" max="509" width="9" style="21" customWidth="1"/>
    <col min="510" max="511" width="9.77734375" style="21" customWidth="1"/>
    <col min="512" max="512" width="11.21875" style="21" customWidth="1"/>
    <col min="513" max="513" width="2.77734375" style="21" customWidth="1"/>
    <col min="514" max="514" width="3.5546875" style="21" customWidth="1"/>
    <col min="515" max="759" width="9.21875" style="21"/>
    <col min="760" max="760" width="8.77734375" style="21" customWidth="1"/>
    <col min="761" max="761" width="9.77734375" style="21" customWidth="1"/>
    <col min="762" max="762" width="14.44140625" style="21" customWidth="1"/>
    <col min="763" max="763" width="7.21875" style="21" customWidth="1"/>
    <col min="764" max="764" width="5.5546875" style="21" customWidth="1"/>
    <col min="765" max="765" width="9" style="21" customWidth="1"/>
    <col min="766" max="767" width="9.77734375" style="21" customWidth="1"/>
    <col min="768" max="768" width="11.21875" style="21" customWidth="1"/>
    <col min="769" max="769" width="2.77734375" style="21" customWidth="1"/>
    <col min="770" max="770" width="3.5546875" style="21" customWidth="1"/>
    <col min="771" max="1015" width="9.21875" style="21"/>
    <col min="1016" max="1016" width="8.77734375" style="21" customWidth="1"/>
    <col min="1017" max="1017" width="9.77734375" style="21" customWidth="1"/>
    <col min="1018" max="1018" width="14.44140625" style="21" customWidth="1"/>
    <col min="1019" max="1019" width="7.21875" style="21" customWidth="1"/>
    <col min="1020" max="1020" width="5.5546875" style="21" customWidth="1"/>
    <col min="1021" max="1021" width="9" style="21" customWidth="1"/>
    <col min="1022" max="1023" width="9.77734375" style="21" customWidth="1"/>
    <col min="1024" max="1024" width="11.21875" style="21" customWidth="1"/>
    <col min="1025" max="1025" width="2.77734375" style="21" customWidth="1"/>
    <col min="1026" max="1026" width="3.5546875" style="21" customWidth="1"/>
    <col min="1027" max="1271" width="9.21875" style="21"/>
    <col min="1272" max="1272" width="8.77734375" style="21" customWidth="1"/>
    <col min="1273" max="1273" width="9.77734375" style="21" customWidth="1"/>
    <col min="1274" max="1274" width="14.44140625" style="21" customWidth="1"/>
    <col min="1275" max="1275" width="7.21875" style="21" customWidth="1"/>
    <col min="1276" max="1276" width="5.5546875" style="21" customWidth="1"/>
    <col min="1277" max="1277" width="9" style="21" customWidth="1"/>
    <col min="1278" max="1279" width="9.77734375" style="21" customWidth="1"/>
    <col min="1280" max="1280" width="11.21875" style="21" customWidth="1"/>
    <col min="1281" max="1281" width="2.77734375" style="21" customWidth="1"/>
    <col min="1282" max="1282" width="3.5546875" style="21" customWidth="1"/>
    <col min="1283" max="1527" width="9.21875" style="21"/>
    <col min="1528" max="1528" width="8.77734375" style="21" customWidth="1"/>
    <col min="1529" max="1529" width="9.77734375" style="21" customWidth="1"/>
    <col min="1530" max="1530" width="14.44140625" style="21" customWidth="1"/>
    <col min="1531" max="1531" width="7.21875" style="21" customWidth="1"/>
    <col min="1532" max="1532" width="5.5546875" style="21" customWidth="1"/>
    <col min="1533" max="1533" width="9" style="21" customWidth="1"/>
    <col min="1534" max="1535" width="9.77734375" style="21" customWidth="1"/>
    <col min="1536" max="1536" width="11.21875" style="21" customWidth="1"/>
    <col min="1537" max="1537" width="2.77734375" style="21" customWidth="1"/>
    <col min="1538" max="1538" width="3.5546875" style="21" customWidth="1"/>
    <col min="1539" max="1783" width="9.21875" style="21"/>
    <col min="1784" max="1784" width="8.77734375" style="21" customWidth="1"/>
    <col min="1785" max="1785" width="9.77734375" style="21" customWidth="1"/>
    <col min="1786" max="1786" width="14.44140625" style="21" customWidth="1"/>
    <col min="1787" max="1787" width="7.21875" style="21" customWidth="1"/>
    <col min="1788" max="1788" width="5.5546875" style="21" customWidth="1"/>
    <col min="1789" max="1789" width="9" style="21" customWidth="1"/>
    <col min="1790" max="1791" width="9.77734375" style="21" customWidth="1"/>
    <col min="1792" max="1792" width="11.21875" style="21" customWidth="1"/>
    <col min="1793" max="1793" width="2.77734375" style="21" customWidth="1"/>
    <col min="1794" max="1794" width="3.5546875" style="21" customWidth="1"/>
    <col min="1795" max="2039" width="9.21875" style="21"/>
    <col min="2040" max="2040" width="8.77734375" style="21" customWidth="1"/>
    <col min="2041" max="2041" width="9.77734375" style="21" customWidth="1"/>
    <col min="2042" max="2042" width="14.44140625" style="21" customWidth="1"/>
    <col min="2043" max="2043" width="7.21875" style="21" customWidth="1"/>
    <col min="2044" max="2044" width="5.5546875" style="21" customWidth="1"/>
    <col min="2045" max="2045" width="9" style="21" customWidth="1"/>
    <col min="2046" max="2047" width="9.77734375" style="21" customWidth="1"/>
    <col min="2048" max="2048" width="11.21875" style="21" customWidth="1"/>
    <col min="2049" max="2049" width="2.77734375" style="21" customWidth="1"/>
    <col min="2050" max="2050" width="3.5546875" style="21" customWidth="1"/>
    <col min="2051" max="2295" width="9.21875" style="21"/>
    <col min="2296" max="2296" width="8.77734375" style="21" customWidth="1"/>
    <col min="2297" max="2297" width="9.77734375" style="21" customWidth="1"/>
    <col min="2298" max="2298" width="14.44140625" style="21" customWidth="1"/>
    <col min="2299" max="2299" width="7.21875" style="21" customWidth="1"/>
    <col min="2300" max="2300" width="5.5546875" style="21" customWidth="1"/>
    <col min="2301" max="2301" width="9" style="21" customWidth="1"/>
    <col min="2302" max="2303" width="9.77734375" style="21" customWidth="1"/>
    <col min="2304" max="2304" width="11.21875" style="21" customWidth="1"/>
    <col min="2305" max="2305" width="2.77734375" style="21" customWidth="1"/>
    <col min="2306" max="2306" width="3.5546875" style="21" customWidth="1"/>
    <col min="2307" max="2551" width="9.21875" style="21"/>
    <col min="2552" max="2552" width="8.77734375" style="21" customWidth="1"/>
    <col min="2553" max="2553" width="9.77734375" style="21" customWidth="1"/>
    <col min="2554" max="2554" width="14.44140625" style="21" customWidth="1"/>
    <col min="2555" max="2555" width="7.21875" style="21" customWidth="1"/>
    <col min="2556" max="2556" width="5.5546875" style="21" customWidth="1"/>
    <col min="2557" max="2557" width="9" style="21" customWidth="1"/>
    <col min="2558" max="2559" width="9.77734375" style="21" customWidth="1"/>
    <col min="2560" max="2560" width="11.21875" style="21" customWidth="1"/>
    <col min="2561" max="2561" width="2.77734375" style="21" customWidth="1"/>
    <col min="2562" max="2562" width="3.5546875" style="21" customWidth="1"/>
    <col min="2563" max="2807" width="9.21875" style="21"/>
    <col min="2808" max="2808" width="8.77734375" style="21" customWidth="1"/>
    <col min="2809" max="2809" width="9.77734375" style="21" customWidth="1"/>
    <col min="2810" max="2810" width="14.44140625" style="21" customWidth="1"/>
    <col min="2811" max="2811" width="7.21875" style="21" customWidth="1"/>
    <col min="2812" max="2812" width="5.5546875" style="21" customWidth="1"/>
    <col min="2813" max="2813" width="9" style="21" customWidth="1"/>
    <col min="2814" max="2815" width="9.77734375" style="21" customWidth="1"/>
    <col min="2816" max="2816" width="11.21875" style="21" customWidth="1"/>
    <col min="2817" max="2817" width="2.77734375" style="21" customWidth="1"/>
    <col min="2818" max="2818" width="3.5546875" style="21" customWidth="1"/>
    <col min="2819" max="3063" width="9.21875" style="21"/>
    <col min="3064" max="3064" width="8.77734375" style="21" customWidth="1"/>
    <col min="3065" max="3065" width="9.77734375" style="21" customWidth="1"/>
    <col min="3066" max="3066" width="14.44140625" style="21" customWidth="1"/>
    <col min="3067" max="3067" width="7.21875" style="21" customWidth="1"/>
    <col min="3068" max="3068" width="5.5546875" style="21" customWidth="1"/>
    <col min="3069" max="3069" width="9" style="21" customWidth="1"/>
    <col min="3070" max="3071" width="9.77734375" style="21" customWidth="1"/>
    <col min="3072" max="3072" width="11.21875" style="21" customWidth="1"/>
    <col min="3073" max="3073" width="2.77734375" style="21" customWidth="1"/>
    <col min="3074" max="3074" width="3.5546875" style="21" customWidth="1"/>
    <col min="3075" max="3319" width="9.21875" style="21"/>
    <col min="3320" max="3320" width="8.77734375" style="21" customWidth="1"/>
    <col min="3321" max="3321" width="9.77734375" style="21" customWidth="1"/>
    <col min="3322" max="3322" width="14.44140625" style="21" customWidth="1"/>
    <col min="3323" max="3323" width="7.21875" style="21" customWidth="1"/>
    <col min="3324" max="3324" width="5.5546875" style="21" customWidth="1"/>
    <col min="3325" max="3325" width="9" style="21" customWidth="1"/>
    <col min="3326" max="3327" width="9.77734375" style="21" customWidth="1"/>
    <col min="3328" max="3328" width="11.21875" style="21" customWidth="1"/>
    <col min="3329" max="3329" width="2.77734375" style="21" customWidth="1"/>
    <col min="3330" max="3330" width="3.5546875" style="21" customWidth="1"/>
    <col min="3331" max="3575" width="9.21875" style="21"/>
    <col min="3576" max="3576" width="8.77734375" style="21" customWidth="1"/>
    <col min="3577" max="3577" width="9.77734375" style="21" customWidth="1"/>
    <col min="3578" max="3578" width="14.44140625" style="21" customWidth="1"/>
    <col min="3579" max="3579" width="7.21875" style="21" customWidth="1"/>
    <col min="3580" max="3580" width="5.5546875" style="21" customWidth="1"/>
    <col min="3581" max="3581" width="9" style="21" customWidth="1"/>
    <col min="3582" max="3583" width="9.77734375" style="21" customWidth="1"/>
    <col min="3584" max="3584" width="11.21875" style="21" customWidth="1"/>
    <col min="3585" max="3585" width="2.77734375" style="21" customWidth="1"/>
    <col min="3586" max="3586" width="3.5546875" style="21" customWidth="1"/>
    <col min="3587" max="3831" width="9.21875" style="21"/>
    <col min="3832" max="3832" width="8.77734375" style="21" customWidth="1"/>
    <col min="3833" max="3833" width="9.77734375" style="21" customWidth="1"/>
    <col min="3834" max="3834" width="14.44140625" style="21" customWidth="1"/>
    <col min="3835" max="3835" width="7.21875" style="21" customWidth="1"/>
    <col min="3836" max="3836" width="5.5546875" style="21" customWidth="1"/>
    <col min="3837" max="3837" width="9" style="21" customWidth="1"/>
    <col min="3838" max="3839" width="9.77734375" style="21" customWidth="1"/>
    <col min="3840" max="3840" width="11.21875" style="21" customWidth="1"/>
    <col min="3841" max="3841" width="2.77734375" style="21" customWidth="1"/>
    <col min="3842" max="3842" width="3.5546875" style="21" customWidth="1"/>
    <col min="3843" max="4087" width="9.21875" style="21"/>
    <col min="4088" max="4088" width="8.77734375" style="21" customWidth="1"/>
    <col min="4089" max="4089" width="9.77734375" style="21" customWidth="1"/>
    <col min="4090" max="4090" width="14.44140625" style="21" customWidth="1"/>
    <col min="4091" max="4091" width="7.21875" style="21" customWidth="1"/>
    <col min="4092" max="4092" width="5.5546875" style="21" customWidth="1"/>
    <col min="4093" max="4093" width="9" style="21" customWidth="1"/>
    <col min="4094" max="4095" width="9.77734375" style="21" customWidth="1"/>
    <col min="4096" max="4096" width="11.21875" style="21" customWidth="1"/>
    <col min="4097" max="4097" width="2.77734375" style="21" customWidth="1"/>
    <col min="4098" max="4098" width="3.5546875" style="21" customWidth="1"/>
    <col min="4099" max="4343" width="9.21875" style="21"/>
    <col min="4344" max="4344" width="8.77734375" style="21" customWidth="1"/>
    <col min="4345" max="4345" width="9.77734375" style="21" customWidth="1"/>
    <col min="4346" max="4346" width="14.44140625" style="21" customWidth="1"/>
    <col min="4347" max="4347" width="7.21875" style="21" customWidth="1"/>
    <col min="4348" max="4348" width="5.5546875" style="21" customWidth="1"/>
    <col min="4349" max="4349" width="9" style="21" customWidth="1"/>
    <col min="4350" max="4351" width="9.77734375" style="21" customWidth="1"/>
    <col min="4352" max="4352" width="11.21875" style="21" customWidth="1"/>
    <col min="4353" max="4353" width="2.77734375" style="21" customWidth="1"/>
    <col min="4354" max="4354" width="3.5546875" style="21" customWidth="1"/>
    <col min="4355" max="4599" width="9.21875" style="21"/>
    <col min="4600" max="4600" width="8.77734375" style="21" customWidth="1"/>
    <col min="4601" max="4601" width="9.77734375" style="21" customWidth="1"/>
    <col min="4602" max="4602" width="14.44140625" style="21" customWidth="1"/>
    <col min="4603" max="4603" width="7.21875" style="21" customWidth="1"/>
    <col min="4604" max="4604" width="5.5546875" style="21" customWidth="1"/>
    <col min="4605" max="4605" width="9" style="21" customWidth="1"/>
    <col min="4606" max="4607" width="9.77734375" style="21" customWidth="1"/>
    <col min="4608" max="4608" width="11.21875" style="21" customWidth="1"/>
    <col min="4609" max="4609" width="2.77734375" style="21" customWidth="1"/>
    <col min="4610" max="4610" width="3.5546875" style="21" customWidth="1"/>
    <col min="4611" max="4855" width="9.21875" style="21"/>
    <col min="4856" max="4856" width="8.77734375" style="21" customWidth="1"/>
    <col min="4857" max="4857" width="9.77734375" style="21" customWidth="1"/>
    <col min="4858" max="4858" width="14.44140625" style="21" customWidth="1"/>
    <col min="4859" max="4859" width="7.21875" style="21" customWidth="1"/>
    <col min="4860" max="4860" width="5.5546875" style="21" customWidth="1"/>
    <col min="4861" max="4861" width="9" style="21" customWidth="1"/>
    <col min="4862" max="4863" width="9.77734375" style="21" customWidth="1"/>
    <col min="4864" max="4864" width="11.21875" style="21" customWidth="1"/>
    <col min="4865" max="4865" width="2.77734375" style="21" customWidth="1"/>
    <col min="4866" max="4866" width="3.5546875" style="21" customWidth="1"/>
    <col min="4867" max="5111" width="9.21875" style="21"/>
    <col min="5112" max="5112" width="8.77734375" style="21" customWidth="1"/>
    <col min="5113" max="5113" width="9.77734375" style="21" customWidth="1"/>
    <col min="5114" max="5114" width="14.44140625" style="21" customWidth="1"/>
    <col min="5115" max="5115" width="7.21875" style="21" customWidth="1"/>
    <col min="5116" max="5116" width="5.5546875" style="21" customWidth="1"/>
    <col min="5117" max="5117" width="9" style="21" customWidth="1"/>
    <col min="5118" max="5119" width="9.77734375" style="21" customWidth="1"/>
    <col min="5120" max="5120" width="11.21875" style="21" customWidth="1"/>
    <col min="5121" max="5121" width="2.77734375" style="21" customWidth="1"/>
    <col min="5122" max="5122" width="3.5546875" style="21" customWidth="1"/>
    <col min="5123" max="5367" width="9.21875" style="21"/>
    <col min="5368" max="5368" width="8.77734375" style="21" customWidth="1"/>
    <col min="5369" max="5369" width="9.77734375" style="21" customWidth="1"/>
    <col min="5370" max="5370" width="14.44140625" style="21" customWidth="1"/>
    <col min="5371" max="5371" width="7.21875" style="21" customWidth="1"/>
    <col min="5372" max="5372" width="5.5546875" style="21" customWidth="1"/>
    <col min="5373" max="5373" width="9" style="21" customWidth="1"/>
    <col min="5374" max="5375" width="9.77734375" style="21" customWidth="1"/>
    <col min="5376" max="5376" width="11.21875" style="21" customWidth="1"/>
    <col min="5377" max="5377" width="2.77734375" style="21" customWidth="1"/>
    <col min="5378" max="5378" width="3.5546875" style="21" customWidth="1"/>
    <col min="5379" max="5623" width="9.21875" style="21"/>
    <col min="5624" max="5624" width="8.77734375" style="21" customWidth="1"/>
    <col min="5625" max="5625" width="9.77734375" style="21" customWidth="1"/>
    <col min="5626" max="5626" width="14.44140625" style="21" customWidth="1"/>
    <col min="5627" max="5627" width="7.21875" style="21" customWidth="1"/>
    <col min="5628" max="5628" width="5.5546875" style="21" customWidth="1"/>
    <col min="5629" max="5629" width="9" style="21" customWidth="1"/>
    <col min="5630" max="5631" width="9.77734375" style="21" customWidth="1"/>
    <col min="5632" max="5632" width="11.21875" style="21" customWidth="1"/>
    <col min="5633" max="5633" width="2.77734375" style="21" customWidth="1"/>
    <col min="5634" max="5634" width="3.5546875" style="21" customWidth="1"/>
    <col min="5635" max="5879" width="9.21875" style="21"/>
    <col min="5880" max="5880" width="8.77734375" style="21" customWidth="1"/>
    <col min="5881" max="5881" width="9.77734375" style="21" customWidth="1"/>
    <col min="5882" max="5882" width="14.44140625" style="21" customWidth="1"/>
    <col min="5883" max="5883" width="7.21875" style="21" customWidth="1"/>
    <col min="5884" max="5884" width="5.5546875" style="21" customWidth="1"/>
    <col min="5885" max="5885" width="9" style="21" customWidth="1"/>
    <col min="5886" max="5887" width="9.77734375" style="21" customWidth="1"/>
    <col min="5888" max="5888" width="11.21875" style="21" customWidth="1"/>
    <col min="5889" max="5889" width="2.77734375" style="21" customWidth="1"/>
    <col min="5890" max="5890" width="3.5546875" style="21" customWidth="1"/>
    <col min="5891" max="6135" width="9.21875" style="21"/>
    <col min="6136" max="6136" width="8.77734375" style="21" customWidth="1"/>
    <col min="6137" max="6137" width="9.77734375" style="21" customWidth="1"/>
    <col min="6138" max="6138" width="14.44140625" style="21" customWidth="1"/>
    <col min="6139" max="6139" width="7.21875" style="21" customWidth="1"/>
    <col min="6140" max="6140" width="5.5546875" style="21" customWidth="1"/>
    <col min="6141" max="6141" width="9" style="21" customWidth="1"/>
    <col min="6142" max="6143" width="9.77734375" style="21" customWidth="1"/>
    <col min="6144" max="6144" width="11.21875" style="21" customWidth="1"/>
    <col min="6145" max="6145" width="2.77734375" style="21" customWidth="1"/>
    <col min="6146" max="6146" width="3.5546875" style="21" customWidth="1"/>
    <col min="6147" max="6391" width="9.21875" style="21"/>
    <col min="6392" max="6392" width="8.77734375" style="21" customWidth="1"/>
    <col min="6393" max="6393" width="9.77734375" style="21" customWidth="1"/>
    <col min="6394" max="6394" width="14.44140625" style="21" customWidth="1"/>
    <col min="6395" max="6395" width="7.21875" style="21" customWidth="1"/>
    <col min="6396" max="6396" width="5.5546875" style="21" customWidth="1"/>
    <col min="6397" max="6397" width="9" style="21" customWidth="1"/>
    <col min="6398" max="6399" width="9.77734375" style="21" customWidth="1"/>
    <col min="6400" max="6400" width="11.21875" style="21" customWidth="1"/>
    <col min="6401" max="6401" width="2.77734375" style="21" customWidth="1"/>
    <col min="6402" max="6402" width="3.5546875" style="21" customWidth="1"/>
    <col min="6403" max="6647" width="9.21875" style="21"/>
    <col min="6648" max="6648" width="8.77734375" style="21" customWidth="1"/>
    <col min="6649" max="6649" width="9.77734375" style="21" customWidth="1"/>
    <col min="6650" max="6650" width="14.44140625" style="21" customWidth="1"/>
    <col min="6651" max="6651" width="7.21875" style="21" customWidth="1"/>
    <col min="6652" max="6652" width="5.5546875" style="21" customWidth="1"/>
    <col min="6653" max="6653" width="9" style="21" customWidth="1"/>
    <col min="6654" max="6655" width="9.77734375" style="21" customWidth="1"/>
    <col min="6656" max="6656" width="11.21875" style="21" customWidth="1"/>
    <col min="6657" max="6657" width="2.77734375" style="21" customWidth="1"/>
    <col min="6658" max="6658" width="3.5546875" style="21" customWidth="1"/>
    <col min="6659" max="6903" width="9.21875" style="21"/>
    <col min="6904" max="6904" width="8.77734375" style="21" customWidth="1"/>
    <col min="6905" max="6905" width="9.77734375" style="21" customWidth="1"/>
    <col min="6906" max="6906" width="14.44140625" style="21" customWidth="1"/>
    <col min="6907" max="6907" width="7.21875" style="21" customWidth="1"/>
    <col min="6908" max="6908" width="5.5546875" style="21" customWidth="1"/>
    <col min="6909" max="6909" width="9" style="21" customWidth="1"/>
    <col min="6910" max="6911" width="9.77734375" style="21" customWidth="1"/>
    <col min="6912" max="6912" width="11.21875" style="21" customWidth="1"/>
    <col min="6913" max="6913" width="2.77734375" style="21" customWidth="1"/>
    <col min="6914" max="6914" width="3.5546875" style="21" customWidth="1"/>
    <col min="6915" max="7159" width="9.21875" style="21"/>
    <col min="7160" max="7160" width="8.77734375" style="21" customWidth="1"/>
    <col min="7161" max="7161" width="9.77734375" style="21" customWidth="1"/>
    <col min="7162" max="7162" width="14.44140625" style="21" customWidth="1"/>
    <col min="7163" max="7163" width="7.21875" style="21" customWidth="1"/>
    <col min="7164" max="7164" width="5.5546875" style="21" customWidth="1"/>
    <col min="7165" max="7165" width="9" style="21" customWidth="1"/>
    <col min="7166" max="7167" width="9.77734375" style="21" customWidth="1"/>
    <col min="7168" max="7168" width="11.21875" style="21" customWidth="1"/>
    <col min="7169" max="7169" width="2.77734375" style="21" customWidth="1"/>
    <col min="7170" max="7170" width="3.5546875" style="21" customWidth="1"/>
    <col min="7171" max="7415" width="9.21875" style="21"/>
    <col min="7416" max="7416" width="8.77734375" style="21" customWidth="1"/>
    <col min="7417" max="7417" width="9.77734375" style="21" customWidth="1"/>
    <col min="7418" max="7418" width="14.44140625" style="21" customWidth="1"/>
    <col min="7419" max="7419" width="7.21875" style="21" customWidth="1"/>
    <col min="7420" max="7420" width="5.5546875" style="21" customWidth="1"/>
    <col min="7421" max="7421" width="9" style="21" customWidth="1"/>
    <col min="7422" max="7423" width="9.77734375" style="21" customWidth="1"/>
    <col min="7424" max="7424" width="11.21875" style="21" customWidth="1"/>
    <col min="7425" max="7425" width="2.77734375" style="21" customWidth="1"/>
    <col min="7426" max="7426" width="3.5546875" style="21" customWidth="1"/>
    <col min="7427" max="7671" width="9.21875" style="21"/>
    <col min="7672" max="7672" width="8.77734375" style="21" customWidth="1"/>
    <col min="7673" max="7673" width="9.77734375" style="21" customWidth="1"/>
    <col min="7674" max="7674" width="14.44140625" style="21" customWidth="1"/>
    <col min="7675" max="7675" width="7.21875" style="21" customWidth="1"/>
    <col min="7676" max="7676" width="5.5546875" style="21" customWidth="1"/>
    <col min="7677" max="7677" width="9" style="21" customWidth="1"/>
    <col min="7678" max="7679" width="9.77734375" style="21" customWidth="1"/>
    <col min="7680" max="7680" width="11.21875" style="21" customWidth="1"/>
    <col min="7681" max="7681" width="2.77734375" style="21" customWidth="1"/>
    <col min="7682" max="7682" width="3.5546875" style="21" customWidth="1"/>
    <col min="7683" max="7927" width="9.21875" style="21"/>
    <col min="7928" max="7928" width="8.77734375" style="21" customWidth="1"/>
    <col min="7929" max="7929" width="9.77734375" style="21" customWidth="1"/>
    <col min="7930" max="7930" width="14.44140625" style="21" customWidth="1"/>
    <col min="7931" max="7931" width="7.21875" style="21" customWidth="1"/>
    <col min="7932" max="7932" width="5.5546875" style="21" customWidth="1"/>
    <col min="7933" max="7933" width="9" style="21" customWidth="1"/>
    <col min="7934" max="7935" width="9.77734375" style="21" customWidth="1"/>
    <col min="7936" max="7936" width="11.21875" style="21" customWidth="1"/>
    <col min="7937" max="7937" width="2.77734375" style="21" customWidth="1"/>
    <col min="7938" max="7938" width="3.5546875" style="21" customWidth="1"/>
    <col min="7939" max="8183" width="9.21875" style="21"/>
    <col min="8184" max="8184" width="8.77734375" style="21" customWidth="1"/>
    <col min="8185" max="8185" width="9.77734375" style="21" customWidth="1"/>
    <col min="8186" max="8186" width="14.44140625" style="21" customWidth="1"/>
    <col min="8187" max="8187" width="7.21875" style="21" customWidth="1"/>
    <col min="8188" max="8188" width="5.5546875" style="21" customWidth="1"/>
    <col min="8189" max="8189" width="9" style="21" customWidth="1"/>
    <col min="8190" max="8191" width="9.77734375" style="21" customWidth="1"/>
    <col min="8192" max="8192" width="11.21875" style="21" customWidth="1"/>
    <col min="8193" max="8193" width="2.77734375" style="21" customWidth="1"/>
    <col min="8194" max="8194" width="3.5546875" style="21" customWidth="1"/>
    <col min="8195" max="8439" width="9.21875" style="21"/>
    <col min="8440" max="8440" width="8.77734375" style="21" customWidth="1"/>
    <col min="8441" max="8441" width="9.77734375" style="21" customWidth="1"/>
    <col min="8442" max="8442" width="14.44140625" style="21" customWidth="1"/>
    <col min="8443" max="8443" width="7.21875" style="21" customWidth="1"/>
    <col min="8444" max="8444" width="5.5546875" style="21" customWidth="1"/>
    <col min="8445" max="8445" width="9" style="21" customWidth="1"/>
    <col min="8446" max="8447" width="9.77734375" style="21" customWidth="1"/>
    <col min="8448" max="8448" width="11.21875" style="21" customWidth="1"/>
    <col min="8449" max="8449" width="2.77734375" style="21" customWidth="1"/>
    <col min="8450" max="8450" width="3.5546875" style="21" customWidth="1"/>
    <col min="8451" max="8695" width="9.21875" style="21"/>
    <col min="8696" max="8696" width="8.77734375" style="21" customWidth="1"/>
    <col min="8697" max="8697" width="9.77734375" style="21" customWidth="1"/>
    <col min="8698" max="8698" width="14.44140625" style="21" customWidth="1"/>
    <col min="8699" max="8699" width="7.21875" style="21" customWidth="1"/>
    <col min="8700" max="8700" width="5.5546875" style="21" customWidth="1"/>
    <col min="8701" max="8701" width="9" style="21" customWidth="1"/>
    <col min="8702" max="8703" width="9.77734375" style="21" customWidth="1"/>
    <col min="8704" max="8704" width="11.21875" style="21" customWidth="1"/>
    <col min="8705" max="8705" width="2.77734375" style="21" customWidth="1"/>
    <col min="8706" max="8706" width="3.5546875" style="21" customWidth="1"/>
    <col min="8707" max="8951" width="9.21875" style="21"/>
    <col min="8952" max="8952" width="8.77734375" style="21" customWidth="1"/>
    <col min="8953" max="8953" width="9.77734375" style="21" customWidth="1"/>
    <col min="8954" max="8954" width="14.44140625" style="21" customWidth="1"/>
    <col min="8955" max="8955" width="7.21875" style="21" customWidth="1"/>
    <col min="8956" max="8956" width="5.5546875" style="21" customWidth="1"/>
    <col min="8957" max="8957" width="9" style="21" customWidth="1"/>
    <col min="8958" max="8959" width="9.77734375" style="21" customWidth="1"/>
    <col min="8960" max="8960" width="11.21875" style="21" customWidth="1"/>
    <col min="8961" max="8961" width="2.77734375" style="21" customWidth="1"/>
    <col min="8962" max="8962" width="3.5546875" style="21" customWidth="1"/>
    <col min="8963" max="9207" width="9.21875" style="21"/>
    <col min="9208" max="9208" width="8.77734375" style="21" customWidth="1"/>
    <col min="9209" max="9209" width="9.77734375" style="21" customWidth="1"/>
    <col min="9210" max="9210" width="14.44140625" style="21" customWidth="1"/>
    <col min="9211" max="9211" width="7.21875" style="21" customWidth="1"/>
    <col min="9212" max="9212" width="5.5546875" style="21" customWidth="1"/>
    <col min="9213" max="9213" width="9" style="21" customWidth="1"/>
    <col min="9214" max="9215" width="9.77734375" style="21" customWidth="1"/>
    <col min="9216" max="9216" width="11.21875" style="21" customWidth="1"/>
    <col min="9217" max="9217" width="2.77734375" style="21" customWidth="1"/>
    <col min="9218" max="9218" width="3.5546875" style="21" customWidth="1"/>
    <col min="9219" max="9463" width="9.21875" style="21"/>
    <col min="9464" max="9464" width="8.77734375" style="21" customWidth="1"/>
    <col min="9465" max="9465" width="9.77734375" style="21" customWidth="1"/>
    <col min="9466" max="9466" width="14.44140625" style="21" customWidth="1"/>
    <col min="9467" max="9467" width="7.21875" style="21" customWidth="1"/>
    <col min="9468" max="9468" width="5.5546875" style="21" customWidth="1"/>
    <col min="9469" max="9469" width="9" style="21" customWidth="1"/>
    <col min="9470" max="9471" width="9.77734375" style="21" customWidth="1"/>
    <col min="9472" max="9472" width="11.21875" style="21" customWidth="1"/>
    <col min="9473" max="9473" width="2.77734375" style="21" customWidth="1"/>
    <col min="9474" max="9474" width="3.5546875" style="21" customWidth="1"/>
    <col min="9475" max="9719" width="9.21875" style="21"/>
    <col min="9720" max="9720" width="8.77734375" style="21" customWidth="1"/>
    <col min="9721" max="9721" width="9.77734375" style="21" customWidth="1"/>
    <col min="9722" max="9722" width="14.44140625" style="21" customWidth="1"/>
    <col min="9723" max="9723" width="7.21875" style="21" customWidth="1"/>
    <col min="9724" max="9724" width="5.5546875" style="21" customWidth="1"/>
    <col min="9725" max="9725" width="9" style="21" customWidth="1"/>
    <col min="9726" max="9727" width="9.77734375" style="21" customWidth="1"/>
    <col min="9728" max="9728" width="11.21875" style="21" customWidth="1"/>
    <col min="9729" max="9729" width="2.77734375" style="21" customWidth="1"/>
    <col min="9730" max="9730" width="3.5546875" style="21" customWidth="1"/>
    <col min="9731" max="9975" width="9.21875" style="21"/>
    <col min="9976" max="9976" width="8.77734375" style="21" customWidth="1"/>
    <col min="9977" max="9977" width="9.77734375" style="21" customWidth="1"/>
    <col min="9978" max="9978" width="14.44140625" style="21" customWidth="1"/>
    <col min="9979" max="9979" width="7.21875" style="21" customWidth="1"/>
    <col min="9980" max="9980" width="5.5546875" style="21" customWidth="1"/>
    <col min="9981" max="9981" width="9" style="21" customWidth="1"/>
    <col min="9982" max="9983" width="9.77734375" style="21" customWidth="1"/>
    <col min="9984" max="9984" width="11.21875" style="21" customWidth="1"/>
    <col min="9985" max="9985" width="2.77734375" style="21" customWidth="1"/>
    <col min="9986" max="9986" width="3.5546875" style="21" customWidth="1"/>
    <col min="9987" max="10231" width="9.21875" style="21"/>
    <col min="10232" max="10232" width="8.77734375" style="21" customWidth="1"/>
    <col min="10233" max="10233" width="9.77734375" style="21" customWidth="1"/>
    <col min="10234" max="10234" width="14.44140625" style="21" customWidth="1"/>
    <col min="10235" max="10235" width="7.21875" style="21" customWidth="1"/>
    <col min="10236" max="10236" width="5.5546875" style="21" customWidth="1"/>
    <col min="10237" max="10237" width="9" style="21" customWidth="1"/>
    <col min="10238" max="10239" width="9.77734375" style="21" customWidth="1"/>
    <col min="10240" max="10240" width="11.21875" style="21" customWidth="1"/>
    <col min="10241" max="10241" width="2.77734375" style="21" customWidth="1"/>
    <col min="10242" max="10242" width="3.5546875" style="21" customWidth="1"/>
    <col min="10243" max="10487" width="9.21875" style="21"/>
    <col min="10488" max="10488" width="8.77734375" style="21" customWidth="1"/>
    <col min="10489" max="10489" width="9.77734375" style="21" customWidth="1"/>
    <col min="10490" max="10490" width="14.44140625" style="21" customWidth="1"/>
    <col min="10491" max="10491" width="7.21875" style="21" customWidth="1"/>
    <col min="10492" max="10492" width="5.5546875" style="21" customWidth="1"/>
    <col min="10493" max="10493" width="9" style="21" customWidth="1"/>
    <col min="10494" max="10495" width="9.77734375" style="21" customWidth="1"/>
    <col min="10496" max="10496" width="11.21875" style="21" customWidth="1"/>
    <col min="10497" max="10497" width="2.77734375" style="21" customWidth="1"/>
    <col min="10498" max="10498" width="3.5546875" style="21" customWidth="1"/>
    <col min="10499" max="10743" width="9.21875" style="21"/>
    <col min="10744" max="10744" width="8.77734375" style="21" customWidth="1"/>
    <col min="10745" max="10745" width="9.77734375" style="21" customWidth="1"/>
    <col min="10746" max="10746" width="14.44140625" style="21" customWidth="1"/>
    <col min="10747" max="10747" width="7.21875" style="21" customWidth="1"/>
    <col min="10748" max="10748" width="5.5546875" style="21" customWidth="1"/>
    <col min="10749" max="10749" width="9" style="21" customWidth="1"/>
    <col min="10750" max="10751" width="9.77734375" style="21" customWidth="1"/>
    <col min="10752" max="10752" width="11.21875" style="21" customWidth="1"/>
    <col min="10753" max="10753" width="2.77734375" style="21" customWidth="1"/>
    <col min="10754" max="10754" width="3.5546875" style="21" customWidth="1"/>
    <col min="10755" max="10999" width="9.21875" style="21"/>
    <col min="11000" max="11000" width="8.77734375" style="21" customWidth="1"/>
    <col min="11001" max="11001" width="9.77734375" style="21" customWidth="1"/>
    <col min="11002" max="11002" width="14.44140625" style="21" customWidth="1"/>
    <col min="11003" max="11003" width="7.21875" style="21" customWidth="1"/>
    <col min="11004" max="11004" width="5.5546875" style="21" customWidth="1"/>
    <col min="11005" max="11005" width="9" style="21" customWidth="1"/>
    <col min="11006" max="11007" width="9.77734375" style="21" customWidth="1"/>
    <col min="11008" max="11008" width="11.21875" style="21" customWidth="1"/>
    <col min="11009" max="11009" width="2.77734375" style="21" customWidth="1"/>
    <col min="11010" max="11010" width="3.5546875" style="21" customWidth="1"/>
    <col min="11011" max="11255" width="9.21875" style="21"/>
    <col min="11256" max="11256" width="8.77734375" style="21" customWidth="1"/>
    <col min="11257" max="11257" width="9.77734375" style="21" customWidth="1"/>
    <col min="11258" max="11258" width="14.44140625" style="21" customWidth="1"/>
    <col min="11259" max="11259" width="7.21875" style="21" customWidth="1"/>
    <col min="11260" max="11260" width="5.5546875" style="21" customWidth="1"/>
    <col min="11261" max="11261" width="9" style="21" customWidth="1"/>
    <col min="11262" max="11263" width="9.77734375" style="21" customWidth="1"/>
    <col min="11264" max="11264" width="11.21875" style="21" customWidth="1"/>
    <col min="11265" max="11265" width="2.77734375" style="21" customWidth="1"/>
    <col min="11266" max="11266" width="3.5546875" style="21" customWidth="1"/>
    <col min="11267" max="11511" width="9.21875" style="21"/>
    <col min="11512" max="11512" width="8.77734375" style="21" customWidth="1"/>
    <col min="11513" max="11513" width="9.77734375" style="21" customWidth="1"/>
    <col min="11514" max="11514" width="14.44140625" style="21" customWidth="1"/>
    <col min="11515" max="11515" width="7.21875" style="21" customWidth="1"/>
    <col min="11516" max="11516" width="5.5546875" style="21" customWidth="1"/>
    <col min="11517" max="11517" width="9" style="21" customWidth="1"/>
    <col min="11518" max="11519" width="9.77734375" style="21" customWidth="1"/>
    <col min="11520" max="11520" width="11.21875" style="21" customWidth="1"/>
    <col min="11521" max="11521" width="2.77734375" style="21" customWidth="1"/>
    <col min="11522" max="11522" width="3.5546875" style="21" customWidth="1"/>
    <col min="11523" max="11767" width="9.21875" style="21"/>
    <col min="11768" max="11768" width="8.77734375" style="21" customWidth="1"/>
    <col min="11769" max="11769" width="9.77734375" style="21" customWidth="1"/>
    <col min="11770" max="11770" width="14.44140625" style="21" customWidth="1"/>
    <col min="11771" max="11771" width="7.21875" style="21" customWidth="1"/>
    <col min="11772" max="11772" width="5.5546875" style="21" customWidth="1"/>
    <col min="11773" max="11773" width="9" style="21" customWidth="1"/>
    <col min="11774" max="11775" width="9.77734375" style="21" customWidth="1"/>
    <col min="11776" max="11776" width="11.21875" style="21" customWidth="1"/>
    <col min="11777" max="11777" width="2.77734375" style="21" customWidth="1"/>
    <col min="11778" max="11778" width="3.5546875" style="21" customWidth="1"/>
    <col min="11779" max="12023" width="9.21875" style="21"/>
    <col min="12024" max="12024" width="8.77734375" style="21" customWidth="1"/>
    <col min="12025" max="12025" width="9.77734375" style="21" customWidth="1"/>
    <col min="12026" max="12026" width="14.44140625" style="21" customWidth="1"/>
    <col min="12027" max="12027" width="7.21875" style="21" customWidth="1"/>
    <col min="12028" max="12028" width="5.5546875" style="21" customWidth="1"/>
    <col min="12029" max="12029" width="9" style="21" customWidth="1"/>
    <col min="12030" max="12031" width="9.77734375" style="21" customWidth="1"/>
    <col min="12032" max="12032" width="11.21875" style="21" customWidth="1"/>
    <col min="12033" max="12033" width="2.77734375" style="21" customWidth="1"/>
    <col min="12034" max="12034" width="3.5546875" style="21" customWidth="1"/>
    <col min="12035" max="12279" width="9.21875" style="21"/>
    <col min="12280" max="12280" width="8.77734375" style="21" customWidth="1"/>
    <col min="12281" max="12281" width="9.77734375" style="21" customWidth="1"/>
    <col min="12282" max="12282" width="14.44140625" style="21" customWidth="1"/>
    <col min="12283" max="12283" width="7.21875" style="21" customWidth="1"/>
    <col min="12284" max="12284" width="5.5546875" style="21" customWidth="1"/>
    <col min="12285" max="12285" width="9" style="21" customWidth="1"/>
    <col min="12286" max="12287" width="9.77734375" style="21" customWidth="1"/>
    <col min="12288" max="12288" width="11.21875" style="21" customWidth="1"/>
    <col min="12289" max="12289" width="2.77734375" style="21" customWidth="1"/>
    <col min="12290" max="12290" width="3.5546875" style="21" customWidth="1"/>
    <col min="12291" max="12535" width="9.21875" style="21"/>
    <col min="12536" max="12536" width="8.77734375" style="21" customWidth="1"/>
    <col min="12537" max="12537" width="9.77734375" style="21" customWidth="1"/>
    <col min="12538" max="12538" width="14.44140625" style="21" customWidth="1"/>
    <col min="12539" max="12539" width="7.21875" style="21" customWidth="1"/>
    <col min="12540" max="12540" width="5.5546875" style="21" customWidth="1"/>
    <col min="12541" max="12541" width="9" style="21" customWidth="1"/>
    <col min="12542" max="12543" width="9.77734375" style="21" customWidth="1"/>
    <col min="12544" max="12544" width="11.21875" style="21" customWidth="1"/>
    <col min="12545" max="12545" width="2.77734375" style="21" customWidth="1"/>
    <col min="12546" max="12546" width="3.5546875" style="21" customWidth="1"/>
    <col min="12547" max="12791" width="9.21875" style="21"/>
    <col min="12792" max="12792" width="8.77734375" style="21" customWidth="1"/>
    <col min="12793" max="12793" width="9.77734375" style="21" customWidth="1"/>
    <col min="12794" max="12794" width="14.44140625" style="21" customWidth="1"/>
    <col min="12795" max="12795" width="7.21875" style="21" customWidth="1"/>
    <col min="12796" max="12796" width="5.5546875" style="21" customWidth="1"/>
    <col min="12797" max="12797" width="9" style="21" customWidth="1"/>
    <col min="12798" max="12799" width="9.77734375" style="21" customWidth="1"/>
    <col min="12800" max="12800" width="11.21875" style="21" customWidth="1"/>
    <col min="12801" max="12801" width="2.77734375" style="21" customWidth="1"/>
    <col min="12802" max="12802" width="3.5546875" style="21" customWidth="1"/>
    <col min="12803" max="13047" width="9.21875" style="21"/>
    <col min="13048" max="13048" width="8.77734375" style="21" customWidth="1"/>
    <col min="13049" max="13049" width="9.77734375" style="21" customWidth="1"/>
    <col min="13050" max="13050" width="14.44140625" style="21" customWidth="1"/>
    <col min="13051" max="13051" width="7.21875" style="21" customWidth="1"/>
    <col min="13052" max="13052" width="5.5546875" style="21" customWidth="1"/>
    <col min="13053" max="13053" width="9" style="21" customWidth="1"/>
    <col min="13054" max="13055" width="9.77734375" style="21" customWidth="1"/>
    <col min="13056" max="13056" width="11.21875" style="21" customWidth="1"/>
    <col min="13057" max="13057" width="2.77734375" style="21" customWidth="1"/>
    <col min="13058" max="13058" width="3.5546875" style="21" customWidth="1"/>
    <col min="13059" max="13303" width="9.21875" style="21"/>
    <col min="13304" max="13304" width="8.77734375" style="21" customWidth="1"/>
    <col min="13305" max="13305" width="9.77734375" style="21" customWidth="1"/>
    <col min="13306" max="13306" width="14.44140625" style="21" customWidth="1"/>
    <col min="13307" max="13307" width="7.21875" style="21" customWidth="1"/>
    <col min="13308" max="13308" width="5.5546875" style="21" customWidth="1"/>
    <col min="13309" max="13309" width="9" style="21" customWidth="1"/>
    <col min="13310" max="13311" width="9.77734375" style="21" customWidth="1"/>
    <col min="13312" max="13312" width="11.21875" style="21" customWidth="1"/>
    <col min="13313" max="13313" width="2.77734375" style="21" customWidth="1"/>
    <col min="13314" max="13314" width="3.5546875" style="21" customWidth="1"/>
    <col min="13315" max="13559" width="9.21875" style="21"/>
    <col min="13560" max="13560" width="8.77734375" style="21" customWidth="1"/>
    <col min="13561" max="13561" width="9.77734375" style="21" customWidth="1"/>
    <col min="13562" max="13562" width="14.44140625" style="21" customWidth="1"/>
    <col min="13563" max="13563" width="7.21875" style="21" customWidth="1"/>
    <col min="13564" max="13564" width="5.5546875" style="21" customWidth="1"/>
    <col min="13565" max="13565" width="9" style="21" customWidth="1"/>
    <col min="13566" max="13567" width="9.77734375" style="21" customWidth="1"/>
    <col min="13568" max="13568" width="11.21875" style="21" customWidth="1"/>
    <col min="13569" max="13569" width="2.77734375" style="21" customWidth="1"/>
    <col min="13570" max="13570" width="3.5546875" style="21" customWidth="1"/>
    <col min="13571" max="13815" width="9.21875" style="21"/>
    <col min="13816" max="13816" width="8.77734375" style="21" customWidth="1"/>
    <col min="13817" max="13817" width="9.77734375" style="21" customWidth="1"/>
    <col min="13818" max="13818" width="14.44140625" style="21" customWidth="1"/>
    <col min="13819" max="13819" width="7.21875" style="21" customWidth="1"/>
    <col min="13820" max="13820" width="5.5546875" style="21" customWidth="1"/>
    <col min="13821" max="13821" width="9" style="21" customWidth="1"/>
    <col min="13822" max="13823" width="9.77734375" style="21" customWidth="1"/>
    <col min="13824" max="13824" width="11.21875" style="21" customWidth="1"/>
    <col min="13825" max="13825" width="2.77734375" style="21" customWidth="1"/>
    <col min="13826" max="13826" width="3.5546875" style="21" customWidth="1"/>
    <col min="13827" max="14071" width="9.21875" style="21"/>
    <col min="14072" max="14072" width="8.77734375" style="21" customWidth="1"/>
    <col min="14073" max="14073" width="9.77734375" style="21" customWidth="1"/>
    <col min="14074" max="14074" width="14.44140625" style="21" customWidth="1"/>
    <col min="14075" max="14075" width="7.21875" style="21" customWidth="1"/>
    <col min="14076" max="14076" width="5.5546875" style="21" customWidth="1"/>
    <col min="14077" max="14077" width="9" style="21" customWidth="1"/>
    <col min="14078" max="14079" width="9.77734375" style="21" customWidth="1"/>
    <col min="14080" max="14080" width="11.21875" style="21" customWidth="1"/>
    <col min="14081" max="14081" width="2.77734375" style="21" customWidth="1"/>
    <col min="14082" max="14082" width="3.5546875" style="21" customWidth="1"/>
    <col min="14083" max="14327" width="9.21875" style="21"/>
    <col min="14328" max="14328" width="8.77734375" style="21" customWidth="1"/>
    <col min="14329" max="14329" width="9.77734375" style="21" customWidth="1"/>
    <col min="14330" max="14330" width="14.44140625" style="21" customWidth="1"/>
    <col min="14331" max="14331" width="7.21875" style="21" customWidth="1"/>
    <col min="14332" max="14332" width="5.5546875" style="21" customWidth="1"/>
    <col min="14333" max="14333" width="9" style="21" customWidth="1"/>
    <col min="14334" max="14335" width="9.77734375" style="21" customWidth="1"/>
    <col min="14336" max="14336" width="11.21875" style="21" customWidth="1"/>
    <col min="14337" max="14337" width="2.77734375" style="21" customWidth="1"/>
    <col min="14338" max="14338" width="3.5546875" style="21" customWidth="1"/>
    <col min="14339" max="14583" width="9.21875" style="21"/>
    <col min="14584" max="14584" width="8.77734375" style="21" customWidth="1"/>
    <col min="14585" max="14585" width="9.77734375" style="21" customWidth="1"/>
    <col min="14586" max="14586" width="14.44140625" style="21" customWidth="1"/>
    <col min="14587" max="14587" width="7.21875" style="21" customWidth="1"/>
    <col min="14588" max="14588" width="5.5546875" style="21" customWidth="1"/>
    <col min="14589" max="14589" width="9" style="21" customWidth="1"/>
    <col min="14590" max="14591" width="9.77734375" style="21" customWidth="1"/>
    <col min="14592" max="14592" width="11.21875" style="21" customWidth="1"/>
    <col min="14593" max="14593" width="2.77734375" style="21" customWidth="1"/>
    <col min="14594" max="14594" width="3.5546875" style="21" customWidth="1"/>
    <col min="14595" max="14839" width="9.21875" style="21"/>
    <col min="14840" max="14840" width="8.77734375" style="21" customWidth="1"/>
    <col min="14841" max="14841" width="9.77734375" style="21" customWidth="1"/>
    <col min="14842" max="14842" width="14.44140625" style="21" customWidth="1"/>
    <col min="14843" max="14843" width="7.21875" style="21" customWidth="1"/>
    <col min="14844" max="14844" width="5.5546875" style="21" customWidth="1"/>
    <col min="14845" max="14845" width="9" style="21" customWidth="1"/>
    <col min="14846" max="14847" width="9.77734375" style="21" customWidth="1"/>
    <col min="14848" max="14848" width="11.21875" style="21" customWidth="1"/>
    <col min="14849" max="14849" width="2.77734375" style="21" customWidth="1"/>
    <col min="14850" max="14850" width="3.5546875" style="21" customWidth="1"/>
    <col min="14851" max="15095" width="9.21875" style="21"/>
    <col min="15096" max="15096" width="8.77734375" style="21" customWidth="1"/>
    <col min="15097" max="15097" width="9.77734375" style="21" customWidth="1"/>
    <col min="15098" max="15098" width="14.44140625" style="21" customWidth="1"/>
    <col min="15099" max="15099" width="7.21875" style="21" customWidth="1"/>
    <col min="15100" max="15100" width="5.5546875" style="21" customWidth="1"/>
    <col min="15101" max="15101" width="9" style="21" customWidth="1"/>
    <col min="15102" max="15103" width="9.77734375" style="21" customWidth="1"/>
    <col min="15104" max="15104" width="11.21875" style="21" customWidth="1"/>
    <col min="15105" max="15105" width="2.77734375" style="21" customWidth="1"/>
    <col min="15106" max="15106" width="3.5546875" style="21" customWidth="1"/>
    <col min="15107" max="15351" width="9.21875" style="21"/>
    <col min="15352" max="15352" width="8.77734375" style="21" customWidth="1"/>
    <col min="15353" max="15353" width="9.77734375" style="21" customWidth="1"/>
    <col min="15354" max="15354" width="14.44140625" style="21" customWidth="1"/>
    <col min="15355" max="15355" width="7.21875" style="21" customWidth="1"/>
    <col min="15356" max="15356" width="5.5546875" style="21" customWidth="1"/>
    <col min="15357" max="15357" width="9" style="21" customWidth="1"/>
    <col min="15358" max="15359" width="9.77734375" style="21" customWidth="1"/>
    <col min="15360" max="15360" width="11.21875" style="21" customWidth="1"/>
    <col min="15361" max="15361" width="2.77734375" style="21" customWidth="1"/>
    <col min="15362" max="15362" width="3.5546875" style="21" customWidth="1"/>
    <col min="15363" max="15607" width="9.21875" style="21"/>
    <col min="15608" max="15608" width="8.77734375" style="21" customWidth="1"/>
    <col min="15609" max="15609" width="9.77734375" style="21" customWidth="1"/>
    <col min="15610" max="15610" width="14.44140625" style="21" customWidth="1"/>
    <col min="15611" max="15611" width="7.21875" style="21" customWidth="1"/>
    <col min="15612" max="15612" width="5.5546875" style="21" customWidth="1"/>
    <col min="15613" max="15613" width="9" style="21" customWidth="1"/>
    <col min="15614" max="15615" width="9.77734375" style="21" customWidth="1"/>
    <col min="15616" max="15616" width="11.21875" style="21" customWidth="1"/>
    <col min="15617" max="15617" width="2.77734375" style="21" customWidth="1"/>
    <col min="15618" max="15618" width="3.5546875" style="21" customWidth="1"/>
    <col min="15619" max="15863" width="9.21875" style="21"/>
    <col min="15864" max="15864" width="8.77734375" style="21" customWidth="1"/>
    <col min="15865" max="15865" width="9.77734375" style="21" customWidth="1"/>
    <col min="15866" max="15866" width="14.44140625" style="21" customWidth="1"/>
    <col min="15867" max="15867" width="7.21875" style="21" customWidth="1"/>
    <col min="15868" max="15868" width="5.5546875" style="21" customWidth="1"/>
    <col min="15869" max="15869" width="9" style="21" customWidth="1"/>
    <col min="15870" max="15871" width="9.77734375" style="21" customWidth="1"/>
    <col min="15872" max="15872" width="11.21875" style="21" customWidth="1"/>
    <col min="15873" max="15873" width="2.77734375" style="21" customWidth="1"/>
    <col min="15874" max="15874" width="3.5546875" style="21" customWidth="1"/>
    <col min="15875" max="16119" width="9.21875" style="21"/>
    <col min="16120" max="16120" width="8.77734375" style="21" customWidth="1"/>
    <col min="16121" max="16121" width="9.77734375" style="21" customWidth="1"/>
    <col min="16122" max="16122" width="14.44140625" style="21" customWidth="1"/>
    <col min="16123" max="16123" width="7.21875" style="21" customWidth="1"/>
    <col min="16124" max="16124" width="5.5546875" style="21" customWidth="1"/>
    <col min="16125" max="16125" width="9" style="21" customWidth="1"/>
    <col min="16126" max="16127" width="9.77734375" style="21" customWidth="1"/>
    <col min="16128" max="16128" width="11.21875" style="21" customWidth="1"/>
    <col min="16129" max="16129" width="2.77734375" style="21" customWidth="1"/>
    <col min="16130" max="16130" width="3.5546875" style="21" customWidth="1"/>
    <col min="16131" max="16384" width="9.21875" style="21"/>
  </cols>
  <sheetData>
    <row r="1" spans="1:26" ht="46.5" customHeight="1" x14ac:dyDescent="0.3">
      <c r="A1" s="173" t="s">
        <v>164</v>
      </c>
      <c r="B1" s="173"/>
      <c r="C1" s="173"/>
      <c r="D1" s="173"/>
      <c r="E1" s="173"/>
      <c r="F1" s="173"/>
      <c r="G1" s="173"/>
      <c r="H1" s="173"/>
    </row>
    <row r="2" spans="1:26" ht="16.5" customHeight="1" x14ac:dyDescent="0.3">
      <c r="A2" s="174" t="s">
        <v>0</v>
      </c>
      <c r="B2" s="174"/>
      <c r="C2" s="174"/>
      <c r="D2" s="174"/>
      <c r="E2" s="174"/>
      <c r="F2" s="174"/>
      <c r="G2" s="174"/>
      <c r="H2" s="174"/>
    </row>
    <row r="3" spans="1:26" x14ac:dyDescent="0.3">
      <c r="A3" s="154" t="s">
        <v>1</v>
      </c>
      <c r="B3" s="154"/>
      <c r="C3" s="154"/>
      <c r="D3" s="154"/>
      <c r="E3" s="154" t="str">
        <f ca="1">TEXT(TODAY(),"DD/MM/YYYY")</f>
        <v>12/09/2025</v>
      </c>
      <c r="F3" s="154"/>
      <c r="G3" s="154"/>
      <c r="H3" s="154"/>
      <c r="K3" s="55" t="s">
        <v>236</v>
      </c>
      <c r="L3" s="54" t="s">
        <v>234</v>
      </c>
      <c r="M3" s="54" t="s">
        <v>239</v>
      </c>
      <c r="N3" s="54" t="s">
        <v>237</v>
      </c>
      <c r="O3" s="54" t="s">
        <v>238</v>
      </c>
      <c r="P3" s="54" t="s">
        <v>240</v>
      </c>
    </row>
    <row r="4" spans="1:26" ht="15" customHeight="1" x14ac:dyDescent="0.3">
      <c r="A4" s="154" t="s">
        <v>233</v>
      </c>
      <c r="B4" s="154"/>
      <c r="C4" s="154"/>
      <c r="D4" s="154"/>
      <c r="E4" s="154" t="s">
        <v>234</v>
      </c>
      <c r="F4" s="154"/>
      <c r="G4" s="154"/>
      <c r="H4" s="154"/>
      <c r="K4" s="53" t="s">
        <v>235</v>
      </c>
      <c r="L4" s="54" t="s">
        <v>171</v>
      </c>
      <c r="M4" s="54" t="s">
        <v>244</v>
      </c>
      <c r="N4" s="54" t="s">
        <v>246</v>
      </c>
      <c r="O4" s="54" t="s">
        <v>248</v>
      </c>
      <c r="P4" s="54"/>
    </row>
    <row r="5" spans="1:26" ht="15" customHeight="1" x14ac:dyDescent="0.3">
      <c r="A5" s="154" t="s">
        <v>2</v>
      </c>
      <c r="B5" s="154"/>
      <c r="C5" s="154"/>
      <c r="D5" s="154"/>
      <c r="E5" s="154" t="s">
        <v>171</v>
      </c>
      <c r="F5" s="154"/>
      <c r="G5" s="154"/>
      <c r="H5" s="154"/>
      <c r="K5" s="53"/>
      <c r="L5" s="54" t="s">
        <v>241</v>
      </c>
      <c r="M5" s="54" t="s">
        <v>245</v>
      </c>
      <c r="N5" s="54" t="s">
        <v>247</v>
      </c>
      <c r="O5" s="54" t="s">
        <v>249</v>
      </c>
      <c r="P5" s="54"/>
    </row>
    <row r="6" spans="1:26" x14ac:dyDescent="0.3">
      <c r="A6" s="154" t="s">
        <v>3</v>
      </c>
      <c r="B6" s="154"/>
      <c r="C6" s="154"/>
      <c r="D6" s="154"/>
      <c r="E6" s="175">
        <v>45908</v>
      </c>
      <c r="F6" s="154"/>
      <c r="G6" s="154"/>
      <c r="H6" s="154"/>
      <c r="K6" s="53"/>
      <c r="L6" s="54" t="s">
        <v>242</v>
      </c>
      <c r="M6" s="54"/>
      <c r="N6" s="54"/>
      <c r="O6" s="54" t="s">
        <v>250</v>
      </c>
      <c r="P6" s="54"/>
    </row>
    <row r="7" spans="1:26" ht="16.5" customHeight="1" x14ac:dyDescent="0.3">
      <c r="A7" s="154" t="s">
        <v>4</v>
      </c>
      <c r="B7" s="154"/>
      <c r="C7" s="154"/>
      <c r="D7" s="154"/>
      <c r="E7" s="154" t="s">
        <v>303</v>
      </c>
      <c r="F7" s="154"/>
      <c r="G7" s="154"/>
      <c r="H7" s="154"/>
      <c r="K7" s="53"/>
      <c r="L7" s="54" t="s">
        <v>243</v>
      </c>
      <c r="M7" s="54"/>
      <c r="N7" s="54"/>
      <c r="O7" s="54" t="s">
        <v>250</v>
      </c>
      <c r="P7" s="54"/>
    </row>
    <row r="8" spans="1:26" ht="15" customHeight="1" x14ac:dyDescent="0.3">
      <c r="A8" s="154" t="s">
        <v>5</v>
      </c>
      <c r="B8" s="154"/>
      <c r="C8" s="154"/>
      <c r="D8" s="154"/>
      <c r="E8" s="154" t="str">
        <f>E7</f>
        <v xml:space="preserve">One Palace Infrastructure </v>
      </c>
      <c r="F8" s="154"/>
      <c r="G8" s="154"/>
      <c r="H8" s="154"/>
      <c r="K8" s="53"/>
      <c r="L8" s="54"/>
      <c r="M8" s="54"/>
      <c r="N8" s="54"/>
      <c r="O8" s="54" t="s">
        <v>251</v>
      </c>
      <c r="P8" s="54"/>
    </row>
    <row r="9" spans="1:26" x14ac:dyDescent="0.3">
      <c r="A9" s="154" t="s">
        <v>6</v>
      </c>
      <c r="B9" s="154"/>
      <c r="C9" s="154"/>
      <c r="D9" s="154"/>
      <c r="E9" s="103" t="s">
        <v>304</v>
      </c>
      <c r="F9" s="145"/>
      <c r="G9" s="145"/>
      <c r="H9" s="145"/>
      <c r="K9" s="53"/>
      <c r="L9" s="54"/>
      <c r="M9" s="54"/>
      <c r="N9" s="54"/>
      <c r="O9" s="54" t="s">
        <v>252</v>
      </c>
      <c r="P9" s="54"/>
    </row>
    <row r="10" spans="1:26" x14ac:dyDescent="0.3">
      <c r="A10" s="154" t="s">
        <v>167</v>
      </c>
      <c r="B10" s="154"/>
      <c r="C10" s="154"/>
      <c r="D10" s="154"/>
      <c r="E10" s="154">
        <v>9309265123</v>
      </c>
      <c r="F10" s="154"/>
      <c r="G10" s="154"/>
      <c r="H10" s="154"/>
      <c r="K10" s="53"/>
      <c r="L10" s="54"/>
      <c r="M10" s="54"/>
      <c r="N10" s="54"/>
      <c r="O10" s="54"/>
      <c r="P10" s="54"/>
    </row>
    <row r="11" spans="1:26" x14ac:dyDescent="0.3">
      <c r="A11" s="154" t="s">
        <v>168</v>
      </c>
      <c r="B11" s="154"/>
      <c r="C11" s="154"/>
      <c r="D11" s="154"/>
      <c r="E11" s="154" t="s">
        <v>353</v>
      </c>
      <c r="F11" s="154"/>
      <c r="G11" s="154"/>
      <c r="H11" s="154"/>
    </row>
    <row r="12" spans="1:26" x14ac:dyDescent="0.3">
      <c r="A12" s="154" t="s">
        <v>7</v>
      </c>
      <c r="B12" s="154"/>
      <c r="C12" s="154"/>
      <c r="D12" s="154"/>
      <c r="E12" s="154" t="s">
        <v>321</v>
      </c>
      <c r="F12" s="154"/>
      <c r="G12" s="154"/>
      <c r="H12" s="154"/>
    </row>
    <row r="13" spans="1:26" x14ac:dyDescent="0.3">
      <c r="A13" s="154" t="s">
        <v>172</v>
      </c>
      <c r="B13" s="154"/>
      <c r="C13" s="154"/>
      <c r="D13" s="154"/>
      <c r="E13" s="154" t="s">
        <v>28</v>
      </c>
      <c r="F13" s="154"/>
      <c r="G13" s="154"/>
      <c r="H13" s="154"/>
      <c r="S13" s="54" t="s">
        <v>179</v>
      </c>
      <c r="T13" s="54" t="s">
        <v>189</v>
      </c>
      <c r="U13" s="54" t="s">
        <v>173</v>
      </c>
      <c r="V13" s="54" t="s">
        <v>194</v>
      </c>
      <c r="W13" s="54" t="s">
        <v>212</v>
      </c>
      <c r="X13"/>
      <c r="Y13" t="s">
        <v>194</v>
      </c>
      <c r="Z13" t="e">
        <f ca="1">OFFSET($S$13,1,MATCH($G20,$S$13:$W$13,0)-1,15,1)</f>
        <v>#VALUE!</v>
      </c>
    </row>
    <row r="14" spans="1:26" ht="32.25" customHeight="1" x14ac:dyDescent="0.3">
      <c r="A14" s="96" t="s">
        <v>279</v>
      </c>
      <c r="B14" s="96"/>
      <c r="C14" s="96"/>
      <c r="D14" s="96"/>
      <c r="E14" s="132" t="s">
        <v>305</v>
      </c>
      <c r="F14" s="132"/>
      <c r="G14" s="132"/>
      <c r="H14" s="132"/>
      <c r="S14" s="54" t="s">
        <v>180</v>
      </c>
      <c r="T14" s="54" t="s">
        <v>187</v>
      </c>
      <c r="U14" s="54" t="s">
        <v>209</v>
      </c>
      <c r="V14" s="54" t="s">
        <v>195</v>
      </c>
      <c r="W14" s="54" t="s">
        <v>213</v>
      </c>
      <c r="X14"/>
      <c r="Y14"/>
      <c r="Z14"/>
    </row>
    <row r="15" spans="1:26" x14ac:dyDescent="0.3">
      <c r="A15" s="96" t="s">
        <v>8</v>
      </c>
      <c r="B15" s="96"/>
      <c r="C15" s="96"/>
      <c r="D15" s="96"/>
      <c r="E15" s="132" t="s">
        <v>306</v>
      </c>
      <c r="F15" s="154"/>
      <c r="G15" s="154"/>
      <c r="H15" s="154"/>
      <c r="I15" s="220" t="e">
        <f ca="1">OFFSET($D$5,1,MATCH($J13,$D$5:$H$5,0)-1,15,1)</f>
        <v>#N/A</v>
      </c>
      <c r="J15" s="82"/>
      <c r="K15" s="82"/>
      <c r="L15" s="82"/>
      <c r="M15" s="82"/>
      <c r="N15" s="82"/>
      <c r="O15" s="82"/>
      <c r="P15" s="82"/>
      <c r="S15" s="54" t="s">
        <v>181</v>
      </c>
      <c r="T15" s="54" t="s">
        <v>188</v>
      </c>
      <c r="U15" s="54" t="s">
        <v>210</v>
      </c>
      <c r="V15" s="54" t="s">
        <v>196</v>
      </c>
      <c r="W15" s="54" t="s">
        <v>226</v>
      </c>
      <c r="X15"/>
      <c r="Y15"/>
      <c r="Z15"/>
    </row>
    <row r="16" spans="1:26" ht="33" customHeight="1" x14ac:dyDescent="0.3">
      <c r="A16" s="147" t="s">
        <v>9</v>
      </c>
      <c r="B16" s="147"/>
      <c r="C16" s="147" t="str">
        <f>CONCATENATE((IF(OR(E9="",E9="NA"),"",E9)),", ",(IF(OR(A17="",A17="NA"),"",A17)),".",(IF(OR(C17="",C17="NA"),"",C17)),", near ",(IF(OR(C22="",C22="NA"),"",C22)),", ",(IF(OR(C19="",C19="NA"),"",C19)),", ",(IF(OR(C18="",C18="NA"),"",C18)),", ",(IF(OR(G19="",G19="NA"),"",G19)),", ",(IF(OR(C20="",C20="NA"),"",C20)),", ",(IF(OR(C21="",C21="NA"),"",C21)),", ",(IF(OR(G20="",G20="NA"),"",G20))," - ",(IF(OR(G21="",G21="NA"),"",G21)),".")</f>
        <v>Netra Aarambh Building No 6, CTS No as per CC.52/1, near Balaji Krupa Society, Intenal Road, Vevoor, Navali, Palghar East, Palghar, Palghar - 401404.</v>
      </c>
      <c r="D16" s="147"/>
      <c r="E16" s="147"/>
      <c r="F16" s="147"/>
      <c r="G16" s="147"/>
      <c r="H16" s="147"/>
      <c r="S16" s="54" t="s">
        <v>182</v>
      </c>
      <c r="T16" s="54" t="s">
        <v>190</v>
      </c>
      <c r="U16" s="54" t="s">
        <v>211</v>
      </c>
      <c r="V16" s="54" t="s">
        <v>197</v>
      </c>
      <c r="W16" s="54" t="s">
        <v>214</v>
      </c>
      <c r="X16"/>
      <c r="Y16"/>
      <c r="Z16"/>
    </row>
    <row r="17" spans="1:26" x14ac:dyDescent="0.3">
      <c r="A17" s="132" t="s">
        <v>348</v>
      </c>
      <c r="B17" s="132"/>
      <c r="C17" s="132" t="s">
        <v>312</v>
      </c>
      <c r="D17" s="132"/>
      <c r="E17" s="132"/>
      <c r="F17" s="132"/>
      <c r="G17" s="132"/>
      <c r="H17" s="132"/>
      <c r="S17" s="54" t="s">
        <v>183</v>
      </c>
      <c r="T17" s="54" t="s">
        <v>191</v>
      </c>
      <c r="U17" s="54" t="s">
        <v>173</v>
      </c>
      <c r="V17" s="54" t="s">
        <v>198</v>
      </c>
      <c r="W17" s="54" t="s">
        <v>215</v>
      </c>
      <c r="X17"/>
      <c r="Y17"/>
      <c r="Z17"/>
    </row>
    <row r="18" spans="1:26" ht="15.75" customHeight="1" x14ac:dyDescent="0.3">
      <c r="A18" s="132" t="s">
        <v>162</v>
      </c>
      <c r="B18" s="132"/>
      <c r="C18" s="132" t="s">
        <v>310</v>
      </c>
      <c r="D18" s="132"/>
      <c r="E18" s="132"/>
      <c r="F18" s="132"/>
      <c r="G18" s="132"/>
      <c r="H18" s="132"/>
      <c r="S18" s="54" t="s">
        <v>184</v>
      </c>
      <c r="T18" s="54" t="s">
        <v>189</v>
      </c>
      <c r="U18" s="54"/>
      <c r="V18" s="54" t="s">
        <v>199</v>
      </c>
      <c r="W18" s="54" t="s">
        <v>216</v>
      </c>
      <c r="X18"/>
      <c r="Y18"/>
      <c r="Z18"/>
    </row>
    <row r="19" spans="1:26" ht="15.75" customHeight="1" x14ac:dyDescent="0.3">
      <c r="A19" s="147" t="s">
        <v>10</v>
      </c>
      <c r="B19" s="147"/>
      <c r="C19" s="154" t="s">
        <v>313</v>
      </c>
      <c r="D19" s="154"/>
      <c r="E19" s="147" t="s">
        <v>70</v>
      </c>
      <c r="F19" s="147"/>
      <c r="G19" s="132" t="s">
        <v>311</v>
      </c>
      <c r="H19" s="132"/>
      <c r="S19" s="54" t="s">
        <v>185</v>
      </c>
      <c r="T19" s="54" t="s">
        <v>192</v>
      </c>
      <c r="U19" s="54"/>
      <c r="V19" s="54" t="s">
        <v>200</v>
      </c>
      <c r="W19" s="54" t="s">
        <v>217</v>
      </c>
      <c r="X19"/>
      <c r="Y19"/>
      <c r="Z19"/>
    </row>
    <row r="20" spans="1:26" x14ac:dyDescent="0.3">
      <c r="A20" s="96" t="s">
        <v>12</v>
      </c>
      <c r="B20" s="96"/>
      <c r="C20" s="132" t="s">
        <v>314</v>
      </c>
      <c r="D20" s="132"/>
      <c r="E20" s="132" t="s">
        <v>11</v>
      </c>
      <c r="F20" s="132"/>
      <c r="G20" s="172" t="s">
        <v>189</v>
      </c>
      <c r="H20" s="172"/>
      <c r="M20" s="21" t="s">
        <v>307</v>
      </c>
      <c r="S20" s="54" t="s">
        <v>186</v>
      </c>
      <c r="T20" s="54" t="s">
        <v>193</v>
      </c>
      <c r="U20" s="54"/>
      <c r="V20" s="54" t="s">
        <v>201</v>
      </c>
      <c r="W20" s="54" t="s">
        <v>218</v>
      </c>
      <c r="X20"/>
      <c r="Y20"/>
      <c r="Z20"/>
    </row>
    <row r="21" spans="1:26" x14ac:dyDescent="0.3">
      <c r="A21" s="96" t="s">
        <v>71</v>
      </c>
      <c r="B21" s="96"/>
      <c r="C21" s="132" t="s">
        <v>189</v>
      </c>
      <c r="D21" s="132"/>
      <c r="E21" s="132" t="s">
        <v>13</v>
      </c>
      <c r="F21" s="132"/>
      <c r="G21" s="132">
        <v>401404</v>
      </c>
      <c r="H21" s="132"/>
      <c r="S21" s="54"/>
      <c r="T21" s="54"/>
      <c r="U21" s="54"/>
      <c r="V21" s="54" t="s">
        <v>202</v>
      </c>
      <c r="W21" s="54" t="s">
        <v>219</v>
      </c>
      <c r="X21"/>
      <c r="Y21"/>
      <c r="Z21"/>
    </row>
    <row r="22" spans="1:26" ht="32.25" customHeight="1" x14ac:dyDescent="0.3">
      <c r="A22" s="96" t="s">
        <v>119</v>
      </c>
      <c r="B22" s="96"/>
      <c r="C22" s="132" t="s">
        <v>352</v>
      </c>
      <c r="D22" s="132"/>
      <c r="E22" s="132" t="s">
        <v>14</v>
      </c>
      <c r="F22" s="132"/>
      <c r="G22" s="132" t="s">
        <v>315</v>
      </c>
      <c r="H22" s="132"/>
      <c r="S22" s="54"/>
      <c r="T22" s="54"/>
      <c r="U22" s="54"/>
      <c r="V22" s="54" t="s">
        <v>203</v>
      </c>
      <c r="W22" s="54" t="s">
        <v>220</v>
      </c>
      <c r="X22"/>
      <c r="Y22"/>
      <c r="Z22"/>
    </row>
    <row r="23" spans="1:26" ht="15" customHeight="1" x14ac:dyDescent="0.3">
      <c r="A23" s="147" t="s">
        <v>73</v>
      </c>
      <c r="B23" s="147"/>
      <c r="C23" s="147"/>
      <c r="D23" s="147"/>
      <c r="E23" s="154" t="s">
        <v>15</v>
      </c>
      <c r="F23" s="154"/>
      <c r="G23" s="154"/>
      <c r="H23" s="154"/>
      <c r="S23" s="54"/>
      <c r="T23" s="54"/>
      <c r="U23" s="54"/>
      <c r="V23" s="54" t="s">
        <v>204</v>
      </c>
      <c r="W23" s="54" t="s">
        <v>221</v>
      </c>
      <c r="X23"/>
      <c r="Y23"/>
      <c r="Z23"/>
    </row>
    <row r="24" spans="1:26" ht="18.75" customHeight="1" x14ac:dyDescent="0.3">
      <c r="A24" s="147"/>
      <c r="B24" s="147"/>
      <c r="C24" s="147"/>
      <c r="D24" s="147"/>
      <c r="E24" s="154"/>
      <c r="F24" s="154"/>
      <c r="G24" s="154"/>
      <c r="H24" s="154"/>
      <c r="S24" s="54"/>
      <c r="T24" s="54"/>
      <c r="U24" s="54"/>
      <c r="V24" s="54" t="s">
        <v>205</v>
      </c>
      <c r="W24" s="54" t="s">
        <v>222</v>
      </c>
      <c r="X24"/>
      <c r="Y24"/>
      <c r="Z24"/>
    </row>
    <row r="25" spans="1:26" ht="15" customHeight="1" x14ac:dyDescent="0.3">
      <c r="A25" s="147" t="s">
        <v>16</v>
      </c>
      <c r="B25" s="147"/>
      <c r="C25" s="147"/>
      <c r="D25" s="147"/>
      <c r="E25" s="132" t="s">
        <v>17</v>
      </c>
      <c r="F25" s="132"/>
      <c r="G25" s="132"/>
      <c r="H25" s="132"/>
      <c r="S25" s="54"/>
      <c r="T25" s="54"/>
      <c r="U25" s="54"/>
      <c r="V25" s="54" t="s">
        <v>206</v>
      </c>
      <c r="W25" s="54" t="s">
        <v>223</v>
      </c>
      <c r="X25"/>
      <c r="Y25"/>
      <c r="Z25"/>
    </row>
    <row r="26" spans="1:26" ht="15" customHeight="1" x14ac:dyDescent="0.3">
      <c r="A26" s="96" t="s">
        <v>18</v>
      </c>
      <c r="B26" s="96"/>
      <c r="C26" s="96"/>
      <c r="D26" s="96"/>
      <c r="E26" s="132" t="str">
        <f>IF(AND(G20="Mumbai"),"Upper Class","Middle Class")</f>
        <v>Middle Class</v>
      </c>
      <c r="F26" s="132"/>
      <c r="G26" s="132"/>
      <c r="H26" s="132"/>
      <c r="S26" s="54"/>
      <c r="T26" s="54"/>
      <c r="U26" s="54"/>
      <c r="V26" s="54" t="s">
        <v>207</v>
      </c>
      <c r="W26" s="54" t="s">
        <v>224</v>
      </c>
      <c r="X26"/>
      <c r="Y26"/>
      <c r="Z26"/>
    </row>
    <row r="27" spans="1:26" x14ac:dyDescent="0.3">
      <c r="A27" s="96" t="s">
        <v>19</v>
      </c>
      <c r="B27" s="96"/>
      <c r="C27" s="96"/>
      <c r="D27" s="96"/>
      <c r="E27" s="132" t="s">
        <v>20</v>
      </c>
      <c r="F27" s="132"/>
      <c r="G27" s="132"/>
      <c r="H27" s="132"/>
      <c r="S27" s="54"/>
      <c r="T27" s="54"/>
      <c r="U27" s="54"/>
      <c r="V27" s="54" t="s">
        <v>208</v>
      </c>
      <c r="W27" s="54" t="s">
        <v>225</v>
      </c>
      <c r="X27"/>
      <c r="Y27"/>
      <c r="Z27"/>
    </row>
    <row r="28" spans="1:26" ht="15.75" customHeight="1" x14ac:dyDescent="0.3">
      <c r="A28" s="96" t="s">
        <v>21</v>
      </c>
      <c r="B28" s="96"/>
      <c r="C28" s="96"/>
      <c r="D28" s="96"/>
      <c r="E28" s="132" t="str">
        <f>IF(AND(G20="Mumbai"),"Developed","Developing")</f>
        <v>Developing</v>
      </c>
      <c r="F28" s="132"/>
      <c r="G28" s="132"/>
      <c r="H28" s="132"/>
    </row>
    <row r="29" spans="1:26" x14ac:dyDescent="0.3">
      <c r="A29" s="96" t="s">
        <v>22</v>
      </c>
      <c r="B29" s="96"/>
      <c r="C29" s="96"/>
      <c r="D29" s="96"/>
      <c r="E29" s="132" t="s">
        <v>23</v>
      </c>
      <c r="F29" s="132"/>
      <c r="G29" s="132"/>
      <c r="H29" s="132"/>
    </row>
    <row r="30" spans="1:26" ht="15.75" customHeight="1" x14ac:dyDescent="0.3">
      <c r="A30" s="96" t="s">
        <v>78</v>
      </c>
      <c r="B30" s="96"/>
      <c r="C30" s="96"/>
      <c r="D30" s="96"/>
      <c r="E30" s="132" t="s">
        <v>79</v>
      </c>
      <c r="F30" s="132"/>
      <c r="G30" s="132"/>
      <c r="H30" s="132"/>
    </row>
    <row r="31" spans="1:26" ht="15" customHeight="1" x14ac:dyDescent="0.3">
      <c r="A31" s="96" t="s">
        <v>30</v>
      </c>
      <c r="B31" s="96"/>
      <c r="C31" s="96"/>
      <c r="D31" s="96"/>
      <c r="E31" s="132" t="str">
        <f>IF(AND(ISNUMBER(SEARCH("Flat",D63)),ISNUMBER(SEARCH("Shop",D63)),ISNUMBER(SEARCH("Office",D63))),"Residential + Commercial",IF(AND(ISNUMBER(SEARCH("Flat",D63)),ISNUMBER(SEARCH("Shop",D63))),"Residential + Commercial",IF(AND(ISNUMBER(SEARCH("Flat",D63)),ISNUMBER(SEARCH("Office",D63))),"Residential + Commercial",IF(AND(ISNUMBER(SEARCH("Shop",D63)),ISNUMBER(SEARCH("Office",D63))),"Commercial",IF(ISNUMBER(SEARCH("Shop",D63)),"Commercial",IF(ISNUMBER(SEARCH("Office",D63)),"Commercial",IF(ISNUMBER(SEARCH("Flat",D63)),"Residential")))))))</f>
        <v>Residential + Commercial</v>
      </c>
      <c r="F31" s="132"/>
      <c r="G31" s="132"/>
      <c r="H31" s="132"/>
    </row>
    <row r="32" spans="1:26" ht="15.75" customHeight="1" x14ac:dyDescent="0.3">
      <c r="A32" s="96" t="s">
        <v>90</v>
      </c>
      <c r="B32" s="96"/>
      <c r="C32" s="96"/>
      <c r="D32" s="96"/>
      <c r="E32" s="132" t="s">
        <v>31</v>
      </c>
      <c r="F32" s="132"/>
      <c r="G32" s="132"/>
      <c r="H32" s="132"/>
    </row>
    <row r="33" spans="1:19" s="22" customFormat="1" x14ac:dyDescent="0.3">
      <c r="A33" s="171" t="s">
        <v>91</v>
      </c>
      <c r="B33" s="171"/>
      <c r="C33" s="170" t="s">
        <v>174</v>
      </c>
      <c r="D33" s="170"/>
      <c r="E33" s="170"/>
      <c r="F33" s="170" t="s">
        <v>29</v>
      </c>
      <c r="G33" s="170"/>
      <c r="H33" s="170"/>
      <c r="S33" s="22" t="e">
        <f ca="1">OFFSET($S$13,1,MATCH($G20,$S$13:$W$13,0)-1,15,1)</f>
        <v>#VALUE!</v>
      </c>
    </row>
    <row r="34" spans="1:19" s="22" customFormat="1" x14ac:dyDescent="0.3">
      <c r="A34" s="160" t="s">
        <v>24</v>
      </c>
      <c r="B34" s="160" t="s">
        <v>28</v>
      </c>
      <c r="C34" s="161" t="s">
        <v>319</v>
      </c>
      <c r="D34" s="161"/>
      <c r="E34" s="161"/>
      <c r="F34" s="161" t="s">
        <v>317</v>
      </c>
      <c r="G34" s="161"/>
      <c r="H34" s="161"/>
    </row>
    <row r="35" spans="1:19" x14ac:dyDescent="0.3">
      <c r="A35" s="160" t="s">
        <v>25</v>
      </c>
      <c r="B35" s="160" t="s">
        <v>28</v>
      </c>
      <c r="C35" s="161" t="s">
        <v>320</v>
      </c>
      <c r="D35" s="161"/>
      <c r="E35" s="161"/>
      <c r="F35" s="161" t="s">
        <v>316</v>
      </c>
      <c r="G35" s="161"/>
      <c r="H35" s="161"/>
    </row>
    <row r="36" spans="1:19" s="22" customFormat="1" x14ac:dyDescent="0.3">
      <c r="A36" s="160" t="s">
        <v>27</v>
      </c>
      <c r="B36" s="160" t="s">
        <v>28</v>
      </c>
      <c r="C36" s="161" t="s">
        <v>318</v>
      </c>
      <c r="D36" s="161"/>
      <c r="E36" s="161"/>
      <c r="F36" s="161" t="s">
        <v>316</v>
      </c>
      <c r="G36" s="161"/>
      <c r="H36" s="161"/>
    </row>
    <row r="37" spans="1:19" x14ac:dyDescent="0.3">
      <c r="A37" s="160" t="s">
        <v>26</v>
      </c>
      <c r="B37" s="160" t="s">
        <v>28</v>
      </c>
      <c r="C37" s="161" t="s">
        <v>319</v>
      </c>
      <c r="D37" s="161"/>
      <c r="E37" s="161"/>
      <c r="F37" s="161" t="s">
        <v>316</v>
      </c>
      <c r="G37" s="161"/>
      <c r="H37" s="161"/>
    </row>
    <row r="38" spans="1:19" x14ac:dyDescent="0.3">
      <c r="A38" s="96" t="s">
        <v>280</v>
      </c>
      <c r="B38" s="96"/>
      <c r="C38" s="96"/>
      <c r="D38" s="96"/>
      <c r="E38" s="96"/>
      <c r="F38" s="96"/>
      <c r="G38" s="96"/>
      <c r="H38" s="96"/>
    </row>
    <row r="39" spans="1:19" ht="15.75" customHeight="1" x14ac:dyDescent="0.3">
      <c r="A39" s="96" t="s">
        <v>165</v>
      </c>
      <c r="B39" s="96"/>
      <c r="C39" s="148" t="s">
        <v>308</v>
      </c>
      <c r="D39" s="148"/>
      <c r="E39" s="148"/>
      <c r="F39" s="148"/>
      <c r="G39" s="148"/>
      <c r="H39" s="148"/>
    </row>
    <row r="40" spans="1:19" x14ac:dyDescent="0.3">
      <c r="A40" s="96" t="s">
        <v>161</v>
      </c>
      <c r="B40" s="96"/>
      <c r="C40" s="131" t="s">
        <v>309</v>
      </c>
      <c r="D40" s="132"/>
      <c r="E40" s="132"/>
      <c r="F40" s="132"/>
      <c r="G40" s="132"/>
      <c r="H40" s="132"/>
    </row>
    <row r="41" spans="1:19" x14ac:dyDescent="0.3">
      <c r="A41" s="148" t="s">
        <v>32</v>
      </c>
      <c r="B41" s="148"/>
      <c r="C41" s="148"/>
      <c r="D41" s="148"/>
      <c r="E41" s="148"/>
      <c r="F41" s="148"/>
      <c r="G41" s="148"/>
      <c r="H41" s="148"/>
    </row>
    <row r="42" spans="1:19" x14ac:dyDescent="0.3">
      <c r="A42" s="96" t="s">
        <v>33</v>
      </c>
      <c r="B42" s="96"/>
      <c r="C42" s="96"/>
      <c r="D42" s="96"/>
      <c r="E42" s="162">
        <v>7790</v>
      </c>
      <c r="F42" s="162"/>
      <c r="G42" s="162"/>
      <c r="H42" s="162"/>
    </row>
    <row r="43" spans="1:19" x14ac:dyDescent="0.3">
      <c r="A43" s="96" t="s">
        <v>34</v>
      </c>
      <c r="B43" s="96"/>
      <c r="C43" s="96"/>
      <c r="D43" s="96"/>
      <c r="E43" s="166">
        <f>8569/E42</f>
        <v>1.1000000000000001</v>
      </c>
      <c r="F43" s="166"/>
      <c r="G43" s="166"/>
      <c r="H43" s="166"/>
    </row>
    <row r="44" spans="1:19" x14ac:dyDescent="0.3">
      <c r="A44" s="96" t="s">
        <v>35</v>
      </c>
      <c r="B44" s="96"/>
      <c r="C44" s="96"/>
      <c r="D44" s="96"/>
      <c r="E44" s="166">
        <f>E46/E42-E43</f>
        <v>1.1180539152759947</v>
      </c>
      <c r="F44" s="166"/>
      <c r="G44" s="166"/>
      <c r="H44" s="166"/>
    </row>
    <row r="45" spans="1:19" x14ac:dyDescent="0.3">
      <c r="A45" s="96" t="s">
        <v>36</v>
      </c>
      <c r="B45" s="96"/>
      <c r="C45" s="96"/>
      <c r="D45" s="96"/>
      <c r="E45" s="166">
        <f>E43+E44</f>
        <v>2.2180539152759948</v>
      </c>
      <c r="F45" s="166"/>
      <c r="G45" s="166"/>
      <c r="H45" s="166"/>
      <c r="I45" s="64">
        <f>E46/E42</f>
        <v>2.2180539152759948</v>
      </c>
    </row>
    <row r="46" spans="1:19" x14ac:dyDescent="0.3">
      <c r="A46" s="96" t="s">
        <v>89</v>
      </c>
      <c r="B46" s="96"/>
      <c r="C46" s="96"/>
      <c r="D46" s="96"/>
      <c r="E46" s="167">
        <v>17278.64</v>
      </c>
      <c r="F46" s="167"/>
      <c r="G46" s="167"/>
      <c r="H46" s="167"/>
    </row>
    <row r="47" spans="1:19" x14ac:dyDescent="0.3">
      <c r="A47" s="154" t="s">
        <v>37</v>
      </c>
      <c r="B47" s="154"/>
      <c r="C47" s="154"/>
      <c r="D47" s="154"/>
      <c r="E47" s="154" t="s">
        <v>118</v>
      </c>
      <c r="F47" s="154"/>
      <c r="G47" s="154"/>
      <c r="H47" s="154"/>
    </row>
    <row r="48" spans="1:19" x14ac:dyDescent="0.3">
      <c r="A48" s="148" t="s">
        <v>38</v>
      </c>
      <c r="B48" s="148"/>
      <c r="C48" s="148"/>
      <c r="D48" s="148"/>
      <c r="E48" s="148"/>
      <c r="F48" s="148"/>
      <c r="G48" s="148"/>
      <c r="H48" s="148"/>
    </row>
    <row r="49" spans="1:24" ht="33.75" customHeight="1" x14ac:dyDescent="0.3">
      <c r="A49" s="140" t="s">
        <v>150</v>
      </c>
      <c r="B49" s="141"/>
      <c r="C49" s="142" t="s">
        <v>322</v>
      </c>
      <c r="D49" s="143"/>
      <c r="E49" s="143"/>
      <c r="F49" s="143"/>
      <c r="G49" s="143"/>
      <c r="H49" s="144"/>
      <c r="R49" t="s">
        <v>253</v>
      </c>
      <c r="S49" t="s">
        <v>173</v>
      </c>
      <c r="T49" t="s">
        <v>179</v>
      </c>
      <c r="U49" t="s">
        <v>194</v>
      </c>
      <c r="V49" t="s">
        <v>189</v>
      </c>
    </row>
    <row r="50" spans="1:24" ht="15.75" customHeight="1" x14ac:dyDescent="0.3">
      <c r="A50" s="140" t="s">
        <v>39</v>
      </c>
      <c r="B50" s="141"/>
      <c r="C50" s="140" t="s">
        <v>323</v>
      </c>
      <c r="D50" s="168"/>
      <c r="E50" s="141"/>
      <c r="F50" s="18" t="s">
        <v>40</v>
      </c>
      <c r="G50" s="206">
        <v>44803</v>
      </c>
      <c r="H50" s="141"/>
      <c r="R50"/>
      <c r="S50" t="s">
        <v>254</v>
      </c>
      <c r="T50" t="s">
        <v>259</v>
      </c>
      <c r="U50" t="s">
        <v>270</v>
      </c>
      <c r="V50" t="s">
        <v>275</v>
      </c>
    </row>
    <row r="51" spans="1:24" x14ac:dyDescent="0.3">
      <c r="A51" s="140" t="s">
        <v>41</v>
      </c>
      <c r="B51" s="141"/>
      <c r="C51" s="140" t="str">
        <f>C50</f>
        <v>CBPPE/B/2022/APL/00581</v>
      </c>
      <c r="D51" s="168"/>
      <c r="E51" s="141"/>
      <c r="F51" s="18" t="s">
        <v>40</v>
      </c>
      <c r="G51" s="206">
        <f>G50</f>
        <v>44803</v>
      </c>
      <c r="H51" s="141"/>
      <c r="R51"/>
      <c r="S51" t="s">
        <v>255</v>
      </c>
      <c r="T51" t="s">
        <v>260</v>
      </c>
      <c r="U51" t="s">
        <v>268</v>
      </c>
      <c r="V51" t="s">
        <v>276</v>
      </c>
    </row>
    <row r="52" spans="1:24" s="23" customFormat="1" ht="15.75" customHeight="1" x14ac:dyDescent="0.3">
      <c r="A52" s="213" t="s">
        <v>154</v>
      </c>
      <c r="B52" s="214"/>
      <c r="C52" s="140" t="str">
        <f>C51</f>
        <v>CBPPE/B/2022/APL/00581</v>
      </c>
      <c r="D52" s="168"/>
      <c r="E52" s="141"/>
      <c r="F52" s="18" t="s">
        <v>40</v>
      </c>
      <c r="G52" s="206">
        <f>G51</f>
        <v>44803</v>
      </c>
      <c r="H52" s="141"/>
      <c r="R52"/>
      <c r="S52" t="s">
        <v>256</v>
      </c>
      <c r="T52" t="s">
        <v>261</v>
      </c>
      <c r="U52" t="s">
        <v>258</v>
      </c>
      <c r="V52" t="s">
        <v>277</v>
      </c>
    </row>
    <row r="53" spans="1:24" s="23" customFormat="1" x14ac:dyDescent="0.3">
      <c r="A53" s="215"/>
      <c r="B53" s="216"/>
      <c r="C53" s="140" t="s">
        <v>324</v>
      </c>
      <c r="D53" s="168"/>
      <c r="E53" s="168"/>
      <c r="F53" s="168"/>
      <c r="G53" s="168"/>
      <c r="H53" s="141"/>
      <c r="R53"/>
      <c r="S53" t="s">
        <v>257</v>
      </c>
      <c r="T53" t="s">
        <v>264</v>
      </c>
      <c r="U53" t="s">
        <v>271</v>
      </c>
    </row>
    <row r="54" spans="1:24" s="23" customFormat="1" ht="15.75" hidden="1" customHeight="1" x14ac:dyDescent="0.3">
      <c r="A54" s="209" t="s">
        <v>281</v>
      </c>
      <c r="B54" s="210"/>
      <c r="C54" s="140" t="str">
        <f>C53</f>
        <v>Building No. 6 Type A3 = Ground + 1st to 7th Floor</v>
      </c>
      <c r="D54" s="168"/>
      <c r="E54" s="141"/>
      <c r="F54" s="18" t="s">
        <v>40</v>
      </c>
      <c r="G54" s="140"/>
      <c r="H54" s="141"/>
      <c r="R54"/>
      <c r="S54" t="s">
        <v>256</v>
      </c>
      <c r="T54" t="s">
        <v>261</v>
      </c>
      <c r="U54" t="s">
        <v>258</v>
      </c>
      <c r="V54" t="s">
        <v>277</v>
      </c>
    </row>
    <row r="55" spans="1:24" s="23" customFormat="1" ht="32.25" hidden="1" customHeight="1" x14ac:dyDescent="0.3">
      <c r="A55" s="211"/>
      <c r="B55" s="212"/>
      <c r="C55" s="137"/>
      <c r="D55" s="138"/>
      <c r="E55" s="138"/>
      <c r="F55" s="138"/>
      <c r="G55" s="138"/>
      <c r="H55" s="139"/>
      <c r="R55"/>
      <c r="S55" t="s">
        <v>258</v>
      </c>
      <c r="T55" t="s">
        <v>262</v>
      </c>
      <c r="U55" t="s">
        <v>272</v>
      </c>
      <c r="V55" s="21" t="s">
        <v>322</v>
      </c>
      <c r="W55" s="21"/>
      <c r="X55" s="21"/>
    </row>
    <row r="56" spans="1:24" s="23" customFormat="1" ht="34.5" hidden="1" customHeight="1" x14ac:dyDescent="0.3">
      <c r="A56" s="209" t="s">
        <v>282</v>
      </c>
      <c r="B56" s="210"/>
      <c r="C56" s="140">
        <f>C55</f>
        <v>0</v>
      </c>
      <c r="D56" s="168"/>
      <c r="E56" s="141"/>
      <c r="F56" s="18" t="s">
        <v>40</v>
      </c>
      <c r="G56" s="140">
        <f>G55</f>
        <v>0</v>
      </c>
      <c r="H56" s="141"/>
      <c r="R56"/>
      <c r="S56" s="21"/>
      <c r="T56" t="s">
        <v>263</v>
      </c>
      <c r="U56" t="s">
        <v>273</v>
      </c>
      <c r="V56" s="21"/>
      <c r="W56" s="21"/>
      <c r="X56" s="21"/>
    </row>
    <row r="57" spans="1:24" s="23" customFormat="1" ht="41.25" hidden="1" customHeight="1" x14ac:dyDescent="0.3">
      <c r="A57" s="211"/>
      <c r="B57" s="212"/>
      <c r="C57" s="140"/>
      <c r="D57" s="168"/>
      <c r="E57" s="168"/>
      <c r="F57" s="168"/>
      <c r="G57" s="168"/>
      <c r="H57" s="141"/>
      <c r="R57"/>
      <c r="S57" s="21"/>
      <c r="T57" t="s">
        <v>265</v>
      </c>
      <c r="U57" t="s">
        <v>274</v>
      </c>
      <c r="V57" s="21"/>
      <c r="W57" s="21"/>
      <c r="X57" s="21"/>
    </row>
    <row r="58" spans="1:24" s="23" customFormat="1" ht="15.75" hidden="1" customHeight="1" x14ac:dyDescent="0.3">
      <c r="A58" s="209" t="s">
        <v>283</v>
      </c>
      <c r="B58" s="210"/>
      <c r="C58" s="140">
        <f>C57</f>
        <v>0</v>
      </c>
      <c r="D58" s="168"/>
      <c r="E58" s="141"/>
      <c r="F58" s="18" t="s">
        <v>40</v>
      </c>
      <c r="G58" s="140">
        <f>G57</f>
        <v>0</v>
      </c>
      <c r="H58" s="141"/>
      <c r="R58"/>
      <c r="S58" s="21"/>
      <c r="T58" t="s">
        <v>266</v>
      </c>
      <c r="U58" s="21" t="s">
        <v>297</v>
      </c>
      <c r="V58" s="21"/>
      <c r="W58" s="21"/>
      <c r="X58" s="21"/>
    </row>
    <row r="59" spans="1:24" s="23" customFormat="1" ht="33.75" hidden="1" customHeight="1" x14ac:dyDescent="0.3">
      <c r="A59" s="211"/>
      <c r="B59" s="212"/>
      <c r="C59" s="140"/>
      <c r="D59" s="168"/>
      <c r="E59" s="168"/>
      <c r="F59" s="168"/>
      <c r="G59" s="168"/>
      <c r="H59" s="141"/>
      <c r="R59"/>
      <c r="S59" s="21"/>
      <c r="T59" t="s">
        <v>267</v>
      </c>
      <c r="U59" s="21"/>
      <c r="V59" s="21"/>
      <c r="W59" s="21"/>
      <c r="X59" s="21"/>
    </row>
    <row r="60" spans="1:24" x14ac:dyDescent="0.3">
      <c r="A60" s="221" t="s">
        <v>42</v>
      </c>
      <c r="B60" s="222"/>
      <c r="C60" s="221" t="s">
        <v>103</v>
      </c>
      <c r="D60" s="223"/>
      <c r="E60" s="222"/>
      <c r="F60" s="45" t="s">
        <v>40</v>
      </c>
      <c r="G60" s="207" t="s">
        <v>28</v>
      </c>
      <c r="H60" s="208"/>
      <c r="R60"/>
      <c r="T60" t="s">
        <v>269</v>
      </c>
    </row>
    <row r="61" spans="1:24" x14ac:dyDescent="0.3">
      <c r="A61" s="181" t="s">
        <v>44</v>
      </c>
      <c r="B61" s="181"/>
      <c r="C61" s="181"/>
      <c r="D61" s="181"/>
      <c r="E61" s="181"/>
      <c r="F61" s="181"/>
      <c r="G61" s="181"/>
      <c r="H61" s="181"/>
      <c r="T61" t="s">
        <v>278</v>
      </c>
    </row>
    <row r="62" spans="1:24" x14ac:dyDescent="0.3">
      <c r="A62" s="147" t="s">
        <v>88</v>
      </c>
      <c r="B62" s="147"/>
      <c r="C62" s="147"/>
      <c r="D62" s="96">
        <v>2414.5</v>
      </c>
      <c r="E62" s="96"/>
      <c r="F62" s="96"/>
      <c r="G62" s="96"/>
      <c r="H62" s="96"/>
      <c r="R62"/>
    </row>
    <row r="63" spans="1:24" x14ac:dyDescent="0.3">
      <c r="A63" s="132" t="s">
        <v>45</v>
      </c>
      <c r="B63" s="154"/>
      <c r="C63" s="154"/>
      <c r="D63" s="154" t="s">
        <v>339</v>
      </c>
      <c r="E63" s="154"/>
      <c r="F63" s="154"/>
      <c r="G63" s="154"/>
      <c r="H63" s="154"/>
      <c r="I63" s="24"/>
      <c r="R63"/>
    </row>
    <row r="64" spans="1:24" x14ac:dyDescent="0.3">
      <c r="A64" s="157" t="s">
        <v>46</v>
      </c>
      <c r="B64" s="158"/>
      <c r="C64" s="159"/>
      <c r="D64" s="155" t="s">
        <v>324</v>
      </c>
      <c r="E64" s="156"/>
      <c r="F64" s="156"/>
      <c r="G64" s="156"/>
      <c r="H64" s="156"/>
      <c r="R64"/>
    </row>
    <row r="65" spans="1:19" ht="15.75" customHeight="1" x14ac:dyDescent="0.3">
      <c r="A65" s="157" t="s">
        <v>86</v>
      </c>
      <c r="B65" s="158"/>
      <c r="C65" s="158"/>
      <c r="D65" s="198" t="s">
        <v>324</v>
      </c>
      <c r="E65" s="199"/>
      <c r="F65" s="199"/>
      <c r="G65" s="199"/>
      <c r="H65" s="200"/>
      <c r="R65"/>
    </row>
    <row r="66" spans="1:19" ht="15.75" hidden="1" customHeight="1" x14ac:dyDescent="0.3">
      <c r="A66" s="194"/>
      <c r="B66" s="195"/>
      <c r="C66" s="195"/>
      <c r="D66" s="201" t="s">
        <v>298</v>
      </c>
      <c r="E66" s="202"/>
      <c r="F66" s="202"/>
      <c r="G66" s="202"/>
      <c r="H66" s="203"/>
      <c r="R66"/>
    </row>
    <row r="67" spans="1:19" ht="15.75" hidden="1" customHeight="1" x14ac:dyDescent="0.3">
      <c r="A67" s="196"/>
      <c r="B67" s="197"/>
      <c r="C67" s="197"/>
      <c r="D67" s="217" t="s">
        <v>169</v>
      </c>
      <c r="E67" s="218"/>
      <c r="F67" s="218"/>
      <c r="G67" s="218"/>
      <c r="H67" s="219"/>
      <c r="S67"/>
    </row>
    <row r="68" spans="1:19" ht="15.75" customHeight="1" x14ac:dyDescent="0.3">
      <c r="A68" s="96" t="s">
        <v>43</v>
      </c>
      <c r="B68" s="96"/>
      <c r="C68" s="96"/>
      <c r="D68" s="163" t="s">
        <v>325</v>
      </c>
      <c r="E68" s="163"/>
      <c r="F68" s="163"/>
      <c r="G68" s="163"/>
      <c r="H68" s="163"/>
      <c r="J68" s="25"/>
      <c r="K68" s="24"/>
      <c r="N68" s="24"/>
      <c r="S68"/>
    </row>
    <row r="69" spans="1:19" ht="15.75" customHeight="1" x14ac:dyDescent="0.3">
      <c r="A69" s="96" t="s">
        <v>84</v>
      </c>
      <c r="B69" s="96"/>
      <c r="C69" s="96"/>
      <c r="D69" s="165" t="str">
        <f>(IF(G60="NA","60 Years After Completion",IF(G60&lt;&gt;"NA",""&amp;60-ROUNDDOWN((E3-G60)/360,0)&amp;" Years"," ")))</f>
        <v>60 Years After Completion</v>
      </c>
      <c r="E69" s="165"/>
      <c r="F69" s="165"/>
      <c r="G69" s="165"/>
      <c r="H69" s="165"/>
      <c r="N69" s="24"/>
      <c r="S69"/>
    </row>
    <row r="70" spans="1:19" ht="15.75" customHeight="1" x14ac:dyDescent="0.3">
      <c r="A70" s="96" t="s">
        <v>85</v>
      </c>
      <c r="B70" s="96"/>
      <c r="C70" s="96"/>
      <c r="D70" s="147" t="s">
        <v>23</v>
      </c>
      <c r="E70" s="147"/>
      <c r="F70" s="147"/>
      <c r="G70" s="147"/>
      <c r="H70" s="147"/>
      <c r="J70" s="26"/>
      <c r="K70" s="26"/>
      <c r="S70"/>
    </row>
    <row r="71" spans="1:19" ht="35.25" customHeight="1" x14ac:dyDescent="0.3">
      <c r="A71" s="154" t="s">
        <v>326</v>
      </c>
      <c r="B71" s="154"/>
      <c r="C71" s="154"/>
      <c r="D71" s="132" t="s">
        <v>327</v>
      </c>
      <c r="E71" s="147"/>
      <c r="F71" s="147"/>
      <c r="G71" s="147"/>
      <c r="H71" s="147"/>
      <c r="S71"/>
    </row>
    <row r="72" spans="1:19" x14ac:dyDescent="0.3">
      <c r="A72" s="147" t="s">
        <v>147</v>
      </c>
      <c r="B72" s="147"/>
      <c r="C72" s="147"/>
      <c r="D72" s="147" t="s">
        <v>28</v>
      </c>
      <c r="E72" s="147"/>
      <c r="F72" s="147"/>
      <c r="G72" s="147"/>
      <c r="H72" s="147"/>
      <c r="I72" s="27"/>
      <c r="J72" s="27"/>
      <c r="K72" s="27"/>
      <c r="L72" s="27"/>
      <c r="M72" s="27"/>
      <c r="N72" s="27"/>
    </row>
    <row r="73" spans="1:19" ht="15.75" customHeight="1" x14ac:dyDescent="0.3">
      <c r="A73" s="224" t="s">
        <v>83</v>
      </c>
      <c r="B73" s="224"/>
      <c r="C73" s="224"/>
      <c r="D73" s="155" t="str">
        <f ca="1">(IF(G79&gt;95%,"Nothing",IF(G79&gt;0%,"Cement, Aggregate, Steel, etc",IF(G79=0%,"Work not yet Started"))))</f>
        <v>Cement, Aggregate, Steel, etc</v>
      </c>
      <c r="E73" s="155"/>
      <c r="F73" s="155"/>
      <c r="G73" s="155"/>
      <c r="H73" s="155"/>
      <c r="J73" s="26"/>
      <c r="S73"/>
    </row>
    <row r="74" spans="1:19" ht="33.75" customHeight="1" thickBot="1" x14ac:dyDescent="0.35">
      <c r="A74" s="177" t="s">
        <v>115</v>
      </c>
      <c r="B74" s="177"/>
      <c r="C74" s="177"/>
      <c r="D74" s="155" t="str">
        <f ca="1">(IF(D73="Nothing","Yes",IF(D73="Cement, Aggregate, Steel, etc","Under Construction",IF(D73="Work not yet Started","Work not yet Started"))))</f>
        <v>Under Construction</v>
      </c>
      <c r="E74" s="155"/>
      <c r="F74" s="155" t="str">
        <f ca="1">(IF(D73="Nothing","Yes",IF(D73="Cement, Aggregate, Steel, etc","Under Construction",IF(D73="Work not yet Started","Work not yet Started"))))</f>
        <v>Under Construction</v>
      </c>
      <c r="G74" s="155"/>
      <c r="H74" s="155"/>
      <c r="S74"/>
    </row>
    <row r="75" spans="1:19" ht="15.75" customHeight="1" x14ac:dyDescent="0.3">
      <c r="A75" s="146" t="s">
        <v>137</v>
      </c>
      <c r="B75" s="146"/>
      <c r="C75" s="146" t="str">
        <f>D65</f>
        <v>Building No. 6 Type A3 = Ground + 1st to 7th Floor</v>
      </c>
      <c r="D75" s="146"/>
      <c r="E75" s="146"/>
      <c r="F75" s="146"/>
      <c r="G75" s="146"/>
      <c r="H75" s="146"/>
      <c r="I75" s="78" t="str">
        <f ca="1">IF(D88=100%,"All work Completed. Possession granted to the Building.",IF(D87=100%,"All work Completed, Waiting for OC",I76&amp;""&amp;I77&amp;""&amp;J76&amp;""&amp;J75&amp;" "&amp;J77))</f>
        <v>Excavation, Plinth Completed, RCC upto 5 Slab, Brickwork upto 3 Floor Completed</v>
      </c>
      <c r="J75" s="50" t="str">
        <f ca="1">(IF(C81=(D76+F76+H76),"",IF(C81&gt;0,", RCC upto "&amp;C81&amp;" Slab","")))&amp;(IF(C82=H76,"",IF(C82&gt;0,", Brickwork upto "&amp;C82&amp;" Floor","")))&amp;(IF(C83=H76,"",IF(C83&gt;0,", Internal Plaster upto "&amp;C83&amp;" Floor","")))&amp;(IF(C84=H76,"",IF(C84&gt;0,", External Plaster upto "&amp;C84&amp;" Floor","")))&amp;(IF(C85=H76,"",IF(C85&gt;0,", Flooring upto "&amp;C85&amp;" Floor","")))&amp;(IF(C86=H76,"",IF(C86&gt;0,", Painting upto "&amp;C86&amp;" Floor","")))&amp;(IF(C87=H76,"",IF(C87&gt;0,", Finishing upto "&amp;C87&amp;" Floor","")))&amp;(IF(C88=H76,"",IF(C88&gt;0,", Possession upto "&amp;C88&amp;" Floor","")))</f>
        <v>, RCC upto 5 Slab, Brickwork upto 3 Floor</v>
      </c>
      <c r="S75"/>
    </row>
    <row r="76" spans="1:19" x14ac:dyDescent="0.3">
      <c r="A76" s="47" t="s">
        <v>139</v>
      </c>
      <c r="B76" s="47">
        <f>IF(AND(ISNUMBER(SEARCH("1B",C75))),1,IF(AND(ISNUMBER(SEARCH("2B",C75))),2,IF(AND(ISNUMBER(SEARCH("3B",C75))),3,IF(AND(ISNUMBER(SEARCH("4B",C75))),4,IF(ISNUMBER(SEARCH("5B",C75)),5,0)))))</f>
        <v>0</v>
      </c>
      <c r="C76" s="47" t="s">
        <v>69</v>
      </c>
      <c r="D76" s="47">
        <v>1</v>
      </c>
      <c r="E76" s="47" t="s">
        <v>68</v>
      </c>
      <c r="F76" s="47">
        <v>0</v>
      </c>
      <c r="G76" s="47" t="s">
        <v>77</v>
      </c>
      <c r="H76" s="47">
        <f ca="1">--TRIM(RIGHT(SUBSTITUTE(LEFT(C75,_xlfn.AGGREGATE(16,6,FIND({0,1,2,3,4,5,6,7,8,9},C75,ROW(INDIRECT("1:"&amp;LEN(C75)))),1))," ",REPT(" ",LEN(C75))),LEN(C75)))</f>
        <v>7</v>
      </c>
      <c r="I76" s="79" t="str">
        <f ca="1">IF(D79=100%,"Excavation","")&amp;IF(D80=100%,", Plinth","")&amp;IF(D81=100%,", RCC Slab","")&amp;IF(D82=100%,", Brickwork","")&amp;IF(D83=100%,", Internal Plaster","")&amp;IF(D84=100%,", External Plaster","")&amp;IF(D85=100%,", Flooring","")&amp;IF(D86=100%,", Painting","")&amp;IF(D87=100%,", Building common Amenities","")</f>
        <v>Excavation, Plinth</v>
      </c>
      <c r="J76" s="52" t="str">
        <f ca="1">(IF(C79=0,"Work not yet Started.",IF(D79=25%,"Piling work in process",IF(D79=50%,"Excavation work in process",IF(D79=100%,"","0")))))&amp;(IF(C80=0%,"",IF(C80=J81,", Footing work is process",IF(C80=J82,", Footing work Completed",IF(C80=J83,", 1st Basement Completed",IF(C80=J84,", 1st &amp; 2nd Basement Completed",IF(C80=J85,", 1st to 3rd Basement Completed",IF(C80=J86,", 1st to 4th Basement Completed",IF(C80=J87,", Plinth work is process",IF(C80=J88,"","0"))))))))))</f>
        <v/>
      </c>
      <c r="S76"/>
    </row>
    <row r="77" spans="1:19" ht="29.4" customHeight="1" x14ac:dyDescent="0.3">
      <c r="A77" s="145" t="s">
        <v>87</v>
      </c>
      <c r="B77" s="145"/>
      <c r="C77" s="103" t="str">
        <f ca="1">I75</f>
        <v>Excavation, Plinth Completed, RCC upto 5 Slab, Brickwork upto 3 Floor Completed</v>
      </c>
      <c r="D77" s="103"/>
      <c r="E77" s="103"/>
      <c r="F77" s="103"/>
      <c r="G77" s="103"/>
      <c r="H77" s="103"/>
      <c r="I77" s="79" t="str">
        <f ca="1">IF(I76&lt;&gt;""," Completed","")</f>
        <v xml:space="preserve"> Completed</v>
      </c>
      <c r="J77" s="52" t="str">
        <f ca="1">IF(J75&lt;&gt;"","Completed","")</f>
        <v>Completed</v>
      </c>
      <c r="S77"/>
    </row>
    <row r="78" spans="1:19" ht="15.75" customHeight="1" x14ac:dyDescent="0.3">
      <c r="A78" s="100" t="s">
        <v>47</v>
      </c>
      <c r="B78" s="100"/>
      <c r="C78" s="77" t="s">
        <v>136</v>
      </c>
      <c r="D78" s="77" t="s">
        <v>80</v>
      </c>
      <c r="E78" s="176" t="s">
        <v>82</v>
      </c>
      <c r="F78" s="176"/>
      <c r="G78" s="176" t="s">
        <v>81</v>
      </c>
      <c r="H78" s="176"/>
      <c r="I78" s="13" t="s">
        <v>138</v>
      </c>
      <c r="J78" s="28">
        <f ca="1">H76*25%</f>
        <v>1.75</v>
      </c>
      <c r="S78"/>
    </row>
    <row r="79" spans="1:19" x14ac:dyDescent="0.3">
      <c r="A79" s="100" t="s">
        <v>125</v>
      </c>
      <c r="B79" s="100"/>
      <c r="C79" s="77">
        <f ca="1">J80</f>
        <v>7</v>
      </c>
      <c r="D79" s="65">
        <f ca="1">((100/H76)*C79)/100</f>
        <v>1</v>
      </c>
      <c r="E79" s="164">
        <f ca="1">(((C80/H76*10)+(40/(D76+F76+H76)*C81)+(7.5/(H76)*C82)+(7.5/(H76)*C83)+(10/H76*C84)+(10/H76*C85)+(5/H76*C86)+(5/H76*C87)+(5/H76*C88))/100)</f>
        <v>0.38214285714285717</v>
      </c>
      <c r="F79" s="164"/>
      <c r="G79" s="164">
        <f ca="1">((((C79/H76)*20)+((C80/H76)*25)+(30/(H76+F76+D76)*C81)+(5/H76*C82)+(5/H76*C83)+(5/H76*C84)+(5/H76*C85)+(0/H76*C86)+(0/H76*C87)+(5/H76*C88))/100)</f>
        <v>0.65892857142857142</v>
      </c>
      <c r="H79" s="164"/>
      <c r="I79" s="13" t="s">
        <v>98</v>
      </c>
      <c r="J79" s="29">
        <f ca="1">H76*50%</f>
        <v>3.5</v>
      </c>
    </row>
    <row r="80" spans="1:19" x14ac:dyDescent="0.3">
      <c r="A80" s="100" t="s">
        <v>48</v>
      </c>
      <c r="B80" s="100"/>
      <c r="C80" s="77">
        <f ca="1">J88</f>
        <v>7</v>
      </c>
      <c r="D80" s="65">
        <f ca="1">((100/H76)*C80)/100</f>
        <v>1</v>
      </c>
      <c r="E80" s="164"/>
      <c r="F80" s="164"/>
      <c r="G80" s="164"/>
      <c r="H80" s="164"/>
      <c r="I80" s="13" t="s">
        <v>99</v>
      </c>
      <c r="J80" s="29">
        <f ca="1">H76</f>
        <v>7</v>
      </c>
      <c r="S80"/>
    </row>
    <row r="81" spans="1:19" ht="15.75" customHeight="1" x14ac:dyDescent="0.3">
      <c r="A81" s="100" t="s">
        <v>126</v>
      </c>
      <c r="B81" s="100"/>
      <c r="C81" s="77">
        <v>5</v>
      </c>
      <c r="D81" s="65">
        <f ca="1">((100/(D76+F76+H76))*C81)/100</f>
        <v>0.625</v>
      </c>
      <c r="E81" s="164"/>
      <c r="F81" s="164"/>
      <c r="G81" s="164"/>
      <c r="H81" s="164"/>
      <c r="I81" s="13" t="s">
        <v>100</v>
      </c>
      <c r="J81" s="30">
        <f ca="1">(IF(B76&gt;1,(H76/(B76+2)),H76/4))</f>
        <v>1.75</v>
      </c>
      <c r="S81"/>
    </row>
    <row r="82" spans="1:19" ht="15.75" customHeight="1" x14ac:dyDescent="0.3">
      <c r="A82" s="100" t="s">
        <v>133</v>
      </c>
      <c r="B82" s="100" t="s">
        <v>127</v>
      </c>
      <c r="C82" s="77">
        <v>3</v>
      </c>
      <c r="D82" s="65">
        <f ca="1">((100/H76)*C82)/100</f>
        <v>0.4285714285714286</v>
      </c>
      <c r="E82" s="164"/>
      <c r="F82" s="164"/>
      <c r="G82" s="164"/>
      <c r="H82" s="164"/>
      <c r="I82" s="13" t="s">
        <v>101</v>
      </c>
      <c r="J82" s="30">
        <f ca="1">(IF(B76&gt;1,(H76/(B76+2)+J81),H76/4+J81))</f>
        <v>3.5</v>
      </c>
    </row>
    <row r="83" spans="1:19" ht="15.75" customHeight="1" x14ac:dyDescent="0.3">
      <c r="A83" s="100" t="s">
        <v>134</v>
      </c>
      <c r="B83" s="100" t="s">
        <v>127</v>
      </c>
      <c r="C83" s="77">
        <v>0</v>
      </c>
      <c r="D83" s="65">
        <f ca="1">((100/H76)*C83)/100</f>
        <v>0</v>
      </c>
      <c r="E83" s="164"/>
      <c r="F83" s="164"/>
      <c r="G83" s="164"/>
      <c r="H83" s="164"/>
      <c r="I83" s="13" t="s">
        <v>145</v>
      </c>
      <c r="J83" s="30">
        <f>(IF(B76&gt;1,(H76/(B76+2)+J82),0))</f>
        <v>0</v>
      </c>
    </row>
    <row r="84" spans="1:19" ht="15" customHeight="1" x14ac:dyDescent="0.3">
      <c r="A84" s="100" t="s">
        <v>132</v>
      </c>
      <c r="B84" s="100" t="s">
        <v>129</v>
      </c>
      <c r="C84" s="77">
        <v>0</v>
      </c>
      <c r="D84" s="65">
        <f ca="1">((100/(H76))*C84)/100</f>
        <v>0</v>
      </c>
      <c r="E84" s="164"/>
      <c r="F84" s="164"/>
      <c r="G84" s="164"/>
      <c r="H84" s="164"/>
      <c r="I84" s="13" t="s">
        <v>140</v>
      </c>
      <c r="J84" s="30">
        <f>(IF(B76&gt;2,(H76/(B76+2)+J83),0))</f>
        <v>0</v>
      </c>
    </row>
    <row r="85" spans="1:19" ht="15.75" customHeight="1" x14ac:dyDescent="0.3">
      <c r="A85" s="100" t="s">
        <v>128</v>
      </c>
      <c r="B85" s="100" t="s">
        <v>128</v>
      </c>
      <c r="C85" s="77">
        <v>0</v>
      </c>
      <c r="D85" s="65">
        <f ca="1">((100/H76)*C85)/100</f>
        <v>0</v>
      </c>
      <c r="E85" s="164"/>
      <c r="F85" s="164"/>
      <c r="G85" s="164"/>
      <c r="H85" s="164"/>
      <c r="I85" s="13" t="s">
        <v>141</v>
      </c>
      <c r="J85" s="31">
        <f>(IF(B76&gt;3,(H76/(B76+2)+J84),0))</f>
        <v>0</v>
      </c>
    </row>
    <row r="86" spans="1:19" ht="15.75" customHeight="1" x14ac:dyDescent="0.3">
      <c r="A86" s="100" t="s">
        <v>135</v>
      </c>
      <c r="B86" s="100"/>
      <c r="C86" s="77">
        <v>0</v>
      </c>
      <c r="D86" s="65">
        <f ca="1">((100/H76)*C86)/100</f>
        <v>0</v>
      </c>
      <c r="E86" s="164"/>
      <c r="F86" s="164"/>
      <c r="G86" s="164"/>
      <c r="H86" s="164"/>
      <c r="I86" s="13" t="s">
        <v>142</v>
      </c>
      <c r="J86" s="30">
        <f>(IF(B76&gt;4,(H76/(B76+2)+J85),0))</f>
        <v>0</v>
      </c>
    </row>
    <row r="87" spans="1:19" ht="15.75" customHeight="1" x14ac:dyDescent="0.3">
      <c r="A87" s="100" t="s">
        <v>130</v>
      </c>
      <c r="B87" s="100" t="s">
        <v>130</v>
      </c>
      <c r="C87" s="77">
        <v>0</v>
      </c>
      <c r="D87" s="65">
        <f ca="1">((100/(H76))*C87)/100</f>
        <v>0</v>
      </c>
      <c r="E87" s="164"/>
      <c r="F87" s="164"/>
      <c r="G87" s="164"/>
      <c r="H87" s="164"/>
      <c r="I87" s="13" t="s">
        <v>146</v>
      </c>
      <c r="J87" s="30">
        <f ca="1">(IF(B76=1,(H76/(B76+3)+J82),IF(B76=0,(H76/4+J82),IF(B76&gt;1,0))))</f>
        <v>5.25</v>
      </c>
    </row>
    <row r="88" spans="1:19" ht="16.2" thickBot="1" x14ac:dyDescent="0.35">
      <c r="A88" s="100" t="s">
        <v>131</v>
      </c>
      <c r="B88" s="100"/>
      <c r="C88" s="77">
        <v>0</v>
      </c>
      <c r="D88" s="65">
        <f ca="1">((100/(H76))*C88)/100</f>
        <v>0</v>
      </c>
      <c r="E88" s="164"/>
      <c r="F88" s="164"/>
      <c r="G88" s="164"/>
      <c r="H88" s="164"/>
      <c r="I88" s="15" t="s">
        <v>102</v>
      </c>
      <c r="J88" s="32">
        <f ca="1">(IF(B76&gt;1.5,(H76/(B76+2)+J82+MAX(0,J83-J82)+MAX(0,J84-J83)+MAX(0,J85-J84)+MAX(0,J86-J85)+MAX(0,J87-J86)),IF(B76=1,(H76/(B76+3)+J87),IF(B76=0,H76/4+J87))))</f>
        <v>7</v>
      </c>
    </row>
    <row r="89" spans="1:19" ht="15.75" hidden="1" customHeight="1" x14ac:dyDescent="0.3">
      <c r="A89" s="225" t="s">
        <v>137</v>
      </c>
      <c r="B89" s="226"/>
      <c r="C89" s="227" t="str">
        <f>D66</f>
        <v>B Wing = 1B + G + 1st to 19th Floor</v>
      </c>
      <c r="D89" s="228"/>
      <c r="E89" s="228"/>
      <c r="F89" s="228"/>
      <c r="G89" s="228"/>
      <c r="H89" s="229"/>
      <c r="I89" s="49" t="str">
        <f ca="1">IF(D102=100%,"All work Completed. Possession granted to the Building.",IF(D101=100%,"All work Completed, Waiting for OC",I90&amp;""&amp;I91&amp;""&amp;J90&amp;""&amp;J89&amp;" "&amp;J91))</f>
        <v xml:space="preserve">Excavation, Plinth Completed </v>
      </c>
      <c r="J89" s="50" t="str">
        <f ca="1">(IF(C95=(D90+F90+H90),"",IF(C95&gt;0,", RCC upto "&amp;C95&amp;" Slab","")))&amp;(IF(C96=H90,"",IF(C96&gt;0,", Brickwork upto "&amp;C96&amp;" Floor","")))&amp;(IF(C97=H90,"",IF(C97&gt;0,", Internal Plaster upto "&amp;C97&amp;" Floor","")))&amp;(IF(C98=H90,"",IF(C98&gt;0,", External Plaster upto "&amp;C98&amp;" Floor","")))&amp;(IF(C99=H90,"",IF(C99&gt;0,", Flooring upto "&amp;C99&amp;" Floor","")))&amp;(IF(C100=H90,"",IF(C100&gt;0,", Painting upto "&amp;C100&amp;" Floor","")))&amp;(IF(C101=H90,"",IF(C101&gt;0,", Finishing upto "&amp;C101&amp;" Floor","")))&amp;(IF(C102=H90,"",IF(C102&gt;0,", Possession upto "&amp;C102&amp;" Floor","")))</f>
        <v/>
      </c>
    </row>
    <row r="90" spans="1:19" hidden="1" x14ac:dyDescent="0.3">
      <c r="A90" s="16" t="s">
        <v>139</v>
      </c>
      <c r="B90" s="47">
        <f>IF(AND(ISNUMBER(SEARCH("1B",C89))),1,IF(AND(ISNUMBER(SEARCH("2B",C89))),2,IF(AND(ISNUMBER(SEARCH("3B",C89))),3,IF(AND(ISNUMBER(SEARCH("4B",C89))),4,IF(ISNUMBER(SEARCH("5B",C89)),5,0)))))</f>
        <v>1</v>
      </c>
      <c r="C90" s="47" t="s">
        <v>69</v>
      </c>
      <c r="D90" s="47">
        <v>1</v>
      </c>
      <c r="E90" s="47" t="s">
        <v>68</v>
      </c>
      <c r="F90" s="14">
        <v>0</v>
      </c>
      <c r="G90" s="48" t="s">
        <v>77</v>
      </c>
      <c r="H90" s="17">
        <f ca="1">--TRIM(RIGHT(SUBSTITUTE(LEFT(C89,_xlfn.AGGREGATE(16,6,FIND({0,1,2,3,4,5,6,7,8,9},C89,ROW(INDIRECT("1:"&amp;LEN(C89)))),1))," ",REPT(" ",LEN(C89))),LEN(C89)))</f>
        <v>19</v>
      </c>
      <c r="I90" s="51" t="str">
        <f ca="1">IF(D93=100%,"Excavation","")&amp;IF(D94=100%,", Plinth","")&amp;IF(D95=100%,", RCC Slab","")&amp;IF(D96=100%,", Brickwork","")&amp;IF(D97=100%,", Internal Plaster","")&amp;IF(D98=100%,", External Plaster","")&amp;IF(D99=100%,", Flooring","")&amp;IF(D100=100%,", Painting","")&amp;IF(D101=100%,", Building common Amenities","")</f>
        <v>Excavation, Plinth</v>
      </c>
      <c r="J90" s="52" t="str">
        <f ca="1">(IF(C93=0,"Work not yet Started.",IF(D93=25%,"Piling work in process",IF(D93=50%,"Excavation work in process",IF(D93=100%,"","0")))))&amp;(IF(C94=0%,"",IF(C94=J95,", Footing work is process",IF(C94=J96,", Footing work Completed",IF(C94=J97,", 1st Basement Completed",IF(C94=J98,", 1st &amp; 2nd Basement Completed",IF(C94=J99,", 1st to 3rd Basement Completed",IF(C94=J100,", 1st to 4th Basement Completed",IF(C94=J101,", Plinth work is process",IF(C94=J102,"","0"))))))))))</f>
        <v/>
      </c>
    </row>
    <row r="91" spans="1:19" hidden="1" x14ac:dyDescent="0.3">
      <c r="A91" s="169" t="s">
        <v>87</v>
      </c>
      <c r="B91" s="145"/>
      <c r="C91" s="103" t="str">
        <f ca="1">(IF($G$60="NA",I89,"All work Completed. OC Received."))</f>
        <v xml:space="preserve">Excavation, Plinth Completed </v>
      </c>
      <c r="D91" s="103"/>
      <c r="E91" s="103"/>
      <c r="F91" s="103"/>
      <c r="G91" s="103"/>
      <c r="H91" s="104"/>
      <c r="I91" s="51" t="str">
        <f ca="1">IF(I90&lt;&gt;""," Completed","")</f>
        <v xml:space="preserve"> Completed</v>
      </c>
      <c r="J91" s="52" t="str">
        <f ca="1">IF(J89&lt;&gt;"","Completed","")</f>
        <v/>
      </c>
    </row>
    <row r="92" spans="1:19" ht="15.75" hidden="1" customHeight="1" x14ac:dyDescent="0.3">
      <c r="A92" s="99" t="s">
        <v>47</v>
      </c>
      <c r="B92" s="100"/>
      <c r="C92" s="43" t="s">
        <v>136</v>
      </c>
      <c r="D92" s="43" t="s">
        <v>80</v>
      </c>
      <c r="E92" s="100" t="s">
        <v>82</v>
      </c>
      <c r="F92" s="100"/>
      <c r="G92" s="100" t="s">
        <v>81</v>
      </c>
      <c r="H92" s="127"/>
      <c r="I92" s="13" t="s">
        <v>138</v>
      </c>
      <c r="J92" s="28">
        <f ca="1">H90*25%</f>
        <v>4.75</v>
      </c>
    </row>
    <row r="93" spans="1:19" hidden="1" x14ac:dyDescent="0.3">
      <c r="A93" s="99" t="s">
        <v>125</v>
      </c>
      <c r="B93" s="100"/>
      <c r="C93" s="59">
        <f ca="1">J94</f>
        <v>19</v>
      </c>
      <c r="D93" s="19">
        <f ca="1">((100/H90)*C93)/100</f>
        <v>1</v>
      </c>
      <c r="E93" s="117">
        <f ca="1">(((C94/H90*10)+(40/(D90+F90+H90)*C95)+(7.5/(H90)*C96)+(7.5/(H90)*C97)+(10/H90*C98)+(10/H90*C99)+(5/H90*C100)+(5/H90*C101)+(5/H90*C102))/100)</f>
        <v>0.1</v>
      </c>
      <c r="F93" s="182"/>
      <c r="G93" s="117">
        <f ca="1">((((C93/H90)*20)+((C94/H90)*25)+(30/(H90+F90+D90)*C95)+(5/H90*C96)+(5/H90*C97)+(5/H90*C98)+(5/H90*C99)+(0/H90*C100)+(0/H90*C101)+(5/H90*C102))/100)</f>
        <v>0.45</v>
      </c>
      <c r="H93" s="118"/>
      <c r="I93" s="13" t="s">
        <v>98</v>
      </c>
      <c r="J93" s="29">
        <f ca="1">H90*50%</f>
        <v>9.5</v>
      </c>
    </row>
    <row r="94" spans="1:19" hidden="1" x14ac:dyDescent="0.3">
      <c r="A94" s="99" t="s">
        <v>48</v>
      </c>
      <c r="B94" s="100"/>
      <c r="C94" s="60">
        <v>19</v>
      </c>
      <c r="D94" s="19">
        <f ca="1">((100/H90)*C94)/100</f>
        <v>1</v>
      </c>
      <c r="E94" s="119"/>
      <c r="F94" s="183"/>
      <c r="G94" s="119"/>
      <c r="H94" s="120"/>
      <c r="I94" s="13" t="s">
        <v>99</v>
      </c>
      <c r="J94" s="29">
        <f ca="1">H90</f>
        <v>19</v>
      </c>
    </row>
    <row r="95" spans="1:19" ht="15.75" hidden="1" customHeight="1" x14ac:dyDescent="0.3">
      <c r="A95" s="99" t="s">
        <v>126</v>
      </c>
      <c r="B95" s="100"/>
      <c r="C95" s="43">
        <v>0</v>
      </c>
      <c r="D95" s="19">
        <f ca="1">((100/(D90+F90+H90))*C95)/100</f>
        <v>0</v>
      </c>
      <c r="E95" s="119"/>
      <c r="F95" s="183"/>
      <c r="G95" s="119"/>
      <c r="H95" s="120"/>
      <c r="I95" s="13" t="s">
        <v>100</v>
      </c>
      <c r="J95" s="30">
        <f ca="1">(IF(B90&gt;1,(H90/(B90+2)),H90/4))</f>
        <v>4.75</v>
      </c>
    </row>
    <row r="96" spans="1:19" ht="15.75" hidden="1" customHeight="1" x14ac:dyDescent="0.3">
      <c r="A96" s="99" t="s">
        <v>133</v>
      </c>
      <c r="B96" s="100" t="s">
        <v>127</v>
      </c>
      <c r="C96" s="43">
        <v>0</v>
      </c>
      <c r="D96" s="19">
        <f ca="1">((100/H90)*C96)/100</f>
        <v>0</v>
      </c>
      <c r="E96" s="119"/>
      <c r="F96" s="183"/>
      <c r="G96" s="119"/>
      <c r="H96" s="120"/>
      <c r="I96" s="13" t="s">
        <v>101</v>
      </c>
      <c r="J96" s="30">
        <f ca="1">(IF(B90&gt;1,(H90/(B90+2)+J95),H90/4+J95))</f>
        <v>9.5</v>
      </c>
    </row>
    <row r="97" spans="1:10" ht="15.75" hidden="1" customHeight="1" x14ac:dyDescent="0.3">
      <c r="A97" s="99" t="s">
        <v>134</v>
      </c>
      <c r="B97" s="100" t="s">
        <v>127</v>
      </c>
      <c r="C97" s="43">
        <v>0</v>
      </c>
      <c r="D97" s="19">
        <f ca="1">((100/H90)*C97)/100</f>
        <v>0</v>
      </c>
      <c r="E97" s="119"/>
      <c r="F97" s="183"/>
      <c r="G97" s="119"/>
      <c r="H97" s="120"/>
      <c r="I97" s="13" t="s">
        <v>145</v>
      </c>
      <c r="J97" s="30">
        <f>(IF(B90&gt;1,(H90/(B90+2)+J96),0))</f>
        <v>0</v>
      </c>
    </row>
    <row r="98" spans="1:10" ht="15" hidden="1" customHeight="1" x14ac:dyDescent="0.3">
      <c r="A98" s="99" t="s">
        <v>132</v>
      </c>
      <c r="B98" s="100" t="s">
        <v>129</v>
      </c>
      <c r="C98" s="43">
        <v>0</v>
      </c>
      <c r="D98" s="19">
        <f ca="1">((100/(H90))*C98)/100</f>
        <v>0</v>
      </c>
      <c r="E98" s="119"/>
      <c r="F98" s="183"/>
      <c r="G98" s="119"/>
      <c r="H98" s="120"/>
      <c r="I98" s="13" t="s">
        <v>140</v>
      </c>
      <c r="J98" s="30">
        <f>(IF(B90&gt;2,(H90/(B90+2)+J97),0))</f>
        <v>0</v>
      </c>
    </row>
    <row r="99" spans="1:10" ht="15.75" hidden="1" customHeight="1" x14ac:dyDescent="0.3">
      <c r="A99" s="99" t="s">
        <v>128</v>
      </c>
      <c r="B99" s="100" t="s">
        <v>128</v>
      </c>
      <c r="C99" s="43">
        <v>0</v>
      </c>
      <c r="D99" s="19">
        <f ca="1">((100/H90)*C99)/100</f>
        <v>0</v>
      </c>
      <c r="E99" s="119"/>
      <c r="F99" s="183"/>
      <c r="G99" s="119"/>
      <c r="H99" s="120"/>
      <c r="I99" s="13" t="s">
        <v>141</v>
      </c>
      <c r="J99" s="31">
        <f>(IF(B90&gt;3,(H90/(B90+2)+J98),0))</f>
        <v>0</v>
      </c>
    </row>
    <row r="100" spans="1:10" ht="15.75" hidden="1" customHeight="1" x14ac:dyDescent="0.3">
      <c r="A100" s="99" t="s">
        <v>135</v>
      </c>
      <c r="B100" s="100"/>
      <c r="C100" s="43">
        <v>0</v>
      </c>
      <c r="D100" s="19">
        <f ca="1">((100/H90)*C100)/100</f>
        <v>0</v>
      </c>
      <c r="E100" s="119"/>
      <c r="F100" s="183"/>
      <c r="G100" s="119"/>
      <c r="H100" s="120"/>
      <c r="I100" s="13" t="s">
        <v>142</v>
      </c>
      <c r="J100" s="30">
        <f>(IF(B90&gt;4,(H90/(B90+2)+J99),0))</f>
        <v>0</v>
      </c>
    </row>
    <row r="101" spans="1:10" ht="15.75" hidden="1" customHeight="1" x14ac:dyDescent="0.3">
      <c r="A101" s="99" t="s">
        <v>130</v>
      </c>
      <c r="B101" s="100" t="s">
        <v>130</v>
      </c>
      <c r="C101" s="43">
        <v>0</v>
      </c>
      <c r="D101" s="19">
        <f ca="1">((100/(H90))*C101)/100</f>
        <v>0</v>
      </c>
      <c r="E101" s="119"/>
      <c r="F101" s="183"/>
      <c r="G101" s="119"/>
      <c r="H101" s="120"/>
      <c r="I101" s="13" t="s">
        <v>146</v>
      </c>
      <c r="J101" s="30">
        <f ca="1">(IF(B90=1,(H90/(B90+3)+J96),IF(B90=0,(H90/4+J96),IF(B90&gt;1,0))))</f>
        <v>14.25</v>
      </c>
    </row>
    <row r="102" spans="1:10" ht="16.2" hidden="1" thickBot="1" x14ac:dyDescent="0.35">
      <c r="A102" s="97" t="s">
        <v>131</v>
      </c>
      <c r="B102" s="98"/>
      <c r="C102" s="44">
        <v>0</v>
      </c>
      <c r="D102" s="20">
        <f ca="1">((100/(H90))*C102)/100</f>
        <v>0</v>
      </c>
      <c r="E102" s="121"/>
      <c r="F102" s="184"/>
      <c r="G102" s="121"/>
      <c r="H102" s="122"/>
      <c r="I102" s="15" t="s">
        <v>102</v>
      </c>
      <c r="J102" s="32">
        <f ca="1">(IF(B90&gt;1.5,(H90/(B90+2)+J96+MAX(0,J97-J96)+MAX(0,J98-J97)+MAX(0,J99-J98)+MAX(0,J100-J99)+MAX(0,J101-J100)),IF(B90=1,(H90/(B90+3)+J101),IF(B90=0,H90/4+J101))))</f>
        <v>19</v>
      </c>
    </row>
    <row r="103" spans="1:10" ht="15.75" hidden="1" customHeight="1" x14ac:dyDescent="0.3">
      <c r="A103" s="149" t="s">
        <v>137</v>
      </c>
      <c r="B103" s="150"/>
      <c r="C103" s="151" t="str">
        <f>D67</f>
        <v>C Wing = 1B + G + 1st to 20th Floor</v>
      </c>
      <c r="D103" s="152"/>
      <c r="E103" s="152"/>
      <c r="F103" s="152"/>
      <c r="G103" s="152"/>
      <c r="H103" s="153"/>
      <c r="I103" s="49" t="str">
        <f ca="1">IF(D116=100%,"All work Completed. Possession granted to the Building.",IF(D115=100%,"All work Completed, Waiting for OC",I104&amp;""&amp;I105&amp;""&amp;J104&amp;""&amp;J103&amp;" "&amp;J105))</f>
        <v xml:space="preserve">Excavation, Plinth, RCC Slab Completed </v>
      </c>
      <c r="J103" s="50" t="str">
        <f ca="1">(IF(C109=(D104+F104+H104),"",IF(C109&gt;0,", RCC upto "&amp;C109&amp;" Slab","")))&amp;(IF(C110=H104,"",IF(C110&gt;0,", Brickwork upto "&amp;C110&amp;" Floor","")))&amp;(IF(C111=H104,"",IF(C111&gt;0,", Internal Plaster upto "&amp;C111&amp;" Floor","")))&amp;(IF(C112=H104,"",IF(C112&gt;0,", External Plaster upto "&amp;C112&amp;" Floor","")))&amp;(IF(C113=H104,"",IF(C113&gt;0,", Flooring upto "&amp;C113&amp;" Floor","")))&amp;(IF(C114=H104,"",IF(C114&gt;0,", Painting upto "&amp;C114&amp;" Floor","")))&amp;(IF(C115=H104,"",IF(C115&gt;0,", Finishing upto "&amp;C115&amp;" Floor","")))&amp;(IF(C116=H104,"",IF(C116&gt;0,", Possession upto "&amp;C116&amp;" Floor","")))</f>
        <v/>
      </c>
    </row>
    <row r="104" spans="1:10" hidden="1" x14ac:dyDescent="0.3">
      <c r="A104" s="16" t="s">
        <v>139</v>
      </c>
      <c r="B104" s="47">
        <f>IF(AND(ISNUMBER(SEARCH("1B",C103))),1,IF(AND(ISNUMBER(SEARCH("2B",C103))),2,IF(AND(ISNUMBER(SEARCH("3B",C103))),3,IF(AND(ISNUMBER(SEARCH("4B",C103))),4,IF(ISNUMBER(SEARCH("5B",C103)),5,0)))))</f>
        <v>1</v>
      </c>
      <c r="C104" s="47" t="s">
        <v>69</v>
      </c>
      <c r="D104" s="47">
        <v>1</v>
      </c>
      <c r="E104" s="47" t="s">
        <v>68</v>
      </c>
      <c r="F104" s="14">
        <v>0</v>
      </c>
      <c r="G104" s="48" t="s">
        <v>77</v>
      </c>
      <c r="H104" s="17">
        <f ca="1">--TRIM(RIGHT(SUBSTITUTE(LEFT(C103,_xlfn.AGGREGATE(16,6,FIND({0,1,2,3,4,5,6,7,8,9},C103,ROW(INDIRECT("1:"&amp;LEN(C103)))),1))," ",REPT(" ",LEN(C103))),LEN(C103)))</f>
        <v>20</v>
      </c>
      <c r="I104" s="51" t="str">
        <f ca="1">IF(D107=100%,"Excavation","")&amp;IF(D108=100%,", Plinth","")&amp;IF(D109=100%,", RCC Slab","")&amp;IF(D110=100%,", Brickwork","")&amp;IF(D111=100%,", Internal Plaster","")&amp;IF(D112=100%,", External Plaster","")&amp;IF(D113=100%,", Flooring","")&amp;IF(D114=100%,", Painting","")&amp;IF(D115=100%,", Building common Amenities","")</f>
        <v>Excavation, Plinth, RCC Slab</v>
      </c>
      <c r="J104" s="52" t="str">
        <f ca="1">(IF(C107=0,"Work not yet Started.",IF(D107=25%,"Piling work in process",IF(D107=50%,"Excavation work in process",IF(D107=100%,"","0")))))&amp;(IF(C108=0%,"",IF(C108=J109,", Footing work is process",IF(C108=J110,", Footing work Completed",IF(C108=J111,", 1st Basement Completed",IF(C108=J112,", 1st &amp; 2nd Basement Completed",IF(C108=J113,", 1st to 3rd Basement Completed",IF(C108=J114,", 1st to 4th Basement Completed",IF(C108=J115,", Plinth work is process",IF(C108=J116,"","0"))))))))))</f>
        <v/>
      </c>
    </row>
    <row r="105" spans="1:10" hidden="1" x14ac:dyDescent="0.3">
      <c r="A105" s="169" t="s">
        <v>87</v>
      </c>
      <c r="B105" s="145"/>
      <c r="C105" s="103" t="str">
        <f ca="1">(IF($G$60="NA",I103,"All work Completed. OC Received."))</f>
        <v xml:space="preserve">Excavation, Plinth, RCC Slab Completed </v>
      </c>
      <c r="D105" s="103"/>
      <c r="E105" s="103"/>
      <c r="F105" s="103"/>
      <c r="G105" s="103"/>
      <c r="H105" s="104"/>
      <c r="I105" s="51" t="str">
        <f ca="1">IF(I104&lt;&gt;""," Completed","")</f>
        <v xml:space="preserve"> Completed</v>
      </c>
      <c r="J105" s="52" t="str">
        <f ca="1">IF(J103&lt;&gt;"","Completed","")</f>
        <v/>
      </c>
    </row>
    <row r="106" spans="1:10" ht="15.75" hidden="1" customHeight="1" x14ac:dyDescent="0.3">
      <c r="A106" s="99" t="s">
        <v>47</v>
      </c>
      <c r="B106" s="100"/>
      <c r="C106" s="43" t="s">
        <v>136</v>
      </c>
      <c r="D106" s="43" t="s">
        <v>80</v>
      </c>
      <c r="E106" s="100" t="s">
        <v>82</v>
      </c>
      <c r="F106" s="100"/>
      <c r="G106" s="100" t="s">
        <v>81</v>
      </c>
      <c r="H106" s="127"/>
      <c r="I106" s="13" t="s">
        <v>138</v>
      </c>
      <c r="J106" s="28">
        <f ca="1">H104*25%</f>
        <v>5</v>
      </c>
    </row>
    <row r="107" spans="1:10" hidden="1" x14ac:dyDescent="0.3">
      <c r="A107" s="99" t="s">
        <v>125</v>
      </c>
      <c r="B107" s="100"/>
      <c r="C107" s="43">
        <f ca="1">J108</f>
        <v>20</v>
      </c>
      <c r="D107" s="19">
        <f ca="1">((100/H104)*C107)/100</f>
        <v>1</v>
      </c>
      <c r="E107" s="117">
        <f ca="1">(((C108/H104*10)+(40/(D104+F104+H104)*C109)+(7.5/(H104)*C110)+(7.5/(H104)*C111)+(10/H104*C112)+(10/H104*C113)+(5/H104*C114)+(5/H104*C115)+(5/H104*C116))/100)</f>
        <v>0.5</v>
      </c>
      <c r="F107" s="182"/>
      <c r="G107" s="117">
        <f ca="1">((((C107/H104)*20)+((C108/H104)*25)+(30/(H104+F104+D104)*C109)+(5/H104*C110)+(5/H104*C111)+(5/H104*C112)+(5/H104*C113)+(0/H104*C114)+(0/H104*C115)+(5/H104*C116))/100)</f>
        <v>0.75</v>
      </c>
      <c r="H107" s="118"/>
      <c r="I107" s="13" t="s">
        <v>98</v>
      </c>
      <c r="J107" s="29">
        <f ca="1">H104*50%</f>
        <v>10</v>
      </c>
    </row>
    <row r="108" spans="1:10" hidden="1" x14ac:dyDescent="0.3">
      <c r="A108" s="99" t="s">
        <v>48</v>
      </c>
      <c r="B108" s="100"/>
      <c r="C108" s="43">
        <f ca="1">J116</f>
        <v>20</v>
      </c>
      <c r="D108" s="19">
        <f ca="1">((100/H104)*C108)/100</f>
        <v>1</v>
      </c>
      <c r="E108" s="119"/>
      <c r="F108" s="183"/>
      <c r="G108" s="119"/>
      <c r="H108" s="120"/>
      <c r="I108" s="13" t="s">
        <v>99</v>
      </c>
      <c r="J108" s="29">
        <f ca="1">H104</f>
        <v>20</v>
      </c>
    </row>
    <row r="109" spans="1:10" ht="15.75" hidden="1" customHeight="1" x14ac:dyDescent="0.3">
      <c r="A109" s="99" t="s">
        <v>126</v>
      </c>
      <c r="B109" s="100"/>
      <c r="C109" s="43">
        <f ca="1">D104+H104</f>
        <v>21</v>
      </c>
      <c r="D109" s="19">
        <f ca="1">((100/(D104+F104+H104))*C109)/100</f>
        <v>1</v>
      </c>
      <c r="E109" s="119"/>
      <c r="F109" s="183"/>
      <c r="G109" s="119"/>
      <c r="H109" s="120"/>
      <c r="I109" s="13" t="s">
        <v>100</v>
      </c>
      <c r="J109" s="30">
        <f ca="1">(IF(B104&gt;1,(H104/(B104+2)),H104/4))</f>
        <v>5</v>
      </c>
    </row>
    <row r="110" spans="1:10" ht="15.75" hidden="1" customHeight="1" x14ac:dyDescent="0.3">
      <c r="A110" s="99" t="s">
        <v>133</v>
      </c>
      <c r="B110" s="100" t="s">
        <v>127</v>
      </c>
      <c r="C110" s="43">
        <v>0</v>
      </c>
      <c r="D110" s="19">
        <f ca="1">((100/H104)*C110)/100</f>
        <v>0</v>
      </c>
      <c r="E110" s="119"/>
      <c r="F110" s="183"/>
      <c r="G110" s="119"/>
      <c r="H110" s="120"/>
      <c r="I110" s="13" t="s">
        <v>101</v>
      </c>
      <c r="J110" s="30">
        <f ca="1">(IF(B104&gt;1,(H104/(B104+2)+J109),H104/4+J109))</f>
        <v>10</v>
      </c>
    </row>
    <row r="111" spans="1:10" ht="15.75" hidden="1" customHeight="1" x14ac:dyDescent="0.3">
      <c r="A111" s="99" t="s">
        <v>134</v>
      </c>
      <c r="B111" s="100" t="s">
        <v>127</v>
      </c>
      <c r="C111" s="43">
        <v>0</v>
      </c>
      <c r="D111" s="19">
        <f ca="1">((100/H104)*C111)/100</f>
        <v>0</v>
      </c>
      <c r="E111" s="119"/>
      <c r="F111" s="183"/>
      <c r="G111" s="119"/>
      <c r="H111" s="120"/>
      <c r="I111" s="13" t="s">
        <v>145</v>
      </c>
      <c r="J111" s="30">
        <f>(IF(B104&gt;1,(H104/(B104+2)+J110),0))</f>
        <v>0</v>
      </c>
    </row>
    <row r="112" spans="1:10" ht="15" hidden="1" customHeight="1" x14ac:dyDescent="0.3">
      <c r="A112" s="99" t="s">
        <v>132</v>
      </c>
      <c r="B112" s="100" t="s">
        <v>129</v>
      </c>
      <c r="C112" s="43">
        <v>0</v>
      </c>
      <c r="D112" s="19">
        <f ca="1">((100/(H104))*C112)/100</f>
        <v>0</v>
      </c>
      <c r="E112" s="119"/>
      <c r="F112" s="183"/>
      <c r="G112" s="119"/>
      <c r="H112" s="120"/>
      <c r="I112" s="13" t="s">
        <v>140</v>
      </c>
      <c r="J112" s="30">
        <f>(IF(B104&gt;2,(H104/(B104+2)+J111),0))</f>
        <v>0</v>
      </c>
    </row>
    <row r="113" spans="1:22" ht="15.75" hidden="1" customHeight="1" x14ac:dyDescent="0.3">
      <c r="A113" s="99" t="s">
        <v>128</v>
      </c>
      <c r="B113" s="100" t="s">
        <v>128</v>
      </c>
      <c r="C113" s="43">
        <v>0</v>
      </c>
      <c r="D113" s="19">
        <f ca="1">((100/H104)*C113)/100</f>
        <v>0</v>
      </c>
      <c r="E113" s="119"/>
      <c r="F113" s="183"/>
      <c r="G113" s="119"/>
      <c r="H113" s="120"/>
      <c r="I113" s="13" t="s">
        <v>141</v>
      </c>
      <c r="J113" s="31">
        <f>(IF(B104&gt;3,(H104/(B104+2)+J112),0))</f>
        <v>0</v>
      </c>
    </row>
    <row r="114" spans="1:22" ht="15.75" hidden="1" customHeight="1" x14ac:dyDescent="0.3">
      <c r="A114" s="99" t="s">
        <v>135</v>
      </c>
      <c r="B114" s="100"/>
      <c r="C114" s="43">
        <v>0</v>
      </c>
      <c r="D114" s="19">
        <f ca="1">((100/H104)*C114)/100</f>
        <v>0</v>
      </c>
      <c r="E114" s="119"/>
      <c r="F114" s="183"/>
      <c r="G114" s="119"/>
      <c r="H114" s="120"/>
      <c r="I114" s="13" t="s">
        <v>142</v>
      </c>
      <c r="J114" s="30">
        <f>(IF(B104&gt;4,(H104/(B104+2)+J113),0))</f>
        <v>0</v>
      </c>
    </row>
    <row r="115" spans="1:22" ht="15.75" hidden="1" customHeight="1" x14ac:dyDescent="0.3">
      <c r="A115" s="99" t="s">
        <v>130</v>
      </c>
      <c r="B115" s="100" t="s">
        <v>130</v>
      </c>
      <c r="C115" s="43">
        <v>0</v>
      </c>
      <c r="D115" s="19">
        <f ca="1">((100/(H104))*C115)/100</f>
        <v>0</v>
      </c>
      <c r="E115" s="119"/>
      <c r="F115" s="183"/>
      <c r="G115" s="119"/>
      <c r="H115" s="120"/>
      <c r="I115" s="13" t="s">
        <v>146</v>
      </c>
      <c r="J115" s="30">
        <f ca="1">(IF(B104=1,(H104/(B104+3)+J110),IF(B104=0,(H104/4+J110),IF(B104&gt;1,0))))</f>
        <v>15</v>
      </c>
    </row>
    <row r="116" spans="1:22" ht="16.2" hidden="1" thickBot="1" x14ac:dyDescent="0.35">
      <c r="A116" s="97" t="s">
        <v>131</v>
      </c>
      <c r="B116" s="98"/>
      <c r="C116" s="44">
        <v>0</v>
      </c>
      <c r="D116" s="20">
        <f ca="1">((100/(H104))*C116)/100</f>
        <v>0</v>
      </c>
      <c r="E116" s="121"/>
      <c r="F116" s="184"/>
      <c r="G116" s="121"/>
      <c r="H116" s="122"/>
      <c r="I116" s="15" t="s">
        <v>102</v>
      </c>
      <c r="J116" s="32">
        <f ca="1">(IF(B104&gt;1.5,(H104/(B104+2)+J110+MAX(0,J111-J110)+MAX(0,J112-J111)+MAX(0,J113-J112)+MAX(0,J114-J113)+MAX(0,J115-J114)),IF(B104=1,(H104/(B104+3)+J115),IF(B104=0,H104/4+J115))))</f>
        <v>20</v>
      </c>
    </row>
    <row r="117" spans="1:22" x14ac:dyDescent="0.3">
      <c r="A117" s="125" t="s">
        <v>156</v>
      </c>
      <c r="B117" s="125"/>
      <c r="C117" s="125"/>
      <c r="D117" s="125"/>
      <c r="E117" s="125"/>
      <c r="F117" s="130" t="s">
        <v>160</v>
      </c>
      <c r="G117" s="130"/>
      <c r="H117" s="130"/>
      <c r="R117" t="s">
        <v>253</v>
      </c>
      <c r="S117" t="s">
        <v>173</v>
      </c>
      <c r="T117" t="s">
        <v>179</v>
      </c>
      <c r="U117" t="s">
        <v>194</v>
      </c>
      <c r="V117" t="s">
        <v>189</v>
      </c>
    </row>
    <row r="118" spans="1:22" x14ac:dyDescent="0.3">
      <c r="A118" s="96" t="s">
        <v>158</v>
      </c>
      <c r="B118" s="96"/>
      <c r="C118" s="96"/>
      <c r="D118" s="96"/>
      <c r="E118" s="96"/>
      <c r="F118" s="126">
        <v>3500</v>
      </c>
      <c r="G118" s="126"/>
      <c r="H118" s="126"/>
      <c r="J118" s="82"/>
      <c r="K118" s="83"/>
      <c r="L118" s="82"/>
      <c r="M118" s="82"/>
      <c r="N118" s="82"/>
      <c r="R118"/>
      <c r="S118">
        <v>800000</v>
      </c>
      <c r="T118">
        <v>150000</v>
      </c>
      <c r="U118">
        <v>100000</v>
      </c>
      <c r="V118">
        <v>100000</v>
      </c>
    </row>
    <row r="119" spans="1:22" x14ac:dyDescent="0.3">
      <c r="A119" s="96" t="s">
        <v>157</v>
      </c>
      <c r="B119" s="96"/>
      <c r="C119" s="96"/>
      <c r="D119" s="96"/>
      <c r="E119" s="96"/>
      <c r="F119" s="126">
        <v>6500</v>
      </c>
      <c r="G119" s="126"/>
      <c r="H119" s="126"/>
      <c r="J119" s="82"/>
      <c r="K119" s="82"/>
      <c r="L119" s="82"/>
      <c r="M119" s="82"/>
      <c r="N119" s="82"/>
      <c r="R119"/>
      <c r="S119">
        <v>900000</v>
      </c>
      <c r="T119">
        <v>200000</v>
      </c>
      <c r="U119">
        <v>150000</v>
      </c>
      <c r="V119">
        <v>150000</v>
      </c>
    </row>
    <row r="120" spans="1:22" hidden="1" x14ac:dyDescent="0.3">
      <c r="A120" s="96" t="s">
        <v>159</v>
      </c>
      <c r="B120" s="96"/>
      <c r="C120" s="96"/>
      <c r="D120" s="96"/>
      <c r="E120" s="96"/>
      <c r="F120" s="126"/>
      <c r="G120" s="126"/>
      <c r="H120" s="126"/>
      <c r="J120" s="68"/>
      <c r="K120" s="37"/>
      <c r="L120" s="68">
        <v>4800</v>
      </c>
      <c r="M120" s="68"/>
      <c r="N120" s="68"/>
      <c r="R120"/>
      <c r="S120">
        <v>1000000</v>
      </c>
      <c r="T120">
        <v>250000</v>
      </c>
      <c r="U120">
        <v>200000</v>
      </c>
      <c r="V120">
        <v>200000</v>
      </c>
    </row>
    <row r="121" spans="1:22" s="33" customFormat="1" hidden="1" x14ac:dyDescent="0.3">
      <c r="A121" s="96" t="s">
        <v>176</v>
      </c>
      <c r="B121" s="96"/>
      <c r="C121" s="96"/>
      <c r="D121" s="96"/>
      <c r="E121" s="96"/>
      <c r="F121" s="126"/>
      <c r="G121" s="126"/>
      <c r="H121" s="126"/>
      <c r="K121" s="72"/>
      <c r="R121"/>
      <c r="S121">
        <v>1100000</v>
      </c>
      <c r="T121">
        <v>300000</v>
      </c>
      <c r="U121">
        <v>250000</v>
      </c>
      <c r="V121" s="23">
        <v>250000</v>
      </c>
    </row>
    <row r="122" spans="1:22" s="33" customFormat="1" x14ac:dyDescent="0.3">
      <c r="A122" s="96" t="s">
        <v>92</v>
      </c>
      <c r="B122" s="96"/>
      <c r="C122" s="96"/>
      <c r="D122" s="96"/>
      <c r="E122" s="96"/>
      <c r="F122" s="126">
        <v>100000</v>
      </c>
      <c r="G122" s="126"/>
      <c r="H122" s="126"/>
      <c r="R122"/>
      <c r="S122">
        <v>1200000</v>
      </c>
      <c r="T122">
        <v>350000</v>
      </c>
      <c r="U122">
        <v>300000</v>
      </c>
      <c r="V122">
        <v>300000</v>
      </c>
    </row>
    <row r="123" spans="1:22" s="33" customFormat="1" hidden="1" x14ac:dyDescent="0.3">
      <c r="A123" s="96" t="s">
        <v>93</v>
      </c>
      <c r="B123" s="96"/>
      <c r="C123" s="96"/>
      <c r="D123" s="96"/>
      <c r="E123" s="96"/>
      <c r="F123" s="126"/>
      <c r="G123" s="126"/>
      <c r="H123" s="126"/>
      <c r="R123"/>
      <c r="S123">
        <v>1300000</v>
      </c>
      <c r="T123">
        <v>400000</v>
      </c>
      <c r="U123">
        <v>350000</v>
      </c>
      <c r="V123" s="23">
        <v>400000</v>
      </c>
    </row>
    <row r="124" spans="1:22" s="33" customFormat="1" hidden="1" x14ac:dyDescent="0.3">
      <c r="A124" s="96" t="s">
        <v>94</v>
      </c>
      <c r="B124" s="96"/>
      <c r="C124" s="96"/>
      <c r="D124" s="96"/>
      <c r="E124" s="96"/>
      <c r="F124" s="126"/>
      <c r="G124" s="126"/>
      <c r="H124" s="126"/>
      <c r="R124"/>
      <c r="S124">
        <v>1400000</v>
      </c>
      <c r="T124">
        <v>500000</v>
      </c>
      <c r="U124">
        <v>400000</v>
      </c>
      <c r="V124"/>
    </row>
    <row r="125" spans="1:22" s="33" customFormat="1" hidden="1" x14ac:dyDescent="0.3">
      <c r="A125" s="96" t="s">
        <v>95</v>
      </c>
      <c r="B125" s="96"/>
      <c r="C125" s="96"/>
      <c r="D125" s="96"/>
      <c r="E125" s="96"/>
      <c r="F125" s="126"/>
      <c r="G125" s="126"/>
      <c r="H125" s="126"/>
      <c r="R125"/>
      <c r="S125">
        <v>1500000</v>
      </c>
      <c r="T125">
        <v>600000</v>
      </c>
      <c r="U125">
        <v>500000</v>
      </c>
      <c r="V125" s="23"/>
    </row>
    <row r="126" spans="1:22" s="33" customFormat="1" x14ac:dyDescent="0.3">
      <c r="A126" s="96" t="s">
        <v>96</v>
      </c>
      <c r="B126" s="96"/>
      <c r="C126" s="96"/>
      <c r="D126" s="96"/>
      <c r="E126" s="96"/>
      <c r="F126" s="126">
        <v>120000</v>
      </c>
      <c r="G126" s="126"/>
      <c r="H126" s="126"/>
      <c r="R126"/>
      <c r="S126">
        <v>1600000</v>
      </c>
      <c r="T126">
        <v>700000</v>
      </c>
      <c r="U126">
        <v>600000</v>
      </c>
      <c r="V126"/>
    </row>
    <row r="127" spans="1:22" s="33" customFormat="1" hidden="1" x14ac:dyDescent="0.3">
      <c r="A127" s="96" t="s">
        <v>97</v>
      </c>
      <c r="B127" s="96"/>
      <c r="C127" s="96"/>
      <c r="D127" s="96"/>
      <c r="E127" s="96"/>
      <c r="F127" s="126"/>
      <c r="G127" s="126"/>
      <c r="H127" s="126"/>
      <c r="R127"/>
      <c r="S127">
        <v>1700000</v>
      </c>
      <c r="T127">
        <v>800000</v>
      </c>
      <c r="U127"/>
      <c r="V127" s="23"/>
    </row>
    <row r="128" spans="1:22" x14ac:dyDescent="0.3">
      <c r="A128" s="96" t="s">
        <v>49</v>
      </c>
      <c r="B128" s="96"/>
      <c r="C128" s="96"/>
      <c r="D128" s="96"/>
      <c r="E128" s="96"/>
      <c r="F128" s="126">
        <v>150000</v>
      </c>
      <c r="G128" s="126"/>
      <c r="H128" s="126"/>
      <c r="R128"/>
      <c r="S128">
        <v>1800000</v>
      </c>
      <c r="T128">
        <v>900000</v>
      </c>
      <c r="U128"/>
    </row>
    <row r="129" spans="1:22" s="34" customFormat="1" x14ac:dyDescent="0.3">
      <c r="A129" s="148" t="s">
        <v>50</v>
      </c>
      <c r="B129" s="148"/>
      <c r="C129" s="148"/>
      <c r="D129" s="148"/>
      <c r="E129" s="148"/>
      <c r="F129" s="126">
        <f>F118*0.8</f>
        <v>2800</v>
      </c>
      <c r="G129" s="126"/>
      <c r="H129" s="126"/>
      <c r="R129" s="21"/>
      <c r="S129" s="21"/>
      <c r="T129">
        <v>1000000</v>
      </c>
      <c r="U129"/>
      <c r="V129" s="21"/>
    </row>
    <row r="130" spans="1:22" s="35" customFormat="1" ht="15.75" customHeight="1" x14ac:dyDescent="0.3">
      <c r="A130" s="109" t="s">
        <v>72</v>
      </c>
      <c r="B130" s="109"/>
      <c r="C130" s="109"/>
      <c r="D130" s="109"/>
      <c r="E130" s="109"/>
      <c r="F130" s="109"/>
      <c r="G130" s="109"/>
      <c r="H130" s="109"/>
      <c r="R130"/>
      <c r="S130" s="21"/>
      <c r="T130"/>
      <c r="U130"/>
      <c r="V130" s="21"/>
    </row>
    <row r="131" spans="1:22" s="35" customFormat="1" ht="15.75" customHeight="1" x14ac:dyDescent="0.3">
      <c r="A131" s="112" t="s">
        <v>51</v>
      </c>
      <c r="B131" s="112"/>
      <c r="C131" s="110" t="s">
        <v>75</v>
      </c>
      <c r="D131" s="110"/>
      <c r="E131" s="111" t="s">
        <v>52</v>
      </c>
      <c r="F131" s="111"/>
      <c r="G131" s="112" t="s">
        <v>53</v>
      </c>
      <c r="H131" s="112"/>
      <c r="R131"/>
      <c r="S131" s="21"/>
      <c r="T131"/>
      <c r="U131" s="21"/>
      <c r="V131" s="21"/>
    </row>
    <row r="132" spans="1:22" s="35" customFormat="1" x14ac:dyDescent="0.3">
      <c r="A132" s="113" t="s">
        <v>328</v>
      </c>
      <c r="B132" s="113"/>
      <c r="C132" s="133">
        <f>COUNT(D147:D157)</f>
        <v>11</v>
      </c>
      <c r="D132" s="106"/>
      <c r="E132" s="133">
        <f t="shared" ref="E132" si="0">SUM(F147:F157)</f>
        <v>1840.3210799999999</v>
      </c>
      <c r="F132" s="106"/>
      <c r="G132" s="133">
        <f t="shared" ref="G132" si="1">SUM(H147:H157)</f>
        <v>3751</v>
      </c>
      <c r="H132" s="106"/>
      <c r="R132"/>
      <c r="S132" s="21"/>
      <c r="T132"/>
      <c r="U132" s="21"/>
      <c r="V132" s="21"/>
    </row>
    <row r="133" spans="1:22" s="35" customFormat="1" hidden="1" x14ac:dyDescent="0.3">
      <c r="A133" s="113"/>
      <c r="B133" s="113"/>
      <c r="C133" s="106"/>
      <c r="D133" s="106"/>
      <c r="E133" s="107"/>
      <c r="F133" s="107"/>
      <c r="G133" s="108"/>
      <c r="H133" s="108"/>
      <c r="R133"/>
      <c r="S133" s="21"/>
      <c r="T133"/>
      <c r="U133" s="21"/>
      <c r="V133" s="21"/>
    </row>
    <row r="134" spans="1:22" s="35" customFormat="1" hidden="1" x14ac:dyDescent="0.3">
      <c r="A134" s="109" t="s">
        <v>149</v>
      </c>
      <c r="B134" s="109"/>
      <c r="C134" s="110"/>
      <c r="D134" s="110"/>
      <c r="E134" s="111"/>
      <c r="F134" s="111"/>
      <c r="G134" s="112"/>
      <c r="H134" s="112"/>
      <c r="R134"/>
      <c r="S134" s="21"/>
      <c r="T134"/>
      <c r="U134" s="21"/>
      <c r="V134" s="21"/>
    </row>
    <row r="135" spans="1:22" s="35" customFormat="1" x14ac:dyDescent="0.3">
      <c r="A135" s="109" t="s">
        <v>67</v>
      </c>
      <c r="B135" s="109"/>
      <c r="C135" s="109"/>
      <c r="D135" s="109"/>
      <c r="E135" s="109"/>
      <c r="F135" s="109"/>
      <c r="G135" s="109"/>
      <c r="H135" s="109"/>
      <c r="T135"/>
    </row>
    <row r="136" spans="1:22" s="35" customFormat="1" ht="15.75" customHeight="1" x14ac:dyDescent="0.3">
      <c r="A136" s="112" t="s">
        <v>51</v>
      </c>
      <c r="B136" s="112"/>
      <c r="C136" s="110" t="s">
        <v>75</v>
      </c>
      <c r="D136" s="110"/>
      <c r="E136" s="111" t="s">
        <v>52</v>
      </c>
      <c r="F136" s="111"/>
      <c r="G136" s="112" t="s">
        <v>53</v>
      </c>
      <c r="H136" s="112"/>
      <c r="T136"/>
    </row>
    <row r="137" spans="1:22" s="35" customFormat="1" ht="16.2" thickBot="1" x14ac:dyDescent="0.35">
      <c r="A137" s="113" t="s">
        <v>338</v>
      </c>
      <c r="B137" s="113"/>
      <c r="C137" s="133">
        <f>COUNT(D162:D167)*7</f>
        <v>42</v>
      </c>
      <c r="D137" s="133"/>
      <c r="E137" s="133">
        <f>SUM(F162:F167)*7</f>
        <v>17725.730021999996</v>
      </c>
      <c r="F137" s="133"/>
      <c r="G137" s="133">
        <f t="shared" ref="G137" si="2">SUM(H162:H167)*7</f>
        <v>25702.308531899995</v>
      </c>
      <c r="H137" s="133"/>
      <c r="T137"/>
    </row>
    <row r="138" spans="1:22" s="35" customFormat="1" hidden="1" x14ac:dyDescent="0.3">
      <c r="A138" s="113"/>
      <c r="B138" s="113"/>
      <c r="C138" s="106"/>
      <c r="D138" s="106"/>
      <c r="E138" s="107"/>
      <c r="F138" s="107"/>
      <c r="G138" s="108"/>
      <c r="H138" s="108"/>
      <c r="T138"/>
    </row>
    <row r="139" spans="1:22" s="35" customFormat="1" ht="16.2" hidden="1" thickBot="1" x14ac:dyDescent="0.35">
      <c r="A139" s="101" t="s">
        <v>149</v>
      </c>
      <c r="B139" s="101"/>
      <c r="C139" s="205"/>
      <c r="D139" s="205"/>
      <c r="E139" s="102"/>
      <c r="F139" s="102"/>
      <c r="G139" s="105"/>
      <c r="H139" s="105"/>
      <c r="T139"/>
    </row>
    <row r="140" spans="1:22" s="35" customFormat="1" ht="16.2" thickBot="1" x14ac:dyDescent="0.35">
      <c r="A140" s="185" t="s">
        <v>166</v>
      </c>
      <c r="B140" s="186"/>
      <c r="C140" s="135">
        <f>C132+C137</f>
        <v>53</v>
      </c>
      <c r="D140" s="136"/>
      <c r="E140" s="135">
        <f>E132+E137</f>
        <v>19566.051101999998</v>
      </c>
      <c r="F140" s="136"/>
      <c r="G140" s="135">
        <f t="shared" ref="G140" si="3">G132+G137</f>
        <v>29453.308531899995</v>
      </c>
      <c r="H140" s="136"/>
      <c r="T140"/>
    </row>
    <row r="141" spans="1:22" s="34" customFormat="1" x14ac:dyDescent="0.3">
      <c r="A141" s="130" t="s">
        <v>54</v>
      </c>
      <c r="B141" s="130"/>
      <c r="C141" s="130"/>
      <c r="D141" s="130"/>
      <c r="E141" s="130"/>
      <c r="F141" s="130"/>
      <c r="G141" s="130"/>
      <c r="H141" s="130"/>
      <c r="T141" s="35"/>
    </row>
    <row r="142" spans="1:22" x14ac:dyDescent="0.3">
      <c r="A142" s="170" t="s">
        <v>175</v>
      </c>
      <c r="B142" s="170"/>
      <c r="C142" s="170"/>
      <c r="D142" s="170"/>
      <c r="E142" s="170"/>
      <c r="F142" s="170"/>
      <c r="G142" s="170"/>
      <c r="H142" s="170"/>
      <c r="T142" s="35"/>
    </row>
    <row r="143" spans="1:22" ht="47.25" customHeight="1" x14ac:dyDescent="0.3">
      <c r="A143" s="123" t="s">
        <v>331</v>
      </c>
      <c r="B143" s="123" t="s">
        <v>177</v>
      </c>
      <c r="C143" s="123" t="s">
        <v>55</v>
      </c>
      <c r="D143" s="123" t="s">
        <v>330</v>
      </c>
      <c r="E143" s="128" t="s">
        <v>155</v>
      </c>
      <c r="F143" s="123" t="s">
        <v>56</v>
      </c>
      <c r="G143" s="128" t="s">
        <v>57</v>
      </c>
      <c r="H143" s="66" t="s">
        <v>346</v>
      </c>
      <c r="T143" s="35"/>
    </row>
    <row r="144" spans="1:22" s="37" customFormat="1" hidden="1" x14ac:dyDescent="0.3">
      <c r="A144" s="124"/>
      <c r="B144" s="124"/>
      <c r="C144" s="124"/>
      <c r="D144" s="124"/>
      <c r="E144" s="129"/>
      <c r="F144" s="124"/>
      <c r="G144" s="129"/>
      <c r="H144" s="67">
        <v>0.5</v>
      </c>
      <c r="T144" s="35"/>
    </row>
    <row r="145" spans="1:20" s="37" customFormat="1" x14ac:dyDescent="0.3">
      <c r="A145" s="90" t="s">
        <v>337</v>
      </c>
      <c r="B145" s="91"/>
      <c r="C145" s="91"/>
      <c r="D145" s="91"/>
      <c r="E145" s="91"/>
      <c r="F145" s="91"/>
      <c r="G145" s="91"/>
      <c r="H145" s="92"/>
      <c r="J145" s="36"/>
      <c r="T145" s="35"/>
    </row>
    <row r="146" spans="1:20" s="37" customFormat="1" x14ac:dyDescent="0.3">
      <c r="A146" s="90" t="s">
        <v>329</v>
      </c>
      <c r="B146" s="91"/>
      <c r="C146" s="91"/>
      <c r="D146" s="91"/>
      <c r="E146" s="91"/>
      <c r="F146" s="91"/>
      <c r="G146" s="91"/>
      <c r="H146" s="92"/>
      <c r="J146" s="36"/>
      <c r="T146" s="35"/>
    </row>
    <row r="147" spans="1:20" s="37" customFormat="1" ht="15.75" customHeight="1" x14ac:dyDescent="0.3">
      <c r="A147" s="85">
        <v>1</v>
      </c>
      <c r="B147" s="86"/>
      <c r="C147" s="42" t="s">
        <v>328</v>
      </c>
      <c r="D147" s="42">
        <f>(15.01)*10.764</f>
        <v>161.56763999999998</v>
      </c>
      <c r="E147" s="42">
        <v>0</v>
      </c>
      <c r="F147" s="42">
        <f>D147+(IF(E147&lt;201,E147,IF(E147&lt;301,E147/2,E147/3)))</f>
        <v>161.56763999999998</v>
      </c>
      <c r="G147" s="42">
        <v>0</v>
      </c>
      <c r="H147" s="42">
        <v>336</v>
      </c>
      <c r="I147" s="36">
        <f>2.75*5.32</f>
        <v>14.63</v>
      </c>
      <c r="J147" s="42">
        <v>336</v>
      </c>
      <c r="K147" s="37">
        <f>J147/F147</f>
        <v>2.079624360422669</v>
      </c>
      <c r="L147" s="84">
        <f>H147*6500</f>
        <v>2184000</v>
      </c>
      <c r="M147" s="84"/>
      <c r="N147" s="42">
        <v>10.763999999999999</v>
      </c>
      <c r="T147" s="35"/>
    </row>
    <row r="148" spans="1:20" s="37" customFormat="1" ht="15.75" customHeight="1" x14ac:dyDescent="0.3">
      <c r="A148" s="85">
        <f>A147+1</f>
        <v>2</v>
      </c>
      <c r="B148" s="86"/>
      <c r="C148" s="42" t="s">
        <v>328</v>
      </c>
      <c r="D148" s="42">
        <f>(14.25)*10.764</f>
        <v>153.387</v>
      </c>
      <c r="E148" s="42">
        <v>0</v>
      </c>
      <c r="F148" s="42">
        <f t="shared" ref="F148:F150" si="4">D148+(IF(E148&lt;201,E148,IF(E148&lt;301,E148/2,E148/3)))</f>
        <v>153.387</v>
      </c>
      <c r="G148" s="42">
        <v>0</v>
      </c>
      <c r="H148" s="42">
        <v>309</v>
      </c>
      <c r="I148" s="36">
        <f>2.2*5.32+1.2*1.31</f>
        <v>13.276000000000003</v>
      </c>
      <c r="J148" s="42">
        <v>309</v>
      </c>
      <c r="K148" s="37">
        <f t="shared" ref="K148:K157" si="5">J148/F148</f>
        <v>2.0145123119951496</v>
      </c>
      <c r="L148" s="84">
        <f t="shared" ref="L148:L157" si="6">H148*6500</f>
        <v>2008500</v>
      </c>
      <c r="M148" s="84"/>
      <c r="N148" s="36"/>
      <c r="T148" s="34"/>
    </row>
    <row r="149" spans="1:20" s="37" customFormat="1" ht="15.75" customHeight="1" x14ac:dyDescent="0.3">
      <c r="A149" s="85">
        <f>A148+1</f>
        <v>3</v>
      </c>
      <c r="B149" s="86"/>
      <c r="C149" s="42" t="s">
        <v>328</v>
      </c>
      <c r="D149" s="42">
        <f>(19.09)*10.764</f>
        <v>205.48475999999999</v>
      </c>
      <c r="E149" s="42">
        <v>0</v>
      </c>
      <c r="F149" s="42">
        <f t="shared" si="4"/>
        <v>205.48475999999999</v>
      </c>
      <c r="G149" s="42">
        <v>0</v>
      </c>
      <c r="H149" s="42">
        <v>414</v>
      </c>
      <c r="I149" s="36">
        <f>2.75*6.63</f>
        <v>18.232499999999998</v>
      </c>
      <c r="J149" s="42">
        <v>414</v>
      </c>
      <c r="K149" s="37">
        <f t="shared" si="5"/>
        <v>2.0147479550308258</v>
      </c>
      <c r="L149" s="84">
        <f t="shared" si="6"/>
        <v>2691000</v>
      </c>
      <c r="M149" s="84"/>
      <c r="N149" s="36"/>
      <c r="T149" s="21"/>
    </row>
    <row r="150" spans="1:20" s="37" customFormat="1" ht="15.75" customHeight="1" x14ac:dyDescent="0.3">
      <c r="A150" s="85">
        <f>A149+1</f>
        <v>4</v>
      </c>
      <c r="B150" s="86"/>
      <c r="C150" s="42" t="s">
        <v>328</v>
      </c>
      <c r="D150" s="42">
        <f>(14.29)*10.764</f>
        <v>153.81755999999999</v>
      </c>
      <c r="E150" s="42">
        <v>0</v>
      </c>
      <c r="F150" s="42">
        <f t="shared" si="4"/>
        <v>153.81755999999999</v>
      </c>
      <c r="G150" s="42">
        <v>0</v>
      </c>
      <c r="H150" s="42">
        <v>313</v>
      </c>
      <c r="I150" s="36">
        <f>2.75*4.93</f>
        <v>13.557499999999999</v>
      </c>
      <c r="J150" s="42">
        <v>313</v>
      </c>
      <c r="K150" s="37">
        <f t="shared" si="5"/>
        <v>2.0348782024627101</v>
      </c>
      <c r="L150" s="84">
        <f t="shared" si="6"/>
        <v>2034500</v>
      </c>
      <c r="M150" s="84"/>
      <c r="N150" s="36"/>
      <c r="T150" s="21"/>
    </row>
    <row r="151" spans="1:20" s="37" customFormat="1" ht="15.75" customHeight="1" x14ac:dyDescent="0.3">
      <c r="A151" s="85">
        <f t="shared" ref="A151:A157" si="7">A150+1</f>
        <v>5</v>
      </c>
      <c r="B151" s="86"/>
      <c r="C151" s="42" t="s">
        <v>328</v>
      </c>
      <c r="D151" s="42">
        <f>(14.61)*10.764</f>
        <v>157.26203999999998</v>
      </c>
      <c r="E151" s="42">
        <v>0</v>
      </c>
      <c r="F151" s="42">
        <f t="shared" ref="F151:F157" si="8">D151+(IF(E151&lt;201,E151,IF(E151&lt;301,E151/2,E151/3)))</f>
        <v>157.26203999999998</v>
      </c>
      <c r="G151" s="42">
        <v>0</v>
      </c>
      <c r="H151" s="42">
        <v>319</v>
      </c>
      <c r="I151" s="36">
        <f>2.55*4.93+1.2*1.02</f>
        <v>13.795499999999999</v>
      </c>
      <c r="J151" s="42">
        <v>319</v>
      </c>
      <c r="K151" s="37">
        <f t="shared" si="5"/>
        <v>2.0284615410050639</v>
      </c>
      <c r="L151" s="84">
        <f t="shared" si="6"/>
        <v>2073500</v>
      </c>
      <c r="M151" s="84"/>
      <c r="N151" s="36">
        <f>4800/1.7</f>
        <v>2823.5294117647059</v>
      </c>
      <c r="T151" s="21"/>
    </row>
    <row r="152" spans="1:20" s="37" customFormat="1" ht="15.75" customHeight="1" x14ac:dyDescent="0.3">
      <c r="A152" s="85">
        <f t="shared" si="7"/>
        <v>6</v>
      </c>
      <c r="B152" s="86"/>
      <c r="C152" s="42" t="s">
        <v>328</v>
      </c>
      <c r="D152" s="42">
        <f>(16.5)*10.764</f>
        <v>177.60599999999999</v>
      </c>
      <c r="E152" s="42">
        <v>0</v>
      </c>
      <c r="F152" s="42">
        <f t="shared" si="8"/>
        <v>177.60599999999999</v>
      </c>
      <c r="G152" s="42">
        <v>0</v>
      </c>
      <c r="H152" s="42">
        <v>374</v>
      </c>
      <c r="I152" s="36"/>
      <c r="J152" s="42">
        <v>374</v>
      </c>
      <c r="K152" s="37">
        <f t="shared" si="5"/>
        <v>2.1057847144803667</v>
      </c>
      <c r="L152" s="84">
        <f t="shared" si="6"/>
        <v>2431000</v>
      </c>
      <c r="M152" s="84"/>
      <c r="N152" s="36"/>
      <c r="T152" s="21"/>
    </row>
    <row r="153" spans="1:20" s="37" customFormat="1" ht="15.75" customHeight="1" x14ac:dyDescent="0.3">
      <c r="A153" s="85">
        <f t="shared" si="7"/>
        <v>7</v>
      </c>
      <c r="B153" s="86"/>
      <c r="C153" s="42" t="s">
        <v>328</v>
      </c>
      <c r="D153" s="42">
        <f>(18.7)*10.764</f>
        <v>201.28679999999997</v>
      </c>
      <c r="E153" s="42">
        <v>0</v>
      </c>
      <c r="F153" s="42">
        <f t="shared" si="8"/>
        <v>201.28679999999997</v>
      </c>
      <c r="G153" s="42">
        <v>0</v>
      </c>
      <c r="H153" s="42">
        <v>406</v>
      </c>
      <c r="I153" s="36">
        <f>5.85*3.05</f>
        <v>17.842499999999998</v>
      </c>
      <c r="J153" s="42">
        <v>406</v>
      </c>
      <c r="K153" s="37">
        <f t="shared" si="5"/>
        <v>2.0170224773805341</v>
      </c>
      <c r="L153" s="84">
        <f t="shared" si="6"/>
        <v>2639000</v>
      </c>
      <c r="M153" s="84"/>
      <c r="N153" s="36"/>
      <c r="T153" s="21"/>
    </row>
    <row r="154" spans="1:20" s="37" customFormat="1" ht="15.75" customHeight="1" x14ac:dyDescent="0.3">
      <c r="A154" s="85">
        <f t="shared" si="7"/>
        <v>8</v>
      </c>
      <c r="B154" s="86"/>
      <c r="C154" s="42" t="s">
        <v>328</v>
      </c>
      <c r="D154" s="42">
        <f>(12.59)*10.764</f>
        <v>135.51875999999999</v>
      </c>
      <c r="E154" s="42">
        <v>0</v>
      </c>
      <c r="F154" s="42">
        <f t="shared" si="8"/>
        <v>135.51875999999999</v>
      </c>
      <c r="G154" s="42">
        <v>0</v>
      </c>
      <c r="H154" s="42">
        <v>279</v>
      </c>
      <c r="I154" s="36"/>
      <c r="J154" s="42">
        <v>279</v>
      </c>
      <c r="K154" s="37">
        <f t="shared" si="5"/>
        <v>2.0587555553194261</v>
      </c>
      <c r="L154" s="84">
        <f t="shared" si="6"/>
        <v>1813500</v>
      </c>
      <c r="M154" s="84"/>
      <c r="N154" s="36"/>
      <c r="T154" s="21"/>
    </row>
    <row r="155" spans="1:20" s="37" customFormat="1" ht="15.75" customHeight="1" x14ac:dyDescent="0.3">
      <c r="A155" s="85">
        <f t="shared" si="7"/>
        <v>9</v>
      </c>
      <c r="B155" s="86"/>
      <c r="C155" s="42" t="s">
        <v>328</v>
      </c>
      <c r="D155" s="42">
        <f>(11.54)*10.764</f>
        <v>124.21655999999999</v>
      </c>
      <c r="E155" s="42">
        <v>0</v>
      </c>
      <c r="F155" s="42">
        <f t="shared" si="8"/>
        <v>124.21655999999999</v>
      </c>
      <c r="G155" s="42">
        <v>0</v>
      </c>
      <c r="H155" s="42">
        <v>254</v>
      </c>
      <c r="I155" s="36"/>
      <c r="J155" s="42">
        <v>254</v>
      </c>
      <c r="K155" s="37">
        <f t="shared" si="5"/>
        <v>2.0448159247044035</v>
      </c>
      <c r="L155" s="84">
        <f t="shared" si="6"/>
        <v>1651000</v>
      </c>
      <c r="M155" s="84"/>
      <c r="N155" s="36"/>
      <c r="T155" s="21"/>
    </row>
    <row r="156" spans="1:20" s="37" customFormat="1" ht="15.75" customHeight="1" x14ac:dyDescent="0.3">
      <c r="A156" s="85">
        <f t="shared" si="7"/>
        <v>10</v>
      </c>
      <c r="B156" s="86"/>
      <c r="C156" s="42" t="s">
        <v>328</v>
      </c>
      <c r="D156" s="42">
        <f>(15.47)*10.764</f>
        <v>166.51908</v>
      </c>
      <c r="E156" s="42">
        <v>0</v>
      </c>
      <c r="F156" s="42">
        <f t="shared" si="8"/>
        <v>166.51908</v>
      </c>
      <c r="G156" s="42">
        <v>0</v>
      </c>
      <c r="H156" s="42">
        <v>337</v>
      </c>
      <c r="I156" s="36"/>
      <c r="J156" s="42">
        <v>337</v>
      </c>
      <c r="K156" s="37">
        <f t="shared" si="5"/>
        <v>2.0237921083878194</v>
      </c>
      <c r="L156" s="84">
        <f t="shared" si="6"/>
        <v>2190500</v>
      </c>
      <c r="M156" s="84"/>
      <c r="N156" s="36"/>
      <c r="T156" s="21"/>
    </row>
    <row r="157" spans="1:20" s="37" customFormat="1" ht="15.75" customHeight="1" x14ac:dyDescent="0.3">
      <c r="A157" s="85">
        <f t="shared" si="7"/>
        <v>11</v>
      </c>
      <c r="B157" s="86"/>
      <c r="C157" s="42" t="s">
        <v>328</v>
      </c>
      <c r="D157" s="42">
        <f>(18.92)*10.764</f>
        <v>203.65488000000002</v>
      </c>
      <c r="E157" s="42">
        <v>0</v>
      </c>
      <c r="F157" s="42">
        <f t="shared" si="8"/>
        <v>203.65488000000002</v>
      </c>
      <c r="G157" s="42">
        <v>0</v>
      </c>
      <c r="H157" s="42">
        <v>410</v>
      </c>
      <c r="I157" s="36"/>
      <c r="J157" s="42">
        <v>410</v>
      </c>
      <c r="K157" s="37">
        <f t="shared" si="5"/>
        <v>2.0132097988518614</v>
      </c>
      <c r="L157" s="84">
        <f t="shared" si="6"/>
        <v>2665000</v>
      </c>
      <c r="M157" s="84"/>
      <c r="N157" s="36"/>
      <c r="T157" s="21"/>
    </row>
    <row r="158" spans="1:20" s="37" customFormat="1" x14ac:dyDescent="0.3">
      <c r="A158" s="87"/>
      <c r="B158" s="87"/>
      <c r="C158" s="87"/>
      <c r="D158" s="87"/>
      <c r="E158" s="87"/>
      <c r="F158" s="87"/>
      <c r="G158" s="87"/>
      <c r="H158" s="87"/>
      <c r="I158" s="36"/>
      <c r="N158" s="36"/>
    </row>
    <row r="159" spans="1:20" ht="47.25" customHeight="1" x14ac:dyDescent="0.3">
      <c r="A159" s="88" t="s">
        <v>117</v>
      </c>
      <c r="B159" s="88" t="s">
        <v>178</v>
      </c>
      <c r="C159" s="88" t="s">
        <v>55</v>
      </c>
      <c r="D159" s="89" t="s">
        <v>232</v>
      </c>
      <c r="E159" s="89" t="s">
        <v>335</v>
      </c>
      <c r="F159" s="89" t="s">
        <v>56</v>
      </c>
      <c r="G159" s="134" t="s">
        <v>57</v>
      </c>
      <c r="H159" s="80" t="s">
        <v>351</v>
      </c>
      <c r="I159" s="36"/>
      <c r="T159" s="37"/>
    </row>
    <row r="160" spans="1:20" s="37" customFormat="1" x14ac:dyDescent="0.3">
      <c r="A160" s="88"/>
      <c r="B160" s="88"/>
      <c r="C160" s="88"/>
      <c r="D160" s="89"/>
      <c r="E160" s="89"/>
      <c r="F160" s="89"/>
      <c r="G160" s="134"/>
      <c r="H160" s="81">
        <v>0.45</v>
      </c>
      <c r="I160" s="36"/>
    </row>
    <row r="161" spans="1:20" s="37" customFormat="1" x14ac:dyDescent="0.3">
      <c r="A161" s="180" t="s">
        <v>332</v>
      </c>
      <c r="B161" s="180"/>
      <c r="C161" s="180"/>
      <c r="D161" s="180"/>
      <c r="E161" s="180"/>
      <c r="F161" s="180"/>
      <c r="G161" s="180"/>
      <c r="H161" s="180"/>
      <c r="J161" s="36"/>
      <c r="M161" s="42">
        <v>10.763999999999999</v>
      </c>
    </row>
    <row r="162" spans="1:20" s="37" customFormat="1" ht="15.75" customHeight="1" x14ac:dyDescent="0.3">
      <c r="A162" s="87">
        <v>1</v>
      </c>
      <c r="B162" s="87"/>
      <c r="C162" s="42" t="s">
        <v>333</v>
      </c>
      <c r="D162" s="42">
        <f>(4.3*2.75+3.05*2.2+3.05*2.75+1.29*2.4+1.15*1.2+2.13*1.2)*10.764</f>
        <v>365.48623799999996</v>
      </c>
      <c r="E162" s="42">
        <f>(2.75*1+2.75)*10.764</f>
        <v>59.201999999999998</v>
      </c>
      <c r="F162" s="42">
        <f>D162+E162</f>
        <v>424.68823799999996</v>
      </c>
      <c r="G162" s="42">
        <v>0</v>
      </c>
      <c r="H162" s="42">
        <f>F162*1.45</f>
        <v>615.79794509999988</v>
      </c>
      <c r="I162" s="36">
        <f>3500*H162</f>
        <v>2155292.8078499995</v>
      </c>
      <c r="J162" s="37">
        <f>4.3*2.75+3.05*2.2+3.05*2.75+1.29*2.4+1.15*1.2+2.13*1.2</f>
        <v>33.954499999999996</v>
      </c>
      <c r="K162" s="37">
        <f>2.75*1+2.75</f>
        <v>5.5</v>
      </c>
      <c r="L162" s="69">
        <v>723</v>
      </c>
      <c r="M162" s="74"/>
      <c r="N162" s="73">
        <f>L162/F162</f>
        <v>1.7024252976838978</v>
      </c>
    </row>
    <row r="163" spans="1:20" s="37" customFormat="1" ht="15.75" customHeight="1" x14ac:dyDescent="0.3">
      <c r="A163" s="87">
        <f>A162+1</f>
        <v>2</v>
      </c>
      <c r="B163" s="87"/>
      <c r="C163" s="42" t="s">
        <v>333</v>
      </c>
      <c r="D163" s="42">
        <f>(4.3*2.75+2.2*3.05+3.05*2.75+2.2*1.2+0.9*1.2)*10.764</f>
        <v>329.83586999999994</v>
      </c>
      <c r="E163" s="42">
        <f>(2.75+2.75)*10.764</f>
        <v>59.201999999999998</v>
      </c>
      <c r="F163" s="42">
        <f>D163+E163</f>
        <v>389.03786999999994</v>
      </c>
      <c r="G163" s="42">
        <v>0</v>
      </c>
      <c r="H163" s="42">
        <f t="shared" ref="H163:H167" si="9">F163*1.45</f>
        <v>564.10491149999984</v>
      </c>
      <c r="I163" s="36">
        <f t="shared" ref="I163:I167" si="10">3500*H163</f>
        <v>1974367.1902499995</v>
      </c>
      <c r="J163" s="37">
        <f>4.3*2.75+2.2*3.05+3.05*2.75+2.2*1.2+0.9*1.2</f>
        <v>30.642499999999998</v>
      </c>
      <c r="K163" s="37">
        <f>2.75+2.75</f>
        <v>5.5</v>
      </c>
      <c r="L163" s="69">
        <v>669</v>
      </c>
      <c r="M163" s="74"/>
      <c r="N163" s="73">
        <f t="shared" ref="N163:N191" si="11">L163/F163</f>
        <v>1.7196269350333429</v>
      </c>
    </row>
    <row r="164" spans="1:20" s="37" customFormat="1" ht="15.75" customHeight="1" x14ac:dyDescent="0.3">
      <c r="A164" s="87">
        <f>A163+1</f>
        <v>3</v>
      </c>
      <c r="B164" s="87"/>
      <c r="C164" s="42" t="s">
        <v>333</v>
      </c>
      <c r="D164" s="42">
        <f>(4.3*2.75+2.2*3.05+3.05*2.75+2.2*1.2+0.9*1.2)*10.764</f>
        <v>329.83586999999994</v>
      </c>
      <c r="E164" s="42">
        <f>(2.75+2.75)*10.764</f>
        <v>59.201999999999998</v>
      </c>
      <c r="F164" s="42">
        <f>D164+E164</f>
        <v>389.03786999999994</v>
      </c>
      <c r="G164" s="42">
        <v>0</v>
      </c>
      <c r="H164" s="42">
        <f t="shared" si="9"/>
        <v>564.10491149999984</v>
      </c>
      <c r="I164" s="36">
        <f t="shared" si="10"/>
        <v>1974367.1902499995</v>
      </c>
      <c r="L164" s="69">
        <v>670</v>
      </c>
      <c r="M164" s="74"/>
      <c r="N164" s="73">
        <f t="shared" si="11"/>
        <v>1.7221973788824212</v>
      </c>
    </row>
    <row r="165" spans="1:20" s="37" customFormat="1" ht="15.75" customHeight="1" x14ac:dyDescent="0.3">
      <c r="A165" s="87">
        <f>A164+1</f>
        <v>4</v>
      </c>
      <c r="B165" s="87"/>
      <c r="C165" s="42" t="s">
        <v>333</v>
      </c>
      <c r="D165" s="42">
        <f>(4.3*2.75+2.2*3.05+3.05*2.75+2.2*1.2+0.9*1.2)*10.764</f>
        <v>329.83586999999994</v>
      </c>
      <c r="E165" s="42">
        <f>(2.75+2.75)*10.764</f>
        <v>59.201999999999998</v>
      </c>
      <c r="F165" s="42">
        <f>D165+E165</f>
        <v>389.03786999999994</v>
      </c>
      <c r="G165" s="42">
        <v>0</v>
      </c>
      <c r="H165" s="42">
        <f t="shared" si="9"/>
        <v>564.10491149999984</v>
      </c>
      <c r="I165" s="36">
        <f t="shared" si="10"/>
        <v>1974367.1902499995</v>
      </c>
      <c r="L165" s="69">
        <v>671</v>
      </c>
      <c r="M165" s="74"/>
      <c r="N165" s="73">
        <f t="shared" si="11"/>
        <v>1.7247678227314993</v>
      </c>
      <c r="T165" s="21"/>
    </row>
    <row r="166" spans="1:20" s="37" customFormat="1" ht="15.75" customHeight="1" x14ac:dyDescent="0.3">
      <c r="A166" s="87">
        <f t="shared" ref="A166:A167" si="12">A165+1</f>
        <v>5</v>
      </c>
      <c r="B166" s="87"/>
      <c r="C166" s="42" t="s">
        <v>333</v>
      </c>
      <c r="D166" s="42">
        <f>(4.3*2.75+2.2*3.05+3.05*2.75+2.2*1.2+0.9*1.2)*10.764</f>
        <v>329.83586999999994</v>
      </c>
      <c r="E166" s="42">
        <f>(2.75+2.75)*10.764</f>
        <v>59.201999999999998</v>
      </c>
      <c r="F166" s="42">
        <f t="shared" ref="F166:F167" si="13">D166+E166</f>
        <v>389.03786999999994</v>
      </c>
      <c r="G166" s="42">
        <v>0</v>
      </c>
      <c r="H166" s="42">
        <f t="shared" si="9"/>
        <v>564.10491149999984</v>
      </c>
      <c r="I166" s="36">
        <f t="shared" si="10"/>
        <v>1974367.1902499995</v>
      </c>
      <c r="J166" s="37">
        <f>2700000/H166</f>
        <v>4786.3437189732758</v>
      </c>
      <c r="L166" s="69">
        <v>672</v>
      </c>
      <c r="M166" s="74"/>
      <c r="N166" s="73">
        <f t="shared" si="11"/>
        <v>1.7273382665805777</v>
      </c>
      <c r="T166" s="21"/>
    </row>
    <row r="167" spans="1:20" s="37" customFormat="1" ht="15.75" customHeight="1" x14ac:dyDescent="0.3">
      <c r="A167" s="87">
        <f t="shared" si="12"/>
        <v>6</v>
      </c>
      <c r="B167" s="87"/>
      <c r="C167" s="42" t="s">
        <v>334</v>
      </c>
      <c r="D167" s="42">
        <f>(2.75*4.35+2.55*2.75+3.05*2.75+3.05*3.05+1.2*2.03+1.2*1.98+1.2*1)*10.764</f>
        <v>459.37522799999988</v>
      </c>
      <c r="E167" s="42">
        <f>(2.75+2.75+3.05)*10.764</f>
        <v>92.032200000000003</v>
      </c>
      <c r="F167" s="42">
        <f t="shared" si="13"/>
        <v>551.40742799999987</v>
      </c>
      <c r="G167" s="42">
        <v>0</v>
      </c>
      <c r="H167" s="42">
        <f t="shared" si="9"/>
        <v>799.54077059999975</v>
      </c>
      <c r="I167" s="36">
        <f t="shared" si="10"/>
        <v>2798392.6970999991</v>
      </c>
      <c r="J167" s="37">
        <f>3792000/H167</f>
        <v>4742.7224970083362</v>
      </c>
      <c r="L167" s="69">
        <v>926</v>
      </c>
      <c r="M167" s="74"/>
      <c r="N167" s="73">
        <f t="shared" si="11"/>
        <v>1.6793390023030306</v>
      </c>
      <c r="T167" s="21"/>
    </row>
    <row r="168" spans="1:20" s="37" customFormat="1" hidden="1" x14ac:dyDescent="0.3">
      <c r="A168" s="180" t="s">
        <v>116</v>
      </c>
      <c r="B168" s="180"/>
      <c r="C168" s="180"/>
      <c r="D168" s="180"/>
      <c r="E168" s="180"/>
      <c r="F168" s="180"/>
      <c r="G168" s="180"/>
      <c r="H168" s="180"/>
      <c r="I168" s="36"/>
      <c r="L168" s="84"/>
      <c r="M168" s="84"/>
      <c r="N168" s="36" t="e">
        <f t="shared" si="11"/>
        <v>#DIV/0!</v>
      </c>
    </row>
    <row r="169" spans="1:20" s="37" customFormat="1" hidden="1" x14ac:dyDescent="0.3">
      <c r="A169" s="87">
        <f>LEFT(A168,SUM(LEN(A168)-LEN(SUBSTITUTE(A168,{"0","1","2","3","4","5","6","7","8","9"},""))))*100+1</f>
        <v>201</v>
      </c>
      <c r="B169" s="87"/>
      <c r="C169" s="42"/>
      <c r="D169" s="42"/>
      <c r="E169" s="42">
        <v>0</v>
      </c>
      <c r="F169" s="42">
        <f>D169+E169</f>
        <v>0</v>
      </c>
      <c r="G169" s="42">
        <v>0</v>
      </c>
      <c r="H169" s="42">
        <f>F169*(($H$160)+1)+(IF(G169&lt;101,G169,IF(G169&lt;201,G169/2,IF(G169&lt;=301,G169/3,G169/4))))</f>
        <v>0</v>
      </c>
      <c r="I169" s="36"/>
      <c r="N169" s="36" t="e">
        <f t="shared" si="11"/>
        <v>#DIV/0!</v>
      </c>
    </row>
    <row r="170" spans="1:20" s="37" customFormat="1" hidden="1" x14ac:dyDescent="0.3">
      <c r="A170" s="87">
        <f>A169+1</f>
        <v>202</v>
      </c>
      <c r="B170" s="87"/>
      <c r="C170" s="42"/>
      <c r="D170" s="42"/>
      <c r="E170" s="42">
        <v>0</v>
      </c>
      <c r="F170" s="42">
        <f>D170+E170</f>
        <v>0</v>
      </c>
      <c r="G170" s="42">
        <v>0</v>
      </c>
      <c r="H170" s="42">
        <f>F170*(($H$160)+1)+(IF(G170&lt;101,G170,IF(G170&lt;201,G170/2,IF(G170&lt;=301,G170/3,G170/4))))</f>
        <v>0</v>
      </c>
      <c r="I170" s="36"/>
      <c r="N170" s="36" t="e">
        <f t="shared" si="11"/>
        <v>#DIV/0!</v>
      </c>
    </row>
    <row r="171" spans="1:20" s="37" customFormat="1" hidden="1" x14ac:dyDescent="0.3">
      <c r="A171" s="87">
        <f>A170+1</f>
        <v>203</v>
      </c>
      <c r="B171" s="87"/>
      <c r="C171" s="42"/>
      <c r="D171" s="42"/>
      <c r="E171" s="42">
        <v>0</v>
      </c>
      <c r="F171" s="42">
        <f>D171+E171</f>
        <v>0</v>
      </c>
      <c r="G171" s="42">
        <v>0</v>
      </c>
      <c r="H171" s="42">
        <f>F171*(($H$160)+1)+(IF(G171&lt;101,G171,IF(G171&lt;201,G171/2,IF(G171&lt;=301,G171/3,G171/4))))</f>
        <v>0</v>
      </c>
      <c r="I171" s="36"/>
      <c r="N171" s="36" t="e">
        <f t="shared" si="11"/>
        <v>#DIV/0!</v>
      </c>
    </row>
    <row r="172" spans="1:20" s="37" customFormat="1" hidden="1" x14ac:dyDescent="0.3">
      <c r="A172" s="87">
        <f>A171+1</f>
        <v>204</v>
      </c>
      <c r="B172" s="87"/>
      <c r="C172" s="42"/>
      <c r="D172" s="42"/>
      <c r="E172" s="42">
        <v>0</v>
      </c>
      <c r="F172" s="42">
        <f>D172+E172</f>
        <v>0</v>
      </c>
      <c r="G172" s="42">
        <v>0</v>
      </c>
      <c r="H172" s="42">
        <f>F172*(($H$160)+1)+(IF(G172&lt;101,G172,IF(G172&lt;201,G172/2,IF(G172&lt;=301,G172/3,G172/4))))</f>
        <v>0</v>
      </c>
      <c r="I172" s="36"/>
      <c r="N172" s="36" t="e">
        <f t="shared" si="11"/>
        <v>#DIV/0!</v>
      </c>
    </row>
    <row r="173" spans="1:20" s="37" customFormat="1" hidden="1" x14ac:dyDescent="0.3">
      <c r="A173" s="87">
        <f>A172+1</f>
        <v>205</v>
      </c>
      <c r="B173" s="87"/>
      <c r="C173" s="42"/>
      <c r="D173" s="42"/>
      <c r="E173" s="42">
        <v>0</v>
      </c>
      <c r="F173" s="42">
        <f>D173+E173</f>
        <v>0</v>
      </c>
      <c r="G173" s="42">
        <v>0</v>
      </c>
      <c r="H173" s="42">
        <f>F173*(($H$160)+1)+(IF(G173&lt;101,G173,IF(G173&lt;201,G173/2,IF(G173&lt;=301,G173/3,G173/4))))</f>
        <v>0</v>
      </c>
      <c r="I173" s="36"/>
      <c r="N173" s="36" t="e">
        <f t="shared" si="11"/>
        <v>#DIV/0!</v>
      </c>
    </row>
    <row r="174" spans="1:20" s="37" customFormat="1" ht="15.75" hidden="1" customHeight="1" x14ac:dyDescent="0.3">
      <c r="A174" s="190" t="s">
        <v>148</v>
      </c>
      <c r="B174" s="191"/>
      <c r="C174" s="191"/>
      <c r="D174" s="191"/>
      <c r="E174" s="191"/>
      <c r="F174" s="191"/>
      <c r="G174" s="191"/>
      <c r="H174" s="192"/>
      <c r="I174" s="36"/>
      <c r="N174" s="36" t="e">
        <f t="shared" si="11"/>
        <v>#DIV/0!</v>
      </c>
    </row>
    <row r="175" spans="1:20" s="37" customFormat="1" ht="15.75" hidden="1" customHeight="1" x14ac:dyDescent="0.3">
      <c r="A175" s="85" t="str">
        <f ca="1">(SUMPRODUCT(MID(0&amp;(LEFT(A174,SUM(LEN(A174)-LEN(SUBSTITUTE(A174,{"0","1","2"},""))))), LARGE(INDEX(ISNUMBER(--MID((LEFT(A174,SUM(LEN(A174)-LEN(SUBSTITUTE(A174,{"0","1","2"},""))))), ROW(INDIRECT("1:"&amp;LEN((LEFT(A174,SUM(LEN(A174)-LEN(SUBSTITUTE(A174,{"0","1","2"},"")))))))), 1)) * ROW(INDIRECT("1:"&amp;LEN((LEFT(A174,SUM(LEN(A174)-LEN(SUBSTITUTE(A174,{"0","1","2"},"")))))))), 0), ROW(INDIRECT("1:"&amp;LEN((LEFT(A174,SUM(LEN(A174)-LEN(SUBSTITUTE(A174,{"0","1","2"},"")))))))))+1, 1) * 10^ROW(INDIRECT("1:"&amp;LEN((LEFT(A174,SUM(LEN(A174)-LEN(SUBSTITUTE(A174,{"0","1","2"},""))))))))/10))*100+1&amp;""&amp;" ,.., "&amp;""&amp;(SUMPRODUCT(MID(0&amp;(--TRIM(RIGHT(SUBSTITUTE(LEFT(A174,_xlfn.AGGREGATE(16,6,FIND({0,1,2,3,4,5,6,7,8,9},A174,ROW(INDIRECT("1:"&amp;LEN(A174)))),1))," ",REPT(" ",LEN(A174))),LEN(A174)))), LARGE(INDEX(ISNUMBER(--MID((--TRIM(RIGHT(SUBSTITUTE(LEFT(A174,_xlfn.AGGREGATE(16,6,FIND({0,1,2,3,4,5,6,7,8,9},A174,ROW(INDIRECT("1:"&amp;LEN(A174)))),1))," ",REPT(" ",LEN(A174))),LEN(A174)))), ROW(INDIRECT("1:"&amp;LEN((--TRIM(RIGHT(SUBSTITUTE(LEFT(A174,_xlfn.AGGREGATE(16,6,FIND({0,1,2,3,4,5,6,7,8,9},A174,ROW(INDIRECT("1:"&amp;LEN(A174)))),1))," ",REPT(" ",LEN(A174))),LEN(A174))))))), 1)) * ROW(INDIRECT("1:"&amp;LEN((--TRIM(RIGHT(SUBSTITUTE(LEFT(A174,_xlfn.AGGREGATE(16,6,FIND({0,1,2,3,4,5,6,7,8,9},A174,ROW(INDIRECT("1:"&amp;LEN(A174)))),1))," ",REPT(" ",LEN(A174))),LEN(A174))))))), 0), ROW(INDIRECT("1:"&amp;LEN((--TRIM(RIGHT(SUBSTITUTE(LEFT(A174,_xlfn.AGGREGATE(16,6,FIND({0,1,2,3,4,5,6,7,8,9},A174,ROW(INDIRECT("1:"&amp;LEN(A174)))),1))," ",REPT(" ",LEN(A174))),LEN(A174))))))))+1, 1) * 10^ROW(INDIRECT("1:"&amp;LEN((--TRIM(RIGHT(SUBSTITUTE(LEFT(A174,_xlfn.AGGREGATE(16,6,FIND({0,1,2,3,4,5,6,7,8,9},A174,ROW(INDIRECT("1:"&amp;LEN(A174)))),1))," ",REPT(" ",LEN(A174))),LEN(A174)))))))/10))*100+1</f>
        <v>301 ,.., 1501</v>
      </c>
      <c r="B175" s="86"/>
      <c r="C175" s="42"/>
      <c r="D175" s="42"/>
      <c r="E175" s="42">
        <v>0</v>
      </c>
      <c r="F175" s="42">
        <f>D175+E175</f>
        <v>0</v>
      </c>
      <c r="G175" s="42">
        <v>0</v>
      </c>
      <c r="H175" s="42">
        <f>F175*(($H$160)+1)+(IF(G175&lt;101,G175,IF(G175&lt;201,G175/2,IF(G175&lt;=301,G175/3,G175/4))))</f>
        <v>0</v>
      </c>
      <c r="I175" s="36"/>
      <c r="N175" s="36" t="e">
        <f t="shared" si="11"/>
        <v>#DIV/0!</v>
      </c>
    </row>
    <row r="176" spans="1:20" s="37" customFormat="1" ht="15.75" hidden="1" customHeight="1" x14ac:dyDescent="0.3">
      <c r="A176" s="85" t="str">
        <f ca="1">(SUMPRODUCT(MID(0&amp;(LEFT(A175,SUM(LEN(A175)-LEN(SUBSTITUTE(A175,{"0","1","2"},""))))), LARGE(INDEX(ISNUMBER(--MID((LEFT(A175,SUM(LEN(A175)-LEN(SUBSTITUTE(A175,{"0","1","2"},""))))), ROW(INDIRECT("1:"&amp;LEN((LEFT(A175,SUM(LEN(A175)-LEN(SUBSTITUTE(A175,{"0","1","2"},"")))))))), 1)) * ROW(INDIRECT("1:"&amp;LEN((LEFT(A175,SUM(LEN(A175)-LEN(SUBSTITUTE(A175,{"0","1","2"},"")))))))), 0), ROW(INDIRECT("1:"&amp;LEN((LEFT(A175,SUM(LEN(A175)-LEN(SUBSTITUTE(A175,{"0","1","2"},"")))))))))+1, 1) * 10^ROW(INDIRECT("1:"&amp;LEN((LEFT(A175,SUM(LEN(A175)-LEN(SUBSTITUTE(A175,{"0","1","2"},""))))))))/10))*1+1&amp;""&amp;" ,.., "&amp;""&amp;(SUMPRODUCT(MID(0&amp;(--TRIM(RIGHT(SUBSTITUTE(LEFT(A175,_xlfn.AGGREGATE(16,6,FIND({0,1,2,3,4,5,6,7,8,9},A175,ROW(INDIRECT("1:"&amp;LEN(A175)))),1))," ",REPT(" ",LEN(A175))),LEN(A175)))), LARGE(INDEX(ISNUMBER(--MID((--TRIM(RIGHT(SUBSTITUTE(LEFT(A175,_xlfn.AGGREGATE(16,6,FIND({0,1,2,3,4,5,6,7,8,9},A175,ROW(INDIRECT("1:"&amp;LEN(A175)))),1))," ",REPT(" ",LEN(A175))),LEN(A175)))), ROW(INDIRECT("1:"&amp;LEN((--TRIM(RIGHT(SUBSTITUTE(LEFT(A175,_xlfn.AGGREGATE(16,6,FIND({0,1,2,3,4,5,6,7,8,9},A175,ROW(INDIRECT("1:"&amp;LEN(A175)))),1))," ",REPT(" ",LEN(A175))),LEN(A175))))))), 1)) * ROW(INDIRECT("1:"&amp;LEN((--TRIM(RIGHT(SUBSTITUTE(LEFT(A175,_xlfn.AGGREGATE(16,6,FIND({0,1,2,3,4,5,6,7,8,9},A175,ROW(INDIRECT("1:"&amp;LEN(A175)))),1))," ",REPT(" ",LEN(A175))),LEN(A175))))))), 0), ROW(INDIRECT("1:"&amp;LEN((--TRIM(RIGHT(SUBSTITUTE(LEFT(A175,_xlfn.AGGREGATE(16,6,FIND({0,1,2,3,4,5,6,7,8,9},A175,ROW(INDIRECT("1:"&amp;LEN(A175)))),1))," ",REPT(" ",LEN(A175))),LEN(A175))))))))+1, 1) * 10^ROW(INDIRECT("1:"&amp;LEN((--TRIM(RIGHT(SUBSTITUTE(LEFT(A175,_xlfn.AGGREGATE(16,6,FIND({0,1,2,3,4,5,6,7,8,9},A175,ROW(INDIRECT("1:"&amp;LEN(A175)))),1))," ",REPT(" ",LEN(A175))),LEN(A175)))))))/10))*1+1</f>
        <v>302 ,.., 1502</v>
      </c>
      <c r="B176" s="86"/>
      <c r="C176" s="42"/>
      <c r="D176" s="42"/>
      <c r="E176" s="42">
        <v>0</v>
      </c>
      <c r="F176" s="42">
        <f>D176+E176</f>
        <v>0</v>
      </c>
      <c r="G176" s="42">
        <v>0</v>
      </c>
      <c r="H176" s="42">
        <f>F176*(($H$160)+1)+(IF(G176&lt;101,G176,IF(G176&lt;201,G176/2,IF(G176&lt;=301,G176/3,G176/4))))</f>
        <v>0</v>
      </c>
      <c r="I176" s="36"/>
      <c r="N176" s="36" t="e">
        <f t="shared" si="11"/>
        <v>#DIV/0!</v>
      </c>
    </row>
    <row r="177" spans="1:20" s="37" customFormat="1" ht="15.75" hidden="1" customHeight="1" x14ac:dyDescent="0.3">
      <c r="A177" s="85" t="str">
        <f ca="1">(SUMPRODUCT(MID(0&amp;(LEFT(A176,SUM(LEN(A176)-LEN(SUBSTITUTE(A176,{"0","1","2"},""))))), LARGE(INDEX(ISNUMBER(--MID((LEFT(A176,SUM(LEN(A176)-LEN(SUBSTITUTE(A176,{"0","1","2"},""))))), ROW(INDIRECT("1:"&amp;LEN((LEFT(A176,SUM(LEN(A176)-LEN(SUBSTITUTE(A176,{"0","1","2"},"")))))))), 1)) * ROW(INDIRECT("1:"&amp;LEN((LEFT(A176,SUM(LEN(A176)-LEN(SUBSTITUTE(A176,{"0","1","2"},"")))))))), 0), ROW(INDIRECT("1:"&amp;LEN((LEFT(A176,SUM(LEN(A176)-LEN(SUBSTITUTE(A176,{"0","1","2"},"")))))))))+1, 1) * 10^ROW(INDIRECT("1:"&amp;LEN((LEFT(A176,SUM(LEN(A176)-LEN(SUBSTITUTE(A176,{"0","1","2"},""))))))))/10))*1+1&amp;""&amp;" ,.., "&amp;""&amp;(SUMPRODUCT(MID(0&amp;(--TRIM(RIGHT(SUBSTITUTE(LEFT(A176,_xlfn.AGGREGATE(16,6,FIND({0,1,2,3,4,5,6,7,8,9},A176,ROW(INDIRECT("1:"&amp;LEN(A176)))),1))," ",REPT(" ",LEN(A176))),LEN(A176)))), LARGE(INDEX(ISNUMBER(--MID((--TRIM(RIGHT(SUBSTITUTE(LEFT(A176,_xlfn.AGGREGATE(16,6,FIND({0,1,2,3,4,5,6,7,8,9},A176,ROW(INDIRECT("1:"&amp;LEN(A176)))),1))," ",REPT(" ",LEN(A176))),LEN(A176)))), ROW(INDIRECT("1:"&amp;LEN((--TRIM(RIGHT(SUBSTITUTE(LEFT(A176,_xlfn.AGGREGATE(16,6,FIND({0,1,2,3,4,5,6,7,8,9},A176,ROW(INDIRECT("1:"&amp;LEN(A176)))),1))," ",REPT(" ",LEN(A176))),LEN(A176))))))), 1)) * ROW(INDIRECT("1:"&amp;LEN((--TRIM(RIGHT(SUBSTITUTE(LEFT(A176,_xlfn.AGGREGATE(16,6,FIND({0,1,2,3,4,5,6,7,8,9},A176,ROW(INDIRECT("1:"&amp;LEN(A176)))),1))," ",REPT(" ",LEN(A176))),LEN(A176))))))), 0), ROW(INDIRECT("1:"&amp;LEN((--TRIM(RIGHT(SUBSTITUTE(LEFT(A176,_xlfn.AGGREGATE(16,6,FIND({0,1,2,3,4,5,6,7,8,9},A176,ROW(INDIRECT("1:"&amp;LEN(A176)))),1))," ",REPT(" ",LEN(A176))),LEN(A176))))))))+1, 1) * 10^ROW(INDIRECT("1:"&amp;LEN((--TRIM(RIGHT(SUBSTITUTE(LEFT(A176,_xlfn.AGGREGATE(16,6,FIND({0,1,2,3,4,5,6,7,8,9},A176,ROW(INDIRECT("1:"&amp;LEN(A176)))),1))," ",REPT(" ",LEN(A176))),LEN(A176)))))))/10))*1+1</f>
        <v>303 ,.., 1503</v>
      </c>
      <c r="B177" s="86"/>
      <c r="C177" s="42"/>
      <c r="D177" s="42"/>
      <c r="E177" s="42">
        <v>0</v>
      </c>
      <c r="F177" s="42">
        <f>D177+E177</f>
        <v>0</v>
      </c>
      <c r="G177" s="42">
        <v>0</v>
      </c>
      <c r="H177" s="42">
        <f>F177*(($H$160)+1)+(IF(G177&lt;101,G177,IF(G177&lt;201,G177/2,IF(G177&lt;=301,G177/3,G177/4))))</f>
        <v>0</v>
      </c>
      <c r="I177" s="36"/>
      <c r="N177" s="36" t="e">
        <f t="shared" si="11"/>
        <v>#DIV/0!</v>
      </c>
    </row>
    <row r="178" spans="1:20" s="37" customFormat="1" ht="15.75" hidden="1" customHeight="1" x14ac:dyDescent="0.3">
      <c r="A178" s="85" t="str">
        <f ca="1">(SUMPRODUCT(MID(0&amp;(LEFT(A177,SUM(LEN(A177)-LEN(SUBSTITUTE(A177,{"0","1","2"},""))))), LARGE(INDEX(ISNUMBER(--MID((LEFT(A177,SUM(LEN(A177)-LEN(SUBSTITUTE(A177,{"0","1","2"},""))))), ROW(INDIRECT("1:"&amp;LEN((LEFT(A177,SUM(LEN(A177)-LEN(SUBSTITUTE(A177,{"0","1","2"},"")))))))), 1)) * ROW(INDIRECT("1:"&amp;LEN((LEFT(A177,SUM(LEN(A177)-LEN(SUBSTITUTE(A177,{"0","1","2"},"")))))))), 0), ROW(INDIRECT("1:"&amp;LEN((LEFT(A177,SUM(LEN(A177)-LEN(SUBSTITUTE(A177,{"0","1","2"},"")))))))))+1, 1) * 10^ROW(INDIRECT("1:"&amp;LEN((LEFT(A177,SUM(LEN(A177)-LEN(SUBSTITUTE(A177,{"0","1","2"},""))))))))/10))*1+1&amp;""&amp;" ,.., "&amp;""&amp;(SUMPRODUCT(MID(0&amp;(--TRIM(RIGHT(SUBSTITUTE(LEFT(A177,_xlfn.AGGREGATE(16,6,FIND({0,1,2,3,4,5,6,7,8,9},A177,ROW(INDIRECT("1:"&amp;LEN(A177)))),1))," ",REPT(" ",LEN(A177))),LEN(A177)))), LARGE(INDEX(ISNUMBER(--MID((--TRIM(RIGHT(SUBSTITUTE(LEFT(A177,_xlfn.AGGREGATE(16,6,FIND({0,1,2,3,4,5,6,7,8,9},A177,ROW(INDIRECT("1:"&amp;LEN(A177)))),1))," ",REPT(" ",LEN(A177))),LEN(A177)))), ROW(INDIRECT("1:"&amp;LEN((--TRIM(RIGHT(SUBSTITUTE(LEFT(A177,_xlfn.AGGREGATE(16,6,FIND({0,1,2,3,4,5,6,7,8,9},A177,ROW(INDIRECT("1:"&amp;LEN(A177)))),1))," ",REPT(" ",LEN(A177))),LEN(A177))))))), 1)) * ROW(INDIRECT("1:"&amp;LEN((--TRIM(RIGHT(SUBSTITUTE(LEFT(A177,_xlfn.AGGREGATE(16,6,FIND({0,1,2,3,4,5,6,7,8,9},A177,ROW(INDIRECT("1:"&amp;LEN(A177)))),1))," ",REPT(" ",LEN(A177))),LEN(A177))))))), 0), ROW(INDIRECT("1:"&amp;LEN((--TRIM(RIGHT(SUBSTITUTE(LEFT(A177,_xlfn.AGGREGATE(16,6,FIND({0,1,2,3,4,5,6,7,8,9},A177,ROW(INDIRECT("1:"&amp;LEN(A177)))),1))," ",REPT(" ",LEN(A177))),LEN(A177))))))))+1, 1) * 10^ROW(INDIRECT("1:"&amp;LEN((--TRIM(RIGHT(SUBSTITUTE(LEFT(A177,_xlfn.AGGREGATE(16,6,FIND({0,1,2,3,4,5,6,7,8,9},A177,ROW(INDIRECT("1:"&amp;LEN(A177)))),1))," ",REPT(" ",LEN(A177))),LEN(A177)))))))/10))*1+1</f>
        <v>304 ,.., 1504</v>
      </c>
      <c r="B178" s="86"/>
      <c r="C178" s="42"/>
      <c r="D178" s="42"/>
      <c r="E178" s="42">
        <v>0</v>
      </c>
      <c r="F178" s="42">
        <f>D178+E178</f>
        <v>0</v>
      </c>
      <c r="G178" s="42">
        <v>0</v>
      </c>
      <c r="H178" s="42">
        <f>F178*(($H$160)+1)+(IF(G178&lt;101,G178,IF(G178&lt;201,G178/2,IF(G178&lt;=301,G178/3,G178/4))))</f>
        <v>0</v>
      </c>
      <c r="I178" s="36"/>
      <c r="N178" s="36" t="e">
        <f t="shared" si="11"/>
        <v>#DIV/0!</v>
      </c>
    </row>
    <row r="179" spans="1:20" s="37" customFormat="1" ht="15.75" hidden="1" customHeight="1" x14ac:dyDescent="0.3">
      <c r="A179" s="85" t="str">
        <f ca="1">(SUMPRODUCT(MID(0&amp;(LEFT(A178,SUM(LEN(A178)-LEN(SUBSTITUTE(A178,{"0","1","2"},""))))), LARGE(INDEX(ISNUMBER(--MID((LEFT(A178,SUM(LEN(A178)-LEN(SUBSTITUTE(A178,{"0","1","2"},""))))), ROW(INDIRECT("1:"&amp;LEN((LEFT(A178,SUM(LEN(A178)-LEN(SUBSTITUTE(A178,{"0","1","2"},"")))))))), 1)) * ROW(INDIRECT("1:"&amp;LEN((LEFT(A178,SUM(LEN(A178)-LEN(SUBSTITUTE(A178,{"0","1","2"},"")))))))), 0), ROW(INDIRECT("1:"&amp;LEN((LEFT(A178,SUM(LEN(A178)-LEN(SUBSTITUTE(A178,{"0","1","2"},"")))))))))+1, 1) * 10^ROW(INDIRECT("1:"&amp;LEN((LEFT(A178,SUM(LEN(A178)-LEN(SUBSTITUTE(A178,{"0","1","2"},""))))))))/10))*1+1&amp;""&amp;" ,.., "&amp;""&amp;(SUMPRODUCT(MID(0&amp;(--TRIM(RIGHT(SUBSTITUTE(LEFT(A178,_xlfn.AGGREGATE(16,6,FIND({0,1,2,3,4,5,6,7,8,9},A178,ROW(INDIRECT("1:"&amp;LEN(A178)))),1))," ",REPT(" ",LEN(A178))),LEN(A178)))), LARGE(INDEX(ISNUMBER(--MID((--TRIM(RIGHT(SUBSTITUTE(LEFT(A178,_xlfn.AGGREGATE(16,6,FIND({0,1,2,3,4,5,6,7,8,9},A178,ROW(INDIRECT("1:"&amp;LEN(A178)))),1))," ",REPT(" ",LEN(A178))),LEN(A178)))), ROW(INDIRECT("1:"&amp;LEN((--TRIM(RIGHT(SUBSTITUTE(LEFT(A178,_xlfn.AGGREGATE(16,6,FIND({0,1,2,3,4,5,6,7,8,9},A178,ROW(INDIRECT("1:"&amp;LEN(A178)))),1))," ",REPT(" ",LEN(A178))),LEN(A178))))))), 1)) * ROW(INDIRECT("1:"&amp;LEN((--TRIM(RIGHT(SUBSTITUTE(LEFT(A178,_xlfn.AGGREGATE(16,6,FIND({0,1,2,3,4,5,6,7,8,9},A178,ROW(INDIRECT("1:"&amp;LEN(A178)))),1))," ",REPT(" ",LEN(A178))),LEN(A178))))))), 0), ROW(INDIRECT("1:"&amp;LEN((--TRIM(RIGHT(SUBSTITUTE(LEFT(A178,_xlfn.AGGREGATE(16,6,FIND({0,1,2,3,4,5,6,7,8,9},A178,ROW(INDIRECT("1:"&amp;LEN(A178)))),1))," ",REPT(" ",LEN(A178))),LEN(A178))))))))+1, 1) * 10^ROW(INDIRECT("1:"&amp;LEN((--TRIM(RIGHT(SUBSTITUTE(LEFT(A178,_xlfn.AGGREGATE(16,6,FIND({0,1,2,3,4,5,6,7,8,9},A178,ROW(INDIRECT("1:"&amp;LEN(A178)))),1))," ",REPT(" ",LEN(A178))),LEN(A178)))))))/10))*1+1</f>
        <v>305 ,.., 1505</v>
      </c>
      <c r="B179" s="86"/>
      <c r="C179" s="42"/>
      <c r="D179" s="42"/>
      <c r="E179" s="42">
        <v>0</v>
      </c>
      <c r="F179" s="42">
        <f>D179+E179</f>
        <v>0</v>
      </c>
      <c r="G179" s="42">
        <v>0</v>
      </c>
      <c r="H179" s="42">
        <f>F179*(($H$160)+1)+(IF(G179&lt;101,G179,IF(G179&lt;201,G179/2,IF(G179&lt;=301,G179/3,G179/4))))</f>
        <v>0</v>
      </c>
      <c r="I179" s="36"/>
      <c r="N179" s="36" t="e">
        <f t="shared" si="11"/>
        <v>#DIV/0!</v>
      </c>
    </row>
    <row r="180" spans="1:20" s="37" customFormat="1" hidden="1" x14ac:dyDescent="0.3">
      <c r="A180" s="190" t="s">
        <v>143</v>
      </c>
      <c r="B180" s="191"/>
      <c r="C180" s="191"/>
      <c r="D180" s="191"/>
      <c r="E180" s="191"/>
      <c r="F180" s="191"/>
      <c r="G180" s="191"/>
      <c r="H180" s="192"/>
      <c r="I180" s="36"/>
      <c r="N180" s="36" t="e">
        <f t="shared" si="11"/>
        <v>#DIV/0!</v>
      </c>
    </row>
    <row r="181" spans="1:20" s="37" customFormat="1" ht="15.75" hidden="1" customHeight="1" x14ac:dyDescent="0.3">
      <c r="A181" s="85" t="str">
        <f ca="1">(SUMPRODUCT(MID(0&amp;(LEFT(A180,SUM(LEN(A180)-LEN(SUBSTITUTE(A180,{"0","1","2"},""))))), LARGE(INDEX(ISNUMBER(--MID((LEFT(A180,SUM(LEN(A180)-LEN(SUBSTITUTE(A180,{"0","1","2"},""))))), ROW(INDIRECT("1:"&amp;LEN((LEFT(A180,SUM(LEN(A180)-LEN(SUBSTITUTE(A180,{"0","1","2"},"")))))))), 1)) * ROW(INDIRECT("1:"&amp;LEN((LEFT(A180,SUM(LEN(A180)-LEN(SUBSTITUTE(A180,{"0","1","2"},"")))))))), 0), ROW(INDIRECT("1:"&amp;LEN((LEFT(A180,SUM(LEN(A180)-LEN(SUBSTITUTE(A180,{"0","1","2"},"")))))))))+1, 1) * 10^ROW(INDIRECT("1:"&amp;LEN((LEFT(A180,SUM(LEN(A180)-LEN(SUBSTITUTE(A180,{"0","1","2"},""))))))))/10))*100+1&amp;""&amp;" to "&amp;""&amp;(SUMPRODUCT(MID(0&amp;(--TRIM(RIGHT(SUBSTITUTE(LEFT(A180,_xlfn.AGGREGATE(16,6,FIND({0,1,2,3,4,5,6,7,8,9},A180,ROW(INDIRECT("1:"&amp;LEN(A180)))),1))," ",REPT(" ",LEN(A180))),LEN(A180)))), LARGE(INDEX(ISNUMBER(--MID((--TRIM(RIGHT(SUBSTITUTE(LEFT(A180,_xlfn.AGGREGATE(16,6,FIND({0,1,2,3,4,5,6,7,8,9},A180,ROW(INDIRECT("1:"&amp;LEN(A180)))),1))," ",REPT(" ",LEN(A180))),LEN(A180)))), ROW(INDIRECT("1:"&amp;LEN((--TRIM(RIGHT(SUBSTITUTE(LEFT(A180,_xlfn.AGGREGATE(16,6,FIND({0,1,2,3,4,5,6,7,8,9},A180,ROW(INDIRECT("1:"&amp;LEN(A180)))),1))," ",REPT(" ",LEN(A180))),LEN(A180))))))), 1)) * ROW(INDIRECT("1:"&amp;LEN((--TRIM(RIGHT(SUBSTITUTE(LEFT(A180,_xlfn.AGGREGATE(16,6,FIND({0,1,2,3,4,5,6,7,8,9},A180,ROW(INDIRECT("1:"&amp;LEN(A180)))),1))," ",REPT(" ",LEN(A180))),LEN(A180))))))), 0), ROW(INDIRECT("1:"&amp;LEN((--TRIM(RIGHT(SUBSTITUTE(LEFT(A180,_xlfn.AGGREGATE(16,6,FIND({0,1,2,3,4,5,6,7,8,9},A180,ROW(INDIRECT("1:"&amp;LEN(A180)))),1))," ",REPT(" ",LEN(A180))),LEN(A180))))))))+1, 1) * 10^ROW(INDIRECT("1:"&amp;LEN((--TRIM(RIGHT(SUBSTITUTE(LEFT(A180,_xlfn.AGGREGATE(16,6,FIND({0,1,2,3,4,5,6,7,8,9},A180,ROW(INDIRECT("1:"&amp;LEN(A180)))),1))," ",REPT(" ",LEN(A180))),LEN(A180)))))))/10))*100+1</f>
        <v>201 to 501</v>
      </c>
      <c r="B181" s="86"/>
      <c r="C181" s="42"/>
      <c r="D181" s="42"/>
      <c r="E181" s="42">
        <v>0</v>
      </c>
      <c r="F181" s="42">
        <f>D181+E181</f>
        <v>0</v>
      </c>
      <c r="G181" s="42">
        <v>0</v>
      </c>
      <c r="H181" s="42">
        <f>F181*(($H$160)+1)+(IF(G181&lt;101,G181,IF(G181&lt;201,G181/2,IF(G181&lt;=301,G181/3,G181/4))))</f>
        <v>0</v>
      </c>
      <c r="I181" s="36"/>
      <c r="N181" s="36" t="e">
        <f t="shared" si="11"/>
        <v>#DIV/0!</v>
      </c>
    </row>
    <row r="182" spans="1:20" s="37" customFormat="1" ht="15.75" hidden="1" customHeight="1" x14ac:dyDescent="0.3">
      <c r="A182" s="85" t="str">
        <f ca="1">(SUMPRODUCT(MID(0&amp;(LEFT(A181,SUM(LEN(A181)-LEN(SUBSTITUTE(A181,{"0","1","2"},""))))), LARGE(INDEX(ISNUMBER(--MID((LEFT(A181,SUM(LEN(A181)-LEN(SUBSTITUTE(A181,{"0","1","2"},""))))), ROW(INDIRECT("1:"&amp;LEN((LEFT(A181,SUM(LEN(A181)-LEN(SUBSTITUTE(A181,{"0","1","2"},"")))))))), 1)) * ROW(INDIRECT("1:"&amp;LEN((LEFT(A181,SUM(LEN(A181)-LEN(SUBSTITUTE(A181,{"0","1","2"},"")))))))), 0), ROW(INDIRECT("1:"&amp;LEN((LEFT(A181,SUM(LEN(A181)-LEN(SUBSTITUTE(A181,{"0","1","2"},"")))))))))+1, 1) * 10^ROW(INDIRECT("1:"&amp;LEN((LEFT(A181,SUM(LEN(A181)-LEN(SUBSTITUTE(A181,{"0","1","2"},""))))))))/10))*1+1&amp;""&amp;" to "&amp;""&amp;(SUMPRODUCT(MID(0&amp;(--TRIM(RIGHT(SUBSTITUTE(LEFT(A181,_xlfn.AGGREGATE(16,6,FIND({0,1,2,3,4,5,6,7,8,9},A181,ROW(INDIRECT("1:"&amp;LEN(A181)))),1))," ",REPT(" ",LEN(A181))),LEN(A181)))), LARGE(INDEX(ISNUMBER(--MID((--TRIM(RIGHT(SUBSTITUTE(LEFT(A181,_xlfn.AGGREGATE(16,6,FIND({0,1,2,3,4,5,6,7,8,9},A181,ROW(INDIRECT("1:"&amp;LEN(A181)))),1))," ",REPT(" ",LEN(A181))),LEN(A181)))), ROW(INDIRECT("1:"&amp;LEN((--TRIM(RIGHT(SUBSTITUTE(LEFT(A181,_xlfn.AGGREGATE(16,6,FIND({0,1,2,3,4,5,6,7,8,9},A181,ROW(INDIRECT("1:"&amp;LEN(A181)))),1))," ",REPT(" ",LEN(A181))),LEN(A181))))))), 1)) * ROW(INDIRECT("1:"&amp;LEN((--TRIM(RIGHT(SUBSTITUTE(LEFT(A181,_xlfn.AGGREGATE(16,6,FIND({0,1,2,3,4,5,6,7,8,9},A181,ROW(INDIRECT("1:"&amp;LEN(A181)))),1))," ",REPT(" ",LEN(A181))),LEN(A181))))))), 0), ROW(INDIRECT("1:"&amp;LEN((--TRIM(RIGHT(SUBSTITUTE(LEFT(A181,_xlfn.AGGREGATE(16,6,FIND({0,1,2,3,4,5,6,7,8,9},A181,ROW(INDIRECT("1:"&amp;LEN(A181)))),1))," ",REPT(" ",LEN(A181))),LEN(A181))))))))+1, 1) * 10^ROW(INDIRECT("1:"&amp;LEN((--TRIM(RIGHT(SUBSTITUTE(LEFT(A181,_xlfn.AGGREGATE(16,6,FIND({0,1,2,3,4,5,6,7,8,9},A181,ROW(INDIRECT("1:"&amp;LEN(A181)))),1))," ",REPT(" ",LEN(A181))),LEN(A181)))))))/10))*1+1</f>
        <v>202 to 502</v>
      </c>
      <c r="B182" s="86"/>
      <c r="C182" s="42"/>
      <c r="D182" s="42"/>
      <c r="E182" s="42">
        <v>0</v>
      </c>
      <c r="F182" s="42">
        <f>D182+E182</f>
        <v>0</v>
      </c>
      <c r="G182" s="42">
        <v>0</v>
      </c>
      <c r="H182" s="42">
        <f>F182*(($H$160)+1)+(IF(G182&lt;101,G182,IF(G182&lt;201,G182/2,IF(G182&lt;=301,G182/3,G182/4))))</f>
        <v>0</v>
      </c>
      <c r="I182" s="36"/>
      <c r="N182" s="36" t="e">
        <f t="shared" si="11"/>
        <v>#DIV/0!</v>
      </c>
    </row>
    <row r="183" spans="1:20" s="37" customFormat="1" ht="15.75" hidden="1" customHeight="1" x14ac:dyDescent="0.3">
      <c r="A183" s="85" t="str">
        <f ca="1">(SUMPRODUCT(MID(0&amp;(LEFT(A182,SUM(LEN(A182)-LEN(SUBSTITUTE(A182,{"0","1","2"},""))))), LARGE(INDEX(ISNUMBER(--MID((LEFT(A182,SUM(LEN(A182)-LEN(SUBSTITUTE(A182,{"0","1","2"},""))))), ROW(INDIRECT("1:"&amp;LEN((LEFT(A182,SUM(LEN(A182)-LEN(SUBSTITUTE(A182,{"0","1","2"},"")))))))), 1)) * ROW(INDIRECT("1:"&amp;LEN((LEFT(A182,SUM(LEN(A182)-LEN(SUBSTITUTE(A182,{"0","1","2"},"")))))))), 0), ROW(INDIRECT("1:"&amp;LEN((LEFT(A182,SUM(LEN(A182)-LEN(SUBSTITUTE(A182,{"0","1","2"},"")))))))))+1, 1) * 10^ROW(INDIRECT("1:"&amp;LEN((LEFT(A182,SUM(LEN(A182)-LEN(SUBSTITUTE(A182,{"0","1","2"},""))))))))/10))*1+1&amp;""&amp;" to "&amp;""&amp;(SUMPRODUCT(MID(0&amp;(--TRIM(RIGHT(SUBSTITUTE(LEFT(A182,_xlfn.AGGREGATE(16,6,FIND({0,1,2,3,4,5,6,7,8,9},A182,ROW(INDIRECT("1:"&amp;LEN(A182)))),1))," ",REPT(" ",LEN(A182))),LEN(A182)))), LARGE(INDEX(ISNUMBER(--MID((--TRIM(RIGHT(SUBSTITUTE(LEFT(A182,_xlfn.AGGREGATE(16,6,FIND({0,1,2,3,4,5,6,7,8,9},A182,ROW(INDIRECT("1:"&amp;LEN(A182)))),1))," ",REPT(" ",LEN(A182))),LEN(A182)))), ROW(INDIRECT("1:"&amp;LEN((--TRIM(RIGHT(SUBSTITUTE(LEFT(A182,_xlfn.AGGREGATE(16,6,FIND({0,1,2,3,4,5,6,7,8,9},A182,ROW(INDIRECT("1:"&amp;LEN(A182)))),1))," ",REPT(" ",LEN(A182))),LEN(A182))))))), 1)) * ROW(INDIRECT("1:"&amp;LEN((--TRIM(RIGHT(SUBSTITUTE(LEFT(A182,_xlfn.AGGREGATE(16,6,FIND({0,1,2,3,4,5,6,7,8,9},A182,ROW(INDIRECT("1:"&amp;LEN(A182)))),1))," ",REPT(" ",LEN(A182))),LEN(A182))))))), 0), ROW(INDIRECT("1:"&amp;LEN((--TRIM(RIGHT(SUBSTITUTE(LEFT(A182,_xlfn.AGGREGATE(16,6,FIND({0,1,2,3,4,5,6,7,8,9},A182,ROW(INDIRECT("1:"&amp;LEN(A182)))),1))," ",REPT(" ",LEN(A182))),LEN(A182))))))))+1, 1) * 10^ROW(INDIRECT("1:"&amp;LEN((--TRIM(RIGHT(SUBSTITUTE(LEFT(A182,_xlfn.AGGREGATE(16,6,FIND({0,1,2,3,4,5,6,7,8,9},A182,ROW(INDIRECT("1:"&amp;LEN(A182)))),1))," ",REPT(" ",LEN(A182))),LEN(A182)))))))/10))*1+1</f>
        <v>203 to 503</v>
      </c>
      <c r="B183" s="86"/>
      <c r="C183" s="42"/>
      <c r="D183" s="42"/>
      <c r="E183" s="42">
        <v>0</v>
      </c>
      <c r="F183" s="42">
        <f>D183+E183</f>
        <v>0</v>
      </c>
      <c r="G183" s="42">
        <v>0</v>
      </c>
      <c r="H183" s="42">
        <f>F183*(($H$160)+1)+(IF(G183&lt;101,G183,IF(G183&lt;201,G183/2,IF(G183&lt;=301,G183/3,G183/4))))</f>
        <v>0</v>
      </c>
      <c r="I183" s="36"/>
      <c r="N183" s="36" t="e">
        <f t="shared" si="11"/>
        <v>#DIV/0!</v>
      </c>
    </row>
    <row r="184" spans="1:20" s="37" customFormat="1" ht="15.75" hidden="1" customHeight="1" x14ac:dyDescent="0.3">
      <c r="A184" s="85" t="str">
        <f ca="1">(SUMPRODUCT(MID(0&amp;(LEFT(A183,SUM(LEN(A183)-LEN(SUBSTITUTE(A183,{"0","1","2"},""))))), LARGE(INDEX(ISNUMBER(--MID((LEFT(A183,SUM(LEN(A183)-LEN(SUBSTITUTE(A183,{"0","1","2"},""))))), ROW(INDIRECT("1:"&amp;LEN((LEFT(A183,SUM(LEN(A183)-LEN(SUBSTITUTE(A183,{"0","1","2"},"")))))))), 1)) * ROW(INDIRECT("1:"&amp;LEN((LEFT(A183,SUM(LEN(A183)-LEN(SUBSTITUTE(A183,{"0","1","2"},"")))))))), 0), ROW(INDIRECT("1:"&amp;LEN((LEFT(A183,SUM(LEN(A183)-LEN(SUBSTITUTE(A183,{"0","1","2"},"")))))))))+1, 1) * 10^ROW(INDIRECT("1:"&amp;LEN((LEFT(A183,SUM(LEN(A183)-LEN(SUBSTITUTE(A183,{"0","1","2"},""))))))))/10))*1+1&amp;""&amp;" to "&amp;""&amp;(SUMPRODUCT(MID(0&amp;(--TRIM(RIGHT(SUBSTITUTE(LEFT(A183,_xlfn.AGGREGATE(16,6,FIND({0,1,2,3,4,5,6,7,8,9},A183,ROW(INDIRECT("1:"&amp;LEN(A183)))),1))," ",REPT(" ",LEN(A183))),LEN(A183)))), LARGE(INDEX(ISNUMBER(--MID((--TRIM(RIGHT(SUBSTITUTE(LEFT(A183,_xlfn.AGGREGATE(16,6,FIND({0,1,2,3,4,5,6,7,8,9},A183,ROW(INDIRECT("1:"&amp;LEN(A183)))),1))," ",REPT(" ",LEN(A183))),LEN(A183)))), ROW(INDIRECT("1:"&amp;LEN((--TRIM(RIGHT(SUBSTITUTE(LEFT(A183,_xlfn.AGGREGATE(16,6,FIND({0,1,2,3,4,5,6,7,8,9},A183,ROW(INDIRECT("1:"&amp;LEN(A183)))),1))," ",REPT(" ",LEN(A183))),LEN(A183))))))), 1)) * ROW(INDIRECT("1:"&amp;LEN((--TRIM(RIGHT(SUBSTITUTE(LEFT(A183,_xlfn.AGGREGATE(16,6,FIND({0,1,2,3,4,5,6,7,8,9},A183,ROW(INDIRECT("1:"&amp;LEN(A183)))),1))," ",REPT(" ",LEN(A183))),LEN(A183))))))), 0), ROW(INDIRECT("1:"&amp;LEN((--TRIM(RIGHT(SUBSTITUTE(LEFT(A183,_xlfn.AGGREGATE(16,6,FIND({0,1,2,3,4,5,6,7,8,9},A183,ROW(INDIRECT("1:"&amp;LEN(A183)))),1))," ",REPT(" ",LEN(A183))),LEN(A183))))))))+1, 1) * 10^ROW(INDIRECT("1:"&amp;LEN((--TRIM(RIGHT(SUBSTITUTE(LEFT(A183,_xlfn.AGGREGATE(16,6,FIND({0,1,2,3,4,5,6,7,8,9},A183,ROW(INDIRECT("1:"&amp;LEN(A183)))),1))," ",REPT(" ",LEN(A183))),LEN(A183)))))))/10))*1+1</f>
        <v>204 to 504</v>
      </c>
      <c r="B184" s="86"/>
      <c r="C184" s="42"/>
      <c r="D184" s="42"/>
      <c r="E184" s="42">
        <v>0</v>
      </c>
      <c r="F184" s="42">
        <f>D184+E184</f>
        <v>0</v>
      </c>
      <c r="G184" s="42">
        <v>0</v>
      </c>
      <c r="H184" s="42">
        <f>F184*(($H$160)+1)+(IF(G184&lt;101,G184,IF(G184&lt;201,G184/2,IF(G184&lt;=301,G184/3,G184/4))))</f>
        <v>0</v>
      </c>
      <c r="I184" s="36"/>
      <c r="N184" s="36" t="e">
        <f t="shared" si="11"/>
        <v>#DIV/0!</v>
      </c>
    </row>
    <row r="185" spans="1:20" s="37" customFormat="1" ht="15.75" hidden="1" customHeight="1" x14ac:dyDescent="0.3">
      <c r="A185" s="85" t="str">
        <f ca="1">(SUMPRODUCT(MID(0&amp;(LEFT(A184,SUM(LEN(A184)-LEN(SUBSTITUTE(A184,{"0","1","2"},""))))), LARGE(INDEX(ISNUMBER(--MID((LEFT(A184,SUM(LEN(A184)-LEN(SUBSTITUTE(A184,{"0","1","2"},""))))), ROW(INDIRECT("1:"&amp;LEN((LEFT(A184,SUM(LEN(A184)-LEN(SUBSTITUTE(A184,{"0","1","2"},"")))))))), 1)) * ROW(INDIRECT("1:"&amp;LEN((LEFT(A184,SUM(LEN(A184)-LEN(SUBSTITUTE(A184,{"0","1","2"},"")))))))), 0), ROW(INDIRECT("1:"&amp;LEN((LEFT(A184,SUM(LEN(A184)-LEN(SUBSTITUTE(A184,{"0","1","2"},"")))))))))+1, 1) * 10^ROW(INDIRECT("1:"&amp;LEN((LEFT(A184,SUM(LEN(A184)-LEN(SUBSTITUTE(A184,{"0","1","2"},""))))))))/10))*1+1&amp;""&amp;" to "&amp;""&amp;(SUMPRODUCT(MID(0&amp;(--TRIM(RIGHT(SUBSTITUTE(LEFT(A184,_xlfn.AGGREGATE(16,6,FIND({0,1,2,3,4,5,6,7,8,9},A184,ROW(INDIRECT("1:"&amp;LEN(A184)))),1))," ",REPT(" ",LEN(A184))),LEN(A184)))), LARGE(INDEX(ISNUMBER(--MID((--TRIM(RIGHT(SUBSTITUTE(LEFT(A184,_xlfn.AGGREGATE(16,6,FIND({0,1,2,3,4,5,6,7,8,9},A184,ROW(INDIRECT("1:"&amp;LEN(A184)))),1))," ",REPT(" ",LEN(A184))),LEN(A184)))), ROW(INDIRECT("1:"&amp;LEN((--TRIM(RIGHT(SUBSTITUTE(LEFT(A184,_xlfn.AGGREGATE(16,6,FIND({0,1,2,3,4,5,6,7,8,9},A184,ROW(INDIRECT("1:"&amp;LEN(A184)))),1))," ",REPT(" ",LEN(A184))),LEN(A184))))))), 1)) * ROW(INDIRECT("1:"&amp;LEN((--TRIM(RIGHT(SUBSTITUTE(LEFT(A184,_xlfn.AGGREGATE(16,6,FIND({0,1,2,3,4,5,6,7,8,9},A184,ROW(INDIRECT("1:"&amp;LEN(A184)))),1))," ",REPT(" ",LEN(A184))),LEN(A184))))))), 0), ROW(INDIRECT("1:"&amp;LEN((--TRIM(RIGHT(SUBSTITUTE(LEFT(A184,_xlfn.AGGREGATE(16,6,FIND({0,1,2,3,4,5,6,7,8,9},A184,ROW(INDIRECT("1:"&amp;LEN(A184)))),1))," ",REPT(" ",LEN(A184))),LEN(A184))))))))+1, 1) * 10^ROW(INDIRECT("1:"&amp;LEN((--TRIM(RIGHT(SUBSTITUTE(LEFT(A184,_xlfn.AGGREGATE(16,6,FIND({0,1,2,3,4,5,6,7,8,9},A184,ROW(INDIRECT("1:"&amp;LEN(A184)))),1))," ",REPT(" ",LEN(A184))),LEN(A184)))))))/10))*1+1</f>
        <v>205 to 505</v>
      </c>
      <c r="B185" s="86"/>
      <c r="C185" s="42"/>
      <c r="D185" s="42"/>
      <c r="E185" s="42">
        <v>0</v>
      </c>
      <c r="F185" s="42">
        <f>D185+E185</f>
        <v>0</v>
      </c>
      <c r="G185" s="42">
        <v>0</v>
      </c>
      <c r="H185" s="42">
        <f>F185*(($H$160)+1)+(IF(G185&lt;101,G185,IF(G185&lt;201,G185/2,IF(G185&lt;=301,G185/3,G185/4))))</f>
        <v>0</v>
      </c>
      <c r="I185" s="36"/>
      <c r="N185" s="36" t="e">
        <f t="shared" si="11"/>
        <v>#DIV/0!</v>
      </c>
    </row>
    <row r="186" spans="1:20" s="37" customFormat="1" hidden="1" x14ac:dyDescent="0.3">
      <c r="A186" s="190" t="s">
        <v>144</v>
      </c>
      <c r="B186" s="191"/>
      <c r="C186" s="191"/>
      <c r="D186" s="191"/>
      <c r="E186" s="191"/>
      <c r="F186" s="191"/>
      <c r="G186" s="191"/>
      <c r="H186" s="192"/>
      <c r="I186" s="36"/>
      <c r="N186" s="36" t="e">
        <f t="shared" si="11"/>
        <v>#DIV/0!</v>
      </c>
    </row>
    <row r="187" spans="1:20" s="37" customFormat="1" ht="15.75" hidden="1" customHeight="1" x14ac:dyDescent="0.3">
      <c r="A187" s="85" t="str">
        <f ca="1">(SUMPRODUCT(MID(0&amp;(LEFT(A186,SUM(LEN(A186)-LEN(SUBSTITUTE(A186,{"0","1","2"},""))))), LARGE(INDEX(ISNUMBER(--MID((LEFT(A186,SUM(LEN(A186)-LEN(SUBSTITUTE(A186,{"0","1","2"},""))))), ROW(INDIRECT("1:"&amp;LEN((LEFT(A186,SUM(LEN(A186)-LEN(SUBSTITUTE(A186,{"0","1","2"},"")))))))), 1)) * ROW(INDIRECT("1:"&amp;LEN((LEFT(A186,SUM(LEN(A186)-LEN(SUBSTITUTE(A186,{"0","1","2"},"")))))))), 0), ROW(INDIRECT("1:"&amp;LEN((LEFT(A186,SUM(LEN(A186)-LEN(SUBSTITUTE(A186,{"0","1","2"},"")))))))))+1, 1) * 10^ROW(INDIRECT("1:"&amp;LEN((LEFT(A186,SUM(LEN(A186)-LEN(SUBSTITUTE(A186,{"0","1","2"},""))))))))/10))*100+1&amp;""&amp;" &amp; "&amp;""&amp;(SUMPRODUCT(MID(0&amp;(--TRIM(RIGHT(SUBSTITUTE(LEFT(A186,_xlfn.AGGREGATE(16,6,FIND({0,1,2,3,4,5,6,7,8,9},A186,ROW(INDIRECT("1:"&amp;LEN(A186)))),1))," ",REPT(" ",LEN(A186))),LEN(A186)))), LARGE(INDEX(ISNUMBER(--MID((--TRIM(RIGHT(SUBSTITUTE(LEFT(A186,_xlfn.AGGREGATE(16,6,FIND({0,1,2,3,4,5,6,7,8,9},A186,ROW(INDIRECT("1:"&amp;LEN(A186)))),1))," ",REPT(" ",LEN(A186))),LEN(A186)))), ROW(INDIRECT("1:"&amp;LEN((--TRIM(RIGHT(SUBSTITUTE(LEFT(A186,_xlfn.AGGREGATE(16,6,FIND({0,1,2,3,4,5,6,7,8,9},A186,ROW(INDIRECT("1:"&amp;LEN(A186)))),1))," ",REPT(" ",LEN(A186))),LEN(A186))))))), 1)) * ROW(INDIRECT("1:"&amp;LEN((--TRIM(RIGHT(SUBSTITUTE(LEFT(A186,_xlfn.AGGREGATE(16,6,FIND({0,1,2,3,4,5,6,7,8,9},A186,ROW(INDIRECT("1:"&amp;LEN(A186)))),1))," ",REPT(" ",LEN(A186))),LEN(A186))))))), 0), ROW(INDIRECT("1:"&amp;LEN((--TRIM(RIGHT(SUBSTITUTE(LEFT(A186,_xlfn.AGGREGATE(16,6,FIND({0,1,2,3,4,5,6,7,8,9},A186,ROW(INDIRECT("1:"&amp;LEN(A186)))),1))," ",REPT(" ",LEN(A186))),LEN(A186))))))))+1, 1) * 10^ROW(INDIRECT("1:"&amp;LEN((--TRIM(RIGHT(SUBSTITUTE(LEFT(A186,_xlfn.AGGREGATE(16,6,FIND({0,1,2,3,4,5,6,7,8,9},A186,ROW(INDIRECT("1:"&amp;LEN(A186)))),1))," ",REPT(" ",LEN(A186))),LEN(A186)))))))/10))*100+1</f>
        <v>201 &amp; 501</v>
      </c>
      <c r="B187" s="86"/>
      <c r="C187" s="42"/>
      <c r="D187" s="42"/>
      <c r="E187" s="42">
        <v>0</v>
      </c>
      <c r="F187" s="42">
        <f>D187+E187</f>
        <v>0</v>
      </c>
      <c r="G187" s="42">
        <v>0</v>
      </c>
      <c r="H187" s="42">
        <f>F187*(($H$160)+1)+(IF(G187&lt;101,G187,IF(G187&lt;201,G187/2,IF(G187&lt;=301,G187/3,G187/4))))</f>
        <v>0</v>
      </c>
      <c r="I187" s="36"/>
      <c r="N187" s="36" t="e">
        <f t="shared" si="11"/>
        <v>#DIV/0!</v>
      </c>
    </row>
    <row r="188" spans="1:20" s="37" customFormat="1" ht="15.75" hidden="1" customHeight="1" x14ac:dyDescent="0.3">
      <c r="A188" s="85" t="str">
        <f ca="1">(SUMPRODUCT(MID(0&amp;(LEFT(A187,SUM(LEN(A187)-LEN(SUBSTITUTE(A187,{"0","1","2"},""))))), LARGE(INDEX(ISNUMBER(--MID((LEFT(A187,SUM(LEN(A187)-LEN(SUBSTITUTE(A187,{"0","1","2"},""))))), ROW(INDIRECT("1:"&amp;LEN((LEFT(A187,SUM(LEN(A187)-LEN(SUBSTITUTE(A187,{"0","1","2"},"")))))))), 1)) * ROW(INDIRECT("1:"&amp;LEN((LEFT(A187,SUM(LEN(A187)-LEN(SUBSTITUTE(A187,{"0","1","2"},"")))))))), 0), ROW(INDIRECT("1:"&amp;LEN((LEFT(A187,SUM(LEN(A187)-LEN(SUBSTITUTE(A187,{"0","1","2"},"")))))))))+1, 1) * 10^ROW(INDIRECT("1:"&amp;LEN((LEFT(A187,SUM(LEN(A187)-LEN(SUBSTITUTE(A187,{"0","1","2"},""))))))))/10))*1+1&amp;""&amp;" &amp; "&amp;""&amp;(SUMPRODUCT(MID(0&amp;(--TRIM(RIGHT(SUBSTITUTE(LEFT(A187,_xlfn.AGGREGATE(16,6,FIND({0,1,2,3,4,5,6,7,8,9},A187,ROW(INDIRECT("1:"&amp;LEN(A187)))),1))," ",REPT(" ",LEN(A187))),LEN(A187)))), LARGE(INDEX(ISNUMBER(--MID((--TRIM(RIGHT(SUBSTITUTE(LEFT(A187,_xlfn.AGGREGATE(16,6,FIND({0,1,2,3,4,5,6,7,8,9},A187,ROW(INDIRECT("1:"&amp;LEN(A187)))),1))," ",REPT(" ",LEN(A187))),LEN(A187)))), ROW(INDIRECT("1:"&amp;LEN((--TRIM(RIGHT(SUBSTITUTE(LEFT(A187,_xlfn.AGGREGATE(16,6,FIND({0,1,2,3,4,5,6,7,8,9},A187,ROW(INDIRECT("1:"&amp;LEN(A187)))),1))," ",REPT(" ",LEN(A187))),LEN(A187))))))), 1)) * ROW(INDIRECT("1:"&amp;LEN((--TRIM(RIGHT(SUBSTITUTE(LEFT(A187,_xlfn.AGGREGATE(16,6,FIND({0,1,2,3,4,5,6,7,8,9},A187,ROW(INDIRECT("1:"&amp;LEN(A187)))),1))," ",REPT(" ",LEN(A187))),LEN(A187))))))), 0), ROW(INDIRECT("1:"&amp;LEN((--TRIM(RIGHT(SUBSTITUTE(LEFT(A187,_xlfn.AGGREGATE(16,6,FIND({0,1,2,3,4,5,6,7,8,9},A187,ROW(INDIRECT("1:"&amp;LEN(A187)))),1))," ",REPT(" ",LEN(A187))),LEN(A187))))))))+1, 1) * 10^ROW(INDIRECT("1:"&amp;LEN((--TRIM(RIGHT(SUBSTITUTE(LEFT(A187,_xlfn.AGGREGATE(16,6,FIND({0,1,2,3,4,5,6,7,8,9},A187,ROW(INDIRECT("1:"&amp;LEN(A187)))),1))," ",REPT(" ",LEN(A187))),LEN(A187)))))))/10))*1+1</f>
        <v>202 &amp; 502</v>
      </c>
      <c r="B188" s="86"/>
      <c r="C188" s="42"/>
      <c r="D188" s="42"/>
      <c r="E188" s="42">
        <v>0</v>
      </c>
      <c r="F188" s="42">
        <f>D188+E188</f>
        <v>0</v>
      </c>
      <c r="G188" s="42">
        <v>0</v>
      </c>
      <c r="H188" s="42">
        <f>F188*(($H$160)+1)+(IF(G188&lt;101,G188,IF(G188&lt;201,G188/2,IF(G188&lt;=301,G188/3,G188/4))))</f>
        <v>0</v>
      </c>
      <c r="I188" s="36"/>
      <c r="N188" s="36" t="e">
        <f t="shared" si="11"/>
        <v>#DIV/0!</v>
      </c>
    </row>
    <row r="189" spans="1:20" s="37" customFormat="1" ht="15.75" hidden="1" customHeight="1" x14ac:dyDescent="0.3">
      <c r="A189" s="85" t="str">
        <f ca="1">(SUMPRODUCT(MID(0&amp;(LEFT(A188,SUM(LEN(A188)-LEN(SUBSTITUTE(A188,{"0","1","2"},""))))), LARGE(INDEX(ISNUMBER(--MID((LEFT(A188,SUM(LEN(A188)-LEN(SUBSTITUTE(A188,{"0","1","2"},""))))), ROW(INDIRECT("1:"&amp;LEN((LEFT(A188,SUM(LEN(A188)-LEN(SUBSTITUTE(A188,{"0","1","2"},"")))))))), 1)) * ROW(INDIRECT("1:"&amp;LEN((LEFT(A188,SUM(LEN(A188)-LEN(SUBSTITUTE(A188,{"0","1","2"},"")))))))), 0), ROW(INDIRECT("1:"&amp;LEN((LEFT(A188,SUM(LEN(A188)-LEN(SUBSTITUTE(A188,{"0","1","2"},"")))))))))+1, 1) * 10^ROW(INDIRECT("1:"&amp;LEN((LEFT(A188,SUM(LEN(A188)-LEN(SUBSTITUTE(A188,{"0","1","2"},""))))))))/10))*1+1&amp;""&amp;" &amp; "&amp;""&amp;(SUMPRODUCT(MID(0&amp;(--TRIM(RIGHT(SUBSTITUTE(LEFT(A188,_xlfn.AGGREGATE(16,6,FIND({0,1,2,3,4,5,6,7,8,9},A188,ROW(INDIRECT("1:"&amp;LEN(A188)))),1))," ",REPT(" ",LEN(A188))),LEN(A188)))), LARGE(INDEX(ISNUMBER(--MID((--TRIM(RIGHT(SUBSTITUTE(LEFT(A188,_xlfn.AGGREGATE(16,6,FIND({0,1,2,3,4,5,6,7,8,9},A188,ROW(INDIRECT("1:"&amp;LEN(A188)))),1))," ",REPT(" ",LEN(A188))),LEN(A188)))), ROW(INDIRECT("1:"&amp;LEN((--TRIM(RIGHT(SUBSTITUTE(LEFT(A188,_xlfn.AGGREGATE(16,6,FIND({0,1,2,3,4,5,6,7,8,9},A188,ROW(INDIRECT("1:"&amp;LEN(A188)))),1))," ",REPT(" ",LEN(A188))),LEN(A188))))))), 1)) * ROW(INDIRECT("1:"&amp;LEN((--TRIM(RIGHT(SUBSTITUTE(LEFT(A188,_xlfn.AGGREGATE(16,6,FIND({0,1,2,3,4,5,6,7,8,9},A188,ROW(INDIRECT("1:"&amp;LEN(A188)))),1))," ",REPT(" ",LEN(A188))),LEN(A188))))))), 0), ROW(INDIRECT("1:"&amp;LEN((--TRIM(RIGHT(SUBSTITUTE(LEFT(A188,_xlfn.AGGREGATE(16,6,FIND({0,1,2,3,4,5,6,7,8,9},A188,ROW(INDIRECT("1:"&amp;LEN(A188)))),1))," ",REPT(" ",LEN(A188))),LEN(A188))))))))+1, 1) * 10^ROW(INDIRECT("1:"&amp;LEN((--TRIM(RIGHT(SUBSTITUTE(LEFT(A188,_xlfn.AGGREGATE(16,6,FIND({0,1,2,3,4,5,6,7,8,9},A188,ROW(INDIRECT("1:"&amp;LEN(A188)))),1))," ",REPT(" ",LEN(A188))),LEN(A188)))))))/10))*1+1</f>
        <v>203 &amp; 503</v>
      </c>
      <c r="B189" s="86"/>
      <c r="C189" s="42"/>
      <c r="D189" s="42"/>
      <c r="E189" s="42">
        <v>0</v>
      </c>
      <c r="F189" s="42">
        <f>D189+E189</f>
        <v>0</v>
      </c>
      <c r="G189" s="42">
        <v>0</v>
      </c>
      <c r="H189" s="42">
        <f>F189*(($H$160)+1)+(IF(G189&lt;101,G189,IF(G189&lt;201,G189/2,IF(G189&lt;=301,G189/3,G189/4))))</f>
        <v>0</v>
      </c>
      <c r="I189" s="36"/>
      <c r="N189" s="36" t="e">
        <f t="shared" si="11"/>
        <v>#DIV/0!</v>
      </c>
    </row>
    <row r="190" spans="1:20" s="37" customFormat="1" ht="15.75" hidden="1" customHeight="1" x14ac:dyDescent="0.3">
      <c r="A190" s="85" t="str">
        <f ca="1">(SUMPRODUCT(MID(0&amp;(LEFT(A189,SUM(LEN(A189)-LEN(SUBSTITUTE(A189,{"0","1","2"},""))))), LARGE(INDEX(ISNUMBER(--MID((LEFT(A189,SUM(LEN(A189)-LEN(SUBSTITUTE(A189,{"0","1","2"},""))))), ROW(INDIRECT("1:"&amp;LEN((LEFT(A189,SUM(LEN(A189)-LEN(SUBSTITUTE(A189,{"0","1","2"},"")))))))), 1)) * ROW(INDIRECT("1:"&amp;LEN((LEFT(A189,SUM(LEN(A189)-LEN(SUBSTITUTE(A189,{"0","1","2"},"")))))))), 0), ROW(INDIRECT("1:"&amp;LEN((LEFT(A189,SUM(LEN(A189)-LEN(SUBSTITUTE(A189,{"0","1","2"},"")))))))))+1, 1) * 10^ROW(INDIRECT("1:"&amp;LEN((LEFT(A189,SUM(LEN(A189)-LEN(SUBSTITUTE(A189,{"0","1","2"},""))))))))/10))*1+1&amp;""&amp;" &amp; "&amp;""&amp;(SUMPRODUCT(MID(0&amp;(--TRIM(RIGHT(SUBSTITUTE(LEFT(A189,_xlfn.AGGREGATE(16,6,FIND({0,1,2,3,4,5,6,7,8,9},A189,ROW(INDIRECT("1:"&amp;LEN(A189)))),1))," ",REPT(" ",LEN(A189))),LEN(A189)))), LARGE(INDEX(ISNUMBER(--MID((--TRIM(RIGHT(SUBSTITUTE(LEFT(A189,_xlfn.AGGREGATE(16,6,FIND({0,1,2,3,4,5,6,7,8,9},A189,ROW(INDIRECT("1:"&amp;LEN(A189)))),1))," ",REPT(" ",LEN(A189))),LEN(A189)))), ROW(INDIRECT("1:"&amp;LEN((--TRIM(RIGHT(SUBSTITUTE(LEFT(A189,_xlfn.AGGREGATE(16,6,FIND({0,1,2,3,4,5,6,7,8,9},A189,ROW(INDIRECT("1:"&amp;LEN(A189)))),1))," ",REPT(" ",LEN(A189))),LEN(A189))))))), 1)) * ROW(INDIRECT("1:"&amp;LEN((--TRIM(RIGHT(SUBSTITUTE(LEFT(A189,_xlfn.AGGREGATE(16,6,FIND({0,1,2,3,4,5,6,7,8,9},A189,ROW(INDIRECT("1:"&amp;LEN(A189)))),1))," ",REPT(" ",LEN(A189))),LEN(A189))))))), 0), ROW(INDIRECT("1:"&amp;LEN((--TRIM(RIGHT(SUBSTITUTE(LEFT(A189,_xlfn.AGGREGATE(16,6,FIND({0,1,2,3,4,5,6,7,8,9},A189,ROW(INDIRECT("1:"&amp;LEN(A189)))),1))," ",REPT(" ",LEN(A189))),LEN(A189))))))))+1, 1) * 10^ROW(INDIRECT("1:"&amp;LEN((--TRIM(RIGHT(SUBSTITUTE(LEFT(A189,_xlfn.AGGREGATE(16,6,FIND({0,1,2,3,4,5,6,7,8,9},A189,ROW(INDIRECT("1:"&amp;LEN(A189)))),1))," ",REPT(" ",LEN(A189))),LEN(A189)))))))/10))*1+1</f>
        <v>204 &amp; 504</v>
      </c>
      <c r="B190" s="86"/>
      <c r="C190" s="42"/>
      <c r="D190" s="42"/>
      <c r="E190" s="42">
        <v>0</v>
      </c>
      <c r="F190" s="42">
        <f>D190+E190</f>
        <v>0</v>
      </c>
      <c r="G190" s="42">
        <v>0</v>
      </c>
      <c r="H190" s="42">
        <f>F190*(($H$160)+1)+(IF(G190&lt;101,G190,IF(G190&lt;201,G190/2,IF(G190&lt;=301,G190/3,G190/4))))</f>
        <v>0</v>
      </c>
      <c r="I190" s="36"/>
      <c r="N190" s="36" t="e">
        <f t="shared" si="11"/>
        <v>#DIV/0!</v>
      </c>
    </row>
    <row r="191" spans="1:20" s="37" customFormat="1" ht="15.75" hidden="1" customHeight="1" x14ac:dyDescent="0.3">
      <c r="A191" s="85" t="str">
        <f ca="1">(SUMPRODUCT(MID(0&amp;(LEFT(A190,SUM(LEN(A190)-LEN(SUBSTITUTE(A190,{"0","1","2"},""))))), LARGE(INDEX(ISNUMBER(--MID((LEFT(A190,SUM(LEN(A190)-LEN(SUBSTITUTE(A190,{"0","1","2"},""))))), ROW(INDIRECT("1:"&amp;LEN((LEFT(A190,SUM(LEN(A190)-LEN(SUBSTITUTE(A190,{"0","1","2"},"")))))))), 1)) * ROW(INDIRECT("1:"&amp;LEN((LEFT(A190,SUM(LEN(A190)-LEN(SUBSTITUTE(A190,{"0","1","2"},"")))))))), 0), ROW(INDIRECT("1:"&amp;LEN((LEFT(A190,SUM(LEN(A190)-LEN(SUBSTITUTE(A190,{"0","1","2"},"")))))))))+1, 1) * 10^ROW(INDIRECT("1:"&amp;LEN((LEFT(A190,SUM(LEN(A190)-LEN(SUBSTITUTE(A190,{"0","1","2"},""))))))))/10))*1+1&amp;""&amp;" &amp; "&amp;""&amp;(SUMPRODUCT(MID(0&amp;(--TRIM(RIGHT(SUBSTITUTE(LEFT(A190,_xlfn.AGGREGATE(16,6,FIND({0,1,2,3,4,5,6,7,8,9},A190,ROW(INDIRECT("1:"&amp;LEN(A190)))),1))," ",REPT(" ",LEN(A190))),LEN(A190)))), LARGE(INDEX(ISNUMBER(--MID((--TRIM(RIGHT(SUBSTITUTE(LEFT(A190,_xlfn.AGGREGATE(16,6,FIND({0,1,2,3,4,5,6,7,8,9},A190,ROW(INDIRECT("1:"&amp;LEN(A190)))),1))," ",REPT(" ",LEN(A190))),LEN(A190)))), ROW(INDIRECT("1:"&amp;LEN((--TRIM(RIGHT(SUBSTITUTE(LEFT(A190,_xlfn.AGGREGATE(16,6,FIND({0,1,2,3,4,5,6,7,8,9},A190,ROW(INDIRECT("1:"&amp;LEN(A190)))),1))," ",REPT(" ",LEN(A190))),LEN(A190))))))), 1)) * ROW(INDIRECT("1:"&amp;LEN((--TRIM(RIGHT(SUBSTITUTE(LEFT(A190,_xlfn.AGGREGATE(16,6,FIND({0,1,2,3,4,5,6,7,8,9},A190,ROW(INDIRECT("1:"&amp;LEN(A190)))),1))," ",REPT(" ",LEN(A190))),LEN(A190))))))), 0), ROW(INDIRECT("1:"&amp;LEN((--TRIM(RIGHT(SUBSTITUTE(LEFT(A190,_xlfn.AGGREGATE(16,6,FIND({0,1,2,3,4,5,6,7,8,9},A190,ROW(INDIRECT("1:"&amp;LEN(A190)))),1))," ",REPT(" ",LEN(A190))),LEN(A190))))))))+1, 1) * 10^ROW(INDIRECT("1:"&amp;LEN((--TRIM(RIGHT(SUBSTITUTE(LEFT(A190,_xlfn.AGGREGATE(16,6,FIND({0,1,2,3,4,5,6,7,8,9},A190,ROW(INDIRECT("1:"&amp;LEN(A190)))),1))," ",REPT(" ",LEN(A190))),LEN(A190)))))))/10))*1+1</f>
        <v>205 &amp; 505</v>
      </c>
      <c r="B191" s="86"/>
      <c r="C191" s="42"/>
      <c r="D191" s="42"/>
      <c r="E191" s="42">
        <v>0</v>
      </c>
      <c r="F191" s="42">
        <f>D191+E191</f>
        <v>0</v>
      </c>
      <c r="G191" s="42">
        <v>0</v>
      </c>
      <c r="H191" s="42">
        <f>F191*(($H$160)+1)+(IF(G191&lt;101,G191,IF(G191&lt;201,G191/2,IF(G191&lt;=301,G191/3,G191/4))))</f>
        <v>0</v>
      </c>
      <c r="I191" s="36"/>
      <c r="N191" s="36" t="e">
        <f t="shared" si="11"/>
        <v>#DIV/0!</v>
      </c>
    </row>
    <row r="192" spans="1:20" s="35" customFormat="1" x14ac:dyDescent="0.3">
      <c r="A192" s="193" t="s">
        <v>65</v>
      </c>
      <c r="B192" s="193"/>
      <c r="C192" s="193"/>
      <c r="D192" s="193"/>
      <c r="E192" s="193"/>
      <c r="F192" s="193"/>
      <c r="G192" s="193"/>
      <c r="H192" s="193"/>
      <c r="T192" s="37"/>
    </row>
    <row r="193" spans="1:20" s="35" customFormat="1" x14ac:dyDescent="0.3">
      <c r="A193" s="46" t="s">
        <v>152</v>
      </c>
      <c r="B193" s="187" t="s">
        <v>354</v>
      </c>
      <c r="C193" s="188"/>
      <c r="D193" s="188"/>
      <c r="E193" s="188"/>
      <c r="F193" s="188"/>
      <c r="G193" s="188"/>
      <c r="H193" s="189"/>
      <c r="T193" s="37"/>
    </row>
    <row r="194" spans="1:20" s="35" customFormat="1" x14ac:dyDescent="0.3">
      <c r="A194" s="46" t="s">
        <v>152</v>
      </c>
      <c r="B194" s="187" t="str">
        <f>(IF(H159="Saleable area Loading :","We have considered Saleable area of Flats as per our Calculation.","We considered Saleable area of Flat as per Builder area Sheet."))</f>
        <v>We have considered Saleable area of Flats as per our Calculation.</v>
      </c>
      <c r="C194" s="188"/>
      <c r="D194" s="188"/>
      <c r="E194" s="188"/>
      <c r="F194" s="188"/>
      <c r="G194" s="188"/>
      <c r="H194" s="189"/>
      <c r="T194" s="37"/>
    </row>
    <row r="195" spans="1:20" s="35" customFormat="1" x14ac:dyDescent="0.3">
      <c r="A195" s="46" t="s">
        <v>152</v>
      </c>
      <c r="B195" s="187" t="str">
        <f>(IF(H143="Saleable area Loading :","We have considered Saleable area of Commercial as per our Calculation.","We considered Saleable area of Commercial as per Builder area Sheet."))</f>
        <v>We considered Saleable area of Commercial as per Builder area Sheet.</v>
      </c>
      <c r="C195" s="188"/>
      <c r="D195" s="188"/>
      <c r="E195" s="188"/>
      <c r="F195" s="188"/>
      <c r="G195" s="188"/>
      <c r="H195" s="189"/>
      <c r="K195" s="35">
        <f>6*7</f>
        <v>42</v>
      </c>
      <c r="T195" s="37"/>
    </row>
    <row r="196" spans="1:20" s="35" customFormat="1" x14ac:dyDescent="0.3">
      <c r="A196" s="46" t="s">
        <v>152</v>
      </c>
      <c r="B196" s="114" t="s">
        <v>120</v>
      </c>
      <c r="C196" s="115"/>
      <c r="D196" s="115"/>
      <c r="E196" s="115"/>
      <c r="F196" s="115"/>
      <c r="G196" s="115"/>
      <c r="H196" s="116"/>
      <c r="T196" s="37"/>
    </row>
    <row r="197" spans="1:20" s="35" customFormat="1" x14ac:dyDescent="0.3">
      <c r="A197" s="46" t="s">
        <v>152</v>
      </c>
      <c r="B197" s="114" t="s">
        <v>336</v>
      </c>
      <c r="C197" s="115"/>
      <c r="D197" s="115"/>
      <c r="E197" s="115"/>
      <c r="F197" s="115"/>
      <c r="G197" s="115"/>
      <c r="H197" s="116"/>
      <c r="T197" s="37"/>
    </row>
    <row r="198" spans="1:20" s="35" customFormat="1" x14ac:dyDescent="0.3">
      <c r="A198" s="46" t="s">
        <v>152</v>
      </c>
      <c r="B198" s="114" t="s">
        <v>151</v>
      </c>
      <c r="C198" s="115"/>
      <c r="D198" s="115"/>
      <c r="E198" s="115"/>
      <c r="F198" s="115"/>
      <c r="G198" s="115"/>
      <c r="H198" s="116"/>
    </row>
    <row r="199" spans="1:20" s="35" customFormat="1" x14ac:dyDescent="0.3">
      <c r="A199" s="46" t="s">
        <v>152</v>
      </c>
      <c r="B199" s="114" t="s">
        <v>121</v>
      </c>
      <c r="C199" s="115"/>
      <c r="D199" s="115"/>
      <c r="E199" s="115"/>
      <c r="F199" s="115"/>
      <c r="G199" s="115"/>
      <c r="H199" s="116"/>
    </row>
    <row r="200" spans="1:20" s="35" customFormat="1" ht="34.5" customHeight="1" x14ac:dyDescent="0.3">
      <c r="A200" s="46" t="s">
        <v>152</v>
      </c>
      <c r="B200" s="114" t="s">
        <v>153</v>
      </c>
      <c r="C200" s="115"/>
      <c r="D200" s="115"/>
      <c r="E200" s="115"/>
      <c r="F200" s="115"/>
      <c r="G200" s="115"/>
      <c r="H200" s="116"/>
    </row>
    <row r="201" spans="1:20" s="35" customFormat="1" x14ac:dyDescent="0.3">
      <c r="A201" s="46" t="s">
        <v>152</v>
      </c>
      <c r="B201" s="114" t="s">
        <v>122</v>
      </c>
      <c r="C201" s="115"/>
      <c r="D201" s="115"/>
      <c r="E201" s="115"/>
      <c r="F201" s="115"/>
      <c r="G201" s="115"/>
      <c r="H201" s="116"/>
    </row>
    <row r="202" spans="1:20" s="35" customFormat="1" x14ac:dyDescent="0.3">
      <c r="A202" s="76" t="s">
        <v>152</v>
      </c>
      <c r="B202" s="93" t="s">
        <v>342</v>
      </c>
      <c r="C202" s="94"/>
      <c r="D202" s="94"/>
      <c r="E202" s="94"/>
      <c r="F202" s="94"/>
      <c r="G202" s="94"/>
      <c r="H202" s="95"/>
    </row>
    <row r="203" spans="1:20" s="35" customFormat="1" ht="49.5" customHeight="1" x14ac:dyDescent="0.3">
      <c r="A203" s="76" t="s">
        <v>152</v>
      </c>
      <c r="B203" s="93" t="s">
        <v>349</v>
      </c>
      <c r="C203" s="94"/>
      <c r="D203" s="94"/>
      <c r="E203" s="94"/>
      <c r="F203" s="94"/>
      <c r="G203" s="94"/>
      <c r="H203" s="95"/>
    </row>
    <row r="204" spans="1:20" s="35" customFormat="1" ht="33" customHeight="1" x14ac:dyDescent="0.3">
      <c r="A204" s="76" t="s">
        <v>152</v>
      </c>
      <c r="B204" s="93" t="s">
        <v>340</v>
      </c>
      <c r="C204" s="94"/>
      <c r="D204" s="94"/>
      <c r="E204" s="94"/>
      <c r="F204" s="94"/>
      <c r="G204" s="94"/>
      <c r="H204" s="95"/>
    </row>
    <row r="205" spans="1:20" s="35" customFormat="1" ht="31.5" hidden="1" customHeight="1" x14ac:dyDescent="0.3">
      <c r="A205" s="76" t="s">
        <v>152</v>
      </c>
      <c r="B205" s="93" t="s">
        <v>350</v>
      </c>
      <c r="C205" s="94"/>
      <c r="D205" s="94"/>
      <c r="E205" s="94"/>
      <c r="F205" s="94"/>
      <c r="G205" s="94"/>
      <c r="H205" s="95"/>
    </row>
    <row r="206" spans="1:20" x14ac:dyDescent="0.3">
      <c r="A206" s="181" t="s">
        <v>58</v>
      </c>
      <c r="B206" s="181"/>
      <c r="C206" s="181"/>
      <c r="D206" s="181"/>
      <c r="E206" s="181"/>
      <c r="F206" s="181"/>
      <c r="G206" s="181"/>
      <c r="H206" s="181"/>
      <c r="T206" s="35"/>
    </row>
    <row r="207" spans="1:20" x14ac:dyDescent="0.3">
      <c r="A207" s="96" t="s">
        <v>59</v>
      </c>
      <c r="B207" s="96"/>
      <c r="C207" s="96"/>
      <c r="D207" s="96"/>
      <c r="E207" s="96"/>
      <c r="F207" s="96"/>
      <c r="G207" s="96"/>
      <c r="H207" s="96"/>
      <c r="T207" s="35"/>
    </row>
    <row r="208" spans="1:20" ht="15.75" customHeight="1" x14ac:dyDescent="0.3">
      <c r="A208" s="204" t="s">
        <v>60</v>
      </c>
      <c r="B208" s="204"/>
      <c r="C208" s="204"/>
      <c r="D208" s="204"/>
      <c r="E208" s="204"/>
      <c r="F208" s="204"/>
      <c r="G208" s="204"/>
      <c r="H208" s="204"/>
      <c r="T208" s="35"/>
    </row>
    <row r="209" spans="1:20" x14ac:dyDescent="0.3">
      <c r="A209" s="96" t="s">
        <v>61</v>
      </c>
      <c r="B209" s="96"/>
      <c r="C209" s="96"/>
      <c r="D209" s="96"/>
      <c r="E209" s="96"/>
      <c r="F209" s="96"/>
      <c r="G209" s="96"/>
      <c r="H209" s="96"/>
      <c r="T209" s="35"/>
    </row>
    <row r="210" spans="1:20" x14ac:dyDescent="0.3">
      <c r="A210" s="96" t="s">
        <v>62</v>
      </c>
      <c r="B210" s="96"/>
      <c r="C210" s="96"/>
      <c r="D210" s="96"/>
      <c r="E210" s="96"/>
      <c r="F210" s="96"/>
      <c r="G210" s="96"/>
      <c r="H210" s="96"/>
      <c r="T210" s="35"/>
    </row>
    <row r="211" spans="1:20" x14ac:dyDescent="0.3">
      <c r="A211" s="96" t="s">
        <v>123</v>
      </c>
      <c r="B211" s="96"/>
      <c r="C211" s="96"/>
      <c r="D211" s="96"/>
      <c r="E211" s="96"/>
      <c r="F211" s="96"/>
      <c r="G211" s="96"/>
      <c r="H211" s="96"/>
      <c r="T211" s="35"/>
    </row>
    <row r="212" spans="1:20" ht="34.049999999999997" customHeight="1" x14ac:dyDescent="0.3">
      <c r="A212" s="147" t="s">
        <v>124</v>
      </c>
      <c r="B212" s="147"/>
      <c r="C212" s="147"/>
      <c r="D212" s="147"/>
      <c r="E212" s="147"/>
      <c r="F212" s="147"/>
      <c r="G212" s="147"/>
      <c r="H212" s="147"/>
    </row>
    <row r="213" spans="1:20" x14ac:dyDescent="0.3">
      <c r="A213" s="179" t="s">
        <v>74</v>
      </c>
      <c r="B213" s="179"/>
      <c r="C213" s="179" t="s">
        <v>355</v>
      </c>
      <c r="D213" s="179"/>
      <c r="E213" s="179" t="s">
        <v>104</v>
      </c>
      <c r="F213" s="179"/>
      <c r="G213" s="179" t="s">
        <v>356</v>
      </c>
      <c r="H213" s="179"/>
    </row>
    <row r="214" spans="1:20" x14ac:dyDescent="0.3">
      <c r="A214" s="178" t="s">
        <v>76</v>
      </c>
      <c r="B214" s="178"/>
      <c r="C214" s="178"/>
      <c r="D214" s="178"/>
      <c r="E214" s="178"/>
      <c r="F214" s="178"/>
      <c r="G214" s="178"/>
      <c r="H214" s="178"/>
    </row>
    <row r="215" spans="1:20" x14ac:dyDescent="0.3">
      <c r="A215" s="178"/>
      <c r="B215" s="178"/>
      <c r="C215" s="178"/>
      <c r="D215" s="178"/>
      <c r="E215" s="178"/>
      <c r="F215" s="178"/>
      <c r="G215" s="178"/>
      <c r="H215" s="178"/>
    </row>
    <row r="216" spans="1:20" x14ac:dyDescent="0.3">
      <c r="A216" s="178"/>
      <c r="B216" s="178"/>
      <c r="C216" s="178"/>
      <c r="D216" s="178"/>
      <c r="E216" s="178"/>
      <c r="F216" s="178"/>
      <c r="G216" s="178"/>
      <c r="H216" s="178"/>
    </row>
    <row r="217" spans="1:20" x14ac:dyDescent="0.3">
      <c r="A217" s="178"/>
      <c r="B217" s="178"/>
      <c r="C217" s="178"/>
      <c r="D217" s="178"/>
      <c r="E217" s="178"/>
      <c r="F217" s="178"/>
      <c r="G217" s="178"/>
      <c r="H217" s="178"/>
    </row>
    <row r="218" spans="1:20" x14ac:dyDescent="0.3">
      <c r="A218" s="38" t="s">
        <v>63</v>
      </c>
      <c r="B218" s="39"/>
      <c r="C218" s="39"/>
      <c r="D218" s="38" t="str">
        <f>E9</f>
        <v>Netra Aarambh Building No 6</v>
      </c>
      <c r="F218" s="39"/>
      <c r="G218" s="39"/>
      <c r="H218" s="39"/>
    </row>
    <row r="219" spans="1:20" x14ac:dyDescent="0.3">
      <c r="A219" s="39"/>
      <c r="B219" s="39"/>
      <c r="C219" s="39"/>
      <c r="D219" s="39"/>
      <c r="E219" s="39"/>
      <c r="F219" s="39"/>
      <c r="G219" s="39"/>
      <c r="H219" s="39"/>
    </row>
    <row r="220" spans="1:20" x14ac:dyDescent="0.3">
      <c r="A220" s="39"/>
      <c r="B220" s="39"/>
      <c r="C220" s="39"/>
      <c r="D220" s="39"/>
      <c r="E220" s="39"/>
      <c r="F220" s="39"/>
      <c r="G220" s="39"/>
      <c r="H220" s="39"/>
    </row>
    <row r="221" spans="1:20" ht="15" customHeight="1" x14ac:dyDescent="0.3"/>
    <row r="238" spans="8:8" x14ac:dyDescent="0.3">
      <c r="H238"/>
    </row>
    <row r="260" spans="1:1" x14ac:dyDescent="0.3">
      <c r="A260" s="41" t="s">
        <v>341</v>
      </c>
    </row>
    <row r="301" spans="1:1" x14ac:dyDescent="0.3">
      <c r="A301" s="41" t="s">
        <v>163</v>
      </c>
    </row>
    <row r="343" spans="1:1" x14ac:dyDescent="0.3">
      <c r="A343" s="41" t="s">
        <v>64</v>
      </c>
    </row>
  </sheetData>
  <mergeCells count="380">
    <mergeCell ref="B204:H204"/>
    <mergeCell ref="B202:H202"/>
    <mergeCell ref="I15:P15"/>
    <mergeCell ref="F127:H127"/>
    <mergeCell ref="F125:H125"/>
    <mergeCell ref="A176:B176"/>
    <mergeCell ref="A142:H142"/>
    <mergeCell ref="G131:H131"/>
    <mergeCell ref="A126:E126"/>
    <mergeCell ref="A148:B148"/>
    <mergeCell ref="A60:B60"/>
    <mergeCell ref="C60:E60"/>
    <mergeCell ref="D62:H62"/>
    <mergeCell ref="F126:H126"/>
    <mergeCell ref="E131:F131"/>
    <mergeCell ref="A131:B131"/>
    <mergeCell ref="A133:B133"/>
    <mergeCell ref="C136:D136"/>
    <mergeCell ref="D72:H72"/>
    <mergeCell ref="A73:C73"/>
    <mergeCell ref="E43:H43"/>
    <mergeCell ref="A43:D43"/>
    <mergeCell ref="A89:B89"/>
    <mergeCell ref="C89:H89"/>
    <mergeCell ref="A84:B84"/>
    <mergeCell ref="A50:B50"/>
    <mergeCell ref="C50:E50"/>
    <mergeCell ref="G50:H50"/>
    <mergeCell ref="G52:H52"/>
    <mergeCell ref="A51:B51"/>
    <mergeCell ref="A61:H61"/>
    <mergeCell ref="A62:C62"/>
    <mergeCell ref="A63:C63"/>
    <mergeCell ref="D63:H63"/>
    <mergeCell ref="G60:H60"/>
    <mergeCell ref="A54:B55"/>
    <mergeCell ref="C54:E54"/>
    <mergeCell ref="G54:H54"/>
    <mergeCell ref="A56:B57"/>
    <mergeCell ref="C56:E56"/>
    <mergeCell ref="G56:H56"/>
    <mergeCell ref="A58:B59"/>
    <mergeCell ref="C58:E58"/>
    <mergeCell ref="G58:H58"/>
    <mergeCell ref="G51:H51"/>
    <mergeCell ref="A52:B53"/>
    <mergeCell ref="C53:H53"/>
    <mergeCell ref="D67:H67"/>
    <mergeCell ref="C52:E52"/>
    <mergeCell ref="A65:C67"/>
    <mergeCell ref="D65:H65"/>
    <mergeCell ref="D66:H66"/>
    <mergeCell ref="C51:E51"/>
    <mergeCell ref="A211:H211"/>
    <mergeCell ref="A208:H208"/>
    <mergeCell ref="A169:B169"/>
    <mergeCell ref="A136:B136"/>
    <mergeCell ref="D159:D160"/>
    <mergeCell ref="E159:E160"/>
    <mergeCell ref="A97:B97"/>
    <mergeCell ref="A98:B98"/>
    <mergeCell ref="A99:B99"/>
    <mergeCell ref="A113:B113"/>
    <mergeCell ref="F118:H118"/>
    <mergeCell ref="G132:H132"/>
    <mergeCell ref="A116:B116"/>
    <mergeCell ref="F124:H124"/>
    <mergeCell ref="C131:D131"/>
    <mergeCell ref="C139:D139"/>
    <mergeCell ref="A161:H161"/>
    <mergeCell ref="A178:B178"/>
    <mergeCell ref="A175:B175"/>
    <mergeCell ref="B203:H203"/>
    <mergeCell ref="A140:B140"/>
    <mergeCell ref="C140:D140"/>
    <mergeCell ref="E140:F140"/>
    <mergeCell ref="B201:H201"/>
    <mergeCell ref="B199:H199"/>
    <mergeCell ref="B195:H195"/>
    <mergeCell ref="A189:B189"/>
    <mergeCell ref="A186:H186"/>
    <mergeCell ref="A187:B187"/>
    <mergeCell ref="A188:B188"/>
    <mergeCell ref="A191:B191"/>
    <mergeCell ref="A190:B190"/>
    <mergeCell ref="B193:H193"/>
    <mergeCell ref="B194:H194"/>
    <mergeCell ref="B196:H196"/>
    <mergeCell ref="B197:H197"/>
    <mergeCell ref="A192:H192"/>
    <mergeCell ref="A184:B184"/>
    <mergeCell ref="A185:B185"/>
    <mergeCell ref="A180:H180"/>
    <mergeCell ref="A174:H174"/>
    <mergeCell ref="A156:B156"/>
    <mergeCell ref="B198:H198"/>
    <mergeCell ref="E92:F92"/>
    <mergeCell ref="G92:H92"/>
    <mergeCell ref="A123:E123"/>
    <mergeCell ref="F123:H123"/>
    <mergeCell ref="A125:E125"/>
    <mergeCell ref="F120:H120"/>
    <mergeCell ref="A124:E124"/>
    <mergeCell ref="A110:B110"/>
    <mergeCell ref="A111:B111"/>
    <mergeCell ref="E93:F102"/>
    <mergeCell ref="A100:B100"/>
    <mergeCell ref="A101:B101"/>
    <mergeCell ref="E106:F106"/>
    <mergeCell ref="E107:F116"/>
    <mergeCell ref="A94:B94"/>
    <mergeCell ref="A95:B95"/>
    <mergeCell ref="A96:B96"/>
    <mergeCell ref="F119:H119"/>
    <mergeCell ref="A119:E119"/>
    <mergeCell ref="A105:B105"/>
    <mergeCell ref="A214:H217"/>
    <mergeCell ref="A213:B213"/>
    <mergeCell ref="E213:F213"/>
    <mergeCell ref="C213:D213"/>
    <mergeCell ref="G213:H213"/>
    <mergeCell ref="A130:H130"/>
    <mergeCell ref="A128:E128"/>
    <mergeCell ref="F128:H128"/>
    <mergeCell ref="A129:E129"/>
    <mergeCell ref="F129:H129"/>
    <mergeCell ref="A168:H168"/>
    <mergeCell ref="A137:B137"/>
    <mergeCell ref="A177:B177"/>
    <mergeCell ref="A132:B132"/>
    <mergeCell ref="A209:H209"/>
    <mergeCell ref="A135:H135"/>
    <mergeCell ref="A212:H212"/>
    <mergeCell ref="A210:H210"/>
    <mergeCell ref="A206:H206"/>
    <mergeCell ref="G136:H136"/>
    <mergeCell ref="A179:B179"/>
    <mergeCell ref="C143:C144"/>
    <mergeCell ref="B159:B160"/>
    <mergeCell ref="A207:H207"/>
    <mergeCell ref="A82:B82"/>
    <mergeCell ref="E78:F78"/>
    <mergeCell ref="A71:C71"/>
    <mergeCell ref="D71:H71"/>
    <mergeCell ref="A74:C74"/>
    <mergeCell ref="D74:H74"/>
    <mergeCell ref="A72:C72"/>
    <mergeCell ref="D73:H73"/>
    <mergeCell ref="A79:B79"/>
    <mergeCell ref="G78:H78"/>
    <mergeCell ref="A81:B81"/>
    <mergeCell ref="A1:H1"/>
    <mergeCell ref="A2:H2"/>
    <mergeCell ref="A3:D3"/>
    <mergeCell ref="E3:H3"/>
    <mergeCell ref="A5:D5"/>
    <mergeCell ref="A9:D9"/>
    <mergeCell ref="E9:H9"/>
    <mergeCell ref="A10:D10"/>
    <mergeCell ref="E10:H10"/>
    <mergeCell ref="E5:H5"/>
    <mergeCell ref="A6:D6"/>
    <mergeCell ref="E6:H6"/>
    <mergeCell ref="A7:D7"/>
    <mergeCell ref="E7:H7"/>
    <mergeCell ref="A8:D8"/>
    <mergeCell ref="E8:H8"/>
    <mergeCell ref="A4:D4"/>
    <mergeCell ref="E4:H4"/>
    <mergeCell ref="E14:H14"/>
    <mergeCell ref="A15:D15"/>
    <mergeCell ref="A11:D11"/>
    <mergeCell ref="E11:H11"/>
    <mergeCell ref="A23:D24"/>
    <mergeCell ref="E23:H24"/>
    <mergeCell ref="E15:H15"/>
    <mergeCell ref="A16:B16"/>
    <mergeCell ref="C16:H16"/>
    <mergeCell ref="C17:H17"/>
    <mergeCell ref="A18:B18"/>
    <mergeCell ref="C18:H18"/>
    <mergeCell ref="A13:D13"/>
    <mergeCell ref="E13:H13"/>
    <mergeCell ref="A12:D12"/>
    <mergeCell ref="E12:H12"/>
    <mergeCell ref="A17:B17"/>
    <mergeCell ref="A14:D14"/>
    <mergeCell ref="C35:E35"/>
    <mergeCell ref="A25:D25"/>
    <mergeCell ref="E25:H25"/>
    <mergeCell ref="A19:B19"/>
    <mergeCell ref="C19:D19"/>
    <mergeCell ref="E19:F19"/>
    <mergeCell ref="G19:H19"/>
    <mergeCell ref="A20:B20"/>
    <mergeCell ref="C20:D20"/>
    <mergeCell ref="E20:F20"/>
    <mergeCell ref="G20:H20"/>
    <mergeCell ref="A21:B21"/>
    <mergeCell ref="C21:D21"/>
    <mergeCell ref="E21:F21"/>
    <mergeCell ref="G21:H21"/>
    <mergeCell ref="A22:B22"/>
    <mergeCell ref="C22:D22"/>
    <mergeCell ref="E22:F22"/>
    <mergeCell ref="G22:H22"/>
    <mergeCell ref="F34:H34"/>
    <mergeCell ref="F35:H35"/>
    <mergeCell ref="F37:H37"/>
    <mergeCell ref="E27:H27"/>
    <mergeCell ref="A29:D29"/>
    <mergeCell ref="E29:H29"/>
    <mergeCell ref="A26:D26"/>
    <mergeCell ref="E26:H26"/>
    <mergeCell ref="A30:D30"/>
    <mergeCell ref="E30:H30"/>
    <mergeCell ref="A27:D27"/>
    <mergeCell ref="A36:B36"/>
    <mergeCell ref="C36:E36"/>
    <mergeCell ref="A31:D31"/>
    <mergeCell ref="E31:H31"/>
    <mergeCell ref="A32:D32"/>
    <mergeCell ref="E32:H32"/>
    <mergeCell ref="A28:D28"/>
    <mergeCell ref="E28:H28"/>
    <mergeCell ref="C33:E33"/>
    <mergeCell ref="F36:H36"/>
    <mergeCell ref="F33:H33"/>
    <mergeCell ref="A34:B34"/>
    <mergeCell ref="A33:B33"/>
    <mergeCell ref="C34:E34"/>
    <mergeCell ref="A35:B35"/>
    <mergeCell ref="A38:H38"/>
    <mergeCell ref="A37:B37"/>
    <mergeCell ref="C37:E37"/>
    <mergeCell ref="G107:H116"/>
    <mergeCell ref="A42:D42"/>
    <mergeCell ref="E42:H42"/>
    <mergeCell ref="A41:H41"/>
    <mergeCell ref="A68:C68"/>
    <mergeCell ref="A69:C69"/>
    <mergeCell ref="D68:H68"/>
    <mergeCell ref="E79:F88"/>
    <mergeCell ref="G79:H88"/>
    <mergeCell ref="A87:B87"/>
    <mergeCell ref="A88:B88"/>
    <mergeCell ref="D69:H69"/>
    <mergeCell ref="A44:D44"/>
    <mergeCell ref="E44:H44"/>
    <mergeCell ref="E45:H45"/>
    <mergeCell ref="E46:H46"/>
    <mergeCell ref="A92:B92"/>
    <mergeCell ref="E47:H47"/>
    <mergeCell ref="C57:H57"/>
    <mergeCell ref="C59:H59"/>
    <mergeCell ref="A91:B91"/>
    <mergeCell ref="A39:B39"/>
    <mergeCell ref="C39:H39"/>
    <mergeCell ref="A46:D46"/>
    <mergeCell ref="L150:M150"/>
    <mergeCell ref="L149:M149"/>
    <mergeCell ref="L148:M148"/>
    <mergeCell ref="L147:M147"/>
    <mergeCell ref="A86:B86"/>
    <mergeCell ref="C137:D137"/>
    <mergeCell ref="E137:F137"/>
    <mergeCell ref="G137:H137"/>
    <mergeCell ref="A118:E118"/>
    <mergeCell ref="A103:B103"/>
    <mergeCell ref="C103:H103"/>
    <mergeCell ref="A146:H146"/>
    <mergeCell ref="E143:E144"/>
    <mergeCell ref="A93:B93"/>
    <mergeCell ref="A47:D47"/>
    <mergeCell ref="A48:H48"/>
    <mergeCell ref="D64:H64"/>
    <mergeCell ref="A64:C64"/>
    <mergeCell ref="A85:B85"/>
    <mergeCell ref="C91:H91"/>
    <mergeCell ref="A45:D45"/>
    <mergeCell ref="A40:B40"/>
    <mergeCell ref="C40:H40"/>
    <mergeCell ref="F143:F144"/>
    <mergeCell ref="C132:D132"/>
    <mergeCell ref="E132:F132"/>
    <mergeCell ref="B143:B144"/>
    <mergeCell ref="A143:A144"/>
    <mergeCell ref="C159:C160"/>
    <mergeCell ref="G159:G160"/>
    <mergeCell ref="G140:H140"/>
    <mergeCell ref="C55:H55"/>
    <mergeCell ref="A78:B78"/>
    <mergeCell ref="A49:B49"/>
    <mergeCell ref="C49:H49"/>
    <mergeCell ref="A108:B108"/>
    <mergeCell ref="A109:B109"/>
    <mergeCell ref="A77:B77"/>
    <mergeCell ref="A75:B75"/>
    <mergeCell ref="C75:H75"/>
    <mergeCell ref="A83:B83"/>
    <mergeCell ref="A70:C70"/>
    <mergeCell ref="D70:H70"/>
    <mergeCell ref="C77:H77"/>
    <mergeCell ref="A80:B80"/>
    <mergeCell ref="B200:H200"/>
    <mergeCell ref="G93:H102"/>
    <mergeCell ref="A183:B183"/>
    <mergeCell ref="D143:D144"/>
    <mergeCell ref="A121:E121"/>
    <mergeCell ref="A112:B112"/>
    <mergeCell ref="A114:B114"/>
    <mergeCell ref="A115:B115"/>
    <mergeCell ref="A120:E120"/>
    <mergeCell ref="A117:E117"/>
    <mergeCell ref="F121:H121"/>
    <mergeCell ref="G106:H106"/>
    <mergeCell ref="G143:G144"/>
    <mergeCell ref="F117:H117"/>
    <mergeCell ref="F122:H122"/>
    <mergeCell ref="E136:F136"/>
    <mergeCell ref="A141:H141"/>
    <mergeCell ref="A155:B155"/>
    <mergeCell ref="L155:M155"/>
    <mergeCell ref="A147:B147"/>
    <mergeCell ref="B205:H205"/>
    <mergeCell ref="A122:E122"/>
    <mergeCell ref="A102:B102"/>
    <mergeCell ref="A107:B107"/>
    <mergeCell ref="A139:B139"/>
    <mergeCell ref="E139:F139"/>
    <mergeCell ref="C105:H105"/>
    <mergeCell ref="A106:B106"/>
    <mergeCell ref="A127:E127"/>
    <mergeCell ref="G139:H139"/>
    <mergeCell ref="C133:D133"/>
    <mergeCell ref="E133:F133"/>
    <mergeCell ref="G133:H133"/>
    <mergeCell ref="A134:B134"/>
    <mergeCell ref="C134:D134"/>
    <mergeCell ref="E134:F134"/>
    <mergeCell ref="G134:H134"/>
    <mergeCell ref="A138:B138"/>
    <mergeCell ref="C138:D138"/>
    <mergeCell ref="E138:F138"/>
    <mergeCell ref="G138:H138"/>
    <mergeCell ref="A182:B182"/>
    <mergeCell ref="L168:M168"/>
    <mergeCell ref="A173:B173"/>
    <mergeCell ref="A170:B170"/>
    <mergeCell ref="A171:B171"/>
    <mergeCell ref="A181:B181"/>
    <mergeCell ref="A163:B163"/>
    <mergeCell ref="A164:B164"/>
    <mergeCell ref="A165:B165"/>
    <mergeCell ref="A172:B172"/>
    <mergeCell ref="A167:B167"/>
    <mergeCell ref="J118:J119"/>
    <mergeCell ref="K118:K119"/>
    <mergeCell ref="L118:L119"/>
    <mergeCell ref="M118:M119"/>
    <mergeCell ref="N118:N119"/>
    <mergeCell ref="L156:M156"/>
    <mergeCell ref="A157:B157"/>
    <mergeCell ref="L157:M157"/>
    <mergeCell ref="A166:B166"/>
    <mergeCell ref="A162:B162"/>
    <mergeCell ref="A150:B150"/>
    <mergeCell ref="A149:B149"/>
    <mergeCell ref="A158:H158"/>
    <mergeCell ref="A159:A160"/>
    <mergeCell ref="F159:F160"/>
    <mergeCell ref="A145:H145"/>
    <mergeCell ref="A151:B151"/>
    <mergeCell ref="L151:M151"/>
    <mergeCell ref="A152:B152"/>
    <mergeCell ref="L152:M152"/>
    <mergeCell ref="A153:B153"/>
    <mergeCell ref="L153:M153"/>
    <mergeCell ref="A154:B154"/>
    <mergeCell ref="L154:M154"/>
  </mergeCells>
  <dataValidations count="17">
    <dataValidation type="list" allowBlank="1" showInputMessage="1" showErrorMessage="1" sqref="E5:H5" xr:uid="{00000000-0002-0000-0000-000000000000}">
      <formula1>OFFSET($L$3,1,MATCH($E4,$L$3:$P$3,0)-1,10,1)</formula1>
    </dataValidation>
    <dataValidation type="list" allowBlank="1" showInputMessage="1" showErrorMessage="1" sqref="A17:B17" xr:uid="{00000000-0002-0000-0000-000001000000}">
      <formula1>"CTS No as per CC,Survey No,Plot No,Gut No,FP No,"</formula1>
    </dataValidation>
    <dataValidation type="list" allowBlank="1" showInputMessage="1" showErrorMessage="1" sqref="G20:H20" xr:uid="{00000000-0002-0000-0000-000002000000}">
      <formula1>$S$13:$W$13</formula1>
    </dataValidation>
    <dataValidation type="list" allowBlank="1" showInputMessage="1" showErrorMessage="1" sqref="E143:E144" xr:uid="{00000000-0002-0000-0000-000003000000}">
      <formula1>"Attached Loft area,Attached Otla area,Attached Mezzanine area"</formula1>
    </dataValidation>
    <dataValidation type="list" allowBlank="1" showInputMessage="1" showErrorMessage="1" sqref="F117:H117" xr:uid="{00000000-0002-0000-0000-000004000000}">
      <formula1>"On Saleable Area,On Builtup Area,On Carpet Area,On Plot Area"</formula1>
    </dataValidation>
    <dataValidation type="list" allowBlank="1" showInputMessage="1" showErrorMessage="1" sqref="F128:H128" xr:uid="{00000000-0002-0000-0000-000005000000}">
      <formula1>OFFSET($S$117,1,MATCH($G20,$S$117:$W$117,0)-1,15,1)</formula1>
    </dataValidation>
    <dataValidation type="list" allowBlank="1" showInputMessage="1" showErrorMessage="1" sqref="B143:B144" xr:uid="{00000000-0002-0000-0000-000006000000}">
      <formula1>"Shop No. (Sale Plan),Sale / Rehab,Sale / Mhada"</formula1>
    </dataValidation>
    <dataValidation type="list" allowBlank="1" showInputMessage="1" showErrorMessage="1" sqref="B159:B160" xr:uid="{00000000-0002-0000-0000-000007000000}">
      <formula1>"Flat No. (Sale Plan),Sale / Rehab,Sale / Mhada"</formula1>
    </dataValidation>
    <dataValidation type="list" allowBlank="1" showInputMessage="1" showErrorMessage="1" sqref="C21:D21" xr:uid="{00000000-0002-0000-0000-000008000000}">
      <formula1>OFFSET($S$13,1,MATCH($G20,$S$13:$W$13,0)-1,15,1)</formula1>
    </dataValidation>
    <dataValidation type="list" allowBlank="1" showInputMessage="1" showErrorMessage="1" sqref="Y13" xr:uid="{00000000-0002-0000-0000-000009000000}">
      <formula1>$D$5:$H$5</formula1>
    </dataValidation>
    <dataValidation type="list" allowBlank="1" showInputMessage="1" showErrorMessage="1" sqref="E159:E160" xr:uid="{00000000-0002-0000-0000-00000A000000}">
      <formula1>"Fungible area,Balcony Area,Chajja Area,Cornice Area,AP Area,WS Area"</formula1>
    </dataValidation>
    <dataValidation type="list" allowBlank="1" showInputMessage="1" showErrorMessage="1" sqref="H160 H144" xr:uid="{00000000-0002-0000-0000-00000B000000}">
      <formula1>".45,.50,.55,.60"</formula1>
    </dataValidation>
    <dataValidation type="list" allowBlank="1" showInputMessage="1" showErrorMessage="1" sqref="E4:H4" xr:uid="{00000000-0002-0000-0000-00000C000000}">
      <formula1>$L$3:$P$3</formula1>
    </dataValidation>
    <dataValidation type="list" allowBlank="1" showInputMessage="1" showErrorMessage="1" sqref="C49:H49" xr:uid="{00000000-0002-0000-0000-00000D000000}">
      <formula1>OFFSET($S$49,1,MATCH($G20,$S$49:$W$49,0)-1,15,1)</formula1>
    </dataValidation>
    <dataValidation type="whole" allowBlank="1" showInputMessage="1" showErrorMessage="1" sqref="C84" xr:uid="{00000000-0002-0000-0000-00000E000000}">
      <formula1>0</formula1>
      <formula2>H76</formula2>
    </dataValidation>
    <dataValidation type="list" allowBlank="1" showInputMessage="1" showErrorMessage="1" sqref="H143 H159" xr:uid="{00000000-0002-0000-0000-00000F000000}">
      <formula1>"Saleable area Loading :,Builder Saleable Area"</formula1>
    </dataValidation>
    <dataValidation type="list" allowBlank="1" showInputMessage="1" showErrorMessage="1" sqref="D159:D160 D143:D144" xr:uid="{00000000-0002-0000-0000-000010000000}">
      <formula1>"Carpet area,RERA Carpet area"</formula1>
    </dataValidation>
  </dataValidations>
  <hyperlinks>
    <hyperlink ref="C40" r:id="rId1" xr:uid="{00000000-0004-0000-0000-000000000000}"/>
  </hyperlinks>
  <printOptions horizontalCentered="1"/>
  <pageMargins left="0.39370078740157483" right="0.39370078740157483" top="0.82677165354330717" bottom="0.78740157480314965" header="0.15748031496062992" footer="0.19685039370078741"/>
  <pageSetup fitToHeight="0" orientation="portrait" r:id="rId2"/>
  <headerFooter>
    <oddHeader>&amp;C&amp;G</oddHeader>
    <oddFooter>&amp;L&amp;"Times New Roman,Bold"&amp;12Ref No: &amp;F&amp;C&amp;G&amp;R&amp;"Times New Roman,Bold"&amp;12&amp;P</oddFooter>
  </headerFooter>
  <rowBreaks count="6" manualBreakCount="6">
    <brk id="74" max="7" man="1"/>
    <brk id="204" max="7" man="1"/>
    <brk id="217" max="16383" man="1"/>
    <brk id="259" max="16383" man="1"/>
    <brk id="300" max="16383" man="1"/>
    <brk id="342" max="16383" man="1"/>
  </rowBreaks>
  <drawing r:id="rId3"/>
  <legacyDrawing r:id="rId4"/>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I20"/>
  <sheetViews>
    <sheetView zoomScale="85" zoomScaleNormal="85" workbookViewId="0">
      <selection activeCell="F5" sqref="F5:F8"/>
    </sheetView>
  </sheetViews>
  <sheetFormatPr defaultColWidth="8.77734375" defaultRowHeight="14.4" x14ac:dyDescent="0.3"/>
  <cols>
    <col min="1" max="1" width="8.77734375" style="1"/>
    <col min="2" max="2" width="22.21875" style="1" customWidth="1"/>
    <col min="3" max="3" width="37" style="1" customWidth="1"/>
    <col min="4" max="5" width="11.44140625" style="1" customWidth="1"/>
    <col min="6" max="6" width="14" style="1" customWidth="1"/>
    <col min="7" max="7" width="20" style="1" customWidth="1"/>
    <col min="8" max="8" width="16.44140625" style="1" customWidth="1"/>
    <col min="9" max="16384" width="8.77734375" style="1"/>
  </cols>
  <sheetData>
    <row r="1" spans="1:9" ht="15" customHeight="1" x14ac:dyDescent="0.3"/>
    <row r="2" spans="1:9" ht="15" customHeight="1" x14ac:dyDescent="0.3">
      <c r="A2" s="2"/>
      <c r="B2" s="2"/>
      <c r="C2" s="2"/>
      <c r="D2" s="2"/>
      <c r="E2" s="2"/>
      <c r="F2" s="2"/>
      <c r="G2" s="2"/>
      <c r="H2" s="2"/>
    </row>
    <row r="3" spans="1:9" ht="15.75" customHeight="1" x14ac:dyDescent="0.3">
      <c r="A3" s="2"/>
      <c r="B3" s="230" t="s">
        <v>105</v>
      </c>
      <c r="C3" s="230"/>
      <c r="D3" s="230"/>
      <c r="E3" s="230"/>
      <c r="F3" s="230"/>
      <c r="G3" s="230"/>
      <c r="H3" s="230"/>
    </row>
    <row r="4" spans="1:9" x14ac:dyDescent="0.3">
      <c r="A4" s="2"/>
      <c r="B4" s="3" t="s">
        <v>106</v>
      </c>
      <c r="C4" s="3" t="s">
        <v>107</v>
      </c>
      <c r="D4" s="3" t="s">
        <v>66</v>
      </c>
      <c r="E4" s="3" t="s">
        <v>108</v>
      </c>
      <c r="F4" s="3" t="s">
        <v>113</v>
      </c>
      <c r="G4" s="3" t="s">
        <v>114</v>
      </c>
      <c r="H4" s="3" t="s">
        <v>109</v>
      </c>
    </row>
    <row r="5" spans="1:9" ht="15" customHeight="1" x14ac:dyDescent="0.3">
      <c r="A5" s="2"/>
      <c r="B5" s="70" t="s">
        <v>343</v>
      </c>
      <c r="C5" s="6"/>
      <c r="D5" s="70" t="s">
        <v>333</v>
      </c>
      <c r="E5" s="5">
        <v>351</v>
      </c>
      <c r="F5" s="7">
        <f>E5*1.7</f>
        <v>596.69999999999993</v>
      </c>
      <c r="G5" s="7">
        <f>H5/F5</f>
        <v>4524.8868778280548</v>
      </c>
      <c r="H5" s="8">
        <v>2700000</v>
      </c>
    </row>
    <row r="6" spans="1:9" x14ac:dyDescent="0.3">
      <c r="A6" s="2"/>
      <c r="B6" s="70" t="s">
        <v>343</v>
      </c>
      <c r="C6" s="9"/>
      <c r="D6" s="70" t="s">
        <v>333</v>
      </c>
      <c r="E6" s="5">
        <v>391</v>
      </c>
      <c r="F6" s="7">
        <f t="shared" ref="F6:F8" si="0">E6*1.7</f>
        <v>664.69999999999993</v>
      </c>
      <c r="G6" s="7">
        <f t="shared" ref="G6:G11" si="1">H6/F6</f>
        <v>4525.3497818564774</v>
      </c>
      <c r="H6" s="8">
        <v>3008000</v>
      </c>
    </row>
    <row r="7" spans="1:9" ht="15" customHeight="1" x14ac:dyDescent="0.3">
      <c r="A7" s="2"/>
      <c r="B7" s="70" t="s">
        <v>343</v>
      </c>
      <c r="C7" s="6"/>
      <c r="D7" s="70" t="s">
        <v>334</v>
      </c>
      <c r="E7" s="5">
        <v>493</v>
      </c>
      <c r="F7" s="7">
        <f t="shared" si="0"/>
        <v>838.1</v>
      </c>
      <c r="G7" s="7">
        <f t="shared" si="1"/>
        <v>4524.519747046892</v>
      </c>
      <c r="H7" s="8">
        <v>3792000</v>
      </c>
    </row>
    <row r="8" spans="1:9" x14ac:dyDescent="0.3">
      <c r="A8" s="2"/>
      <c r="B8" s="71" t="s">
        <v>344</v>
      </c>
      <c r="C8" s="71" t="s">
        <v>345</v>
      </c>
      <c r="D8" s="5"/>
      <c r="E8" s="5">
        <v>492</v>
      </c>
      <c r="F8" s="7">
        <f t="shared" si="0"/>
        <v>836.4</v>
      </c>
      <c r="G8" s="7">
        <v>3700</v>
      </c>
      <c r="H8" s="8">
        <f>G8*F8</f>
        <v>3094680</v>
      </c>
    </row>
    <row r="9" spans="1:9" ht="15" customHeight="1" x14ac:dyDescent="0.3">
      <c r="A9" s="2"/>
      <c r="B9" s="75" t="s">
        <v>347</v>
      </c>
      <c r="C9" s="9"/>
      <c r="D9" s="5"/>
      <c r="E9" s="5"/>
      <c r="F9" s="7">
        <f t="shared" ref="F9:F11" si="2">E9*1.5</f>
        <v>0</v>
      </c>
      <c r="G9" s="7" t="e">
        <f t="shared" ca="1" si="1"/>
        <v>#DIV/0!</v>
      </c>
      <c r="H9" s="8">
        <f ca="1">G9*F9</f>
        <v>2730600</v>
      </c>
    </row>
    <row r="10" spans="1:9" ht="15" customHeight="1" x14ac:dyDescent="0.3">
      <c r="A10" s="2"/>
      <c r="B10" s="5" t="s">
        <v>110</v>
      </c>
      <c r="C10" s="6"/>
      <c r="D10" s="5"/>
      <c r="E10" s="5"/>
      <c r="F10" s="7">
        <f t="shared" si="2"/>
        <v>0</v>
      </c>
      <c r="G10" s="7" t="e">
        <f t="shared" si="1"/>
        <v>#DIV/0!</v>
      </c>
      <c r="H10" s="8"/>
    </row>
    <row r="11" spans="1:9" ht="15" customHeight="1" x14ac:dyDescent="0.3">
      <c r="A11" s="2"/>
      <c r="B11" s="5" t="s">
        <v>110</v>
      </c>
      <c r="C11" s="6"/>
      <c r="D11" s="5"/>
      <c r="E11" s="5"/>
      <c r="F11" s="7">
        <f t="shared" si="2"/>
        <v>0</v>
      </c>
      <c r="G11" s="7" t="e">
        <f t="shared" si="1"/>
        <v>#DIV/0!</v>
      </c>
      <c r="H11" s="8"/>
    </row>
    <row r="12" spans="1:9" ht="15" customHeight="1" x14ac:dyDescent="0.3">
      <c r="A12" s="2"/>
      <c r="B12" s="10" t="s">
        <v>111</v>
      </c>
      <c r="C12" s="5"/>
      <c r="D12" s="5"/>
      <c r="E12" s="5"/>
      <c r="F12" s="5"/>
      <c r="G12" s="11" t="e">
        <f ca="1">AVERAGE(G5:G11)</f>
        <v>#DIV/0!</v>
      </c>
      <c r="H12" s="5"/>
    </row>
    <row r="13" spans="1:9" ht="15" customHeight="1" x14ac:dyDescent="0.3">
      <c r="B13" s="10" t="s">
        <v>112</v>
      </c>
      <c r="C13" s="5"/>
      <c r="D13" s="5"/>
      <c r="E13" s="5"/>
      <c r="F13" s="12"/>
      <c r="G13" s="10"/>
      <c r="H13" s="10"/>
      <c r="I13" s="4"/>
    </row>
    <row r="14" spans="1:9" ht="15" customHeight="1" x14ac:dyDescent="0.3"/>
    <row r="15" spans="1:9" ht="15" customHeight="1" x14ac:dyDescent="0.3"/>
    <row r="16" spans="1:9" ht="15" customHeight="1" x14ac:dyDescent="0.3"/>
    <row r="19" spans="3:6" x14ac:dyDescent="0.3">
      <c r="C19" s="1">
        <v>669</v>
      </c>
      <c r="D19" s="1">
        <f>C20/1.7</f>
        <v>2823.5294117647059</v>
      </c>
      <c r="F19" s="1">
        <f>2700000/351</f>
        <v>7692.3076923076924</v>
      </c>
    </row>
    <row r="20" spans="3:6" x14ac:dyDescent="0.3">
      <c r="C20" s="1">
        <v>4800</v>
      </c>
    </row>
  </sheetData>
  <mergeCells count="1">
    <mergeCell ref="B3:H3"/>
  </mergeCells>
  <pageMargins left="0.7" right="0.7" top="0.75" bottom="0.75" header="0.3" footer="0.3"/>
  <pageSetup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B3:K69"/>
  <sheetViews>
    <sheetView topLeftCell="A55" zoomScale="130" zoomScaleNormal="130" workbookViewId="0">
      <selection activeCell="L61" sqref="L61"/>
    </sheetView>
  </sheetViews>
  <sheetFormatPr defaultRowHeight="14.4" x14ac:dyDescent="0.3"/>
  <cols>
    <col min="4" max="4" width="13.77734375" bestFit="1" customWidth="1"/>
    <col min="5" max="5" width="10.44140625" bestFit="1" customWidth="1"/>
    <col min="6" max="6" width="12.44140625" bestFit="1" customWidth="1"/>
    <col min="7" max="7" width="18.21875" customWidth="1"/>
    <col min="8" max="8" width="10.5546875" bestFit="1" customWidth="1"/>
  </cols>
  <sheetData>
    <row r="3" spans="2:11" x14ac:dyDescent="0.3">
      <c r="J3">
        <v>1</v>
      </c>
      <c r="K3">
        <v>2</v>
      </c>
    </row>
    <row r="4" spans="2:11" x14ac:dyDescent="0.3">
      <c r="B4" s="53"/>
      <c r="C4" s="53" t="s">
        <v>11</v>
      </c>
      <c r="D4" s="54" t="s">
        <v>179</v>
      </c>
      <c r="E4" s="54" t="s">
        <v>189</v>
      </c>
      <c r="F4" s="54" t="s">
        <v>173</v>
      </c>
      <c r="G4" s="54" t="s">
        <v>194</v>
      </c>
      <c r="H4" s="54" t="s">
        <v>212</v>
      </c>
      <c r="J4" t="s">
        <v>194</v>
      </c>
      <c r="K4" t="s">
        <v>210</v>
      </c>
    </row>
    <row r="5" spans="2:11" x14ac:dyDescent="0.3">
      <c r="B5" s="53"/>
      <c r="C5" s="53"/>
      <c r="D5" s="54" t="s">
        <v>180</v>
      </c>
      <c r="E5" s="54" t="s">
        <v>187</v>
      </c>
      <c r="F5" s="54" t="s">
        <v>209</v>
      </c>
      <c r="G5" s="54" t="s">
        <v>195</v>
      </c>
      <c r="H5" s="54" t="s">
        <v>213</v>
      </c>
    </row>
    <row r="6" spans="2:11" x14ac:dyDescent="0.3">
      <c r="B6" s="53"/>
      <c r="C6" s="53"/>
      <c r="D6" s="54" t="s">
        <v>181</v>
      </c>
      <c r="E6" s="54" t="s">
        <v>188</v>
      </c>
      <c r="F6" s="54" t="s">
        <v>210</v>
      </c>
      <c r="G6" s="54" t="s">
        <v>196</v>
      </c>
      <c r="H6" s="54" t="s">
        <v>226</v>
      </c>
    </row>
    <row r="7" spans="2:11" x14ac:dyDescent="0.3">
      <c r="B7" s="53"/>
      <c r="C7" s="53"/>
      <c r="D7" s="54" t="s">
        <v>182</v>
      </c>
      <c r="E7" s="54" t="s">
        <v>190</v>
      </c>
      <c r="F7" s="54" t="s">
        <v>211</v>
      </c>
      <c r="G7" s="54" t="s">
        <v>197</v>
      </c>
      <c r="H7" s="54" t="s">
        <v>214</v>
      </c>
    </row>
    <row r="8" spans="2:11" x14ac:dyDescent="0.3">
      <c r="B8" s="53"/>
      <c r="C8" s="53"/>
      <c r="D8" s="54" t="s">
        <v>183</v>
      </c>
      <c r="E8" s="54" t="s">
        <v>191</v>
      </c>
      <c r="F8" s="54"/>
      <c r="G8" s="54" t="s">
        <v>198</v>
      </c>
      <c r="H8" s="54" t="s">
        <v>215</v>
      </c>
    </row>
    <row r="9" spans="2:11" x14ac:dyDescent="0.3">
      <c r="B9" s="53"/>
      <c r="C9" s="53"/>
      <c r="D9" s="54" t="s">
        <v>184</v>
      </c>
      <c r="E9" s="54" t="s">
        <v>189</v>
      </c>
      <c r="F9" s="54"/>
      <c r="G9" s="54" t="s">
        <v>199</v>
      </c>
      <c r="H9" s="54" t="s">
        <v>216</v>
      </c>
    </row>
    <row r="10" spans="2:11" x14ac:dyDescent="0.3">
      <c r="B10" s="53"/>
      <c r="C10" s="53"/>
      <c r="D10" s="54" t="s">
        <v>185</v>
      </c>
      <c r="E10" s="54" t="s">
        <v>192</v>
      </c>
      <c r="F10" s="54"/>
      <c r="G10" s="54" t="s">
        <v>200</v>
      </c>
      <c r="H10" s="54" t="s">
        <v>217</v>
      </c>
    </row>
    <row r="11" spans="2:11" x14ac:dyDescent="0.3">
      <c r="B11" s="53"/>
      <c r="C11" s="53"/>
      <c r="D11" s="54" t="s">
        <v>186</v>
      </c>
      <c r="E11" s="54" t="s">
        <v>193</v>
      </c>
      <c r="F11" s="54"/>
      <c r="G11" s="54" t="s">
        <v>201</v>
      </c>
      <c r="H11" s="54" t="s">
        <v>218</v>
      </c>
    </row>
    <row r="12" spans="2:11" x14ac:dyDescent="0.3">
      <c r="B12" s="53"/>
      <c r="C12" s="53"/>
      <c r="D12" s="54"/>
      <c r="E12" s="54"/>
      <c r="F12" s="54"/>
      <c r="G12" s="54" t="s">
        <v>202</v>
      </c>
      <c r="H12" s="54" t="s">
        <v>219</v>
      </c>
    </row>
    <row r="13" spans="2:11" x14ac:dyDescent="0.3">
      <c r="B13" s="53"/>
      <c r="C13" s="53"/>
      <c r="D13" s="54"/>
      <c r="E13" s="54"/>
      <c r="F13" s="54"/>
      <c r="G13" s="54" t="s">
        <v>203</v>
      </c>
      <c r="H13" s="54" t="s">
        <v>220</v>
      </c>
    </row>
    <row r="14" spans="2:11" x14ac:dyDescent="0.3">
      <c r="B14" s="53"/>
      <c r="C14" s="53"/>
      <c r="D14" s="54"/>
      <c r="E14" s="54"/>
      <c r="F14" s="54"/>
      <c r="G14" s="54" t="s">
        <v>204</v>
      </c>
      <c r="H14" s="54" t="s">
        <v>221</v>
      </c>
    </row>
    <row r="15" spans="2:11" x14ac:dyDescent="0.3">
      <c r="B15" s="53"/>
      <c r="C15" s="53"/>
      <c r="D15" s="54"/>
      <c r="E15" s="54"/>
      <c r="F15" s="54"/>
      <c r="G15" s="54" t="s">
        <v>205</v>
      </c>
      <c r="H15" s="54" t="s">
        <v>222</v>
      </c>
    </row>
    <row r="16" spans="2:11" x14ac:dyDescent="0.3">
      <c r="B16" s="53"/>
      <c r="C16" s="53"/>
      <c r="D16" s="54"/>
      <c r="E16" s="54"/>
      <c r="F16" s="54"/>
      <c r="G16" s="54" t="s">
        <v>206</v>
      </c>
      <c r="H16" s="54" t="s">
        <v>223</v>
      </c>
    </row>
    <row r="17" spans="2:8" x14ac:dyDescent="0.3">
      <c r="B17" s="53"/>
      <c r="C17" s="53"/>
      <c r="D17" s="54"/>
      <c r="E17" s="54"/>
      <c r="F17" s="54"/>
      <c r="G17" s="54" t="s">
        <v>207</v>
      </c>
      <c r="H17" s="54" t="s">
        <v>224</v>
      </c>
    </row>
    <row r="18" spans="2:8" x14ac:dyDescent="0.3">
      <c r="B18" s="53"/>
      <c r="C18" s="53"/>
      <c r="D18" s="54"/>
      <c r="E18" s="54"/>
      <c r="F18" s="54"/>
      <c r="G18" s="54" t="s">
        <v>208</v>
      </c>
      <c r="H18" s="54" t="s">
        <v>225</v>
      </c>
    </row>
    <row r="24" spans="2:8" x14ac:dyDescent="0.3">
      <c r="C24" t="s">
        <v>170</v>
      </c>
    </row>
    <row r="25" spans="2:8" x14ac:dyDescent="0.3">
      <c r="C25" t="s">
        <v>227</v>
      </c>
    </row>
    <row r="26" spans="2:8" x14ac:dyDescent="0.3">
      <c r="C26" t="s">
        <v>228</v>
      </c>
    </row>
    <row r="27" spans="2:8" x14ac:dyDescent="0.3">
      <c r="C27" t="s">
        <v>229</v>
      </c>
    </row>
    <row r="28" spans="2:8" x14ac:dyDescent="0.3">
      <c r="C28" t="s">
        <v>230</v>
      </c>
    </row>
    <row r="29" spans="2:8" x14ac:dyDescent="0.3">
      <c r="C29" t="s">
        <v>231</v>
      </c>
    </row>
    <row r="30" spans="2:8" x14ac:dyDescent="0.3">
      <c r="C30" t="s">
        <v>170</v>
      </c>
    </row>
    <row r="33" spans="3:11" x14ac:dyDescent="0.3">
      <c r="J33">
        <v>1</v>
      </c>
      <c r="K33">
        <v>2</v>
      </c>
    </row>
    <row r="34" spans="3:11" x14ac:dyDescent="0.3">
      <c r="C34" s="55" t="s">
        <v>236</v>
      </c>
      <c r="D34" s="54" t="s">
        <v>234</v>
      </c>
      <c r="E34" s="54" t="s">
        <v>239</v>
      </c>
      <c r="F34" s="54" t="s">
        <v>237</v>
      </c>
      <c r="G34" s="54" t="s">
        <v>238</v>
      </c>
      <c r="H34" s="54" t="s">
        <v>240</v>
      </c>
      <c r="J34" t="s">
        <v>194</v>
      </c>
      <c r="K34" t="s">
        <v>210</v>
      </c>
    </row>
    <row r="35" spans="3:11" x14ac:dyDescent="0.3">
      <c r="C35" s="53" t="s">
        <v>235</v>
      </c>
      <c r="D35" s="54" t="s">
        <v>171</v>
      </c>
      <c r="E35" s="54" t="s">
        <v>244</v>
      </c>
      <c r="F35" s="54" t="s">
        <v>246</v>
      </c>
      <c r="G35" s="54" t="s">
        <v>248</v>
      </c>
      <c r="H35" s="54"/>
    </row>
    <row r="36" spans="3:11" x14ac:dyDescent="0.3">
      <c r="C36" s="53"/>
      <c r="D36" s="54" t="s">
        <v>241</v>
      </c>
      <c r="E36" s="54" t="s">
        <v>245</v>
      </c>
      <c r="F36" s="54" t="s">
        <v>247</v>
      </c>
      <c r="G36" s="54" t="s">
        <v>249</v>
      </c>
      <c r="H36" s="54"/>
    </row>
    <row r="37" spans="3:11" x14ac:dyDescent="0.3">
      <c r="C37" s="53"/>
      <c r="D37" s="54" t="s">
        <v>242</v>
      </c>
      <c r="E37" s="54"/>
      <c r="F37" s="54"/>
      <c r="G37" s="54" t="s">
        <v>250</v>
      </c>
      <c r="H37" s="54"/>
    </row>
    <row r="38" spans="3:11" x14ac:dyDescent="0.3">
      <c r="C38" s="53"/>
      <c r="D38" s="54" t="s">
        <v>243</v>
      </c>
      <c r="E38" s="54"/>
      <c r="F38" s="54"/>
      <c r="G38" s="54" t="s">
        <v>250</v>
      </c>
      <c r="H38" s="54"/>
    </row>
    <row r="39" spans="3:11" x14ac:dyDescent="0.3">
      <c r="C39" s="53"/>
      <c r="D39" s="54"/>
      <c r="E39" s="54"/>
      <c r="F39" s="54"/>
      <c r="G39" s="54" t="s">
        <v>251</v>
      </c>
      <c r="H39" s="54"/>
    </row>
    <row r="40" spans="3:11" x14ac:dyDescent="0.3">
      <c r="C40" s="53"/>
      <c r="D40" s="54"/>
      <c r="E40" s="54"/>
      <c r="F40" s="54"/>
      <c r="G40" s="54" t="s">
        <v>252</v>
      </c>
      <c r="H40" s="54"/>
    </row>
    <row r="41" spans="3:11" x14ac:dyDescent="0.3">
      <c r="C41" s="53"/>
      <c r="D41" s="54"/>
      <c r="E41" s="54"/>
      <c r="F41" s="54"/>
      <c r="G41" s="54"/>
      <c r="H41" s="54"/>
    </row>
    <row r="43" spans="3:11" x14ac:dyDescent="0.3">
      <c r="C43" t="s">
        <v>253</v>
      </c>
    </row>
    <row r="44" spans="3:11" x14ac:dyDescent="0.3">
      <c r="C44" t="s">
        <v>173</v>
      </c>
      <c r="D44" t="s">
        <v>254</v>
      </c>
    </row>
    <row r="45" spans="3:11" x14ac:dyDescent="0.3">
      <c r="D45" t="s">
        <v>255</v>
      </c>
    </row>
    <row r="46" spans="3:11" x14ac:dyDescent="0.3">
      <c r="D46" t="s">
        <v>256</v>
      </c>
    </row>
    <row r="47" spans="3:11" x14ac:dyDescent="0.3">
      <c r="D47" t="s">
        <v>257</v>
      </c>
    </row>
    <row r="48" spans="3:11" x14ac:dyDescent="0.3">
      <c r="D48" t="s">
        <v>258</v>
      </c>
    </row>
    <row r="49" spans="3:4" x14ac:dyDescent="0.3">
      <c r="C49" t="s">
        <v>179</v>
      </c>
      <c r="D49" t="s">
        <v>259</v>
      </c>
    </row>
    <row r="50" spans="3:4" x14ac:dyDescent="0.3">
      <c r="D50" t="s">
        <v>260</v>
      </c>
    </row>
    <row r="51" spans="3:4" x14ac:dyDescent="0.3">
      <c r="D51" t="s">
        <v>261</v>
      </c>
    </row>
    <row r="52" spans="3:4" x14ac:dyDescent="0.3">
      <c r="D52" t="s">
        <v>264</v>
      </c>
    </row>
    <row r="53" spans="3:4" x14ac:dyDescent="0.3">
      <c r="D53" t="s">
        <v>262</v>
      </c>
    </row>
    <row r="54" spans="3:4" x14ac:dyDescent="0.3">
      <c r="D54" t="s">
        <v>263</v>
      </c>
    </row>
    <row r="55" spans="3:4" x14ac:dyDescent="0.3">
      <c r="D55" t="s">
        <v>265</v>
      </c>
    </row>
    <row r="56" spans="3:4" x14ac:dyDescent="0.3">
      <c r="D56" t="s">
        <v>266</v>
      </c>
    </row>
    <row r="57" spans="3:4" x14ac:dyDescent="0.3">
      <c r="D57" t="s">
        <v>267</v>
      </c>
    </row>
    <row r="58" spans="3:4" x14ac:dyDescent="0.3">
      <c r="D58" t="s">
        <v>269</v>
      </c>
    </row>
    <row r="59" spans="3:4" x14ac:dyDescent="0.3">
      <c r="D59" t="s">
        <v>278</v>
      </c>
    </row>
    <row r="60" spans="3:4" x14ac:dyDescent="0.3">
      <c r="C60" t="s">
        <v>194</v>
      </c>
      <c r="D60" t="s">
        <v>270</v>
      </c>
    </row>
    <row r="61" spans="3:4" x14ac:dyDescent="0.3">
      <c r="D61" t="s">
        <v>268</v>
      </c>
    </row>
    <row r="62" spans="3:4" x14ac:dyDescent="0.3">
      <c r="D62" t="s">
        <v>258</v>
      </c>
    </row>
    <row r="63" spans="3:4" x14ac:dyDescent="0.3">
      <c r="D63" t="s">
        <v>271</v>
      </c>
    </row>
    <row r="64" spans="3:4" x14ac:dyDescent="0.3">
      <c r="D64" t="s">
        <v>272</v>
      </c>
    </row>
    <row r="65" spans="3:4" x14ac:dyDescent="0.3">
      <c r="D65" t="s">
        <v>273</v>
      </c>
    </row>
    <row r="66" spans="3:4" x14ac:dyDescent="0.3">
      <c r="D66" t="s">
        <v>274</v>
      </c>
    </row>
    <row r="67" spans="3:4" x14ac:dyDescent="0.3">
      <c r="C67" t="s">
        <v>189</v>
      </c>
      <c r="D67" t="s">
        <v>275</v>
      </c>
    </row>
    <row r="68" spans="3:4" x14ac:dyDescent="0.3">
      <c r="D68" t="s">
        <v>276</v>
      </c>
    </row>
    <row r="69" spans="3:4" x14ac:dyDescent="0.3">
      <c r="D69" t="s">
        <v>277</v>
      </c>
    </row>
  </sheetData>
  <dataValidations count="2">
    <dataValidation type="list" allowBlank="1" showInputMessage="1" showErrorMessage="1" sqref="J4 J34" xr:uid="{00000000-0002-0000-0200-000000000000}">
      <formula1>$D$4:$H$4</formula1>
    </dataValidation>
    <dataValidation type="list" allowBlank="1" showInputMessage="1" showErrorMessage="1" sqref="K4 K34" xr:uid="{00000000-0002-0000-0200-000001000000}">
      <formula1>OFFSET($D$4,1,MATCH($J4,$D$4:$H$4,0)-1,15,1)</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C26"/>
  <sheetViews>
    <sheetView topLeftCell="A6" workbookViewId="0">
      <selection activeCell="C14" sqref="C14"/>
    </sheetView>
  </sheetViews>
  <sheetFormatPr defaultRowHeight="14.4" x14ac:dyDescent="0.3"/>
  <cols>
    <col min="2" max="2" width="3" bestFit="1" customWidth="1"/>
    <col min="3" max="3" width="130" customWidth="1"/>
  </cols>
  <sheetData>
    <row r="2" spans="2:3" ht="15" customHeight="1" x14ac:dyDescent="0.3">
      <c r="B2" s="56">
        <v>1</v>
      </c>
      <c r="C2" s="58" t="s">
        <v>284</v>
      </c>
    </row>
    <row r="3" spans="2:3" x14ac:dyDescent="0.3">
      <c r="B3" s="56">
        <v>2</v>
      </c>
      <c r="C3" s="57" t="s">
        <v>285</v>
      </c>
    </row>
    <row r="4" spans="2:3" x14ac:dyDescent="0.3">
      <c r="B4" s="56">
        <v>3</v>
      </c>
      <c r="C4" s="56" t="s">
        <v>286</v>
      </c>
    </row>
    <row r="5" spans="2:3" x14ac:dyDescent="0.3">
      <c r="B5" s="56">
        <v>4</v>
      </c>
      <c r="C5" s="57" t="s">
        <v>287</v>
      </c>
    </row>
    <row r="6" spans="2:3" x14ac:dyDescent="0.3">
      <c r="B6" s="56">
        <v>5</v>
      </c>
      <c r="C6" s="56" t="s">
        <v>288</v>
      </c>
    </row>
    <row r="7" spans="2:3" ht="28.8" x14ac:dyDescent="0.3">
      <c r="B7" s="56">
        <v>6</v>
      </c>
      <c r="C7" s="57" t="s">
        <v>289</v>
      </c>
    </row>
    <row r="8" spans="2:3" ht="72" x14ac:dyDescent="0.3">
      <c r="B8" s="56">
        <v>7</v>
      </c>
      <c r="C8" s="57" t="s">
        <v>290</v>
      </c>
    </row>
    <row r="9" spans="2:3" x14ac:dyDescent="0.3">
      <c r="B9" s="56">
        <v>8</v>
      </c>
      <c r="C9" s="56" t="s">
        <v>291</v>
      </c>
    </row>
    <row r="10" spans="2:3" x14ac:dyDescent="0.3">
      <c r="B10" s="56">
        <v>9</v>
      </c>
      <c r="C10" s="56" t="s">
        <v>292</v>
      </c>
    </row>
    <row r="11" spans="2:3" x14ac:dyDescent="0.3">
      <c r="B11" s="56">
        <v>10</v>
      </c>
      <c r="C11" s="56" t="s">
        <v>293</v>
      </c>
    </row>
    <row r="12" spans="2:3" x14ac:dyDescent="0.3">
      <c r="B12" s="56">
        <v>11</v>
      </c>
      <c r="C12" s="56" t="s">
        <v>294</v>
      </c>
    </row>
    <row r="13" spans="2:3" x14ac:dyDescent="0.3">
      <c r="B13" s="56">
        <v>12</v>
      </c>
      <c r="C13" s="56" t="s">
        <v>295</v>
      </c>
    </row>
    <row r="14" spans="2:3" x14ac:dyDescent="0.3">
      <c r="B14" s="56">
        <v>13</v>
      </c>
      <c r="C14" s="56" t="s">
        <v>296</v>
      </c>
    </row>
    <row r="15" spans="2:3" x14ac:dyDescent="0.3">
      <c r="B15" s="56">
        <v>14</v>
      </c>
      <c r="C15" s="56" t="s">
        <v>286</v>
      </c>
    </row>
    <row r="16" spans="2:3" x14ac:dyDescent="0.3">
      <c r="B16" s="56">
        <v>15</v>
      </c>
      <c r="C16" s="56" t="s">
        <v>299</v>
      </c>
    </row>
    <row r="17" spans="2:3" ht="31.5" customHeight="1" x14ac:dyDescent="0.3">
      <c r="B17" s="61">
        <v>16</v>
      </c>
      <c r="C17" s="63" t="s">
        <v>300</v>
      </c>
    </row>
    <row r="18" spans="2:3" x14ac:dyDescent="0.3">
      <c r="B18" s="62">
        <v>17</v>
      </c>
      <c r="C18" s="63" t="s">
        <v>301</v>
      </c>
    </row>
    <row r="19" spans="2:3" x14ac:dyDescent="0.3">
      <c r="B19" s="61">
        <v>18</v>
      </c>
      <c r="C19" s="56" t="s">
        <v>302</v>
      </c>
    </row>
    <row r="20" spans="2:3" x14ac:dyDescent="0.3">
      <c r="B20" s="62">
        <v>19</v>
      </c>
      <c r="C20" s="56"/>
    </row>
    <row r="21" spans="2:3" x14ac:dyDescent="0.3">
      <c r="B21" s="56">
        <v>20</v>
      </c>
      <c r="C21" s="56"/>
    </row>
    <row r="22" spans="2:3" x14ac:dyDescent="0.3">
      <c r="B22" s="56"/>
      <c r="C22" s="56"/>
    </row>
    <row r="23" spans="2:3" x14ac:dyDescent="0.3">
      <c r="B23" s="56"/>
      <c r="C23" s="56"/>
    </row>
    <row r="24" spans="2:3" x14ac:dyDescent="0.3">
      <c r="B24" s="56"/>
      <c r="C24" s="56"/>
    </row>
    <row r="25" spans="2:3" x14ac:dyDescent="0.3">
      <c r="B25" s="56"/>
      <c r="C25" s="56"/>
    </row>
    <row r="26" spans="2:3" x14ac:dyDescent="0.3">
      <c r="B26" s="56"/>
      <c r="C26" s="56"/>
    </row>
  </sheetData>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Report</vt:lpstr>
      <vt:lpstr>valuation</vt:lpstr>
      <vt:lpstr>Research</vt:lpstr>
      <vt:lpstr>Remarks</vt:lpstr>
      <vt:lpstr>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pranitam503@gmail.com</cp:lastModifiedBy>
  <cp:lastPrinted>2025-09-12T12:16:59Z</cp:lastPrinted>
  <dcterms:created xsi:type="dcterms:W3CDTF">2019-07-16T09:29:46Z</dcterms:created>
  <dcterms:modified xsi:type="dcterms:W3CDTF">2025-09-12T12:22:10Z</dcterms:modified>
</cp:coreProperties>
</file>