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020" tabRatio="725"/>
  </bookViews>
  <sheets>
    <sheet name="Report" sheetId="1" r:id="rId1"/>
    <sheet name="valuation" sheetId="5" r:id="rId2"/>
    <sheet name="Research" sheetId="4" r:id="rId3"/>
  </sheets>
  <definedNames>
    <definedName name="_xlnm.Print_Area" localSheetId="0">Report!$A$1:$H$316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6" i="1" l="1"/>
  <c r="K144" i="1" l="1"/>
  <c r="K148" i="1"/>
  <c r="I137" i="1"/>
  <c r="D168" i="1" l="1"/>
  <c r="D167" i="1"/>
  <c r="D166" i="1"/>
  <c r="D165" i="1"/>
  <c r="F165" i="1" s="1"/>
  <c r="D164" i="1"/>
  <c r="F164" i="1" s="1"/>
  <c r="D163" i="1"/>
  <c r="F163" i="1" s="1"/>
  <c r="D161" i="1"/>
  <c r="F161" i="1" s="1"/>
  <c r="D160" i="1"/>
  <c r="D159" i="1"/>
  <c r="F159" i="1" s="1"/>
  <c r="D158" i="1"/>
  <c r="F158" i="1" s="1"/>
  <c r="D157" i="1"/>
  <c r="F157" i="1" s="1"/>
  <c r="D156" i="1"/>
  <c r="F156" i="1" s="1"/>
  <c r="D152" i="1"/>
  <c r="D151" i="1"/>
  <c r="F151" i="1" s="1"/>
  <c r="K151" i="1" s="1"/>
  <c r="D150" i="1"/>
  <c r="F150" i="1" s="1"/>
  <c r="K150" i="1" s="1"/>
  <c r="D149" i="1"/>
  <c r="D147" i="1"/>
  <c r="D146" i="1"/>
  <c r="D145" i="1"/>
  <c r="D143" i="1"/>
  <c r="D142" i="1"/>
  <c r="D141" i="1"/>
  <c r="D140" i="1"/>
  <c r="D139" i="1"/>
  <c r="D138" i="1"/>
  <c r="D137" i="1"/>
  <c r="D136" i="1"/>
  <c r="G163" i="1"/>
  <c r="I157" i="1"/>
  <c r="G156" i="1"/>
  <c r="I143" i="1"/>
  <c r="I140" i="1"/>
  <c r="I136" i="1"/>
  <c r="E118" i="1" l="1"/>
  <c r="E117" i="1"/>
  <c r="C117" i="1"/>
  <c r="C118" i="1"/>
  <c r="C119" i="1" s="1"/>
  <c r="F160" i="1"/>
  <c r="G50" i="1"/>
  <c r="G51" i="1" s="1"/>
  <c r="E42" i="1"/>
  <c r="E119" i="1" l="1"/>
  <c r="Z12" i="1"/>
  <c r="I14" i="1"/>
  <c r="F136" i="1" l="1"/>
  <c r="F126" i="1"/>
  <c r="K136" i="1" l="1"/>
  <c r="E120" i="1"/>
  <c r="C120" i="1"/>
  <c r="E43" i="1" l="1"/>
  <c r="E44" i="1" s="1"/>
  <c r="C15" i="1" l="1"/>
  <c r="E30" i="1" l="1"/>
  <c r="F137" i="1" l="1"/>
  <c r="F138" i="1"/>
  <c r="K138" i="1" s="1"/>
  <c r="F139" i="1"/>
  <c r="K139" i="1" s="1"/>
  <c r="A137" i="1"/>
  <c r="A138" i="1" s="1"/>
  <c r="A139" i="1" s="1"/>
  <c r="A140" i="1" s="1"/>
  <c r="A141" i="1" s="1"/>
  <c r="A142" i="1" s="1"/>
  <c r="A143" i="1" s="1"/>
  <c r="K137" i="1" l="1"/>
  <c r="F108" i="1"/>
  <c r="F127" i="1" l="1"/>
  <c r="F128" i="1"/>
  <c r="F129" i="1"/>
  <c r="B172" i="1" l="1"/>
  <c r="F168" i="1" l="1"/>
  <c r="F167" i="1"/>
  <c r="F166" i="1"/>
  <c r="F152" i="1"/>
  <c r="K152" i="1" s="1"/>
  <c r="F149" i="1"/>
  <c r="K149" i="1" s="1"/>
  <c r="F147" i="1"/>
  <c r="K147" i="1" s="1"/>
  <c r="F146" i="1"/>
  <c r="K146" i="1" s="1"/>
  <c r="F145" i="1"/>
  <c r="K145" i="1" s="1"/>
  <c r="F143" i="1"/>
  <c r="K143" i="1" s="1"/>
  <c r="F141" i="1"/>
  <c r="K141" i="1" s="1"/>
  <c r="F140" i="1"/>
  <c r="F142" i="1"/>
  <c r="K142" i="1" s="1"/>
  <c r="G118" i="1" l="1"/>
  <c r="K140" i="1"/>
  <c r="G117" i="1"/>
  <c r="B173" i="1"/>
  <c r="G119" i="1" l="1"/>
  <c r="G120" i="1" s="1"/>
  <c r="F11" i="5"/>
  <c r="G11" i="5" s="1"/>
  <c r="F10" i="5"/>
  <c r="G10" i="5" s="1"/>
  <c r="F9" i="5"/>
  <c r="G9" i="5" s="1"/>
  <c r="F8" i="5"/>
  <c r="G8" i="5" s="1"/>
  <c r="F7" i="5"/>
  <c r="G7" i="5" s="1"/>
  <c r="F6" i="5"/>
  <c r="G6" i="5" s="1"/>
  <c r="F5" i="5"/>
  <c r="G5" i="5" s="1"/>
  <c r="G12" i="5" s="1"/>
  <c r="D196" i="1"/>
  <c r="G145" i="1"/>
  <c r="A127" i="1"/>
  <c r="A128" i="1" s="1"/>
  <c r="A129" i="1" s="1"/>
  <c r="G126" i="1"/>
  <c r="G127" i="1" s="1"/>
  <c r="G128" i="1" s="1"/>
  <c r="G129" i="1" s="1"/>
  <c r="C81" i="1"/>
  <c r="B82" i="1" s="1"/>
  <c r="C67" i="1"/>
  <c r="B68" i="1" s="1"/>
  <c r="D55" i="1"/>
  <c r="C50" i="1"/>
  <c r="C51" i="1" s="1"/>
  <c r="E27" i="1"/>
  <c r="E25" i="1"/>
  <c r="E7" i="1"/>
  <c r="E3" i="1"/>
  <c r="D61" i="1" l="1"/>
  <c r="H82" i="1"/>
  <c r="H68" i="1"/>
  <c r="J86" i="1" l="1"/>
  <c r="C85" i="1" s="1"/>
  <c r="D85" i="1" s="1"/>
  <c r="J84" i="1"/>
  <c r="J87" i="1"/>
  <c r="J88" i="1" s="1"/>
  <c r="J93" i="1" s="1"/>
  <c r="J81" i="1"/>
  <c r="J83" i="1" s="1"/>
  <c r="D89" i="1"/>
  <c r="D91" i="1"/>
  <c r="D94" i="1"/>
  <c r="D88" i="1"/>
  <c r="D92" i="1"/>
  <c r="D93" i="1"/>
  <c r="D90" i="1"/>
  <c r="J85" i="1"/>
  <c r="D80" i="1"/>
  <c r="D78" i="1"/>
  <c r="D77" i="1"/>
  <c r="D74" i="1"/>
  <c r="D76" i="1"/>
  <c r="J73" i="1"/>
  <c r="J74" i="1" s="1"/>
  <c r="J79" i="1" s="1"/>
  <c r="D79" i="1"/>
  <c r="J67" i="1"/>
  <c r="J69" i="1" s="1"/>
  <c r="D75" i="1"/>
  <c r="J71" i="1"/>
  <c r="J72" i="1"/>
  <c r="C71" i="1" s="1"/>
  <c r="D71" i="1" s="1"/>
  <c r="J70" i="1"/>
  <c r="J89" i="1"/>
  <c r="J90" i="1" s="1"/>
  <c r="J91" i="1" s="1"/>
  <c r="J92" i="1" s="1"/>
  <c r="J75" i="1"/>
  <c r="J76" i="1" s="1"/>
  <c r="J77" i="1" s="1"/>
  <c r="J78" i="1" s="1"/>
  <c r="D87" i="1"/>
  <c r="D73" i="1"/>
  <c r="J80" i="1" l="1"/>
  <c r="G71" i="1" s="1"/>
  <c r="D65" i="1" s="1"/>
  <c r="D66" i="1" s="1"/>
  <c r="J94" i="1"/>
  <c r="J82" i="1" s="1"/>
  <c r="J68" i="1" l="1"/>
  <c r="D72" i="1"/>
  <c r="I68" i="1" s="1"/>
  <c r="I69" i="1" s="1"/>
  <c r="E71" i="1"/>
  <c r="F66" i="1"/>
  <c r="E85" i="1"/>
  <c r="G85" i="1"/>
  <c r="D86" i="1"/>
  <c r="I82" i="1" s="1"/>
  <c r="I83" i="1" s="1"/>
  <c r="I67" i="1" l="1"/>
  <c r="C69" i="1" s="1"/>
  <c r="I81" i="1"/>
  <c r="C83" i="1" s="1"/>
</calcChain>
</file>

<file path=xl/comments1.xml><?xml version="1.0" encoding="utf-8"?>
<comments xmlns="http://schemas.openxmlformats.org/spreadsheetml/2006/main">
  <authors>
    <author>Sachin</author>
  </authors>
  <commentList>
    <comment ref="E11" authorId="0" shapeId="0">
      <text>
        <r>
          <rPr>
            <b/>
            <sz val="9"/>
            <color indexed="81"/>
            <rFont val="Tahoma"/>
            <family val="2"/>
          </rPr>
          <t>Sachin:</t>
        </r>
        <r>
          <rPr>
            <sz val="9"/>
            <color indexed="81"/>
            <rFont val="Tahoma"/>
            <family val="2"/>
          </rPr>
          <t xml:space="preserve">
Building No. 
Tower No.
Wing 
Bunglow No., etc</t>
        </r>
      </text>
    </comment>
    <comment ref="E12" authorId="0" shapeId="0">
      <text>
        <r>
          <rPr>
            <b/>
            <sz val="9"/>
            <color indexed="81"/>
            <rFont val="Tahoma"/>
            <family val="2"/>
          </rPr>
          <t>Sachin:</t>
        </r>
        <r>
          <rPr>
            <sz val="9"/>
            <color indexed="81"/>
            <rFont val="Tahoma"/>
            <family val="2"/>
          </rPr>
          <t xml:space="preserve">
If exisiting Building is provided write it or else
NA</t>
        </r>
      </text>
    </comment>
    <comment ref="D55"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List>
</comments>
</file>

<file path=xl/sharedStrings.xml><?xml version="1.0" encoding="utf-8"?>
<sst xmlns="http://schemas.openxmlformats.org/spreadsheetml/2006/main" count="453" uniqueCount="290">
  <si>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</si>
  <si>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</si>
  <si>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</si>
  <si>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</si>
  <si>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</si>
  <si>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</si>
  <si>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</si>
  <si>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</si>
  <si>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</si>
  <si>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</si>
  <si>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</si>
  <si>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</si>
  <si>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</si>
  <si>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</si>
  <si>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</si>
  <si>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</si>
  <si>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</si>
  <si>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</si>
  <si>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</si>
  <si>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</si>
  <si>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</si>
  <si>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</si>
  <si>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</si>
  <si>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</si>
  <si>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</si>
  <si>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</si>
  <si>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</si>
  <si>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</si>
  <si>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</si>
  <si>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</si>
  <si>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</si>
  <si>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</si>
  <si>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</si>
  <si>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</si>
  <si>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</si>
  <si>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</si>
  <si>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</si>
  <si>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</si>
  <si>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</si>
  <si>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</si>
  <si>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</si>
  <si>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</si>
  <si>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</si>
  <si>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</si>
  <si>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</si>
  <si>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</si>
  <si>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</si>
  <si>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</si>
  <si>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</si>
  <si>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</si>
  <si>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</si>
  <si>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</si>
  <si>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</si>
  <si>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</si>
  <si>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</si>
  <si>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</si>
  <si>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</si>
  <si>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</si>
  <si>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</si>
  <si>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</si>
  <si>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</si>
  <si>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</si>
  <si>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</si>
  <si>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</si>
  <si>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</si>
  <si>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</si>
  <si>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</si>
  <si>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</si>
  <si>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</si>
  <si>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</si>
  <si>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</si>
  <si>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</si>
  <si>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</si>
  <si>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</si>
  <si>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</si>
  <si>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</si>
  <si>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</si>
  <si>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</si>
  <si>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</si>
  <si>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</si>
  <si>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</si>
  <si>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</si>
  <si>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</si>
  <si>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</si>
  <si>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</si>
  <si>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</si>
  <si>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</si>
  <si>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</si>
  <si>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</si>
  <si>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</si>
  <si>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</si>
  <si>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</si>
  <si>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</si>
  <si>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</si>
  <si>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</si>
  <si>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</si>
  <si>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</si>
  <si>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</si>
  <si>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</si>
  <si>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</si>
  <si>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</si>
  <si>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</si>
  <si>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</si>
  <si>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</si>
  <si>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</si>
  <si>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</si>
  <si>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</si>
  <si>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</si>
  <si>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</si>
  <si>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</si>
  <si>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</si>
  <si>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</si>
  <si>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</si>
  <si>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</si>
  <si>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</si>
  <si>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</si>
  <si>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</si>
  <si>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</si>
  <si>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</si>
  <si>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</si>
  <si>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</si>
  <si>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</si>
  <si>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</si>
  <si>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</si>
  <si>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</si>
  <si>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</si>
  <si>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</si>
  <si>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</si>
  <si>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</si>
  <si>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</si>
  <si>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</si>
  <si>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</si>
  <si>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</si>
  <si>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</si>
  <si>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</si>
  <si>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</si>
  <si>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</si>
  <si>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</si>
  <si>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</si>
  <si>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</si>
  <si>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</si>
  <si>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</si>
  <si>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</si>
  <si>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</si>
  <si>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</si>
  <si>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</si>
  <si>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</si>
  <si>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</si>
  <si>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</si>
  <si>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</si>
  <si>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</si>
  <si>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</si>
  <si>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</si>
  <si>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</si>
  <si>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</si>
  <si>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</si>
  <si>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</si>
  <si>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</si>
  <si>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</si>
  <si>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</si>
  <si>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</si>
  <si>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</si>
  <si>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Legal Charges</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</si>
  <si>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</si>
  <si>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</si>
  <si>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</si>
  <si>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</si>
  <si>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</si>
  <si>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</si>
  <si>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</si>
  <si>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</si>
  <si>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</si>
  <si>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</si>
  <si>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</si>
  <si>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</si>
  <si>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</si>
  <si>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</si>
  <si>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</si>
  <si>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</si>
  <si>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</si>
  <si>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</si>
  <si>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</si>
  <si>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</si>
  <si>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</si>
  <si>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</si>
  <si>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</si>
  <si>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</si>
  <si>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</si>
  <si>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</si>
  <si>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</si>
  <si>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</si>
  <si>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</si>
  <si>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</si>
  <si>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</si>
  <si>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</si>
  <si>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</si>
  <si>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</si>
  <si>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</si>
  <si>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</si>
  <si>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</si>
  <si>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</si>
  <si>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</si>
  <si>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</si>
  <si>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</si>
  <si>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</si>
  <si>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</si>
  <si>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</si>
  <si>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</si>
  <si>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</si>
  <si>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</si>
  <si>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</si>
  <si>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</si>
  <si>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</si>
  <si>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</si>
  <si>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</si>
  <si>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</si>
  <si>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</si>
  <si>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</si>
  <si>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</si>
  <si>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</si>
  <si>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</si>
  <si>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</si>
  <si>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</si>
  <si>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</si>
  <si>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</si>
  <si>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</si>
  <si>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</si>
  <si>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</si>
  <si>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</si>
  <si>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</si>
  <si>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</si>
  <si>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</si>
  <si>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</si>
  <si>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Shree Swami Samarth Developers</t>
  </si>
  <si>
    <t>Nana Heights</t>
  </si>
  <si>
    <t>7249745665 / 9764445665</t>
  </si>
  <si>
    <t>P99000049128</t>
  </si>
  <si>
    <t>Approved Plans, CC, Sale Plans,Cost Sheet</t>
  </si>
  <si>
    <t>Wing A &amp; B</t>
  </si>
  <si>
    <t>Kopari</t>
  </si>
  <si>
    <t>19.476965,72.824767</t>
  </si>
  <si>
    <t>https://goo.gl/maps/dFh7Wk1zuWfo3w9x7</t>
  </si>
  <si>
    <t>3.1 KM from Virar Railway Station</t>
  </si>
  <si>
    <t>Nitynanda Nagar</t>
  </si>
  <si>
    <t>Kopri Village Road</t>
  </si>
  <si>
    <t>Janardhan Swapna Apartment</t>
  </si>
  <si>
    <t>Father Agnel's English School &amp; Junior College</t>
  </si>
  <si>
    <t>Kopri Village Road/Sai Nivas Apartment</t>
  </si>
  <si>
    <t>Padmanath Apartment</t>
  </si>
  <si>
    <t>Building G + 4/ Banglow</t>
  </si>
  <si>
    <t>Existing Road/House/Building G + 4</t>
  </si>
  <si>
    <t>House/Building G + 4</t>
  </si>
  <si>
    <t>Building G + 4</t>
  </si>
  <si>
    <t>02 Wings</t>
  </si>
  <si>
    <t xml:space="preserve">Vasai-Virar City Municipal Corporation. (VVCMC)
</t>
  </si>
  <si>
    <t>VVCMC/TP/CC/VP/6302/20/2022-23</t>
  </si>
  <si>
    <t>As per RERA - 31/05/2026</t>
  </si>
  <si>
    <r>
      <t xml:space="preserve">Proposed Amenities :                                                                                                                                                                                                                         </t>
    </r>
    <r>
      <rPr>
        <b/>
        <sz val="12"/>
        <color theme="1"/>
        <rFont val="Times New Roman"/>
        <family val="1"/>
      </rPr>
      <t xml:space="preserve">                                               </t>
    </r>
  </si>
  <si>
    <t xml:space="preserve">Wing A = Gr/St + 1st to 5th Floor
Wing B = Gr/St + 1st to 5th Floor
</t>
  </si>
  <si>
    <t>Wing A = Gr/St + 1st to 7th Floor</t>
  </si>
  <si>
    <t>Wing B = Gr/St + 1st to 7th Floor</t>
  </si>
  <si>
    <t>Wing A</t>
  </si>
  <si>
    <t>Ground Floor For Entrance Lobby &amp; Parking</t>
  </si>
  <si>
    <t>1st To 4th Floor For Residential</t>
  </si>
  <si>
    <t>1BHK</t>
  </si>
  <si>
    <t>2BHK</t>
  </si>
  <si>
    <t>5th Floor</t>
  </si>
  <si>
    <t>Wing B</t>
  </si>
  <si>
    <t>1RK</t>
  </si>
  <si>
    <t>5th Floor (Part Terrace Area)</t>
  </si>
  <si>
    <t>Terrace Area</t>
  </si>
  <si>
    <t>-</t>
  </si>
  <si>
    <t>We considered Gross carpet area = Net carpet + A.F Area.</t>
  </si>
  <si>
    <t>Residential Area Details : Flats</t>
  </si>
  <si>
    <t xml:space="preserve">Details of Residential in Building   </t>
  </si>
  <si>
    <t>Fire Fighting System, Terrace Water proofing, Spacious well designed and elegant entrance lobby, Non skid chequred tile paving within society compound, Rain water Harvesting, High Security gates, Security Cabin, Lift with power pickup, CCTV Setup For Building etc.</t>
  </si>
  <si>
    <t>Virar East</t>
  </si>
  <si>
    <t>Flats - 69</t>
  </si>
  <si>
    <t>Open Plot/Janardhan Swapna Apartment</t>
  </si>
  <si>
    <t>According to the approved CC, there are 69 flats and one office, but as per the approved plan, the office is not mentioned in the floor plan.</t>
  </si>
  <si>
    <t>Built Up Area  = 3391.90 Sq.mt
Resi with Comm. Bldg = Gr/St + 1st to 5th Floor</t>
  </si>
  <si>
    <t>4000 to 5000</t>
  </si>
  <si>
    <t>16, New S.No. 138, H. No.1/1</t>
  </si>
  <si>
    <t>Old S. No</t>
  </si>
  <si>
    <t>Mr. Mahesh 7249745665</t>
  </si>
  <si>
    <t>Pranita Mhatre</t>
  </si>
  <si>
    <t>Navnath Bhatkar</t>
  </si>
  <si>
    <t xml:space="preserve">Construction work is in process at the time of Visit.
</t>
  </si>
  <si>
    <t>As the construction work goes beyond the Approved plan &amp; CC permission. 
Please provide revised approved Approved plan &amp; CC.</t>
  </si>
  <si>
    <t xml:space="preserve">As checked on RERA portal on date18/09/2025, we have observed that above project "  Nana Heights " is kept under abeyance.  Please check from your end.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</si>
</sst>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27">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5" xfId="8" applyFont="1" applyFill="1" applyBorder="1" applyAlignment="1" applyProtection="1">
      <alignment horizontal="center" vertical="top" wrapText="1"/>
      <protection locked="0"/>
    </xf>
    <xf numFmtId="0" fontId="18" fillId="0" borderId="0" xfId="0" applyFont="1" applyProtection="1">
      <protection hidden="1"/>
    </xf>
    <xf numFmtId="0" fontId="18" fillId="0" borderId="10"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9" xfId="1" applyFont="1" applyBorder="1"/>
    <xf numFmtId="0" fontId="18"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29" xfId="0" applyFont="1" applyFill="1" applyBorder="1"/>
    <xf numFmtId="0" fontId="26" fillId="0" borderId="30" xfId="0" applyFont="1" applyBorder="1"/>
    <xf numFmtId="0" fontId="26" fillId="0" borderId="1" xfId="0" applyFont="1" applyBorder="1"/>
    <xf numFmtId="0" fontId="26" fillId="0" borderId="4" xfId="0" applyFont="1" applyBorder="1"/>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top" wrapText="1"/>
      <protection locked="0"/>
    </xf>
    <xf numFmtId="1" fontId="8" fillId="0" borderId="2"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protection locked="0"/>
    </xf>
    <xf numFmtId="164" fontId="7" fillId="0" borderId="0" xfId="1" applyNumberFormat="1" applyFont="1" applyAlignment="1">
      <alignment horizontal="center" vertical="center"/>
    </xf>
    <xf numFmtId="1" fontId="7" fillId="0" borderId="1" xfId="1" applyNumberFormat="1" applyFont="1" applyBorder="1" applyAlignment="1">
      <alignment horizontal="center" vertical="center"/>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10" fillId="0" borderId="7" xfId="1" applyFont="1" applyBorder="1" applyAlignment="1" applyProtection="1">
      <alignment horizontal="left" vertical="top" wrapText="1"/>
      <protection locked="0"/>
    </xf>
    <xf numFmtId="0" fontId="10" fillId="0" borderId="20" xfId="1" applyFont="1" applyBorder="1" applyAlignment="1" applyProtection="1">
      <alignment horizontal="left" vertical="top"/>
      <protection locked="0"/>
    </xf>
    <xf numFmtId="0" fontId="10" fillId="0" borderId="8" xfId="1" applyFont="1" applyBorder="1" applyAlignment="1" applyProtection="1">
      <alignment horizontal="left" vertical="top"/>
      <protection locked="0"/>
    </xf>
    <xf numFmtId="9" fontId="7" fillId="0" borderId="16"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0" fontId="6" fillId="0" borderId="1" xfId="1" applyFont="1" applyBorder="1" applyAlignment="1" applyProtection="1">
      <alignment horizontal="left" vertical="top"/>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0" fontId="8" fillId="0" borderId="15" xfId="1" applyFont="1" applyBorder="1" applyAlignment="1" applyProtection="1">
      <alignment horizontal="left" vertical="top"/>
      <protection locked="0"/>
    </xf>
    <xf numFmtId="1" fontId="8" fillId="0" borderId="2" xfId="0" applyNumberFormat="1" applyFont="1" applyBorder="1" applyAlignment="1" applyProtection="1">
      <alignment horizontal="left" vertical="top" wrapText="1" indent="7"/>
      <protection locked="0"/>
    </xf>
    <xf numFmtId="0" fontId="13"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 fontId="6" fillId="0" borderId="7"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16"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10" fillId="0" borderId="2" xfId="0" applyNumberFormat="1" applyFont="1" applyBorder="1" applyAlignment="1" applyProtection="1">
      <alignment horizontal="left" vertical="top" wrapText="1" indent="7"/>
      <protection locked="0"/>
    </xf>
    <xf numFmtId="0" fontId="10" fillId="0" borderId="1" xfId="0" applyFont="1" applyBorder="1" applyAlignment="1" applyProtection="1">
      <alignment horizontal="center" vertical="top" wrapText="1"/>
      <protection locked="0"/>
    </xf>
    <xf numFmtId="0" fontId="8" fillId="0" borderId="21"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12"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22"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0" xfId="1" applyFont="1" applyAlignment="1">
      <alignment horizontal="center" vertical="center"/>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left" vertical="top" wrapText="1" indent="10"/>
      <protection locked="0"/>
    </xf>
    <xf numFmtId="1" fontId="7" fillId="0" borderId="1" xfId="0" applyNumberFormat="1" applyFont="1" applyBorder="1" applyAlignment="1" applyProtection="1">
      <alignment horizontal="left" vertical="top" wrapText="1" indent="7"/>
      <protection locked="0"/>
    </xf>
    <xf numFmtId="1" fontId="8" fillId="0" borderId="7" xfId="0" applyNumberFormat="1" applyFont="1" applyBorder="1" applyAlignment="1" applyProtection="1">
      <alignment horizontal="center" vertical="center" wrapText="1"/>
      <protection locked="0"/>
    </xf>
    <xf numFmtId="1" fontId="8" fillId="0" borderId="20" xfId="0" applyNumberFormat="1" applyFont="1" applyBorder="1" applyAlignment="1" applyProtection="1">
      <alignment horizontal="center" vertical="center" wrapText="1"/>
      <protection locked="0"/>
    </xf>
    <xf numFmtId="1" fontId="8" fillId="0" borderId="8" xfId="0" applyNumberFormat="1" applyFont="1" applyBorder="1" applyAlignment="1" applyProtection="1">
      <alignment horizontal="center" vertical="center" wrapText="1"/>
      <protection locked="0"/>
    </xf>
    <xf numFmtId="1" fontId="8" fillId="0" borderId="2"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0" fontId="7" fillId="0" borderId="1" xfId="0" applyFont="1" applyBorder="1" applyAlignment="1" applyProtection="1">
      <alignment horizontal="left" vertical="center" indent="10"/>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12" fillId="0" borderId="1" xfId="1" applyFont="1" applyBorder="1" applyAlignment="1" applyProtection="1">
      <alignment horizontal="center"/>
      <protection locked="0"/>
    </xf>
    <xf numFmtId="0" fontId="12" fillId="0" borderId="7"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7" fillId="0" borderId="2" xfId="1" applyFont="1" applyBorder="1" applyAlignment="1" applyProtection="1">
      <alignment horizontal="left" vertical="top" wrapText="1"/>
      <protection locked="0"/>
    </xf>
    <xf numFmtId="0" fontId="7" fillId="0" borderId="2" xfId="1" applyFont="1" applyBorder="1" applyAlignment="1" applyProtection="1">
      <alignment horizontal="left" vertical="top"/>
      <protection locked="0"/>
    </xf>
    <xf numFmtId="0" fontId="12" fillId="0" borderId="16"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13" fillId="0" borderId="7" xfId="1" applyFont="1" applyBorder="1" applyAlignment="1" applyProtection="1">
      <alignment horizontal="center" vertical="top"/>
      <protection locked="0"/>
    </xf>
    <xf numFmtId="0" fontId="13" fillId="0" borderId="20"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2" fillId="0" borderId="1" xfId="1" applyFont="1" applyBorder="1" applyAlignment="1" applyProtection="1">
      <alignment horizontal="center" vertical="center"/>
      <protection locked="0"/>
    </xf>
    <xf numFmtId="0" fontId="13" fillId="0" borderId="1" xfId="1" applyFont="1" applyBorder="1" applyAlignment="1" applyProtection="1">
      <alignment horizontal="center"/>
      <protection locked="0"/>
    </xf>
    <xf numFmtId="0" fontId="12" fillId="0" borderId="7" xfId="1" applyFont="1" applyBorder="1" applyAlignment="1" applyProtection="1">
      <alignment horizontal="center" vertical="center"/>
      <protection locked="0"/>
    </xf>
    <xf numFmtId="0" fontId="12" fillId="0" borderId="20" xfId="1" applyFont="1" applyBorder="1" applyAlignment="1" applyProtection="1">
      <alignment horizontal="center" vertical="center"/>
      <protection locked="0"/>
    </xf>
    <xf numFmtId="0" fontId="12" fillId="0" borderId="8" xfId="1" applyFont="1" applyBorder="1" applyAlignment="1" applyProtection="1">
      <alignment horizontal="center" vertical="center"/>
      <protection locked="0"/>
    </xf>
    <xf numFmtId="0" fontId="7" fillId="0" borderId="1" xfId="1" applyFont="1" applyBorder="1" applyAlignment="1" applyProtection="1">
      <alignment horizontal="left"/>
      <protection locked="0"/>
    </xf>
    <xf numFmtId="0" fontId="12" fillId="0" borderId="7" xfId="1" applyFont="1" applyBorder="1" applyAlignment="1" applyProtection="1">
      <alignment horizontal="center" vertical="center" wrapText="1"/>
      <protection locked="0"/>
    </xf>
    <xf numFmtId="0" fontId="12" fillId="0" borderId="20" xfId="1" applyFont="1" applyBorder="1" applyAlignment="1" applyProtection="1">
      <alignment horizontal="center" vertical="center" wrapText="1"/>
      <protection locked="0"/>
    </xf>
    <xf numFmtId="0" fontId="12" fillId="0" borderId="8" xfId="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167" fontId="7" fillId="0" borderId="1" xfId="9" applyNumberFormat="1" applyFont="1" applyFill="1" applyBorder="1" applyAlignment="1" applyProtection="1">
      <alignment horizontal="left" vertical="top"/>
      <protection locked="0"/>
    </xf>
    <xf numFmtId="0" fontId="8"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left" vertical="top" wrapText="1" indent="7"/>
      <protection locked="0"/>
    </xf>
    <xf numFmtId="1" fontId="8" fillId="0" borderId="33" xfId="0" applyNumberFormat="1" applyFont="1" applyBorder="1" applyAlignment="1" applyProtection="1">
      <alignment horizontal="left" vertical="top" wrapText="1" indent="7"/>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10" fillId="0" borderId="7" xfId="0" applyNumberFormat="1" applyFont="1" applyBorder="1" applyAlignment="1" applyProtection="1">
      <alignment horizontal="left" vertical="top" wrapText="1"/>
      <protection locked="0"/>
    </xf>
    <xf numFmtId="1" fontId="10" fillId="0" borderId="20" xfId="0" applyNumberFormat="1" applyFont="1" applyBorder="1" applyAlignment="1" applyProtection="1">
      <alignment horizontal="left" vertical="top" wrapText="1"/>
      <protection locked="0"/>
    </xf>
    <xf numFmtId="1" fontId="10" fillId="0" borderId="8" xfId="0" applyNumberFormat="1" applyFont="1" applyBorder="1" applyAlignment="1" applyProtection="1">
      <alignment horizontal="left" vertical="top" wrapText="1"/>
      <protection locked="0"/>
    </xf>
    <xf numFmtId="0" fontId="8" fillId="0" borderId="15" xfId="1" applyFont="1" applyBorder="1" applyAlignment="1" applyProtection="1">
      <alignment horizontal="center" vertical="top"/>
      <protection locked="0"/>
    </xf>
    <xf numFmtId="1" fontId="8" fillId="0" borderId="7"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1" fontId="8" fillId="0" borderId="8" xfId="1" applyNumberFormat="1" applyFont="1" applyBorder="1" applyAlignment="1" applyProtection="1">
      <alignment horizontal="center" vertical="top" wrapText="1"/>
      <protection locked="0"/>
    </xf>
    <xf numFmtId="1" fontId="8" fillId="0" borderId="31" xfId="0"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0" fontId="10" fillId="0" borderId="32" xfId="0" applyFont="1" applyBorder="1" applyAlignment="1" applyProtection="1">
      <alignment horizontal="left" vertical="center" indent="10"/>
      <protection locked="0"/>
    </xf>
    <xf numFmtId="1" fontId="10" fillId="0" borderId="32" xfId="0" applyNumberFormat="1" applyFont="1" applyBorder="1" applyAlignment="1" applyProtection="1">
      <alignment horizontal="left" vertical="top" wrapText="1" indent="7"/>
      <protection locked="0"/>
    </xf>
    <xf numFmtId="1" fontId="8" fillId="0" borderId="1" xfId="0" applyNumberFormat="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0" fontId="10" fillId="0" borderId="2" xfId="0" applyFont="1" applyBorder="1" applyAlignment="1" applyProtection="1">
      <alignment horizontal="left" vertical="center" indent="10"/>
      <protection locked="0"/>
    </xf>
    <xf numFmtId="1" fontId="17" fillId="0" borderId="7" xfId="0" applyNumberFormat="1" applyFont="1" applyBorder="1" applyAlignment="1" applyProtection="1">
      <alignment vertical="top" wrapText="1"/>
      <protection locked="0"/>
    </xf>
    <xf numFmtId="1" fontId="17" fillId="0" borderId="20"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7" fillId="0" borderId="7"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24" xfId="1" applyFont="1" applyBorder="1" applyAlignment="1">
      <alignment horizontal="center"/>
    </xf>
    <xf numFmtId="0" fontId="7" fillId="0" borderId="0" xfId="1" applyFont="1" applyAlignment="1">
      <alignment horizontal="center"/>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9" fillId="0" borderId="1" xfId="5" applyFont="1" applyBorder="1" applyAlignment="1">
      <alignment horizontal="left"/>
    </xf>
    <xf numFmtId="0" fontId="7" fillId="0" borderId="3" xfId="1" applyFont="1" applyBorder="1" applyAlignment="1" applyProtection="1">
      <alignment horizontal="center" vertical="top"/>
      <protection locked="0"/>
    </xf>
    <xf numFmtId="0" fontId="7" fillId="0" borderId="1" xfId="1" applyFont="1" applyBorder="1" applyAlignment="1" applyProtection="1">
      <alignment horizontal="center" vertical="top"/>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13" Type="http://schemas.openxmlformats.org/officeDocument/2006/relationships/image" Target="../media/image12.jpeg"/><Relationship Id="rId18" Type="http://schemas.openxmlformats.org/officeDocument/2006/relationships/image" Target="../media/image17.jpeg"/><Relationship Id="rId3" Type="http://schemas.openxmlformats.org/officeDocument/2006/relationships/image" Target="../media/image3.png"/><Relationship Id="rId21" Type="http://schemas.openxmlformats.org/officeDocument/2006/relationships/image" Target="../media/image20.jpeg"/><Relationship Id="rId7" Type="http://schemas.openxmlformats.org/officeDocument/2006/relationships/image" Target="../media/image6.jpeg"/><Relationship Id="rId12" Type="http://schemas.openxmlformats.org/officeDocument/2006/relationships/image" Target="../media/image11.jpeg"/><Relationship Id="rId17" Type="http://schemas.openxmlformats.org/officeDocument/2006/relationships/image" Target="../media/image16.jpeg"/><Relationship Id="rId2" Type="http://schemas.openxmlformats.org/officeDocument/2006/relationships/image" Target="../media/image2.png"/><Relationship Id="rId16" Type="http://schemas.openxmlformats.org/officeDocument/2006/relationships/image" Target="../media/image15.jpeg"/><Relationship Id="rId20" Type="http://schemas.openxmlformats.org/officeDocument/2006/relationships/image" Target="../media/image19.jpeg"/><Relationship Id="rId1" Type="http://schemas.openxmlformats.org/officeDocument/2006/relationships/image" Target="../media/image1.png"/><Relationship Id="rId6" Type="http://schemas.openxmlformats.org/officeDocument/2006/relationships/image" Target="../media/image5.jpeg"/><Relationship Id="rId11" Type="http://schemas.openxmlformats.org/officeDocument/2006/relationships/image" Target="../media/image10.jpeg"/><Relationship Id="rId5" Type="http://schemas.microsoft.com/office/2007/relationships/hdphoto" Target="../media/hdphoto1.wdp"/><Relationship Id="rId15" Type="http://schemas.openxmlformats.org/officeDocument/2006/relationships/image" Target="../media/image14.jpeg"/><Relationship Id="rId10" Type="http://schemas.openxmlformats.org/officeDocument/2006/relationships/image" Target="../media/image9.jpeg"/><Relationship Id="rId19" Type="http://schemas.openxmlformats.org/officeDocument/2006/relationships/image" Target="../media/image18.jpeg"/><Relationship Id="rId4" Type="http://schemas.openxmlformats.org/officeDocument/2006/relationships/image" Target="../media/image4.png"/><Relationship Id="rId9" Type="http://schemas.openxmlformats.org/officeDocument/2006/relationships/image" Target="../media/image8.jpeg"/><Relationship Id="rId14" Type="http://schemas.openxmlformats.org/officeDocument/2006/relationships/image" Target="../media/image13.jpeg"/><Relationship Id="rId22" Type="http://schemas.openxmlformats.org/officeDocument/2006/relationships/image" Target="../media/image2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1</xdr:col>
      <xdr:colOff>121725</xdr:colOff>
      <xdr:row>291</xdr:row>
      <xdr:rowOff>69708</xdr:rowOff>
    </xdr:from>
    <xdr:to>
      <xdr:col>6</xdr:col>
      <xdr:colOff>656188</xdr:colOff>
      <xdr:row>309</xdr:row>
      <xdr:rowOff>39002</xdr:rowOff>
    </xdr:to>
    <xdr:pic>
      <xdr:nvPicPr>
        <xdr:cNvPr id="2" name="Picture 1"/>
        <xdr:cNvPicPr>
          <a:picLocks noChangeAspect="1"/>
        </xdr:cNvPicPr>
      </xdr:nvPicPr>
      <xdr:blipFill rotWithShape="1">
        <a:blip xmlns:r="http://schemas.openxmlformats.org/officeDocument/2006/relationships" r:embed="rId1"/>
        <a:srcRect l="21638" t="17262" r="24371" b="14286"/>
        <a:stretch/>
      </xdr:blipFill>
      <xdr:spPr>
        <a:xfrm>
          <a:off x="939754" y="62083061"/>
          <a:ext cx="5050434" cy="3600000"/>
        </a:xfrm>
        <a:prstGeom prst="rect">
          <a:avLst/>
        </a:prstGeom>
        <a:ln w="9525">
          <a:solidFill>
            <a:schemeClr val="tx1"/>
          </a:solidFill>
        </a:ln>
      </xdr:spPr>
    </xdr:pic>
    <xdr:clientData/>
  </xdr:twoCellAnchor>
  <xdr:twoCellAnchor editAs="oneCell">
    <xdr:from>
      <xdr:col>1</xdr:col>
      <xdr:colOff>123266</xdr:colOff>
      <xdr:row>274</xdr:row>
      <xdr:rowOff>67233</xdr:rowOff>
    </xdr:from>
    <xdr:to>
      <xdr:col>6</xdr:col>
      <xdr:colOff>678600</xdr:colOff>
      <xdr:row>290</xdr:row>
      <xdr:rowOff>122617</xdr:rowOff>
    </xdr:to>
    <xdr:pic>
      <xdr:nvPicPr>
        <xdr:cNvPr id="3" name="Picture 2"/>
        <xdr:cNvPicPr>
          <a:picLocks noChangeAspect="1"/>
        </xdr:cNvPicPr>
      </xdr:nvPicPr>
      <xdr:blipFill rotWithShape="1">
        <a:blip xmlns:r="http://schemas.openxmlformats.org/officeDocument/2006/relationships" r:embed="rId2"/>
        <a:srcRect l="31072" t="36858" r="25966" b="13679"/>
        <a:stretch/>
      </xdr:blipFill>
      <xdr:spPr>
        <a:xfrm>
          <a:off x="941295" y="63167557"/>
          <a:ext cx="5071305" cy="3282677"/>
        </a:xfrm>
        <a:prstGeom prst="rect">
          <a:avLst/>
        </a:prstGeom>
        <a:ln w="9525">
          <a:solidFill>
            <a:schemeClr val="tx1"/>
          </a:solidFill>
        </a:ln>
      </xdr:spPr>
    </xdr:pic>
    <xdr:clientData/>
  </xdr:twoCellAnchor>
  <xdr:twoCellAnchor>
    <xdr:from>
      <xdr:col>3</xdr:col>
      <xdr:colOff>306300</xdr:colOff>
      <xdr:row>299</xdr:row>
      <xdr:rowOff>169090</xdr:rowOff>
    </xdr:from>
    <xdr:to>
      <xdr:col>4</xdr:col>
      <xdr:colOff>483366</xdr:colOff>
      <xdr:row>304</xdr:row>
      <xdr:rowOff>57312</xdr:rowOff>
    </xdr:to>
    <xdr:grpSp>
      <xdr:nvGrpSpPr>
        <xdr:cNvPr id="4" name="Group 3"/>
        <xdr:cNvGrpSpPr/>
      </xdr:nvGrpSpPr>
      <xdr:grpSpPr>
        <a:xfrm rot="376389">
          <a:off x="2620875" y="60424240"/>
          <a:ext cx="1262916" cy="888347"/>
          <a:chOff x="3321152" y="1935480"/>
          <a:chExt cx="1576921" cy="1186073"/>
        </a:xfrm>
      </xdr:grpSpPr>
      <xdr:cxnSp macro="">
        <xdr:nvCxnSpPr>
          <xdr:cNvPr id="5" name="Straight Connector 4"/>
          <xdr:cNvCxnSpPr/>
        </xdr:nvCxnSpPr>
        <xdr:spPr>
          <a:xfrm flipV="1">
            <a:off x="4890453" y="3053026"/>
            <a:ext cx="7620" cy="68527"/>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grpSp>
        <xdr:nvGrpSpPr>
          <xdr:cNvPr id="6" name="Group 5"/>
          <xdr:cNvGrpSpPr/>
        </xdr:nvGrpSpPr>
        <xdr:grpSpPr>
          <a:xfrm>
            <a:off x="3321152" y="1935480"/>
            <a:ext cx="1576921" cy="1167498"/>
            <a:chOff x="3321152" y="1935480"/>
            <a:chExt cx="1576921" cy="1167498"/>
          </a:xfrm>
        </xdr:grpSpPr>
        <xdr:cxnSp macro="">
          <xdr:nvCxnSpPr>
            <xdr:cNvPr id="7" name="Straight Connector 6"/>
            <xdr:cNvCxnSpPr/>
          </xdr:nvCxnSpPr>
          <xdr:spPr>
            <a:xfrm>
              <a:off x="3505200" y="1948180"/>
              <a:ext cx="358140" cy="23495"/>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V="1">
              <a:off x="3329429" y="1935480"/>
              <a:ext cx="190500" cy="1021186"/>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xdr:cNvCxnSpPr/>
          </xdr:nvCxnSpPr>
          <xdr:spPr>
            <a:xfrm flipH="1" flipV="1">
              <a:off x="3321152" y="2944784"/>
              <a:ext cx="1571944" cy="158194"/>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a:off x="4685030" y="2503223"/>
              <a:ext cx="213043" cy="549804"/>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xdr:cNvCxnSpPr/>
          </xdr:nvCxnSpPr>
          <xdr:spPr>
            <a:xfrm>
              <a:off x="3863340" y="1971675"/>
              <a:ext cx="829310" cy="531547"/>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1</xdr:col>
      <xdr:colOff>388110</xdr:colOff>
      <xdr:row>250</xdr:row>
      <xdr:rowOff>134031</xdr:rowOff>
    </xdr:from>
    <xdr:to>
      <xdr:col>6</xdr:col>
      <xdr:colOff>439545</xdr:colOff>
      <xdr:row>252</xdr:row>
      <xdr:rowOff>8300</xdr:rowOff>
    </xdr:to>
    <xdr:pic>
      <xdr:nvPicPr>
        <xdr:cNvPr id="40" name="table"/>
        <xdr:cNvPicPr>
          <a:picLocks noChangeAspect="1"/>
        </xdr:cNvPicPr>
      </xdr:nvPicPr>
      <xdr:blipFill>
        <a:blip xmlns:r="http://schemas.openxmlformats.org/officeDocument/2006/relationships" r:embed="rId3"/>
        <a:stretch>
          <a:fillRect/>
        </a:stretch>
      </xdr:blipFill>
      <xdr:spPr>
        <a:xfrm>
          <a:off x="1207260" y="56455356"/>
          <a:ext cx="4556760" cy="274320"/>
        </a:xfrm>
        <a:prstGeom prst="rect">
          <a:avLst/>
        </a:prstGeom>
      </xdr:spPr>
    </xdr:pic>
    <xdr:clientData/>
  </xdr:twoCellAnchor>
  <xdr:twoCellAnchor>
    <xdr:from>
      <xdr:col>2</xdr:col>
      <xdr:colOff>199515</xdr:colOff>
      <xdr:row>246</xdr:row>
      <xdr:rowOff>18282</xdr:rowOff>
    </xdr:from>
    <xdr:to>
      <xdr:col>5</xdr:col>
      <xdr:colOff>713865</xdr:colOff>
      <xdr:row>247</xdr:row>
      <xdr:rowOff>187589</xdr:rowOff>
    </xdr:to>
    <xdr:sp macro="" textlink="">
      <xdr:nvSpPr>
        <xdr:cNvPr id="41" name="Rectangle 40"/>
        <xdr:cNvSpPr/>
      </xdr:nvSpPr>
      <xdr:spPr>
        <a:xfrm>
          <a:off x="1771140" y="55539507"/>
          <a:ext cx="3429000"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a:p>
      </xdr:txBody>
    </xdr:sp>
    <xdr:clientData/>
  </xdr:twoCellAnchor>
  <xdr:twoCellAnchor>
    <xdr:from>
      <xdr:col>2</xdr:col>
      <xdr:colOff>199515</xdr:colOff>
      <xdr:row>246</xdr:row>
      <xdr:rowOff>156782</xdr:rowOff>
    </xdr:from>
    <xdr:to>
      <xdr:col>5</xdr:col>
      <xdr:colOff>713865</xdr:colOff>
      <xdr:row>248</xdr:row>
      <xdr:rowOff>126064</xdr:rowOff>
    </xdr:to>
    <xdr:sp macro="" textlink="">
      <xdr:nvSpPr>
        <xdr:cNvPr id="42" name="Rectangle 41"/>
        <xdr:cNvSpPr/>
      </xdr:nvSpPr>
      <xdr:spPr>
        <a:xfrm>
          <a:off x="1771140" y="55678007"/>
          <a:ext cx="3429000"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a:p>
      </xdr:txBody>
    </xdr:sp>
    <xdr:clientData/>
  </xdr:twoCellAnchor>
  <xdr:twoCellAnchor>
    <xdr:from>
      <xdr:col>1</xdr:col>
      <xdr:colOff>276225</xdr:colOff>
      <xdr:row>239</xdr:row>
      <xdr:rowOff>95250</xdr:rowOff>
    </xdr:from>
    <xdr:to>
      <xdr:col>6</xdr:col>
      <xdr:colOff>551430</xdr:colOff>
      <xdr:row>257</xdr:row>
      <xdr:rowOff>64544</xdr:rowOff>
    </xdr:to>
    <xdr:grpSp>
      <xdr:nvGrpSpPr>
        <xdr:cNvPr id="43" name="Group 42"/>
        <xdr:cNvGrpSpPr/>
      </xdr:nvGrpSpPr>
      <xdr:grpSpPr>
        <a:xfrm>
          <a:off x="1038225" y="48348900"/>
          <a:ext cx="4475730" cy="3569744"/>
          <a:chOff x="0" y="0"/>
          <a:chExt cx="4780530" cy="3569744"/>
        </a:xfrm>
      </xdr:grpSpPr>
      <xdr:pic>
        <xdr:nvPicPr>
          <xdr:cNvPr id="54" name="Picture 53"/>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5">
                    <a14:imgEffect>
                      <a14:brightnessContrast contrast="-40000"/>
                    </a14:imgEffect>
                  </a14:imgLayer>
                </a14:imgProps>
              </a:ext>
            </a:extLst>
          </a:blip>
          <a:srcRect t="11861" b="1516"/>
          <a:stretch/>
        </xdr:blipFill>
        <xdr:spPr>
          <a:xfrm>
            <a:off x="0" y="0"/>
            <a:ext cx="4780530" cy="3569744"/>
          </a:xfrm>
          <a:prstGeom prst="rect">
            <a:avLst/>
          </a:prstGeom>
          <a:ln w="9525">
            <a:solidFill>
              <a:schemeClr val="tx1"/>
            </a:solidFill>
          </a:ln>
        </xdr:spPr>
      </xdr:pic>
      <xdr:sp macro="" textlink="">
        <xdr:nvSpPr>
          <xdr:cNvPr id="55" name="Rectangle 54"/>
          <xdr:cNvSpPr/>
        </xdr:nvSpPr>
        <xdr:spPr>
          <a:xfrm rot="287971">
            <a:off x="2876828" y="1450977"/>
            <a:ext cx="605860" cy="339125"/>
          </a:xfrm>
          <a:prstGeom prst="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nvGrpSpPr>
          <xdr:cNvPr id="56" name="Group 55"/>
          <xdr:cNvGrpSpPr/>
        </xdr:nvGrpSpPr>
        <xdr:grpSpPr>
          <a:xfrm>
            <a:off x="2199882" y="964265"/>
            <a:ext cx="648029" cy="800365"/>
            <a:chOff x="2199882" y="964265"/>
            <a:chExt cx="648029" cy="800365"/>
          </a:xfrm>
        </xdr:grpSpPr>
        <xdr:grpSp>
          <xdr:nvGrpSpPr>
            <xdr:cNvPr id="57" name="Group 56"/>
            <xdr:cNvGrpSpPr/>
          </xdr:nvGrpSpPr>
          <xdr:grpSpPr>
            <a:xfrm>
              <a:off x="2199882" y="964265"/>
              <a:ext cx="648029" cy="800365"/>
              <a:chOff x="2199882" y="964265"/>
              <a:chExt cx="648029" cy="800365"/>
            </a:xfrm>
          </xdr:grpSpPr>
          <xdr:cxnSp macro="">
            <xdr:nvCxnSpPr>
              <xdr:cNvPr id="59" name="Straight Connector 58"/>
              <xdr:cNvCxnSpPr/>
            </xdr:nvCxnSpPr>
            <xdr:spPr>
              <a:xfrm flipH="1" flipV="1">
                <a:off x="2209614" y="1696438"/>
                <a:ext cx="612430" cy="68192"/>
              </a:xfrm>
              <a:prstGeom prst="line">
                <a:avLst/>
              </a:prstGeom>
              <a:ln w="38100">
                <a:solidFill>
                  <a:srgbClr val="7030A0"/>
                </a:solidFill>
              </a:ln>
            </xdr:spPr>
            <xdr:style>
              <a:lnRef idx="1">
                <a:schemeClr val="accent1"/>
              </a:lnRef>
              <a:fillRef idx="0">
                <a:schemeClr val="accent1"/>
              </a:fillRef>
              <a:effectRef idx="0">
                <a:schemeClr val="accent1"/>
              </a:effectRef>
              <a:fontRef idx="minor">
                <a:schemeClr val="tx1"/>
              </a:fontRef>
            </xdr:style>
          </xdr:cxnSp>
          <xdr:cxnSp macro="">
            <xdr:nvCxnSpPr>
              <xdr:cNvPr id="60" name="Straight Connector 59"/>
              <xdr:cNvCxnSpPr/>
            </xdr:nvCxnSpPr>
            <xdr:spPr>
              <a:xfrm flipV="1">
                <a:off x="2199882" y="1435325"/>
                <a:ext cx="32575" cy="266691"/>
              </a:xfrm>
              <a:prstGeom prst="line">
                <a:avLst/>
              </a:prstGeom>
              <a:ln w="38100">
                <a:solidFill>
                  <a:srgbClr val="7030A0"/>
                </a:solidFill>
              </a:ln>
            </xdr:spPr>
            <xdr:style>
              <a:lnRef idx="1">
                <a:schemeClr val="accent1"/>
              </a:lnRef>
              <a:fillRef idx="0">
                <a:schemeClr val="accent1"/>
              </a:fillRef>
              <a:effectRef idx="0">
                <a:schemeClr val="accent1"/>
              </a:effectRef>
              <a:fontRef idx="minor">
                <a:schemeClr val="tx1"/>
              </a:fontRef>
            </xdr:style>
          </xdr:cxnSp>
          <xdr:cxnSp macro="">
            <xdr:nvCxnSpPr>
              <xdr:cNvPr id="61" name="Straight Connector 60"/>
              <xdr:cNvCxnSpPr/>
            </xdr:nvCxnSpPr>
            <xdr:spPr>
              <a:xfrm>
                <a:off x="2225443" y="1442828"/>
                <a:ext cx="69500" cy="1834"/>
              </a:xfrm>
              <a:prstGeom prst="line">
                <a:avLst/>
              </a:prstGeom>
              <a:ln w="38100">
                <a:solidFill>
                  <a:srgbClr val="7030A0"/>
                </a:solidFill>
              </a:ln>
            </xdr:spPr>
            <xdr:style>
              <a:lnRef idx="1">
                <a:schemeClr val="accent1"/>
              </a:lnRef>
              <a:fillRef idx="0">
                <a:schemeClr val="accent1"/>
              </a:fillRef>
              <a:effectRef idx="0">
                <a:schemeClr val="accent1"/>
              </a:effectRef>
              <a:fontRef idx="minor">
                <a:schemeClr val="tx1"/>
              </a:fontRef>
            </xdr:style>
          </xdr:cxnSp>
          <xdr:cxnSp macro="">
            <xdr:nvCxnSpPr>
              <xdr:cNvPr id="62" name="Straight Connector 61"/>
              <xdr:cNvCxnSpPr/>
            </xdr:nvCxnSpPr>
            <xdr:spPr>
              <a:xfrm flipV="1">
                <a:off x="2289323" y="964265"/>
                <a:ext cx="54283" cy="473156"/>
              </a:xfrm>
              <a:prstGeom prst="line">
                <a:avLst/>
              </a:prstGeom>
              <a:ln w="38100">
                <a:solidFill>
                  <a:srgbClr val="7030A0"/>
                </a:solidFill>
              </a:ln>
            </xdr:spPr>
            <xdr:style>
              <a:lnRef idx="1">
                <a:schemeClr val="accent1"/>
              </a:lnRef>
              <a:fillRef idx="0">
                <a:schemeClr val="accent1"/>
              </a:fillRef>
              <a:effectRef idx="0">
                <a:schemeClr val="accent1"/>
              </a:effectRef>
              <a:fontRef idx="minor">
                <a:schemeClr val="tx1"/>
              </a:fontRef>
            </xdr:style>
          </xdr:cxnSp>
          <xdr:cxnSp macro="">
            <xdr:nvCxnSpPr>
              <xdr:cNvPr id="63" name="Straight Connector 62"/>
              <xdr:cNvCxnSpPr/>
            </xdr:nvCxnSpPr>
            <xdr:spPr>
              <a:xfrm>
                <a:off x="2340057" y="964529"/>
                <a:ext cx="394138" cy="34205"/>
              </a:xfrm>
              <a:prstGeom prst="line">
                <a:avLst/>
              </a:prstGeom>
              <a:ln w="38100">
                <a:solidFill>
                  <a:srgbClr val="7030A0"/>
                </a:solidFill>
              </a:ln>
            </xdr:spPr>
            <xdr:style>
              <a:lnRef idx="1">
                <a:schemeClr val="accent1"/>
              </a:lnRef>
              <a:fillRef idx="0">
                <a:schemeClr val="accent1"/>
              </a:fillRef>
              <a:effectRef idx="0">
                <a:schemeClr val="accent1"/>
              </a:effectRef>
              <a:fontRef idx="minor">
                <a:schemeClr val="tx1"/>
              </a:fontRef>
            </xdr:style>
          </xdr:cxnSp>
          <xdr:cxnSp macro="">
            <xdr:nvCxnSpPr>
              <xdr:cNvPr id="64" name="Straight Connector 63"/>
              <xdr:cNvCxnSpPr/>
            </xdr:nvCxnSpPr>
            <xdr:spPr>
              <a:xfrm flipV="1">
                <a:off x="2716496" y="998735"/>
                <a:ext cx="17699" cy="304452"/>
              </a:xfrm>
              <a:prstGeom prst="line">
                <a:avLst/>
              </a:prstGeom>
              <a:ln w="38100">
                <a:solidFill>
                  <a:srgbClr val="7030A0"/>
                </a:solidFill>
              </a:ln>
            </xdr:spPr>
            <xdr:style>
              <a:lnRef idx="1">
                <a:schemeClr val="accent1"/>
              </a:lnRef>
              <a:fillRef idx="0">
                <a:schemeClr val="accent1"/>
              </a:fillRef>
              <a:effectRef idx="0">
                <a:schemeClr val="accent1"/>
              </a:effectRef>
              <a:fontRef idx="minor">
                <a:schemeClr val="tx1"/>
              </a:fontRef>
            </xdr:style>
          </xdr:cxnSp>
          <xdr:cxnSp macro="">
            <xdr:nvCxnSpPr>
              <xdr:cNvPr id="65" name="Straight Connector 64"/>
              <xdr:cNvCxnSpPr/>
            </xdr:nvCxnSpPr>
            <xdr:spPr>
              <a:xfrm>
                <a:off x="2659346" y="1303187"/>
                <a:ext cx="57150" cy="0"/>
              </a:xfrm>
              <a:prstGeom prst="line">
                <a:avLst/>
              </a:prstGeom>
              <a:ln w="38100">
                <a:solidFill>
                  <a:srgbClr val="7030A0"/>
                </a:solidFill>
              </a:ln>
            </xdr:spPr>
            <xdr:style>
              <a:lnRef idx="1">
                <a:schemeClr val="accent1"/>
              </a:lnRef>
              <a:fillRef idx="0">
                <a:schemeClr val="accent1"/>
              </a:fillRef>
              <a:effectRef idx="0">
                <a:schemeClr val="accent1"/>
              </a:effectRef>
              <a:fontRef idx="minor">
                <a:schemeClr val="tx1"/>
              </a:fontRef>
            </xdr:style>
          </xdr:cxnSp>
          <xdr:cxnSp macro="">
            <xdr:nvCxnSpPr>
              <xdr:cNvPr id="66" name="Straight Connector 65"/>
              <xdr:cNvCxnSpPr/>
            </xdr:nvCxnSpPr>
            <xdr:spPr>
              <a:xfrm flipV="1">
                <a:off x="2659346" y="1302804"/>
                <a:ext cx="7356" cy="106690"/>
              </a:xfrm>
              <a:prstGeom prst="line">
                <a:avLst/>
              </a:prstGeom>
              <a:ln w="38100">
                <a:solidFill>
                  <a:srgbClr val="7030A0"/>
                </a:solidFill>
              </a:ln>
            </xdr:spPr>
            <xdr:style>
              <a:lnRef idx="1">
                <a:schemeClr val="accent1"/>
              </a:lnRef>
              <a:fillRef idx="0">
                <a:schemeClr val="accent1"/>
              </a:fillRef>
              <a:effectRef idx="0">
                <a:schemeClr val="accent1"/>
              </a:effectRef>
              <a:fontRef idx="minor">
                <a:schemeClr val="tx1"/>
              </a:fontRef>
            </xdr:style>
          </xdr:cxnSp>
          <xdr:cxnSp macro="">
            <xdr:nvCxnSpPr>
              <xdr:cNvPr id="67" name="Straight Connector 66"/>
              <xdr:cNvCxnSpPr/>
            </xdr:nvCxnSpPr>
            <xdr:spPr>
              <a:xfrm>
                <a:off x="2659346" y="1405581"/>
                <a:ext cx="188565" cy="16226"/>
              </a:xfrm>
              <a:prstGeom prst="line">
                <a:avLst/>
              </a:prstGeom>
              <a:ln w="38100">
                <a:solidFill>
                  <a:srgbClr val="7030A0"/>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8" name="Straight Connector 57"/>
            <xdr:cNvCxnSpPr/>
          </xdr:nvCxnSpPr>
          <xdr:spPr>
            <a:xfrm flipH="1">
              <a:off x="2819662" y="1421807"/>
              <a:ext cx="25868" cy="342823"/>
            </a:xfrm>
            <a:prstGeom prst="line">
              <a:avLst/>
            </a:prstGeom>
            <a:ln w="38100">
              <a:solidFill>
                <a:srgbClr val="7030A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626526</xdr:colOff>
      <xdr:row>243</xdr:row>
      <xdr:rowOff>80872</xdr:rowOff>
    </xdr:from>
    <xdr:to>
      <xdr:col>5</xdr:col>
      <xdr:colOff>239155</xdr:colOff>
      <xdr:row>249</xdr:row>
      <xdr:rowOff>36420</xdr:rowOff>
    </xdr:to>
    <xdr:grpSp>
      <xdr:nvGrpSpPr>
        <xdr:cNvPr id="44" name="Group 43"/>
        <xdr:cNvGrpSpPr/>
      </xdr:nvGrpSpPr>
      <xdr:grpSpPr>
        <a:xfrm>
          <a:off x="2941101" y="49134622"/>
          <a:ext cx="1479529" cy="1155698"/>
          <a:chOff x="2017176" y="785722"/>
          <a:chExt cx="1583373" cy="1186074"/>
        </a:xfrm>
      </xdr:grpSpPr>
      <xdr:cxnSp macro="">
        <xdr:nvCxnSpPr>
          <xdr:cNvPr id="47" name="Straight Connector 46"/>
          <xdr:cNvCxnSpPr/>
        </xdr:nvCxnSpPr>
        <xdr:spPr>
          <a:xfrm flipV="1">
            <a:off x="3592929" y="1903269"/>
            <a:ext cx="7620" cy="68527"/>
          </a:xfrm>
          <a:prstGeom prst="lin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cxnSp>
      <xdr:grpSp>
        <xdr:nvGrpSpPr>
          <xdr:cNvPr id="48" name="Group 47"/>
          <xdr:cNvGrpSpPr/>
        </xdr:nvGrpSpPr>
        <xdr:grpSpPr>
          <a:xfrm>
            <a:off x="2017176" y="785722"/>
            <a:ext cx="1583373" cy="1179383"/>
            <a:chOff x="2017176" y="785722"/>
            <a:chExt cx="1583373" cy="1179383"/>
          </a:xfrm>
        </xdr:grpSpPr>
        <xdr:cxnSp macro="">
          <xdr:nvCxnSpPr>
            <xdr:cNvPr id="49" name="Straight Connector 48"/>
            <xdr:cNvCxnSpPr/>
          </xdr:nvCxnSpPr>
          <xdr:spPr>
            <a:xfrm flipV="1">
              <a:off x="2207676" y="792682"/>
              <a:ext cx="396010" cy="5742"/>
            </a:xfrm>
            <a:prstGeom prst="lin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cxnSp>
        <xdr:cxnSp macro="">
          <xdr:nvCxnSpPr>
            <xdr:cNvPr id="50" name="Straight Connector 49"/>
            <xdr:cNvCxnSpPr/>
          </xdr:nvCxnSpPr>
          <xdr:spPr>
            <a:xfrm flipV="1">
              <a:off x="2017176" y="785722"/>
              <a:ext cx="190500" cy="1021185"/>
            </a:xfrm>
            <a:prstGeom prst="lin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xdr:cNvCxnSpPr/>
          </xdr:nvCxnSpPr>
          <xdr:spPr>
            <a:xfrm flipH="1" flipV="1">
              <a:off x="2024797" y="1806911"/>
              <a:ext cx="1571943" cy="158194"/>
            </a:xfrm>
            <a:prstGeom prst="lin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xdr:cNvCxnSpPr/>
          </xdr:nvCxnSpPr>
          <xdr:spPr>
            <a:xfrm>
              <a:off x="3387506" y="1353465"/>
              <a:ext cx="213043" cy="549803"/>
            </a:xfrm>
            <a:prstGeom prst="lin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xdr:cNvCxnSpPr/>
          </xdr:nvCxnSpPr>
          <xdr:spPr>
            <a:xfrm>
              <a:off x="2603686" y="792680"/>
              <a:ext cx="791440" cy="560784"/>
            </a:xfrm>
            <a:prstGeom prst="lin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671661</xdr:colOff>
      <xdr:row>248</xdr:row>
      <xdr:rowOff>95233</xdr:rowOff>
    </xdr:from>
    <xdr:to>
      <xdr:col>4</xdr:col>
      <xdr:colOff>124067</xdr:colOff>
      <xdr:row>249</xdr:row>
      <xdr:rowOff>160442</xdr:rowOff>
    </xdr:to>
    <xdr:sp macro="" textlink="">
      <xdr:nvSpPr>
        <xdr:cNvPr id="45" name="TextBox 89"/>
        <xdr:cNvSpPr txBox="1"/>
      </xdr:nvSpPr>
      <xdr:spPr>
        <a:xfrm rot="237443">
          <a:off x="3160067" y="49726436"/>
          <a:ext cx="613266" cy="267615"/>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7030A0"/>
              </a:solidFill>
            </a:rPr>
            <a:t>Wing A</a:t>
          </a:r>
          <a:endParaRPr lang="en-IN" sz="1100" b="1">
            <a:solidFill>
              <a:srgbClr val="7030A0"/>
            </a:solidFill>
          </a:endParaRPr>
        </a:p>
      </xdr:txBody>
    </xdr:sp>
    <xdr:clientData/>
  </xdr:twoCellAnchor>
  <xdr:twoCellAnchor>
    <xdr:from>
      <xdr:col>4</xdr:col>
      <xdr:colOff>263309</xdr:colOff>
      <xdr:row>248</xdr:row>
      <xdr:rowOff>168291</xdr:rowOff>
    </xdr:from>
    <xdr:to>
      <xdr:col>5</xdr:col>
      <xdr:colOff>39565</xdr:colOff>
      <xdr:row>250</xdr:row>
      <xdr:rowOff>27469</xdr:rowOff>
    </xdr:to>
    <xdr:sp macro="" textlink="">
      <xdr:nvSpPr>
        <xdr:cNvPr id="46" name="TextBox 90"/>
        <xdr:cNvSpPr txBox="1"/>
      </xdr:nvSpPr>
      <xdr:spPr>
        <a:xfrm rot="237443">
          <a:off x="3912575" y="49799494"/>
          <a:ext cx="615646" cy="263991"/>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0ADCE6"/>
              </a:solidFill>
            </a:rPr>
            <a:t>Wing B</a:t>
          </a:r>
          <a:endParaRPr lang="en-IN" sz="1100" b="1">
            <a:solidFill>
              <a:srgbClr val="0ADCE6"/>
            </a:solidFill>
          </a:endParaRPr>
        </a:p>
      </xdr:txBody>
    </xdr:sp>
    <xdr:clientData/>
  </xdr:twoCellAnchor>
  <xdr:twoCellAnchor>
    <xdr:from>
      <xdr:col>9</xdr:col>
      <xdr:colOff>600075</xdr:colOff>
      <xdr:row>196</xdr:row>
      <xdr:rowOff>200024</xdr:rowOff>
    </xdr:from>
    <xdr:to>
      <xdr:col>11</xdr:col>
      <xdr:colOff>24430</xdr:colOff>
      <xdr:row>198</xdr:row>
      <xdr:rowOff>174115</xdr:rowOff>
    </xdr:to>
    <xdr:sp macro="" textlink="">
      <xdr:nvSpPr>
        <xdr:cNvPr id="83" name="TextBox 14"/>
        <xdr:cNvSpPr txBox="1"/>
      </xdr:nvSpPr>
      <xdr:spPr>
        <a:xfrm>
          <a:off x="8191500" y="39376349"/>
          <a:ext cx="891205" cy="37414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t>Wing A</a:t>
          </a:r>
          <a:endParaRPr lang="en-IN" sz="1600" b="1"/>
        </a:p>
      </xdr:txBody>
    </xdr:sp>
    <xdr:clientData/>
  </xdr:twoCellAnchor>
  <xdr:twoCellAnchor>
    <xdr:from>
      <xdr:col>13</xdr:col>
      <xdr:colOff>28575</xdr:colOff>
      <xdr:row>196</xdr:row>
      <xdr:rowOff>200024</xdr:rowOff>
    </xdr:from>
    <xdr:to>
      <xdr:col>14</xdr:col>
      <xdr:colOff>81580</xdr:colOff>
      <xdr:row>198</xdr:row>
      <xdr:rowOff>174115</xdr:rowOff>
    </xdr:to>
    <xdr:sp macro="" textlink="">
      <xdr:nvSpPr>
        <xdr:cNvPr id="87" name="TextBox 14"/>
        <xdr:cNvSpPr txBox="1"/>
      </xdr:nvSpPr>
      <xdr:spPr>
        <a:xfrm>
          <a:off x="10582275" y="39376349"/>
          <a:ext cx="891205" cy="37414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t>Wing B</a:t>
          </a:r>
          <a:endParaRPr lang="en-IN" sz="1600" b="1"/>
        </a:p>
      </xdr:txBody>
    </xdr:sp>
    <xdr:clientData/>
  </xdr:twoCellAnchor>
  <xdr:twoCellAnchor>
    <xdr:from>
      <xdr:col>9</xdr:col>
      <xdr:colOff>730063</xdr:colOff>
      <xdr:row>199</xdr:row>
      <xdr:rowOff>91327</xdr:rowOff>
    </xdr:from>
    <xdr:to>
      <xdr:col>11</xdr:col>
      <xdr:colOff>154418</xdr:colOff>
      <xdr:row>201</xdr:row>
      <xdr:rowOff>63737</xdr:rowOff>
    </xdr:to>
    <xdr:sp macro="" textlink="">
      <xdr:nvSpPr>
        <xdr:cNvPr id="101" name="TextBox 14"/>
        <xdr:cNvSpPr txBox="1"/>
      </xdr:nvSpPr>
      <xdr:spPr>
        <a:xfrm>
          <a:off x="8338857" y="40118739"/>
          <a:ext cx="892326" cy="37582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t>Wing A</a:t>
          </a:r>
          <a:endParaRPr lang="en-IN" sz="1600" b="1"/>
        </a:p>
      </xdr:txBody>
    </xdr:sp>
    <xdr:clientData/>
  </xdr:twoCellAnchor>
  <xdr:twoCellAnchor>
    <xdr:from>
      <xdr:col>9</xdr:col>
      <xdr:colOff>406213</xdr:colOff>
      <xdr:row>195</xdr:row>
      <xdr:rowOff>165846</xdr:rowOff>
    </xdr:from>
    <xdr:to>
      <xdr:col>17</xdr:col>
      <xdr:colOff>77707</xdr:colOff>
      <xdr:row>235</xdr:row>
      <xdr:rowOff>108696</xdr:rowOff>
    </xdr:to>
    <xdr:grpSp>
      <xdr:nvGrpSpPr>
        <xdr:cNvPr id="15" name="Group 14"/>
        <xdr:cNvGrpSpPr/>
      </xdr:nvGrpSpPr>
      <xdr:grpSpPr>
        <a:xfrm>
          <a:off x="7997638" y="39627921"/>
          <a:ext cx="5519844" cy="7934325"/>
          <a:chOff x="428625" y="39252524"/>
          <a:chExt cx="5519284" cy="7934326"/>
        </a:xfrm>
      </xdr:grpSpPr>
      <xdr:grpSp>
        <xdr:nvGrpSpPr>
          <xdr:cNvPr id="14" name="Group 13"/>
          <xdr:cNvGrpSpPr/>
        </xdr:nvGrpSpPr>
        <xdr:grpSpPr>
          <a:xfrm>
            <a:off x="428625" y="39252524"/>
            <a:ext cx="5519284" cy="7934326"/>
            <a:chOff x="428625" y="39252524"/>
            <a:chExt cx="5519284" cy="7934326"/>
          </a:xfrm>
        </xdr:grpSpPr>
        <xdr:grpSp>
          <xdr:nvGrpSpPr>
            <xdr:cNvPr id="13" name="Group 12"/>
            <xdr:cNvGrpSpPr/>
          </xdr:nvGrpSpPr>
          <xdr:grpSpPr>
            <a:xfrm>
              <a:off x="428625" y="39252524"/>
              <a:ext cx="5519284" cy="7934326"/>
              <a:chOff x="428625" y="39252524"/>
              <a:chExt cx="5519284" cy="7934326"/>
            </a:xfrm>
          </xdr:grpSpPr>
          <xdr:pic>
            <xdr:nvPicPr>
              <xdr:cNvPr id="88" name="Picture 87" descr="https://vsjcllp.vsjadon.com/upload/insp-236389-1525.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3238500" y="45201766"/>
                <a:ext cx="1487262" cy="198508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0" name="Picture 89" descr="https://vsjcllp.vsjadon.com/upload/insp-236389-843.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228975" y="39252524"/>
                <a:ext cx="2718934" cy="36290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2" name="Picture 91" descr="https://vsjcllp.vsjadon.com/upload/insp-236389-851.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428625" y="39252524"/>
                <a:ext cx="2718934" cy="36290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3" name="Picture 92" descr="https://vsjcllp.vsjadon.com/upload/insp-236389-861.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1676400" y="45201766"/>
                <a:ext cx="1487262" cy="198508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4" name="Picture 93" descr="https://vsjcllp.vsjadon.com/upload/insp-236389-862.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4095750" y="4295775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5" name="Picture 94" descr="https://vsjcllp.vsjadon.com/upload/insp-236389-871.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685800" y="4295775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6" name="Picture 95" descr="https://vsjcllp.vsjadon.com/upload/insp-236389-847.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2390775" y="4295775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97" name="TextBox 14"/>
            <xdr:cNvSpPr txBox="1"/>
          </xdr:nvSpPr>
          <xdr:spPr>
            <a:xfrm>
              <a:off x="762000" y="42957749"/>
              <a:ext cx="891205" cy="37414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t>Wing A</a:t>
              </a:r>
              <a:endParaRPr lang="en-IN" sz="1600" b="1"/>
            </a:p>
          </xdr:txBody>
        </xdr:sp>
        <xdr:sp macro="" textlink="">
          <xdr:nvSpPr>
            <xdr:cNvPr id="98" name="TextBox 14"/>
            <xdr:cNvSpPr txBox="1"/>
          </xdr:nvSpPr>
          <xdr:spPr>
            <a:xfrm rot="2533860">
              <a:off x="2400300" y="40576499"/>
              <a:ext cx="891205" cy="37414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t>Wing B</a:t>
              </a:r>
              <a:endParaRPr lang="en-IN" sz="1600" b="1"/>
            </a:p>
          </xdr:txBody>
        </xdr:sp>
      </xdr:grpSp>
      <xdr:sp macro="" textlink="">
        <xdr:nvSpPr>
          <xdr:cNvPr id="102" name="TextBox 14"/>
          <xdr:cNvSpPr txBox="1"/>
        </xdr:nvSpPr>
        <xdr:spPr>
          <a:xfrm>
            <a:off x="3219450" y="42910124"/>
            <a:ext cx="891205" cy="37414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t>Wing B</a:t>
            </a:r>
            <a:endParaRPr lang="en-IN" sz="1600" b="1"/>
          </a:p>
        </xdr:txBody>
      </xdr:sp>
    </xdr:grpSp>
    <xdr:clientData/>
  </xdr:twoCellAnchor>
  <xdr:twoCellAnchor>
    <xdr:from>
      <xdr:col>0</xdr:col>
      <xdr:colOff>179294</xdr:colOff>
      <xdr:row>196</xdr:row>
      <xdr:rowOff>123265</xdr:rowOff>
    </xdr:from>
    <xdr:to>
      <xdr:col>7</xdr:col>
      <xdr:colOff>549088</xdr:colOff>
      <xdr:row>234</xdr:row>
      <xdr:rowOff>156883</xdr:rowOff>
    </xdr:to>
    <xdr:grpSp>
      <xdr:nvGrpSpPr>
        <xdr:cNvPr id="68" name="Group 67"/>
        <xdr:cNvGrpSpPr/>
      </xdr:nvGrpSpPr>
      <xdr:grpSpPr>
        <a:xfrm>
          <a:off x="179294" y="39785365"/>
          <a:ext cx="6094319" cy="7625043"/>
          <a:chOff x="119228" y="636922"/>
          <a:chExt cx="6780697" cy="6894178"/>
        </a:xfrm>
      </xdr:grpSpPr>
      <xdr:pic>
        <xdr:nvPicPr>
          <xdr:cNvPr id="69" name="Picture 68" descr="https://vsjcllp.vsjadon.com/upload/insp-246847-1525.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4923663" y="6102576"/>
            <a:ext cx="1070277" cy="142852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0" name="Picture 69" descr="https://vsjcllp.vsjadon.com/upload/insp-246847-843.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011723" y="636922"/>
            <a:ext cx="2327915" cy="310712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1" name="Picture 70" descr="https://vsjcllp.vsjadon.com/upload/insp-246847-851.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19228" y="3863588"/>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2" name="Picture 71" descr="https://vsjcllp.vsjadon.com/upload/insp-246847-861.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555626" y="3866662"/>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3" name="Picture 72" descr="https://vsjcllp.vsjadon.com/upload/insp-246847-871.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443010" y="636922"/>
            <a:ext cx="2327915" cy="310712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4" name="Picture 73" descr="https://vsjcllp.vsjadon.com/upload/insp-246847-880.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766010" y="6102576"/>
            <a:ext cx="1070277" cy="142852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5" name="Picture 74" descr="https://vsjcllp.vsjadon.com/upload/insp-246847-931.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5281612" y="3863588"/>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6" name="Picture 75" descr="https://vsjcllp.vsjadon.com/upload/insp-246847-916.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620753" y="6102576"/>
            <a:ext cx="1070277" cy="142852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7" name="Picture 76" descr="https://vsjcllp.vsjadon.com/upload/insp-246847-883.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845214" y="3863588"/>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8" name="Picture 77" descr="https://vsjcllp.vsjadon.com/upload/insp-246847-874.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756547" y="6102576"/>
            <a:ext cx="1902935" cy="142852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dFh7Wk1zuWfo3w9x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274"/>
  <sheetViews>
    <sheetView tabSelected="1" view="pageBreakPreview" zoomScaleNormal="100" zoomScaleSheetLayoutView="100" zoomScalePageLayoutView="70" workbookViewId="0">
      <selection activeCell="J13" sqref="J13"/>
    </sheetView>
  </sheetViews>
  <sheetFormatPr defaultColWidth="9.140625" defaultRowHeight="15.75" x14ac:dyDescent="0.25"/>
  <cols>
    <col min="1" max="1" width="11.42578125" style="40" customWidth="1"/>
    <col min="2" max="2" width="10.5703125" style="40" customWidth="1"/>
    <col min="3" max="3" width="12.7109375" style="40" customWidth="1"/>
    <col min="4" max="4" width="16.28515625" style="40" customWidth="1"/>
    <col min="5" max="6" width="11.7109375" style="40" customWidth="1"/>
    <col min="7" max="7" width="11.42578125" style="40" customWidth="1"/>
    <col min="8" max="8" width="10.5703125" style="40" customWidth="1"/>
    <col min="9" max="9" width="17.42578125" style="21" customWidth="1"/>
    <col min="10" max="10" width="11.42578125" style="21" customWidth="1"/>
    <col min="11" max="11" width="10.5703125" style="21" bestFit="1" customWidth="1"/>
    <col min="12" max="12" width="10.5703125" style="21" customWidth="1"/>
    <col min="13" max="13" width="11.85546875" style="21" customWidth="1"/>
    <col min="14" max="14" width="12.5703125" style="21" customWidth="1"/>
    <col min="15" max="15" width="9.85546875" style="21" customWidth="1"/>
    <col min="16" max="16" width="11.7109375" style="21" customWidth="1"/>
    <col min="17"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80" t="s">
        <v>166</v>
      </c>
      <c r="B1" s="180"/>
      <c r="C1" s="180"/>
      <c r="D1" s="180"/>
      <c r="E1" s="180"/>
      <c r="F1" s="180"/>
      <c r="G1" s="180"/>
      <c r="H1" s="180"/>
    </row>
    <row r="2" spans="1:26" ht="16.5" customHeight="1" x14ac:dyDescent="0.25">
      <c r="A2" s="181" t="s">
        <v>0</v>
      </c>
      <c r="B2" s="181"/>
      <c r="C2" s="181"/>
      <c r="D2" s="181"/>
      <c r="E2" s="181"/>
      <c r="F2" s="181"/>
      <c r="G2" s="181"/>
      <c r="H2" s="181"/>
    </row>
    <row r="3" spans="1:26" x14ac:dyDescent="0.25">
      <c r="A3" s="157" t="s">
        <v>1</v>
      </c>
      <c r="B3" s="157"/>
      <c r="C3" s="157"/>
      <c r="D3" s="157"/>
      <c r="E3" s="157" t="str">
        <f ca="1">TEXT(TODAY(),"DD/MM/YYYY")</f>
        <v>18/09/2025</v>
      </c>
      <c r="F3" s="157"/>
      <c r="G3" s="157"/>
      <c r="H3" s="157"/>
    </row>
    <row r="4" spans="1:26" ht="15" customHeight="1" x14ac:dyDescent="0.25">
      <c r="A4" s="157" t="s">
        <v>2</v>
      </c>
      <c r="B4" s="157"/>
      <c r="C4" s="157"/>
      <c r="D4" s="157"/>
      <c r="E4" s="115" t="s">
        <v>172</v>
      </c>
      <c r="F4" s="115"/>
      <c r="G4" s="115"/>
      <c r="H4" s="115"/>
    </row>
    <row r="5" spans="1:26" x14ac:dyDescent="0.25">
      <c r="A5" s="157" t="s">
        <v>3</v>
      </c>
      <c r="B5" s="157"/>
      <c r="C5" s="157"/>
      <c r="D5" s="157"/>
      <c r="E5" s="182">
        <v>45910</v>
      </c>
      <c r="F5" s="157"/>
      <c r="G5" s="157"/>
      <c r="H5" s="157"/>
    </row>
    <row r="6" spans="1:26" ht="16.5" customHeight="1" x14ac:dyDescent="0.25">
      <c r="A6" s="157" t="s">
        <v>4</v>
      </c>
      <c r="B6" s="157"/>
      <c r="C6" s="157"/>
      <c r="D6" s="157"/>
      <c r="E6" s="157" t="s">
        <v>233</v>
      </c>
      <c r="F6" s="157"/>
      <c r="G6" s="157"/>
      <c r="H6" s="157"/>
    </row>
    <row r="7" spans="1:26" ht="15" customHeight="1" x14ac:dyDescent="0.25">
      <c r="A7" s="157" t="s">
        <v>5</v>
      </c>
      <c r="B7" s="157"/>
      <c r="C7" s="157"/>
      <c r="D7" s="157"/>
      <c r="E7" s="157" t="str">
        <f>E6</f>
        <v>Shree Swami Samarth Developers</v>
      </c>
      <c r="F7" s="157"/>
      <c r="G7" s="157"/>
      <c r="H7" s="157"/>
    </row>
    <row r="8" spans="1:26" x14ac:dyDescent="0.25">
      <c r="A8" s="157" t="s">
        <v>6</v>
      </c>
      <c r="B8" s="157"/>
      <c r="C8" s="157"/>
      <c r="D8" s="157"/>
      <c r="E8" s="95" t="s">
        <v>234</v>
      </c>
      <c r="F8" s="95"/>
      <c r="G8" s="95"/>
      <c r="H8" s="95"/>
    </row>
    <row r="9" spans="1:26" x14ac:dyDescent="0.25">
      <c r="A9" s="157" t="s">
        <v>169</v>
      </c>
      <c r="B9" s="157"/>
      <c r="C9" s="157"/>
      <c r="D9" s="157"/>
      <c r="E9" s="157" t="s">
        <v>235</v>
      </c>
      <c r="F9" s="157"/>
      <c r="G9" s="157"/>
      <c r="H9" s="157"/>
    </row>
    <row r="10" spans="1:26" x14ac:dyDescent="0.25">
      <c r="A10" s="157" t="s">
        <v>170</v>
      </c>
      <c r="B10" s="157"/>
      <c r="C10" s="157"/>
      <c r="D10" s="157"/>
      <c r="E10" s="157" t="s">
        <v>284</v>
      </c>
      <c r="F10" s="157"/>
      <c r="G10" s="157"/>
      <c r="H10" s="157"/>
    </row>
    <row r="11" spans="1:26" x14ac:dyDescent="0.25">
      <c r="A11" s="157" t="s">
        <v>7</v>
      </c>
      <c r="B11" s="157"/>
      <c r="C11" s="157"/>
      <c r="D11" s="157"/>
      <c r="E11" s="157" t="s">
        <v>238</v>
      </c>
      <c r="F11" s="157"/>
      <c r="G11" s="157"/>
      <c r="H11" s="157"/>
    </row>
    <row r="12" spans="1:26" x14ac:dyDescent="0.25">
      <c r="A12" s="157" t="s">
        <v>173</v>
      </c>
      <c r="B12" s="157"/>
      <c r="C12" s="157"/>
      <c r="D12" s="157"/>
      <c r="E12" s="157" t="s">
        <v>29</v>
      </c>
      <c r="F12" s="157"/>
      <c r="G12" s="157"/>
      <c r="H12" s="157"/>
      <c r="S12" s="60" t="s">
        <v>180</v>
      </c>
      <c r="T12" s="60" t="s">
        <v>190</v>
      </c>
      <c r="U12" s="60" t="s">
        <v>174</v>
      </c>
      <c r="V12" s="60" t="s">
        <v>195</v>
      </c>
      <c r="W12" s="60" t="s">
        <v>213</v>
      </c>
      <c r="X12"/>
      <c r="Y12" t="s">
        <v>195</v>
      </c>
      <c r="Z12" t="e">
        <f ca="1">OFFSET($S$12,1,MATCH($G19,$S$12:$W$12,0)-1,15,1)</f>
        <v>#VALUE!</v>
      </c>
    </row>
    <row r="13" spans="1:26" x14ac:dyDescent="0.25">
      <c r="A13" s="89" t="s">
        <v>8</v>
      </c>
      <c r="B13" s="89"/>
      <c r="C13" s="89"/>
      <c r="D13" s="89"/>
      <c r="E13" s="116" t="s">
        <v>237</v>
      </c>
      <c r="F13" s="116"/>
      <c r="G13" s="116"/>
      <c r="H13" s="116"/>
      <c r="S13" s="60" t="s">
        <v>181</v>
      </c>
      <c r="T13" s="60" t="s">
        <v>188</v>
      </c>
      <c r="U13" s="60" t="s">
        <v>210</v>
      </c>
      <c r="V13" s="60" t="s">
        <v>196</v>
      </c>
      <c r="W13" s="60" t="s">
        <v>214</v>
      </c>
      <c r="X13"/>
      <c r="Y13"/>
      <c r="Z13"/>
    </row>
    <row r="14" spans="1:26" x14ac:dyDescent="0.25">
      <c r="A14" s="89" t="s">
        <v>9</v>
      </c>
      <c r="B14" s="89"/>
      <c r="C14" s="89"/>
      <c r="D14" s="89"/>
      <c r="E14" s="116" t="s">
        <v>236</v>
      </c>
      <c r="F14" s="115"/>
      <c r="G14" s="115"/>
      <c r="H14" s="115"/>
      <c r="I14" s="218" t="e">
        <f ca="1">OFFSET($D$4,1,MATCH($J12,$D$4:$H$4,0)-1,15,1)</f>
        <v>#N/A</v>
      </c>
      <c r="J14" s="219"/>
      <c r="K14" s="219"/>
      <c r="L14" s="219"/>
      <c r="M14" s="219"/>
      <c r="N14" s="219"/>
      <c r="O14" s="219"/>
      <c r="P14" s="219"/>
      <c r="S14" s="60" t="s">
        <v>182</v>
      </c>
      <c r="T14" s="60" t="s">
        <v>189</v>
      </c>
      <c r="U14" s="60" t="s">
        <v>211</v>
      </c>
      <c r="V14" s="60" t="s">
        <v>197</v>
      </c>
      <c r="W14" s="60" t="s">
        <v>227</v>
      </c>
      <c r="X14"/>
      <c r="Y14"/>
      <c r="Z14"/>
    </row>
    <row r="15" spans="1:26" ht="48.75" customHeight="1" x14ac:dyDescent="0.25">
      <c r="A15" s="112" t="s">
        <v>10</v>
      </c>
      <c r="B15" s="112"/>
      <c r="C15" s="112" t="str">
        <f>CONCATENATE((IF(OR(E8="",E8="NA"),"",E8)),", ",(IF(OR(A16="",A16="NA"),"",A16)),".",(IF(OR(C16="",C16="NA"),"",C16)),", near ",(IF(OR(C21="",C21="NA"),"",C21)),", ",(IF(OR(C18="",C18="NA"),"",C18)),", ",(IF(OR(C17="",C17="NA"),"",C17)),", ",(IF(OR(G18="",G18="NA"),"",G18)),", ",(IF(OR(C19="",C19="NA"),"",C19)),", ",(IF(OR(C20="",C20="NA"),"",C20)),", ",(IF(OR(G19="",G19="NA"),"",G19))," - ",(IF(OR(G20="",G20="NA"),"",G20)),".")</f>
        <v>Nana Heights, Old S. No.16, New S.No. 138, H. No.1/1, near Janardhan Swapna Apartment, Kopri Village Road, Nitynanda Nagar, Kopari, Virar East, Vasai, Palghar - 401305.</v>
      </c>
      <c r="D15" s="112"/>
      <c r="E15" s="112"/>
      <c r="F15" s="112"/>
      <c r="G15" s="112"/>
      <c r="H15" s="112"/>
      <c r="S15" s="60" t="s">
        <v>183</v>
      </c>
      <c r="T15" s="60" t="s">
        <v>191</v>
      </c>
      <c r="U15" s="60" t="s">
        <v>212</v>
      </c>
      <c r="V15" s="60" t="s">
        <v>198</v>
      </c>
      <c r="W15" s="60" t="s">
        <v>215</v>
      </c>
      <c r="X15"/>
      <c r="Y15"/>
      <c r="Z15"/>
    </row>
    <row r="16" spans="1:26" x14ac:dyDescent="0.25">
      <c r="A16" s="116" t="s">
        <v>283</v>
      </c>
      <c r="B16" s="116"/>
      <c r="C16" s="116" t="s">
        <v>282</v>
      </c>
      <c r="D16" s="116"/>
      <c r="E16" s="116"/>
      <c r="F16" s="116"/>
      <c r="G16" s="116"/>
      <c r="H16" s="116"/>
      <c r="S16" s="60" t="s">
        <v>184</v>
      </c>
      <c r="T16" s="60" t="s">
        <v>192</v>
      </c>
      <c r="U16" s="60"/>
      <c r="V16" s="60" t="s">
        <v>199</v>
      </c>
      <c r="W16" s="60" t="s">
        <v>216</v>
      </c>
      <c r="X16"/>
      <c r="Y16"/>
      <c r="Z16"/>
    </row>
    <row r="17" spans="1:26" ht="15.75" customHeight="1" x14ac:dyDescent="0.25">
      <c r="A17" s="71" t="s">
        <v>164</v>
      </c>
      <c r="B17" s="71"/>
      <c r="C17" s="71" t="s">
        <v>243</v>
      </c>
      <c r="D17" s="71"/>
      <c r="E17" s="71"/>
      <c r="F17" s="71"/>
      <c r="G17" s="71"/>
      <c r="H17" s="71"/>
      <c r="S17" s="60" t="s">
        <v>185</v>
      </c>
      <c r="T17" s="60" t="s">
        <v>190</v>
      </c>
      <c r="U17" s="60"/>
      <c r="V17" s="60" t="s">
        <v>200</v>
      </c>
      <c r="W17" s="60" t="s">
        <v>217</v>
      </c>
      <c r="X17"/>
      <c r="Y17"/>
      <c r="Z17"/>
    </row>
    <row r="18" spans="1:26" ht="15.75" customHeight="1" x14ac:dyDescent="0.25">
      <c r="A18" s="112" t="s">
        <v>11</v>
      </c>
      <c r="B18" s="112"/>
      <c r="C18" s="157" t="s">
        <v>244</v>
      </c>
      <c r="D18" s="157"/>
      <c r="E18" s="112" t="s">
        <v>72</v>
      </c>
      <c r="F18" s="112"/>
      <c r="G18" s="71" t="s">
        <v>239</v>
      </c>
      <c r="H18" s="71"/>
      <c r="S18" s="60" t="s">
        <v>186</v>
      </c>
      <c r="T18" s="60" t="s">
        <v>193</v>
      </c>
      <c r="U18" s="60"/>
      <c r="V18" s="60" t="s">
        <v>201</v>
      </c>
      <c r="W18" s="60" t="s">
        <v>218</v>
      </c>
      <c r="X18"/>
      <c r="Y18"/>
      <c r="Z18"/>
    </row>
    <row r="19" spans="1:26" x14ac:dyDescent="0.25">
      <c r="A19" s="89" t="s">
        <v>13</v>
      </c>
      <c r="B19" s="89"/>
      <c r="C19" s="71" t="s">
        <v>276</v>
      </c>
      <c r="D19" s="71"/>
      <c r="E19" s="112" t="s">
        <v>12</v>
      </c>
      <c r="F19" s="112"/>
      <c r="G19" s="176" t="s">
        <v>190</v>
      </c>
      <c r="H19" s="176"/>
      <c r="S19" s="60" t="s">
        <v>187</v>
      </c>
      <c r="T19" s="60" t="s">
        <v>194</v>
      </c>
      <c r="U19" s="60"/>
      <c r="V19" s="60" t="s">
        <v>202</v>
      </c>
      <c r="W19" s="60" t="s">
        <v>219</v>
      </c>
      <c r="X19"/>
      <c r="Y19"/>
      <c r="Z19"/>
    </row>
    <row r="20" spans="1:26" x14ac:dyDescent="0.25">
      <c r="A20" s="89" t="s">
        <v>73</v>
      </c>
      <c r="B20" s="89"/>
      <c r="C20" s="116" t="s">
        <v>191</v>
      </c>
      <c r="D20" s="116"/>
      <c r="E20" s="112" t="s">
        <v>14</v>
      </c>
      <c r="F20" s="112"/>
      <c r="G20" s="71">
        <v>401305</v>
      </c>
      <c r="H20" s="71"/>
      <c r="S20" s="60"/>
      <c r="T20" s="60"/>
      <c r="U20" s="60"/>
      <c r="V20" s="60" t="s">
        <v>203</v>
      </c>
      <c r="W20" s="60" t="s">
        <v>220</v>
      </c>
      <c r="X20"/>
      <c r="Y20"/>
      <c r="Z20"/>
    </row>
    <row r="21" spans="1:26" ht="32.25" customHeight="1" x14ac:dyDescent="0.25">
      <c r="A21" s="89" t="s">
        <v>122</v>
      </c>
      <c r="B21" s="89"/>
      <c r="C21" s="71" t="s">
        <v>245</v>
      </c>
      <c r="D21" s="71"/>
      <c r="E21" s="112" t="s">
        <v>15</v>
      </c>
      <c r="F21" s="112"/>
      <c r="G21" s="116" t="s">
        <v>242</v>
      </c>
      <c r="H21" s="116"/>
      <c r="S21" s="60"/>
      <c r="T21" s="60"/>
      <c r="U21" s="60"/>
      <c r="V21" s="60" t="s">
        <v>204</v>
      </c>
      <c r="W21" s="60" t="s">
        <v>221</v>
      </c>
      <c r="X21"/>
      <c r="Y21"/>
      <c r="Z21"/>
    </row>
    <row r="22" spans="1:26" ht="15" customHeight="1" x14ac:dyDescent="0.25">
      <c r="A22" s="112" t="s">
        <v>75</v>
      </c>
      <c r="B22" s="112"/>
      <c r="C22" s="112"/>
      <c r="D22" s="112"/>
      <c r="E22" s="157" t="s">
        <v>16</v>
      </c>
      <c r="F22" s="157"/>
      <c r="G22" s="157"/>
      <c r="H22" s="157"/>
      <c r="S22" s="60"/>
      <c r="T22" s="60"/>
      <c r="U22" s="60"/>
      <c r="V22" s="60" t="s">
        <v>205</v>
      </c>
      <c r="W22" s="60" t="s">
        <v>222</v>
      </c>
      <c r="X22"/>
      <c r="Y22"/>
      <c r="Z22"/>
    </row>
    <row r="23" spans="1:26" ht="18.75" customHeight="1" x14ac:dyDescent="0.25">
      <c r="A23" s="112"/>
      <c r="B23" s="112"/>
      <c r="C23" s="112"/>
      <c r="D23" s="112"/>
      <c r="E23" s="157"/>
      <c r="F23" s="157"/>
      <c r="G23" s="157"/>
      <c r="H23" s="157"/>
      <c r="S23" s="60"/>
      <c r="T23" s="60"/>
      <c r="U23" s="60"/>
      <c r="V23" s="60" t="s">
        <v>206</v>
      </c>
      <c r="W23" s="60" t="s">
        <v>223</v>
      </c>
      <c r="X23"/>
      <c r="Y23"/>
      <c r="Z23"/>
    </row>
    <row r="24" spans="1:26" ht="15" customHeight="1" x14ac:dyDescent="0.25">
      <c r="A24" s="112" t="s">
        <v>17</v>
      </c>
      <c r="B24" s="112"/>
      <c r="C24" s="112"/>
      <c r="D24" s="112"/>
      <c r="E24" s="71" t="s">
        <v>18</v>
      </c>
      <c r="F24" s="71"/>
      <c r="G24" s="71"/>
      <c r="H24" s="71"/>
      <c r="S24" s="60"/>
      <c r="T24" s="60"/>
      <c r="U24" s="60"/>
      <c r="V24" s="60" t="s">
        <v>207</v>
      </c>
      <c r="W24" s="60" t="s">
        <v>224</v>
      </c>
      <c r="X24"/>
      <c r="Y24"/>
      <c r="Z24"/>
    </row>
    <row r="25" spans="1:26" ht="15" customHeight="1" x14ac:dyDescent="0.25">
      <c r="A25" s="89" t="s">
        <v>19</v>
      </c>
      <c r="B25" s="89"/>
      <c r="C25" s="89"/>
      <c r="D25" s="89"/>
      <c r="E25" s="71" t="str">
        <f>IF(AND(G19="Mumbai"),"Upper Class","Middle Class")</f>
        <v>Middle Class</v>
      </c>
      <c r="F25" s="71"/>
      <c r="G25" s="71"/>
      <c r="H25" s="71"/>
      <c r="S25" s="60"/>
      <c r="T25" s="60"/>
      <c r="U25" s="60"/>
      <c r="V25" s="60" t="s">
        <v>208</v>
      </c>
      <c r="W25" s="60" t="s">
        <v>225</v>
      </c>
      <c r="X25"/>
      <c r="Y25"/>
      <c r="Z25"/>
    </row>
    <row r="26" spans="1:26" x14ac:dyDescent="0.25">
      <c r="A26" s="89" t="s">
        <v>20</v>
      </c>
      <c r="B26" s="89"/>
      <c r="C26" s="89"/>
      <c r="D26" s="89"/>
      <c r="E26" s="71" t="s">
        <v>21</v>
      </c>
      <c r="F26" s="71"/>
      <c r="G26" s="71"/>
      <c r="H26" s="71"/>
      <c r="S26" s="60"/>
      <c r="T26" s="60"/>
      <c r="U26" s="60"/>
      <c r="V26" s="60" t="s">
        <v>209</v>
      </c>
      <c r="W26" s="60" t="s">
        <v>226</v>
      </c>
      <c r="X26"/>
      <c r="Y26"/>
      <c r="Z26"/>
    </row>
    <row r="27" spans="1:26" ht="15.75" customHeight="1" x14ac:dyDescent="0.25">
      <c r="A27" s="89" t="s">
        <v>22</v>
      </c>
      <c r="B27" s="89"/>
      <c r="C27" s="89"/>
      <c r="D27" s="89"/>
      <c r="E27" s="71" t="str">
        <f>IF(AND(G19="Mumbai"),"Developed","Developing")</f>
        <v>Developing</v>
      </c>
      <c r="F27" s="71"/>
      <c r="G27" s="71"/>
      <c r="H27" s="71"/>
    </row>
    <row r="28" spans="1:26" x14ac:dyDescent="0.25">
      <c r="A28" s="89" t="s">
        <v>23</v>
      </c>
      <c r="B28" s="89"/>
      <c r="C28" s="89"/>
      <c r="D28" s="89"/>
      <c r="E28" s="71" t="s">
        <v>24</v>
      </c>
      <c r="F28" s="71"/>
      <c r="G28" s="71"/>
      <c r="H28" s="71"/>
    </row>
    <row r="29" spans="1:26" ht="15.75" customHeight="1" x14ac:dyDescent="0.25">
      <c r="A29" s="89" t="s">
        <v>80</v>
      </c>
      <c r="B29" s="89"/>
      <c r="C29" s="89"/>
      <c r="D29" s="89"/>
      <c r="E29" s="71" t="s">
        <v>81</v>
      </c>
      <c r="F29" s="71"/>
      <c r="G29" s="71"/>
      <c r="H29" s="71"/>
    </row>
    <row r="30" spans="1:26" ht="15" customHeight="1" x14ac:dyDescent="0.25">
      <c r="A30" s="89" t="s">
        <v>32</v>
      </c>
      <c r="B30" s="89"/>
      <c r="C30" s="89"/>
      <c r="D30" s="89"/>
      <c r="E30" s="71" t="str">
        <f>IF(AND(ISNUMBER(SEARCH("Flat",D56)),ISNUMBER(SEARCH("Shop",D56)),ISNUMBER(SEARCH("Office",D56))),"Residential + Commercial",IF(AND(ISNUMBER(SEARCH("Flat",D56)),ISNUMBER(SEARCH("Shop",D56))),"Residential + Commercial",IF(AND(ISNUMBER(SEARCH("Flat",D56)),ISNUMBER(SEARCH("Office",D56))),"Residential + Commercial",IF(AND(ISNUMBER(SEARCH("Shop",D56)),ISNUMBER(SEARCH("Office",D56))),"Commercial",IF(ISNUMBER(SEARCH("Shop",D56)),"Commercial",IF(ISNUMBER(SEARCH("Office",D56)),"Commercial",IF(ISNUMBER(SEARCH("Flat",D56)),"Residential")))))))</f>
        <v>Residential</v>
      </c>
      <c r="F30" s="71"/>
      <c r="G30" s="71"/>
      <c r="H30" s="71"/>
    </row>
    <row r="31" spans="1:26" ht="15.75" customHeight="1" x14ac:dyDescent="0.25">
      <c r="A31" s="89" t="s">
        <v>92</v>
      </c>
      <c r="B31" s="89"/>
      <c r="C31" s="89"/>
      <c r="D31" s="89"/>
      <c r="E31" s="71" t="s">
        <v>33</v>
      </c>
      <c r="F31" s="71"/>
      <c r="G31" s="71"/>
      <c r="H31" s="71"/>
    </row>
    <row r="32" spans="1:26" s="22" customFormat="1" x14ac:dyDescent="0.25">
      <c r="A32" s="172" t="s">
        <v>93</v>
      </c>
      <c r="B32" s="172"/>
      <c r="C32" s="168" t="s">
        <v>175</v>
      </c>
      <c r="D32" s="169"/>
      <c r="E32" s="170"/>
      <c r="F32" s="168" t="s">
        <v>30</v>
      </c>
      <c r="G32" s="169"/>
      <c r="H32" s="170"/>
    </row>
    <row r="33" spans="1:8" s="22" customFormat="1" ht="39" customHeight="1" x14ac:dyDescent="0.25">
      <c r="A33" s="171" t="s">
        <v>25</v>
      </c>
      <c r="B33" s="171" t="s">
        <v>29</v>
      </c>
      <c r="C33" s="173" t="s">
        <v>249</v>
      </c>
      <c r="D33" s="174"/>
      <c r="E33" s="175"/>
      <c r="F33" s="177" t="s">
        <v>246</v>
      </c>
      <c r="G33" s="178"/>
      <c r="H33" s="179"/>
    </row>
    <row r="34" spans="1:8" ht="30.75" customHeight="1" x14ac:dyDescent="0.25">
      <c r="A34" s="171" t="s">
        <v>26</v>
      </c>
      <c r="B34" s="171" t="s">
        <v>29</v>
      </c>
      <c r="C34" s="173" t="s">
        <v>250</v>
      </c>
      <c r="D34" s="174"/>
      <c r="E34" s="175"/>
      <c r="F34" s="177" t="s">
        <v>247</v>
      </c>
      <c r="G34" s="178"/>
      <c r="H34" s="179"/>
    </row>
    <row r="35" spans="1:8" s="22" customFormat="1" x14ac:dyDescent="0.25">
      <c r="A35" s="149" t="s">
        <v>28</v>
      </c>
      <c r="B35" s="149" t="s">
        <v>29</v>
      </c>
      <c r="C35" s="150" t="s">
        <v>251</v>
      </c>
      <c r="D35" s="151"/>
      <c r="E35" s="152"/>
      <c r="F35" s="150" t="s">
        <v>248</v>
      </c>
      <c r="G35" s="151"/>
      <c r="H35" s="152"/>
    </row>
    <row r="36" spans="1:8" x14ac:dyDescent="0.25">
      <c r="A36" s="149" t="s">
        <v>27</v>
      </c>
      <c r="B36" s="149" t="s">
        <v>29</v>
      </c>
      <c r="C36" s="150" t="s">
        <v>252</v>
      </c>
      <c r="D36" s="151"/>
      <c r="E36" s="152"/>
      <c r="F36" s="150" t="s">
        <v>278</v>
      </c>
      <c r="G36" s="151"/>
      <c r="H36" s="152"/>
    </row>
    <row r="37" spans="1:8" x14ac:dyDescent="0.25">
      <c r="A37" s="89" t="s">
        <v>31</v>
      </c>
      <c r="B37" s="89"/>
      <c r="C37" s="89"/>
      <c r="D37" s="89"/>
      <c r="E37" s="89"/>
      <c r="F37" s="89"/>
      <c r="G37" s="89"/>
      <c r="H37" s="89"/>
    </row>
    <row r="38" spans="1:8" ht="15.75" customHeight="1" x14ac:dyDescent="0.25">
      <c r="A38" s="89" t="s">
        <v>167</v>
      </c>
      <c r="B38" s="89"/>
      <c r="C38" s="136" t="s">
        <v>240</v>
      </c>
      <c r="D38" s="136"/>
      <c r="E38" s="136"/>
      <c r="F38" s="136"/>
      <c r="G38" s="136"/>
      <c r="H38" s="136"/>
    </row>
    <row r="39" spans="1:8" x14ac:dyDescent="0.25">
      <c r="A39" s="89" t="s">
        <v>163</v>
      </c>
      <c r="B39" s="89"/>
      <c r="C39" s="70" t="s">
        <v>241</v>
      </c>
      <c r="D39" s="71"/>
      <c r="E39" s="71"/>
      <c r="F39" s="71"/>
      <c r="G39" s="71"/>
      <c r="H39" s="71"/>
    </row>
    <row r="40" spans="1:8" x14ac:dyDescent="0.25">
      <c r="A40" s="136" t="s">
        <v>34</v>
      </c>
      <c r="B40" s="136"/>
      <c r="C40" s="136"/>
      <c r="D40" s="136"/>
      <c r="E40" s="136"/>
      <c r="F40" s="136"/>
      <c r="G40" s="136"/>
      <c r="H40" s="136"/>
    </row>
    <row r="41" spans="1:8" x14ac:dyDescent="0.25">
      <c r="A41" s="89" t="s">
        <v>35</v>
      </c>
      <c r="B41" s="89"/>
      <c r="C41" s="89"/>
      <c r="D41" s="89"/>
      <c r="E41" s="153">
        <v>1833.25</v>
      </c>
      <c r="F41" s="153"/>
      <c r="G41" s="153"/>
      <c r="H41" s="153"/>
    </row>
    <row r="42" spans="1:8" x14ac:dyDescent="0.25">
      <c r="A42" s="89" t="s">
        <v>36</v>
      </c>
      <c r="B42" s="89"/>
      <c r="C42" s="89"/>
      <c r="D42" s="89"/>
      <c r="E42" s="155">
        <f>2016.57/E41</f>
        <v>1.0999972726033</v>
      </c>
      <c r="F42" s="155"/>
      <c r="G42" s="155"/>
      <c r="H42" s="155"/>
    </row>
    <row r="43" spans="1:8" x14ac:dyDescent="0.25">
      <c r="A43" s="89" t="s">
        <v>37</v>
      </c>
      <c r="B43" s="89"/>
      <c r="C43" s="89"/>
      <c r="D43" s="89"/>
      <c r="E43" s="155">
        <f>E45/E41-E42</f>
        <v>0.75021410064093841</v>
      </c>
      <c r="F43" s="155"/>
      <c r="G43" s="155"/>
      <c r="H43" s="155"/>
    </row>
    <row r="44" spans="1:8" x14ac:dyDescent="0.25">
      <c r="A44" s="89" t="s">
        <v>38</v>
      </c>
      <c r="B44" s="89"/>
      <c r="C44" s="89"/>
      <c r="D44" s="89"/>
      <c r="E44" s="155">
        <f>E42+E43</f>
        <v>1.8502113732442385</v>
      </c>
      <c r="F44" s="155"/>
      <c r="G44" s="155"/>
      <c r="H44" s="155"/>
    </row>
    <row r="45" spans="1:8" x14ac:dyDescent="0.25">
      <c r="A45" s="89" t="s">
        <v>91</v>
      </c>
      <c r="B45" s="89"/>
      <c r="C45" s="89"/>
      <c r="D45" s="89"/>
      <c r="E45" s="156">
        <v>3391.9</v>
      </c>
      <c r="F45" s="156"/>
      <c r="G45" s="156"/>
      <c r="H45" s="156"/>
    </row>
    <row r="46" spans="1:8" x14ac:dyDescent="0.25">
      <c r="A46" s="157" t="s">
        <v>39</v>
      </c>
      <c r="B46" s="157"/>
      <c r="C46" s="157"/>
      <c r="D46" s="157"/>
      <c r="E46" s="115" t="s">
        <v>253</v>
      </c>
      <c r="F46" s="115"/>
      <c r="G46" s="115"/>
      <c r="H46" s="115"/>
    </row>
    <row r="47" spans="1:8" x14ac:dyDescent="0.25">
      <c r="A47" s="136" t="s">
        <v>40</v>
      </c>
      <c r="B47" s="136"/>
      <c r="C47" s="136"/>
      <c r="D47" s="136"/>
      <c r="E47" s="136"/>
      <c r="F47" s="136"/>
      <c r="G47" s="136"/>
      <c r="H47" s="136"/>
    </row>
    <row r="48" spans="1:8" ht="33.75" customHeight="1" x14ac:dyDescent="0.25">
      <c r="A48" s="75" t="s">
        <v>151</v>
      </c>
      <c r="B48" s="76"/>
      <c r="C48" s="77" t="s">
        <v>254</v>
      </c>
      <c r="D48" s="78"/>
      <c r="E48" s="78"/>
      <c r="F48" s="78"/>
      <c r="G48" s="78"/>
      <c r="H48" s="79"/>
    </row>
    <row r="49" spans="1:14" ht="15.75" customHeight="1" x14ac:dyDescent="0.25">
      <c r="A49" s="75" t="s">
        <v>41</v>
      </c>
      <c r="B49" s="76"/>
      <c r="C49" s="75" t="s">
        <v>255</v>
      </c>
      <c r="D49" s="207"/>
      <c r="E49" s="76"/>
      <c r="F49" s="18" t="s">
        <v>42</v>
      </c>
      <c r="G49" s="163">
        <v>44693</v>
      </c>
      <c r="H49" s="76"/>
    </row>
    <row r="50" spans="1:14" x14ac:dyDescent="0.25">
      <c r="A50" s="75" t="s">
        <v>43</v>
      </c>
      <c r="B50" s="76"/>
      <c r="C50" s="75" t="str">
        <f>C49</f>
        <v>VVCMC/TP/CC/VP/6302/20/2022-23</v>
      </c>
      <c r="D50" s="207"/>
      <c r="E50" s="76"/>
      <c r="F50" s="18" t="s">
        <v>42</v>
      </c>
      <c r="G50" s="163">
        <f>G49</f>
        <v>44693</v>
      </c>
      <c r="H50" s="76"/>
    </row>
    <row r="51" spans="1:14" s="23" customFormat="1" ht="15.75" customHeight="1" x14ac:dyDescent="0.25">
      <c r="A51" s="164" t="s">
        <v>155</v>
      </c>
      <c r="B51" s="165"/>
      <c r="C51" s="75" t="str">
        <f>C50</f>
        <v>VVCMC/TP/CC/VP/6302/20/2022-23</v>
      </c>
      <c r="D51" s="207"/>
      <c r="E51" s="76"/>
      <c r="F51" s="18" t="s">
        <v>42</v>
      </c>
      <c r="G51" s="163">
        <f>G50</f>
        <v>44693</v>
      </c>
      <c r="H51" s="76"/>
    </row>
    <row r="52" spans="1:14" s="23" customFormat="1" ht="35.25" customHeight="1" x14ac:dyDescent="0.25">
      <c r="A52" s="166"/>
      <c r="B52" s="167"/>
      <c r="C52" s="215" t="s">
        <v>280</v>
      </c>
      <c r="D52" s="216"/>
      <c r="E52" s="216"/>
      <c r="F52" s="216"/>
      <c r="G52" s="216"/>
      <c r="H52" s="217"/>
    </row>
    <row r="53" spans="1:14" x14ac:dyDescent="0.25">
      <c r="A53" s="220" t="s">
        <v>44</v>
      </c>
      <c r="B53" s="221"/>
      <c r="C53" s="220" t="s">
        <v>105</v>
      </c>
      <c r="D53" s="222"/>
      <c r="E53" s="221"/>
      <c r="F53" s="46" t="s">
        <v>42</v>
      </c>
      <c r="G53" s="213" t="s">
        <v>29</v>
      </c>
      <c r="H53" s="214"/>
    </row>
    <row r="54" spans="1:14" x14ac:dyDescent="0.25">
      <c r="A54" s="184" t="s">
        <v>46</v>
      </c>
      <c r="B54" s="184"/>
      <c r="C54" s="184"/>
      <c r="D54" s="184"/>
      <c r="E54" s="184"/>
      <c r="F54" s="184"/>
      <c r="G54" s="184"/>
      <c r="H54" s="184"/>
    </row>
    <row r="55" spans="1:14" x14ac:dyDescent="0.25">
      <c r="A55" s="112" t="s">
        <v>90</v>
      </c>
      <c r="B55" s="112"/>
      <c r="C55" s="112"/>
      <c r="D55" s="89">
        <f>E45</f>
        <v>3391.9</v>
      </c>
      <c r="E55" s="89"/>
      <c r="F55" s="89"/>
      <c r="G55" s="89"/>
      <c r="H55" s="89"/>
    </row>
    <row r="56" spans="1:14" x14ac:dyDescent="0.25">
      <c r="A56" s="71" t="s">
        <v>47</v>
      </c>
      <c r="B56" s="157"/>
      <c r="C56" s="157"/>
      <c r="D56" s="115" t="s">
        <v>277</v>
      </c>
      <c r="E56" s="115"/>
      <c r="F56" s="115"/>
      <c r="G56" s="115"/>
      <c r="H56" s="115"/>
      <c r="I56" s="24"/>
    </row>
    <row r="57" spans="1:14" ht="35.25" customHeight="1" x14ac:dyDescent="0.25">
      <c r="A57" s="160" t="s">
        <v>48</v>
      </c>
      <c r="B57" s="161"/>
      <c r="C57" s="162"/>
      <c r="D57" s="158" t="s">
        <v>258</v>
      </c>
      <c r="E57" s="159"/>
      <c r="F57" s="159"/>
      <c r="G57" s="159"/>
      <c r="H57" s="159"/>
    </row>
    <row r="58" spans="1:14" ht="15.75" customHeight="1" x14ac:dyDescent="0.25">
      <c r="A58" s="160" t="s">
        <v>88</v>
      </c>
      <c r="B58" s="161"/>
      <c r="C58" s="161"/>
      <c r="D58" s="115" t="s">
        <v>259</v>
      </c>
      <c r="E58" s="115"/>
      <c r="F58" s="115"/>
      <c r="G58" s="115"/>
      <c r="H58" s="115"/>
    </row>
    <row r="59" spans="1:14" ht="15.75" customHeight="1" x14ac:dyDescent="0.25">
      <c r="A59" s="205"/>
      <c r="B59" s="206"/>
      <c r="C59" s="206"/>
      <c r="D59" s="115" t="s">
        <v>260</v>
      </c>
      <c r="E59" s="115"/>
      <c r="F59" s="115"/>
      <c r="G59" s="115"/>
      <c r="H59" s="115"/>
    </row>
    <row r="60" spans="1:14" ht="15.75" customHeight="1" x14ac:dyDescent="0.25">
      <c r="A60" s="89" t="s">
        <v>45</v>
      </c>
      <c r="B60" s="89"/>
      <c r="C60" s="89"/>
      <c r="D60" s="112" t="s">
        <v>256</v>
      </c>
      <c r="E60" s="112"/>
      <c r="F60" s="112"/>
      <c r="G60" s="112"/>
      <c r="H60" s="112"/>
      <c r="J60" s="25"/>
      <c r="K60" s="24"/>
      <c r="N60" s="24"/>
    </row>
    <row r="61" spans="1:14" ht="15.75" customHeight="1" x14ac:dyDescent="0.25">
      <c r="A61" s="89" t="s">
        <v>86</v>
      </c>
      <c r="B61" s="89"/>
      <c r="C61" s="89"/>
      <c r="D61" s="154" t="str">
        <f>(IF(G53="NA","60 Years After Completion",IF(G53&lt;&gt;"NA",""&amp;60-ROUNDDOWN((E3-G53)/360,0)&amp;" Years"," ")))</f>
        <v>60 Years After Completion</v>
      </c>
      <c r="E61" s="154"/>
      <c r="F61" s="154"/>
      <c r="G61" s="154"/>
      <c r="H61" s="154"/>
      <c r="N61" s="24"/>
    </row>
    <row r="62" spans="1:14" ht="15.75" customHeight="1" x14ac:dyDescent="0.25">
      <c r="A62" s="89" t="s">
        <v>87</v>
      </c>
      <c r="B62" s="89"/>
      <c r="C62" s="89"/>
      <c r="D62" s="112" t="s">
        <v>24</v>
      </c>
      <c r="E62" s="112"/>
      <c r="F62" s="112"/>
      <c r="G62" s="112"/>
      <c r="H62" s="112"/>
      <c r="J62" s="26"/>
      <c r="K62" s="26"/>
    </row>
    <row r="63" spans="1:14" ht="63.95" customHeight="1" x14ac:dyDescent="0.25">
      <c r="A63" s="115" t="s">
        <v>257</v>
      </c>
      <c r="B63" s="115"/>
      <c r="C63" s="115"/>
      <c r="D63" s="116" t="s">
        <v>275</v>
      </c>
      <c r="E63" s="116"/>
      <c r="F63" s="116"/>
      <c r="G63" s="116"/>
      <c r="H63" s="116"/>
    </row>
    <row r="64" spans="1:14" x14ac:dyDescent="0.25">
      <c r="A64" s="112" t="s">
        <v>148</v>
      </c>
      <c r="B64" s="112"/>
      <c r="C64" s="112"/>
      <c r="D64" s="112" t="s">
        <v>29</v>
      </c>
      <c r="E64" s="112"/>
      <c r="F64" s="112"/>
      <c r="G64" s="112"/>
      <c r="H64" s="112"/>
      <c r="I64" s="27"/>
      <c r="J64" s="27"/>
      <c r="K64" s="27"/>
      <c r="L64" s="27"/>
      <c r="M64" s="27"/>
      <c r="N64" s="27"/>
    </row>
    <row r="65" spans="1:10" ht="15.75" customHeight="1" x14ac:dyDescent="0.25">
      <c r="A65" s="223" t="s">
        <v>85</v>
      </c>
      <c r="B65" s="223"/>
      <c r="C65" s="223"/>
      <c r="D65" s="118" t="str">
        <f ca="1">(IF(G71&gt;95%,"Nothing",IF(G71&gt;0%,"Cement, Aggregate, Steel, etc",IF(G71=0%,"Work not yet Started"))))</f>
        <v>Cement, Aggregate, Steel, etc</v>
      </c>
      <c r="E65" s="118"/>
      <c r="F65" s="118"/>
      <c r="G65" s="118"/>
      <c r="H65" s="118"/>
      <c r="J65" s="26"/>
    </row>
    <row r="66" spans="1:10" ht="33.75" customHeight="1" thickBot="1" x14ac:dyDescent="0.3">
      <c r="A66" s="117" t="s">
        <v>118</v>
      </c>
      <c r="B66" s="117"/>
      <c r="C66" s="117"/>
      <c r="D66" s="118" t="str">
        <f ca="1">(IF(D65="Nothing","Yes",IF(D65="Cement, Aggregate, Steel, etc","Under Construction",IF(D65="Work not yet Started","Work not yet Started"))))</f>
        <v>Under Construction</v>
      </c>
      <c r="E66" s="118"/>
      <c r="F66" s="118" t="str">
        <f ca="1">(IF(D65="Nothing","Yes",IF(D65="Cement, Aggregate, Steel, etc","Under Construction",IF(D65="Work not yet Started","Work not yet Started"))))</f>
        <v>Under Construction</v>
      </c>
      <c r="G66" s="118"/>
      <c r="H66" s="118"/>
    </row>
    <row r="67" spans="1:10" ht="15.75" customHeight="1" x14ac:dyDescent="0.25">
      <c r="A67" s="107" t="s">
        <v>140</v>
      </c>
      <c r="B67" s="108"/>
      <c r="C67" s="109" t="str">
        <f>D58</f>
        <v>Wing A = Gr/St + 1st to 7th Floor</v>
      </c>
      <c r="D67" s="110"/>
      <c r="E67" s="110"/>
      <c r="F67" s="110"/>
      <c r="G67" s="110"/>
      <c r="H67" s="111"/>
      <c r="I67" s="50" t="str">
        <f ca="1">IF(D80=100%,"All work Completed. Possession granted to the Building.",IF(D79=100%,"All work Completed, Waiting for OC",I68&amp;""&amp;I69&amp;""&amp;J68&amp;""&amp;J67&amp;" "&amp;J69))</f>
        <v>Excavation, Plinth, RCC Slab, Brickwork, Internal Plaster Completed, External Plaster upto 4 Floor Completed</v>
      </c>
      <c r="J67" s="51" t="str">
        <f ca="1">(IF(C73=(D68+F68+H68),"",IF(C73&gt;0,", RCC upto "&amp;C73&amp;" Slab","")))&amp;(IF(C74=H68,"",IF(C74&gt;0,", Brickwork upto "&amp;C74&amp;" Floor","")))&amp;(IF(C75=H68,"",IF(C75&gt;0,", Internal Plaster upto "&amp;C75&amp;" Floor","")))&amp;(IF(C76=H68,"",IF(C76&gt;0,", External Plaster upto "&amp;C76&amp;" Floor","")))&amp;(IF(C77=H68,"",IF(C77&gt;0,", Flooring upto "&amp;C77&amp;" Floor","")))&amp;(IF(C78=H68,"",IF(C78&gt;0,", Painting upto "&amp;C78&amp;" Floor","")))&amp;(IF(C79=H68,"",IF(C79&gt;0,", Finishing upto "&amp;C79&amp;" Floor","")))&amp;(IF(C80=H68,"",IF(C80&gt;0,", Possession upto "&amp;C80&amp;" Floor","")))</f>
        <v>, External Plaster upto 4 Floor</v>
      </c>
    </row>
    <row r="68" spans="1:10" x14ac:dyDescent="0.25">
      <c r="A68" s="16" t="s">
        <v>142</v>
      </c>
      <c r="B68" s="54">
        <f>IF(AND(ISNUMBER(SEARCH("1B",C67))),1,IF(AND(ISNUMBER(SEARCH("2B",C67))),2,IF(AND(ISNUMBER(SEARCH("3B",C67))),3,IF(AND(ISNUMBER(SEARCH("4B",C67))),4,IF(ISNUMBER(SEARCH("5B",C67)),5,0)))))</f>
        <v>0</v>
      </c>
      <c r="C68" s="48" t="s">
        <v>71</v>
      </c>
      <c r="D68" s="48">
        <v>1</v>
      </c>
      <c r="E68" s="48" t="s">
        <v>70</v>
      </c>
      <c r="F68" s="64">
        <v>0</v>
      </c>
      <c r="G68" s="49" t="s">
        <v>79</v>
      </c>
      <c r="H68" s="17">
        <f ca="1">--TRIM(RIGHT(SUBSTITUTE(LEFT(C67,_xlfn.AGGREGATE(16,6,FIND({0,1,2,3,4,5,6,7,8,9},C67,ROW(INDIRECT("1:"&amp;LEN(C67)))),1))," ",REPT(" ",LEN(C67))),LEN(C67)))</f>
        <v>7</v>
      </c>
      <c r="I68" s="52" t="str">
        <f ca="1">IF(D71=100%,"Excavation","")&amp;IF(D72=100%,", Plinth","")&amp;IF(D73=100%,", RCC Slab","")&amp;IF(D74=100%,", Brickwork","")&amp;IF(D75=100%,", Internal Plaster","")&amp;IF(D76=100%,", External Plaster","")&amp;IF(D77=100%,", Flooring","")&amp;IF(D78=100%,", Painting","")&amp;IF(D79=100%,", Building common Amenities","")</f>
        <v>Excavation, Plinth, RCC Slab, Brickwork, Internal Plaster</v>
      </c>
      <c r="J68" s="53" t="str">
        <f ca="1">(IF(C71=0,"Work not yet Started.",IF(D71=25%,"Piling work in process",IF(D71=50%,"Excavation work in process",IF(D71=100%,"","0")))))&amp;(IF(C72=0%,"",IF(C72=J73,", Footing work is process",IF(C72=J74,", Footing work Completed",IF(C72=J75,", 1st Basement Completed",IF(C72=J76,", 1st &amp; 2nd Basement Completed",IF(C72=J77,", 1st to 3rd Basement Completed",IF(C72=J78,", 1st to 4th Basement Completed",IF(C72=J79,", Plinth work is process",IF(C72=J80,"","0"))))))))))</f>
        <v/>
      </c>
    </row>
    <row r="69" spans="1:10" ht="33.75" customHeight="1" x14ac:dyDescent="0.25">
      <c r="A69" s="94" t="s">
        <v>89</v>
      </c>
      <c r="B69" s="95"/>
      <c r="C69" s="113" t="str">
        <f ca="1">I67</f>
        <v>Excavation, Plinth, RCC Slab, Brickwork, Internal Plaster Completed, External Plaster upto 4 Floor Completed</v>
      </c>
      <c r="D69" s="113"/>
      <c r="E69" s="113"/>
      <c r="F69" s="113"/>
      <c r="G69" s="113"/>
      <c r="H69" s="114"/>
      <c r="I69" s="52" t="str">
        <f ca="1">IF(I68&lt;&gt;""," Completed","")</f>
        <v xml:space="preserve"> Completed</v>
      </c>
      <c r="J69" s="53" t="str">
        <f ca="1">IF(J67&lt;&gt;"","Completed","")</f>
        <v>Completed</v>
      </c>
    </row>
    <row r="70" spans="1:10" ht="15.75" customHeight="1" x14ac:dyDescent="0.25">
      <c r="A70" s="86" t="s">
        <v>49</v>
      </c>
      <c r="B70" s="87"/>
      <c r="C70" s="44" t="s">
        <v>139</v>
      </c>
      <c r="D70" s="44" t="s">
        <v>82</v>
      </c>
      <c r="E70" s="87" t="s">
        <v>84</v>
      </c>
      <c r="F70" s="87"/>
      <c r="G70" s="87" t="s">
        <v>83</v>
      </c>
      <c r="H70" s="119"/>
      <c r="I70" s="14" t="s">
        <v>141</v>
      </c>
      <c r="J70" s="28">
        <f ca="1">H68*25%</f>
        <v>1.75</v>
      </c>
    </row>
    <row r="71" spans="1:10" x14ac:dyDescent="0.25">
      <c r="A71" s="86" t="s">
        <v>128</v>
      </c>
      <c r="B71" s="87"/>
      <c r="C71" s="44">
        <f ca="1">J72</f>
        <v>7</v>
      </c>
      <c r="D71" s="19">
        <f ca="1">((100/H68)*C71)/100</f>
        <v>1</v>
      </c>
      <c r="E71" s="80">
        <f ca="1">(((C72/H68*10)+(40/(D68+F68+H68)*C73)+(7.5/(H68)*C74)+(7.5/(H68)*C75)+(10/H68*C76)+(10/H68*C77)+(5/H68*C78)+(5/H68*C79)+(5/H68*C80))/100)</f>
        <v>0.70714285714285707</v>
      </c>
      <c r="F71" s="144"/>
      <c r="G71" s="80">
        <f ca="1">((((C71/H68)*20)+((C72/H68)*25)+(30/(H68+F68+D68)*C73)+(5/H68*C74)+(5/H68*C75)+(5/H68*C76)+(5/H68*C77)+(0/H68*C78)+(0/H68*C79)+(5/H68*C80))/100)</f>
        <v>0.87857142857142856</v>
      </c>
      <c r="H71" s="81"/>
      <c r="I71" s="14" t="s">
        <v>100</v>
      </c>
      <c r="J71" s="29">
        <f ca="1">H68*50%</f>
        <v>3.5</v>
      </c>
    </row>
    <row r="72" spans="1:10" x14ac:dyDescent="0.25">
      <c r="A72" s="86" t="s">
        <v>50</v>
      </c>
      <c r="B72" s="87"/>
      <c r="C72" s="44">
        <v>7</v>
      </c>
      <c r="D72" s="19">
        <f ca="1">((100/H68)*C72)/100</f>
        <v>1</v>
      </c>
      <c r="E72" s="82"/>
      <c r="F72" s="145"/>
      <c r="G72" s="82"/>
      <c r="H72" s="83"/>
      <c r="I72" s="14" t="s">
        <v>101</v>
      </c>
      <c r="J72" s="29">
        <f ca="1">H68</f>
        <v>7</v>
      </c>
    </row>
    <row r="73" spans="1:10" ht="15.75" customHeight="1" x14ac:dyDescent="0.25">
      <c r="A73" s="86" t="s">
        <v>129</v>
      </c>
      <c r="B73" s="87"/>
      <c r="C73" s="44">
        <v>8</v>
      </c>
      <c r="D73" s="19">
        <f ca="1">((100/(D68+F68+H68))*C73)/100</f>
        <v>1</v>
      </c>
      <c r="E73" s="82"/>
      <c r="F73" s="145"/>
      <c r="G73" s="82"/>
      <c r="H73" s="83"/>
      <c r="I73" s="14" t="s">
        <v>102</v>
      </c>
      <c r="J73" s="30">
        <f ca="1">(IF(B68&gt;1,(H68/(B68+2)),H68/4))</f>
        <v>1.75</v>
      </c>
    </row>
    <row r="74" spans="1:10" ht="15.75" customHeight="1" x14ac:dyDescent="0.25">
      <c r="A74" s="86" t="s">
        <v>136</v>
      </c>
      <c r="B74" s="87" t="s">
        <v>130</v>
      </c>
      <c r="C74" s="44">
        <v>7</v>
      </c>
      <c r="D74" s="19">
        <f ca="1">((100/H68)*C74)/100</f>
        <v>1</v>
      </c>
      <c r="E74" s="82"/>
      <c r="F74" s="145"/>
      <c r="G74" s="82"/>
      <c r="H74" s="83"/>
      <c r="I74" s="14" t="s">
        <v>103</v>
      </c>
      <c r="J74" s="30">
        <f ca="1">(IF(B68&gt;1,(H68/(B68+2)+J73),H68/4+J73))</f>
        <v>3.5</v>
      </c>
    </row>
    <row r="75" spans="1:10" ht="15.75" customHeight="1" x14ac:dyDescent="0.25">
      <c r="A75" s="86" t="s">
        <v>137</v>
      </c>
      <c r="B75" s="87" t="s">
        <v>130</v>
      </c>
      <c r="C75" s="44">
        <v>7</v>
      </c>
      <c r="D75" s="19">
        <f ca="1">((100/H68)*C75)/100</f>
        <v>1</v>
      </c>
      <c r="E75" s="82"/>
      <c r="F75" s="145"/>
      <c r="G75" s="82"/>
      <c r="H75" s="83"/>
      <c r="I75" s="14" t="s">
        <v>146</v>
      </c>
      <c r="J75" s="30">
        <f>(IF(B68&gt;1,(H68/(B68+2)+J74),0))</f>
        <v>0</v>
      </c>
    </row>
    <row r="76" spans="1:10" ht="15" customHeight="1" x14ac:dyDescent="0.25">
      <c r="A76" s="86" t="s">
        <v>135</v>
      </c>
      <c r="B76" s="87" t="s">
        <v>132</v>
      </c>
      <c r="C76" s="44">
        <v>4</v>
      </c>
      <c r="D76" s="19">
        <f ca="1">((100/(H68))*C76)/100</f>
        <v>0.57142857142857151</v>
      </c>
      <c r="E76" s="82"/>
      <c r="F76" s="145"/>
      <c r="G76" s="82"/>
      <c r="H76" s="83"/>
      <c r="I76" s="14" t="s">
        <v>143</v>
      </c>
      <c r="J76" s="30">
        <f>(IF(B68&gt;2,(H68/(B68+2)+J75),0))</f>
        <v>0</v>
      </c>
    </row>
    <row r="77" spans="1:10" ht="15.75" customHeight="1" x14ac:dyDescent="0.25">
      <c r="A77" s="86" t="s">
        <v>131</v>
      </c>
      <c r="B77" s="87" t="s">
        <v>131</v>
      </c>
      <c r="C77" s="44">
        <v>0</v>
      </c>
      <c r="D77" s="19">
        <f ca="1">((100/H68)*C77)/100</f>
        <v>0</v>
      </c>
      <c r="E77" s="82"/>
      <c r="F77" s="145"/>
      <c r="G77" s="82"/>
      <c r="H77" s="83"/>
      <c r="I77" s="14" t="s">
        <v>144</v>
      </c>
      <c r="J77" s="31">
        <f>(IF(B68&gt;3,(H68/(B68+2)+J76),0))</f>
        <v>0</v>
      </c>
    </row>
    <row r="78" spans="1:10" ht="15.75" customHeight="1" x14ac:dyDescent="0.25">
      <c r="A78" s="86" t="s">
        <v>138</v>
      </c>
      <c r="B78" s="87"/>
      <c r="C78" s="44">
        <v>0</v>
      </c>
      <c r="D78" s="19">
        <f ca="1">((100/H68)*C78)/100</f>
        <v>0</v>
      </c>
      <c r="E78" s="82"/>
      <c r="F78" s="145"/>
      <c r="G78" s="82"/>
      <c r="H78" s="83"/>
      <c r="I78" s="14" t="s">
        <v>145</v>
      </c>
      <c r="J78" s="30">
        <f>(IF(B68&gt;4,(H68/(B68+2)+J77),0))</f>
        <v>0</v>
      </c>
    </row>
    <row r="79" spans="1:10" ht="15.75" customHeight="1" x14ac:dyDescent="0.25">
      <c r="A79" s="86" t="s">
        <v>133</v>
      </c>
      <c r="B79" s="87" t="s">
        <v>133</v>
      </c>
      <c r="C79" s="44">
        <v>0</v>
      </c>
      <c r="D79" s="19">
        <f ca="1">((100/(H68))*C79)/100</f>
        <v>0</v>
      </c>
      <c r="E79" s="82"/>
      <c r="F79" s="145"/>
      <c r="G79" s="82"/>
      <c r="H79" s="83"/>
      <c r="I79" s="14" t="s">
        <v>147</v>
      </c>
      <c r="J79" s="30">
        <f ca="1">(IF(B68=1,(H68/(B68+3)+J74),IF(B68=0,(H68/4+J74),IF(B68&gt;1,0))))</f>
        <v>5.25</v>
      </c>
    </row>
    <row r="80" spans="1:10" ht="16.5" thickBot="1" x14ac:dyDescent="0.3">
      <c r="A80" s="147" t="s">
        <v>134</v>
      </c>
      <c r="B80" s="148"/>
      <c r="C80" s="45">
        <v>0</v>
      </c>
      <c r="D80" s="20">
        <f ca="1">((100/(H68))*C80)/100</f>
        <v>0</v>
      </c>
      <c r="E80" s="84"/>
      <c r="F80" s="146"/>
      <c r="G80" s="84"/>
      <c r="H80" s="85"/>
      <c r="I80" s="15" t="s">
        <v>104</v>
      </c>
      <c r="J80" s="32">
        <f ca="1">(IF(B68&gt;1.5,(H68/(B68+2)+J74+MAX(0,J75-J74)+MAX(0,J76-J75)+MAX(0,J77-J76)+MAX(0,J78-J77)+MAX(0,J79-J78)),IF(B68=1,(H68/(B68+3)+J79),IF(B68=0,H68/4+J79))))</f>
        <v>7</v>
      </c>
    </row>
    <row r="81" spans="1:10" ht="15.75" customHeight="1" x14ac:dyDescent="0.25">
      <c r="A81" s="107" t="s">
        <v>140</v>
      </c>
      <c r="B81" s="108"/>
      <c r="C81" s="109" t="str">
        <f>D59</f>
        <v>Wing B = Gr/St + 1st to 7th Floor</v>
      </c>
      <c r="D81" s="110"/>
      <c r="E81" s="110"/>
      <c r="F81" s="110"/>
      <c r="G81" s="110"/>
      <c r="H81" s="111"/>
      <c r="I81" s="50" t="str">
        <f ca="1">IF(D94=100%,"All work Completed. Possession granted to the Building.",IF(D93=100%,"All work Completed, Waiting for OC",I82&amp;""&amp;I83&amp;""&amp;J82&amp;""&amp;J81&amp;" "&amp;J83))</f>
        <v>Excavation, Plinth, RCC Slab Completed, Brickwork upto 6 Floor, Internal Plaster upto 5 Floor Completed</v>
      </c>
      <c r="J81" s="51" t="str">
        <f ca="1">(IF(C87=(D82+F82+H82),"",IF(C87&gt;0,", RCC upto "&amp;C87&amp;" Slab","")))&amp;(IF(C88=H82,"",IF(C88&gt;0,", Brickwork upto "&amp;C88&amp;" Floor","")))&amp;(IF(C89=H82,"",IF(C89&gt;0,", Internal Plaster upto "&amp;C89&amp;" Floor","")))&amp;(IF(C90=H82,"",IF(C90&gt;0,", External Plaster upto "&amp;C90&amp;" Floor","")))&amp;(IF(C91=H82,"",IF(C91&gt;0,", Flooring upto "&amp;C91&amp;" Floor","")))&amp;(IF(C92=H82,"",IF(C92&gt;0,", Painting upto "&amp;C92&amp;" Floor","")))&amp;(IF(C93=H82,"",IF(C93&gt;0,", Finishing upto "&amp;C93&amp;" Floor","")))&amp;(IF(C94=H82,"",IF(C94&gt;0,", Possession upto "&amp;C94&amp;" Floor","")))</f>
        <v>, Brickwork upto 6 Floor, Internal Plaster upto 5 Floor</v>
      </c>
    </row>
    <row r="82" spans="1:10" x14ac:dyDescent="0.25">
      <c r="A82" s="16" t="s">
        <v>142</v>
      </c>
      <c r="B82" s="55">
        <f>IF(AND(ISNUMBER(SEARCH("1B",C81))),1,IF(AND(ISNUMBER(SEARCH("2B",C81))),2,IF(AND(ISNUMBER(SEARCH("3B",C81))),3,IF(AND(ISNUMBER(SEARCH("4B",C81))),4,IF(ISNUMBER(SEARCH("5B",C81)),5,0)))))</f>
        <v>0</v>
      </c>
      <c r="C82" s="48" t="s">
        <v>71</v>
      </c>
      <c r="D82" s="48">
        <v>1</v>
      </c>
      <c r="E82" s="48" t="s">
        <v>70</v>
      </c>
      <c r="F82" s="64">
        <v>0</v>
      </c>
      <c r="G82" s="49" t="s">
        <v>79</v>
      </c>
      <c r="H82" s="17">
        <f ca="1">--TRIM(RIGHT(SUBSTITUTE(LEFT(C81,_xlfn.AGGREGATE(16,6,FIND({0,1,2,3,4,5,6,7,8,9},C81,ROW(INDIRECT("1:"&amp;LEN(C81)))),1))," ",REPT(" ",LEN(C81))),LEN(C81)))</f>
        <v>7</v>
      </c>
      <c r="I82" s="52" t="str">
        <f ca="1">IF(D85=100%,"Excavation","")&amp;IF(D86=100%,", Plinth","")&amp;IF(D87=100%,", RCC Slab","")&amp;IF(D88=100%,", Brickwork","")&amp;IF(D89=100%,", Internal Plaster","")&amp;IF(D90=100%,", External Plaster","")&amp;IF(D91=100%,", Flooring","")&amp;IF(D92=100%,", Painting","")&amp;IF(D93=100%,", Building common Amenities","")</f>
        <v>Excavation, Plinth, RCC Slab</v>
      </c>
      <c r="J82" s="53" t="str">
        <f ca="1">(IF(C85=0,"Work not yet Started.",IF(D85=25%,"Piling work in process",IF(D85=50%,"Excavation work in process",IF(D85=100%,"","0")))))&amp;(IF(C86=0%,"",IF(C86=J87,", Footing work is process",IF(C86=J88,", Footing work Completed",IF(C86=J89,", 1st Basement Completed",IF(C86=J90,", 1st &amp; 2nd Basement Completed",IF(C86=J91,", 1st to 3rd Basement Completed",IF(C86=J92,", 1st to 4th Basement Completed",IF(C86=J93,", Plinth work is process",IF(C86=J94,"","0"))))))))))</f>
        <v/>
      </c>
    </row>
    <row r="83" spans="1:10" ht="30.95" customHeight="1" x14ac:dyDescent="0.25">
      <c r="A83" s="94" t="s">
        <v>89</v>
      </c>
      <c r="B83" s="95"/>
      <c r="C83" s="113" t="str">
        <f ca="1">(IF($G$53="NA",I81,"All work Completed. OC Received."))</f>
        <v>Excavation, Plinth, RCC Slab Completed, Brickwork upto 6 Floor, Internal Plaster upto 5 Floor Completed</v>
      </c>
      <c r="D83" s="113"/>
      <c r="E83" s="113"/>
      <c r="F83" s="113"/>
      <c r="G83" s="113"/>
      <c r="H83" s="114"/>
      <c r="I83" s="52" t="str">
        <f ca="1">IF(I82&lt;&gt;""," Completed","")</f>
        <v xml:space="preserve"> Completed</v>
      </c>
      <c r="J83" s="53" t="str">
        <f ca="1">IF(J81&lt;&gt;"","Completed","")</f>
        <v>Completed</v>
      </c>
    </row>
    <row r="84" spans="1:10" ht="15.75" customHeight="1" x14ac:dyDescent="0.25">
      <c r="A84" s="86" t="s">
        <v>49</v>
      </c>
      <c r="B84" s="87"/>
      <c r="C84" s="44" t="s">
        <v>139</v>
      </c>
      <c r="D84" s="44" t="s">
        <v>82</v>
      </c>
      <c r="E84" s="87" t="s">
        <v>84</v>
      </c>
      <c r="F84" s="87"/>
      <c r="G84" s="87" t="s">
        <v>83</v>
      </c>
      <c r="H84" s="119"/>
      <c r="I84" s="14" t="s">
        <v>141</v>
      </c>
      <c r="J84" s="28">
        <f ca="1">H82*25%</f>
        <v>1.75</v>
      </c>
    </row>
    <row r="85" spans="1:10" x14ac:dyDescent="0.25">
      <c r="A85" s="86" t="s">
        <v>128</v>
      </c>
      <c r="B85" s="87"/>
      <c r="C85" s="44">
        <f ca="1">J86</f>
        <v>7</v>
      </c>
      <c r="D85" s="19">
        <f ca="1">((100/H82)*C85)/100</f>
        <v>1</v>
      </c>
      <c r="E85" s="80">
        <f ca="1">(((C86/H82*10)+(40/(D82+F82+H82)*C87)+(7.5/(H82)*C88)+(7.5/(H82)*C89)+(10/H82*C90)+(10/H82*C91)+(5/H82*C92)+(5/H82*C93)+(5/H82*C94))/100)</f>
        <v>0.61785714285714288</v>
      </c>
      <c r="F85" s="144"/>
      <c r="G85" s="80">
        <f ca="1">((((C85/H82)*20)+((C86/H82)*25)+(30/(H82+F82+D82)*C87)+(5/H82*C88)+(5/H82*C89)+(5/H82*C90)+(5/H82*C91)+(0/H82*C92)+(0/H82*C93)+(5/H82*C94))/100)</f>
        <v>0.82857142857142863</v>
      </c>
      <c r="H85" s="81"/>
      <c r="I85" s="14" t="s">
        <v>100</v>
      </c>
      <c r="J85" s="29">
        <f ca="1">H82*50%</f>
        <v>3.5</v>
      </c>
    </row>
    <row r="86" spans="1:10" x14ac:dyDescent="0.25">
      <c r="A86" s="86" t="s">
        <v>50</v>
      </c>
      <c r="B86" s="87"/>
      <c r="C86" s="56">
        <v>7</v>
      </c>
      <c r="D86" s="19">
        <f ca="1">((100/H82)*C86)/100</f>
        <v>1</v>
      </c>
      <c r="E86" s="82"/>
      <c r="F86" s="145"/>
      <c r="G86" s="82"/>
      <c r="H86" s="83"/>
      <c r="I86" s="14" t="s">
        <v>101</v>
      </c>
      <c r="J86" s="29">
        <f ca="1">H82</f>
        <v>7</v>
      </c>
    </row>
    <row r="87" spans="1:10" ht="15.75" customHeight="1" x14ac:dyDescent="0.25">
      <c r="A87" s="225" t="s">
        <v>129</v>
      </c>
      <c r="B87" s="226"/>
      <c r="C87" s="44">
        <v>8</v>
      </c>
      <c r="D87" s="19">
        <f ca="1">((100/(D82+F82+H82))*C87)/100</f>
        <v>1</v>
      </c>
      <c r="E87" s="82"/>
      <c r="F87" s="145"/>
      <c r="G87" s="82"/>
      <c r="H87" s="83"/>
      <c r="I87" s="14" t="s">
        <v>102</v>
      </c>
      <c r="J87" s="30">
        <f ca="1">(IF(B82&gt;1,(H82/(B82+2)),H82/4))</f>
        <v>1.75</v>
      </c>
    </row>
    <row r="88" spans="1:10" ht="15.75" customHeight="1" x14ac:dyDescent="0.25">
      <c r="A88" s="225" t="s">
        <v>136</v>
      </c>
      <c r="B88" s="226" t="s">
        <v>130</v>
      </c>
      <c r="C88" s="44">
        <v>6</v>
      </c>
      <c r="D88" s="19">
        <f ca="1">((100/H82)*C88)/100</f>
        <v>0.85714285714285721</v>
      </c>
      <c r="E88" s="82"/>
      <c r="F88" s="145"/>
      <c r="G88" s="82"/>
      <c r="H88" s="83"/>
      <c r="I88" s="14" t="s">
        <v>103</v>
      </c>
      <c r="J88" s="30">
        <f ca="1">(IF(B82&gt;1,(H82/(B82+2)+J87),H82/4+J87))</f>
        <v>3.5</v>
      </c>
    </row>
    <row r="89" spans="1:10" ht="15.75" customHeight="1" x14ac:dyDescent="0.25">
      <c r="A89" s="225" t="s">
        <v>137</v>
      </c>
      <c r="B89" s="226" t="s">
        <v>130</v>
      </c>
      <c r="C89" s="44">
        <v>5</v>
      </c>
      <c r="D89" s="19">
        <f ca="1">((100/H82)*C89)/100</f>
        <v>0.7142857142857143</v>
      </c>
      <c r="E89" s="82"/>
      <c r="F89" s="145"/>
      <c r="G89" s="82"/>
      <c r="H89" s="83"/>
      <c r="I89" s="14" t="s">
        <v>146</v>
      </c>
      <c r="J89" s="30">
        <f>(IF(B82&gt;1,(H82/(B82+2)+J88),0))</f>
        <v>0</v>
      </c>
    </row>
    <row r="90" spans="1:10" ht="15" customHeight="1" x14ac:dyDescent="0.25">
      <c r="A90" s="225" t="s">
        <v>135</v>
      </c>
      <c r="B90" s="226" t="s">
        <v>132</v>
      </c>
      <c r="C90" s="44">
        <v>0</v>
      </c>
      <c r="D90" s="19">
        <f ca="1">((100/(H82))*C90)/100</f>
        <v>0</v>
      </c>
      <c r="E90" s="82"/>
      <c r="F90" s="145"/>
      <c r="G90" s="82"/>
      <c r="H90" s="83"/>
      <c r="I90" s="14" t="s">
        <v>143</v>
      </c>
      <c r="J90" s="30">
        <f>(IF(B82&gt;2,(H82/(B82+2)+J89),0))</f>
        <v>0</v>
      </c>
    </row>
    <row r="91" spans="1:10" ht="15.75" customHeight="1" x14ac:dyDescent="0.25">
      <c r="A91" s="225" t="s">
        <v>131</v>
      </c>
      <c r="B91" s="226" t="s">
        <v>131</v>
      </c>
      <c r="C91" s="44">
        <v>0</v>
      </c>
      <c r="D91" s="19">
        <f ca="1">((100/H82)*C91)/100</f>
        <v>0</v>
      </c>
      <c r="E91" s="82"/>
      <c r="F91" s="145"/>
      <c r="G91" s="82"/>
      <c r="H91" s="83"/>
      <c r="I91" s="14" t="s">
        <v>144</v>
      </c>
      <c r="J91" s="31">
        <f>(IF(B82&gt;3,(H82/(B82+2)+J90),0))</f>
        <v>0</v>
      </c>
    </row>
    <row r="92" spans="1:10" ht="15.75" customHeight="1" x14ac:dyDescent="0.25">
      <c r="A92" s="225" t="s">
        <v>138</v>
      </c>
      <c r="B92" s="226"/>
      <c r="C92" s="44">
        <v>0</v>
      </c>
      <c r="D92" s="19">
        <f ca="1">((100/H82)*C92)/100</f>
        <v>0</v>
      </c>
      <c r="E92" s="82"/>
      <c r="F92" s="145"/>
      <c r="G92" s="82"/>
      <c r="H92" s="83"/>
      <c r="I92" s="14" t="s">
        <v>145</v>
      </c>
      <c r="J92" s="30">
        <f>(IF(B82&gt;4,(H82/(B82+2)+J91),0))</f>
        <v>0</v>
      </c>
    </row>
    <row r="93" spans="1:10" ht="15.75" customHeight="1" x14ac:dyDescent="0.25">
      <c r="A93" s="86" t="s">
        <v>133</v>
      </c>
      <c r="B93" s="87" t="s">
        <v>133</v>
      </c>
      <c r="C93" s="44">
        <v>0</v>
      </c>
      <c r="D93" s="19">
        <f ca="1">((100/(H82))*C93)/100</f>
        <v>0</v>
      </c>
      <c r="E93" s="82"/>
      <c r="F93" s="145"/>
      <c r="G93" s="82"/>
      <c r="H93" s="83"/>
      <c r="I93" s="14" t="s">
        <v>147</v>
      </c>
      <c r="J93" s="30">
        <f ca="1">(IF(B82=1,(H82/(B82+3)+J88),IF(B82=0,(H82/4+J88),IF(B82&gt;1,0))))</f>
        <v>5.25</v>
      </c>
    </row>
    <row r="94" spans="1:10" ht="16.5" thickBot="1" x14ac:dyDescent="0.3">
      <c r="A94" s="147" t="s">
        <v>134</v>
      </c>
      <c r="B94" s="148"/>
      <c r="C94" s="45">
        <v>0</v>
      </c>
      <c r="D94" s="20">
        <f ca="1">((100/(H82))*C94)/100</f>
        <v>0</v>
      </c>
      <c r="E94" s="84"/>
      <c r="F94" s="146"/>
      <c r="G94" s="84"/>
      <c r="H94" s="85"/>
      <c r="I94" s="15" t="s">
        <v>104</v>
      </c>
      <c r="J94" s="32">
        <f ca="1">(IF(B82&gt;1.5,(H82/(B82+2)+J88+MAX(0,J89-J88)+MAX(0,J90-J89)+MAX(0,J91-J90)+MAX(0,J92-J91)+MAX(0,J93-J92)),IF(B82=1,(H82/(B82+3)+J93),IF(B82=0,H82/4+J93))))</f>
        <v>7</v>
      </c>
    </row>
    <row r="95" spans="1:10" x14ac:dyDescent="0.25">
      <c r="A95" s="92" t="s">
        <v>157</v>
      </c>
      <c r="B95" s="92"/>
      <c r="C95" s="92"/>
      <c r="D95" s="92"/>
      <c r="E95" s="92"/>
      <c r="F95" s="196" t="s">
        <v>161</v>
      </c>
      <c r="G95" s="196"/>
      <c r="H95" s="196"/>
    </row>
    <row r="96" spans="1:10" x14ac:dyDescent="0.25">
      <c r="A96" s="89" t="s">
        <v>159</v>
      </c>
      <c r="B96" s="89"/>
      <c r="C96" s="89"/>
      <c r="D96" s="89"/>
      <c r="E96" s="89"/>
      <c r="F96" s="88">
        <v>5000</v>
      </c>
      <c r="G96" s="88"/>
      <c r="H96" s="88"/>
      <c r="I96" s="21" t="s">
        <v>281</v>
      </c>
    </row>
    <row r="97" spans="1:8" hidden="1" x14ac:dyDescent="0.25">
      <c r="A97" s="89" t="s">
        <v>158</v>
      </c>
      <c r="B97" s="89"/>
      <c r="C97" s="89"/>
      <c r="D97" s="89"/>
      <c r="E97" s="89"/>
      <c r="F97" s="88"/>
      <c r="G97" s="88"/>
      <c r="H97" s="88"/>
    </row>
    <row r="98" spans="1:8" hidden="1" x14ac:dyDescent="0.25">
      <c r="A98" s="89" t="s">
        <v>160</v>
      </c>
      <c r="B98" s="89"/>
      <c r="C98" s="89"/>
      <c r="D98" s="89"/>
      <c r="E98" s="89"/>
      <c r="F98" s="88"/>
      <c r="G98" s="88"/>
      <c r="H98" s="88"/>
    </row>
    <row r="99" spans="1:8" s="33" customFormat="1" hidden="1" x14ac:dyDescent="0.25">
      <c r="A99" s="89" t="s">
        <v>176</v>
      </c>
      <c r="B99" s="89"/>
      <c r="C99" s="89"/>
      <c r="D99" s="89"/>
      <c r="E99" s="89"/>
      <c r="F99" s="88"/>
      <c r="G99" s="88"/>
      <c r="H99" s="88"/>
    </row>
    <row r="100" spans="1:8" s="33" customFormat="1" hidden="1" x14ac:dyDescent="0.25">
      <c r="A100" s="89" t="s">
        <v>94</v>
      </c>
      <c r="B100" s="89"/>
      <c r="C100" s="89"/>
      <c r="D100" s="89"/>
      <c r="E100" s="89"/>
      <c r="F100" s="88"/>
      <c r="G100" s="88"/>
      <c r="H100" s="88"/>
    </row>
    <row r="101" spans="1:8" s="33" customFormat="1" hidden="1" x14ac:dyDescent="0.25">
      <c r="A101" s="89" t="s">
        <v>95</v>
      </c>
      <c r="B101" s="89"/>
      <c r="C101" s="89"/>
      <c r="D101" s="89"/>
      <c r="E101" s="89"/>
      <c r="F101" s="88"/>
      <c r="G101" s="88"/>
      <c r="H101" s="88"/>
    </row>
    <row r="102" spans="1:8" s="33" customFormat="1" hidden="1" x14ac:dyDescent="0.25">
      <c r="A102" s="89" t="s">
        <v>162</v>
      </c>
      <c r="B102" s="89"/>
      <c r="C102" s="89"/>
      <c r="D102" s="89"/>
      <c r="E102" s="89"/>
      <c r="F102" s="88"/>
      <c r="G102" s="88"/>
      <c r="H102" s="88"/>
    </row>
    <row r="103" spans="1:8" s="33" customFormat="1" hidden="1" x14ac:dyDescent="0.25">
      <c r="A103" s="89" t="s">
        <v>96</v>
      </c>
      <c r="B103" s="89"/>
      <c r="C103" s="89"/>
      <c r="D103" s="89"/>
      <c r="E103" s="89"/>
      <c r="F103" s="88"/>
      <c r="G103" s="88"/>
      <c r="H103" s="88"/>
    </row>
    <row r="104" spans="1:8" s="33" customFormat="1" hidden="1" x14ac:dyDescent="0.25">
      <c r="A104" s="89" t="s">
        <v>97</v>
      </c>
      <c r="B104" s="89"/>
      <c r="C104" s="89"/>
      <c r="D104" s="89"/>
      <c r="E104" s="89"/>
      <c r="F104" s="88"/>
      <c r="G104" s="88"/>
      <c r="H104" s="88"/>
    </row>
    <row r="105" spans="1:8" s="33" customFormat="1" hidden="1" x14ac:dyDescent="0.25">
      <c r="A105" s="89" t="s">
        <v>98</v>
      </c>
      <c r="B105" s="89"/>
      <c r="C105" s="89"/>
      <c r="D105" s="89"/>
      <c r="E105" s="89"/>
      <c r="F105" s="88"/>
      <c r="G105" s="88"/>
      <c r="H105" s="88"/>
    </row>
    <row r="106" spans="1:8" s="33" customFormat="1" hidden="1" x14ac:dyDescent="0.25">
      <c r="A106" s="89" t="s">
        <v>99</v>
      </c>
      <c r="B106" s="89"/>
      <c r="C106" s="89"/>
      <c r="D106" s="89"/>
      <c r="E106" s="89"/>
      <c r="F106" s="88"/>
      <c r="G106" s="88"/>
      <c r="H106" s="88"/>
    </row>
    <row r="107" spans="1:8" x14ac:dyDescent="0.25">
      <c r="A107" s="89" t="s">
        <v>51</v>
      </c>
      <c r="B107" s="89"/>
      <c r="C107" s="89"/>
      <c r="D107" s="89"/>
      <c r="E107" s="89"/>
      <c r="F107" s="183">
        <v>150000</v>
      </c>
      <c r="G107" s="183"/>
      <c r="H107" s="183"/>
    </row>
    <row r="108" spans="1:8" s="34" customFormat="1" x14ac:dyDescent="0.25">
      <c r="A108" s="136" t="s">
        <v>52</v>
      </c>
      <c r="B108" s="136"/>
      <c r="C108" s="136"/>
      <c r="D108" s="136"/>
      <c r="E108" s="136"/>
      <c r="F108" s="88">
        <f>F96*0.8</f>
        <v>4000</v>
      </c>
      <c r="G108" s="88"/>
      <c r="H108" s="88"/>
    </row>
    <row r="109" spans="1:8" s="35" customFormat="1" ht="15.75" hidden="1" customHeight="1" x14ac:dyDescent="0.25">
      <c r="A109" s="127" t="s">
        <v>74</v>
      </c>
      <c r="B109" s="127"/>
      <c r="C109" s="127"/>
      <c r="D109" s="127"/>
      <c r="E109" s="127"/>
      <c r="F109" s="127"/>
      <c r="G109" s="127"/>
      <c r="H109" s="127"/>
    </row>
    <row r="110" spans="1:8" s="35" customFormat="1" ht="15.75" hidden="1" customHeight="1" x14ac:dyDescent="0.25">
      <c r="A110" s="185" t="s">
        <v>53</v>
      </c>
      <c r="B110" s="185"/>
      <c r="C110" s="128" t="s">
        <v>77</v>
      </c>
      <c r="D110" s="128"/>
      <c r="E110" s="106" t="s">
        <v>54</v>
      </c>
      <c r="F110" s="106"/>
      <c r="G110" s="185" t="s">
        <v>55</v>
      </c>
      <c r="H110" s="185"/>
    </row>
    <row r="111" spans="1:8" s="35" customFormat="1" hidden="1" x14ac:dyDescent="0.25">
      <c r="A111" s="129"/>
      <c r="B111" s="129"/>
      <c r="C111" s="124"/>
      <c r="D111" s="124"/>
      <c r="E111" s="125"/>
      <c r="F111" s="125"/>
      <c r="G111" s="126"/>
      <c r="H111" s="126"/>
    </row>
    <row r="112" spans="1:8" s="35" customFormat="1" hidden="1" x14ac:dyDescent="0.25">
      <c r="A112" s="129"/>
      <c r="B112" s="129"/>
      <c r="C112" s="124"/>
      <c r="D112" s="124"/>
      <c r="E112" s="125"/>
      <c r="F112" s="125"/>
      <c r="G112" s="126"/>
      <c r="H112" s="126"/>
    </row>
    <row r="113" spans="1:14" s="35" customFormat="1" hidden="1" x14ac:dyDescent="0.25">
      <c r="A113" s="127" t="s">
        <v>150</v>
      </c>
      <c r="B113" s="127"/>
      <c r="C113" s="128"/>
      <c r="D113" s="128"/>
      <c r="E113" s="106"/>
      <c r="F113" s="106"/>
      <c r="G113" s="185"/>
      <c r="H113" s="185"/>
    </row>
    <row r="114" spans="1:14" s="35" customFormat="1" x14ac:dyDescent="0.25">
      <c r="A114" s="132"/>
      <c r="B114" s="133"/>
      <c r="C114" s="133"/>
      <c r="D114" s="133"/>
      <c r="E114" s="133"/>
      <c r="F114" s="133"/>
      <c r="G114" s="133"/>
      <c r="H114" s="134"/>
    </row>
    <row r="115" spans="1:14" s="35" customFormat="1" x14ac:dyDescent="0.25">
      <c r="A115" s="127" t="s">
        <v>273</v>
      </c>
      <c r="B115" s="127"/>
      <c r="C115" s="127"/>
      <c r="D115" s="127"/>
      <c r="E115" s="127"/>
      <c r="F115" s="127"/>
      <c r="G115" s="127"/>
      <c r="H115" s="127"/>
    </row>
    <row r="116" spans="1:14" s="35" customFormat="1" ht="15.75" customHeight="1" x14ac:dyDescent="0.25">
      <c r="A116" s="185" t="s">
        <v>53</v>
      </c>
      <c r="B116" s="185"/>
      <c r="C116" s="128" t="s">
        <v>77</v>
      </c>
      <c r="D116" s="128"/>
      <c r="E116" s="106" t="s">
        <v>54</v>
      </c>
      <c r="F116" s="106"/>
      <c r="G116" s="185" t="s">
        <v>55</v>
      </c>
      <c r="H116" s="185"/>
    </row>
    <row r="117" spans="1:14" s="35" customFormat="1" x14ac:dyDescent="0.25">
      <c r="A117" s="129" t="s">
        <v>261</v>
      </c>
      <c r="B117" s="129"/>
      <c r="C117" s="137">
        <f>COUNT(D136:D143)*4+COUNT(D145:D147,D149:D152)</f>
        <v>39</v>
      </c>
      <c r="D117" s="137"/>
      <c r="E117" s="131">
        <f>SUM(D136:D143)*4+SUM(D145:D147,D149:D152)</f>
        <v>17564.049360000001</v>
      </c>
      <c r="F117" s="131"/>
      <c r="G117" s="131">
        <f>SUM(F136:F143)*4+SUM(F145:F147,F149:F152)</f>
        <v>25467.871571999996</v>
      </c>
      <c r="H117" s="131"/>
    </row>
    <row r="118" spans="1:14" s="35" customFormat="1" x14ac:dyDescent="0.25">
      <c r="A118" s="129" t="s">
        <v>267</v>
      </c>
      <c r="B118" s="129"/>
      <c r="C118" s="130">
        <f>COUNT(D156:D161)*4+COUNT(D163:D168)</f>
        <v>30</v>
      </c>
      <c r="D118" s="130"/>
      <c r="E118" s="131">
        <f>SUM(D156:D161)*4+SUM(D163:D168)</f>
        <v>11962.302300000001</v>
      </c>
      <c r="F118" s="131"/>
      <c r="G118" s="131">
        <f>SUM(F156:F161)*4+SUM(F163:F168)</f>
        <v>17345.338335</v>
      </c>
      <c r="H118" s="131"/>
    </row>
    <row r="119" spans="1:14" s="35" customFormat="1" ht="16.5" thickBot="1" x14ac:dyDescent="0.3">
      <c r="A119" s="135" t="s">
        <v>150</v>
      </c>
      <c r="B119" s="135"/>
      <c r="C119" s="209">
        <f t="shared" ref="C119:G119" si="0">SUM(C117:D118)</f>
        <v>69</v>
      </c>
      <c r="D119" s="209"/>
      <c r="E119" s="105">
        <f t="shared" si="0"/>
        <v>29526.35166</v>
      </c>
      <c r="F119" s="105"/>
      <c r="G119" s="93">
        <f t="shared" si="0"/>
        <v>42813.209906999997</v>
      </c>
      <c r="H119" s="93"/>
    </row>
    <row r="120" spans="1:14" s="35" customFormat="1" ht="16.5" thickBot="1" x14ac:dyDescent="0.3">
      <c r="A120" s="200" t="s">
        <v>168</v>
      </c>
      <c r="B120" s="201"/>
      <c r="C120" s="202">
        <f>C113+C119</f>
        <v>69</v>
      </c>
      <c r="D120" s="202"/>
      <c r="E120" s="203">
        <f>E113+E119</f>
        <v>29526.35166</v>
      </c>
      <c r="F120" s="203"/>
      <c r="G120" s="186">
        <f>G113+G119</f>
        <v>42813.209906999997</v>
      </c>
      <c r="H120" s="187"/>
    </row>
    <row r="121" spans="1:14" s="34" customFormat="1" x14ac:dyDescent="0.25">
      <c r="A121" s="196" t="s">
        <v>56</v>
      </c>
      <c r="B121" s="196"/>
      <c r="C121" s="196"/>
      <c r="D121" s="196"/>
      <c r="E121" s="196"/>
      <c r="F121" s="196"/>
      <c r="G121" s="196"/>
      <c r="H121" s="196"/>
    </row>
    <row r="122" spans="1:14" x14ac:dyDescent="0.25">
      <c r="A122" s="181" t="s">
        <v>274</v>
      </c>
      <c r="B122" s="181"/>
      <c r="C122" s="181"/>
      <c r="D122" s="181"/>
      <c r="E122" s="181"/>
      <c r="F122" s="181"/>
      <c r="G122" s="181"/>
      <c r="H122" s="181"/>
    </row>
    <row r="123" spans="1:14" ht="47.25" hidden="1" customHeight="1" x14ac:dyDescent="0.25">
      <c r="A123" s="90" t="s">
        <v>120</v>
      </c>
      <c r="B123" s="90" t="s">
        <v>177</v>
      </c>
      <c r="C123" s="90" t="s">
        <v>57</v>
      </c>
      <c r="D123" s="90" t="s">
        <v>58</v>
      </c>
      <c r="E123" s="138" t="s">
        <v>156</v>
      </c>
      <c r="F123" s="43" t="s">
        <v>149</v>
      </c>
      <c r="G123" s="140" t="s">
        <v>60</v>
      </c>
      <c r="H123" s="141"/>
    </row>
    <row r="124" spans="1:14" s="37" customFormat="1" hidden="1" x14ac:dyDescent="0.25">
      <c r="A124" s="91"/>
      <c r="B124" s="91"/>
      <c r="C124" s="91"/>
      <c r="D124" s="91"/>
      <c r="E124" s="139"/>
      <c r="F124" s="13">
        <v>0.45</v>
      </c>
      <c r="G124" s="142"/>
      <c r="H124" s="143"/>
    </row>
    <row r="125" spans="1:14" s="37" customFormat="1" hidden="1" x14ac:dyDescent="0.25">
      <c r="A125" s="121" t="s">
        <v>119</v>
      </c>
      <c r="B125" s="122"/>
      <c r="C125" s="122"/>
      <c r="D125" s="122"/>
      <c r="E125" s="122"/>
      <c r="F125" s="122"/>
      <c r="G125" s="122"/>
      <c r="H125" s="123"/>
      <c r="J125" s="36"/>
    </row>
    <row r="126" spans="1:14" s="37" customFormat="1" hidden="1" x14ac:dyDescent="0.25">
      <c r="A126" s="96">
        <v>1</v>
      </c>
      <c r="B126" s="98"/>
      <c r="C126" s="42"/>
      <c r="D126" s="42"/>
      <c r="E126" s="42">
        <v>0</v>
      </c>
      <c r="F126" s="42">
        <f>(D126+E126)*(($F$124)+1)</f>
        <v>0</v>
      </c>
      <c r="G126" s="96" t="str">
        <f>A125</f>
        <v>Ground Floor</v>
      </c>
      <c r="H126" s="98"/>
      <c r="I126" s="36"/>
      <c r="L126" s="120"/>
      <c r="M126" s="120"/>
      <c r="N126" s="36"/>
    </row>
    <row r="127" spans="1:14" s="37" customFormat="1" hidden="1" x14ac:dyDescent="0.25">
      <c r="A127" s="96">
        <f t="shared" ref="A127:A129" si="1">A126+1</f>
        <v>2</v>
      </c>
      <c r="B127" s="98"/>
      <c r="C127" s="42"/>
      <c r="D127" s="42"/>
      <c r="E127" s="42">
        <v>0</v>
      </c>
      <c r="F127" s="42">
        <f t="shared" ref="F127:F129" si="2">(D127+E127)*(($F$124)+1)</f>
        <v>0</v>
      </c>
      <c r="G127" s="96" t="str">
        <f t="shared" ref="G127:G129" si="3">G126</f>
        <v>Ground Floor</v>
      </c>
      <c r="H127" s="98"/>
      <c r="I127" s="36"/>
      <c r="L127" s="120"/>
      <c r="M127" s="120"/>
      <c r="N127" s="36"/>
    </row>
    <row r="128" spans="1:14" s="37" customFormat="1" hidden="1" x14ac:dyDescent="0.25">
      <c r="A128" s="96">
        <f t="shared" si="1"/>
        <v>3</v>
      </c>
      <c r="B128" s="98"/>
      <c r="C128" s="42"/>
      <c r="D128" s="42"/>
      <c r="E128" s="42">
        <v>0</v>
      </c>
      <c r="F128" s="42">
        <f t="shared" si="2"/>
        <v>0</v>
      </c>
      <c r="G128" s="96" t="str">
        <f t="shared" si="3"/>
        <v>Ground Floor</v>
      </c>
      <c r="H128" s="98"/>
      <c r="I128" s="36"/>
      <c r="L128" s="120"/>
      <c r="M128" s="120"/>
      <c r="N128" s="36"/>
    </row>
    <row r="129" spans="1:14" s="37" customFormat="1" hidden="1" x14ac:dyDescent="0.25">
      <c r="A129" s="96">
        <f t="shared" si="1"/>
        <v>4</v>
      </c>
      <c r="B129" s="98"/>
      <c r="C129" s="42"/>
      <c r="D129" s="42"/>
      <c r="E129" s="42">
        <v>0</v>
      </c>
      <c r="F129" s="42">
        <f t="shared" si="2"/>
        <v>0</v>
      </c>
      <c r="G129" s="96" t="str">
        <f t="shared" si="3"/>
        <v>Ground Floor</v>
      </c>
      <c r="H129" s="98"/>
      <c r="I129" s="36"/>
      <c r="L129" s="120"/>
      <c r="M129" s="120"/>
      <c r="N129" s="36"/>
    </row>
    <row r="130" spans="1:14" s="37" customFormat="1" x14ac:dyDescent="0.25">
      <c r="A130" s="96"/>
      <c r="B130" s="97"/>
      <c r="C130" s="97"/>
      <c r="D130" s="97"/>
      <c r="E130" s="97"/>
      <c r="F130" s="97"/>
      <c r="G130" s="97"/>
      <c r="H130" s="98"/>
      <c r="I130" s="36"/>
      <c r="N130" s="36"/>
    </row>
    <row r="131" spans="1:14" ht="47.25" customHeight="1" x14ac:dyDescent="0.25">
      <c r="A131" s="140" t="s">
        <v>121</v>
      </c>
      <c r="B131" s="90" t="s">
        <v>178</v>
      </c>
      <c r="C131" s="90" t="s">
        <v>57</v>
      </c>
      <c r="D131" s="90" t="s">
        <v>58</v>
      </c>
      <c r="E131" s="138" t="s">
        <v>59</v>
      </c>
      <c r="F131" s="57" t="s">
        <v>149</v>
      </c>
      <c r="G131" s="140" t="s">
        <v>60</v>
      </c>
      <c r="H131" s="141"/>
      <c r="I131" s="66">
        <v>10.763999999999999</v>
      </c>
    </row>
    <row r="132" spans="1:14" s="37" customFormat="1" x14ac:dyDescent="0.25">
      <c r="A132" s="142"/>
      <c r="B132" s="91"/>
      <c r="C132" s="91"/>
      <c r="D132" s="91"/>
      <c r="E132" s="139"/>
      <c r="F132" s="13">
        <v>0.45</v>
      </c>
      <c r="G132" s="142"/>
      <c r="H132" s="143"/>
      <c r="I132" s="36"/>
    </row>
    <row r="133" spans="1:14" s="62" customFormat="1" x14ac:dyDescent="0.25">
      <c r="A133" s="197" t="s">
        <v>261</v>
      </c>
      <c r="B133" s="198"/>
      <c r="C133" s="198"/>
      <c r="D133" s="198"/>
      <c r="E133" s="198"/>
      <c r="F133" s="198"/>
      <c r="G133" s="198"/>
      <c r="H133" s="199"/>
      <c r="I133" s="36"/>
    </row>
    <row r="134" spans="1:14" s="37" customFormat="1" x14ac:dyDescent="0.25">
      <c r="A134" s="121" t="s">
        <v>262</v>
      </c>
      <c r="B134" s="122"/>
      <c r="C134" s="122"/>
      <c r="D134" s="122"/>
      <c r="E134" s="122"/>
      <c r="F134" s="122"/>
      <c r="G134" s="122"/>
      <c r="H134" s="123"/>
      <c r="J134" s="36"/>
    </row>
    <row r="135" spans="1:14" s="62" customFormat="1" x14ac:dyDescent="0.25">
      <c r="A135" s="121" t="s">
        <v>263</v>
      </c>
      <c r="B135" s="122"/>
      <c r="C135" s="122"/>
      <c r="D135" s="122"/>
      <c r="E135" s="122"/>
      <c r="F135" s="122"/>
      <c r="G135" s="122"/>
      <c r="H135" s="123"/>
      <c r="J135" s="65"/>
      <c r="K135" s="62">
        <v>4300</v>
      </c>
    </row>
    <row r="136" spans="1:14" s="37" customFormat="1" ht="15.75" customHeight="1" x14ac:dyDescent="0.25">
      <c r="A136" s="96">
        <v>1</v>
      </c>
      <c r="B136" s="98"/>
      <c r="C136" s="42" t="s">
        <v>264</v>
      </c>
      <c r="D136" s="66">
        <f>(33.84+0.75*(2.75+2.1+2.75))*10.764</f>
        <v>425.60856000000007</v>
      </c>
      <c r="E136" s="42">
        <v>0</v>
      </c>
      <c r="F136" s="42">
        <f>D136*(($F$132)+1)+(IF(E136&lt;101,E136,IF(E136&lt;201,E136/2,IF(E136&lt;=301,E136/3,E136/4))))</f>
        <v>617.13241200000004</v>
      </c>
      <c r="G136" s="99" t="str">
        <f>A135</f>
        <v>1st To 4th Floor For Residential</v>
      </c>
      <c r="H136" s="100"/>
      <c r="I136" s="62">
        <f>2.75*4.5+2.1*2.3+2.75*3.2+1.1*1.9+1.75*1.1+2.4*0.9</f>
        <v>32.18</v>
      </c>
      <c r="K136" s="37">
        <f>K$135*F136</f>
        <v>2653669.3716000002</v>
      </c>
      <c r="L136" s="120"/>
      <c r="M136" s="120"/>
      <c r="N136" s="36"/>
    </row>
    <row r="137" spans="1:14" s="37" customFormat="1" ht="15.75" customHeight="1" x14ac:dyDescent="0.25">
      <c r="A137" s="96">
        <f t="shared" ref="A137:A143" si="4">A136+1</f>
        <v>2</v>
      </c>
      <c r="B137" s="98"/>
      <c r="C137" s="61" t="s">
        <v>264</v>
      </c>
      <c r="D137" s="66">
        <f>(33.84+0.75*(2.75+2.1+2.75))*10.764</f>
        <v>425.60856000000007</v>
      </c>
      <c r="E137" s="42">
        <v>0</v>
      </c>
      <c r="F137" s="42">
        <f>D137*(($F$132)+1)+(IF(E137&lt;101,E137,IF(E137&lt;201,E137/2,IF(E137&lt;=301,E137/3,E137/4))))</f>
        <v>617.13241200000004</v>
      </c>
      <c r="G137" s="101"/>
      <c r="H137" s="102"/>
      <c r="I137" s="36">
        <f>2.75*4.5+2.1*2.3+2.75*3.2+1.1*1.9+1.75*1.1+0.9*2.1</f>
        <v>31.91</v>
      </c>
      <c r="K137" s="67">
        <f t="shared" ref="K137:K152" si="5">K$135*F137</f>
        <v>2653669.3716000002</v>
      </c>
      <c r="L137" s="120"/>
      <c r="M137" s="120"/>
      <c r="N137" s="36"/>
    </row>
    <row r="138" spans="1:14" s="37" customFormat="1" ht="15.75" customHeight="1" x14ac:dyDescent="0.25">
      <c r="A138" s="96">
        <f t="shared" si="4"/>
        <v>3</v>
      </c>
      <c r="B138" s="98"/>
      <c r="C138" s="61" t="s">
        <v>264</v>
      </c>
      <c r="D138" s="66">
        <f>(33.84+0.75*(2.75+2.1+2.75))*10.764</f>
        <v>425.60856000000007</v>
      </c>
      <c r="E138" s="42">
        <v>0</v>
      </c>
      <c r="F138" s="42">
        <f>D138*(($F$132)+1)+(IF(E138&lt;101,E138,IF(E138&lt;201,E138/2,IF(E138&lt;=301,E138/3,E138/4))))</f>
        <v>617.13241200000004</v>
      </c>
      <c r="G138" s="101"/>
      <c r="H138" s="102"/>
      <c r="I138" s="36"/>
      <c r="K138" s="67">
        <f t="shared" si="5"/>
        <v>2653669.3716000002</v>
      </c>
      <c r="L138" s="120"/>
      <c r="M138" s="120"/>
      <c r="N138" s="36"/>
    </row>
    <row r="139" spans="1:14" s="37" customFormat="1" ht="15.75" customHeight="1" x14ac:dyDescent="0.25">
      <c r="A139" s="96">
        <f t="shared" si="4"/>
        <v>4</v>
      </c>
      <c r="B139" s="98"/>
      <c r="C139" s="61" t="s">
        <v>264</v>
      </c>
      <c r="D139" s="66">
        <f>(34.24+0.75*(2.75+2.1+2.75))*10.764</f>
        <v>429.91415999999992</v>
      </c>
      <c r="E139" s="42">
        <v>0</v>
      </c>
      <c r="F139" s="42">
        <f>D139*(($F$132)+1)+(IF(E139&lt;101,E139,IF(E139&lt;201,E139/2,IF(E139&lt;=301,E139/3,E139/4))))</f>
        <v>623.37553199999991</v>
      </c>
      <c r="G139" s="101"/>
      <c r="H139" s="102"/>
      <c r="I139" s="36"/>
      <c r="K139" s="67">
        <f t="shared" si="5"/>
        <v>2680514.7875999995</v>
      </c>
      <c r="L139" s="120"/>
      <c r="M139" s="120"/>
      <c r="N139" s="36"/>
    </row>
    <row r="140" spans="1:14" s="37" customFormat="1" x14ac:dyDescent="0.25">
      <c r="A140" s="96">
        <f t="shared" si="4"/>
        <v>5</v>
      </c>
      <c r="B140" s="98"/>
      <c r="C140" s="61" t="s">
        <v>264</v>
      </c>
      <c r="D140" s="66">
        <f>(34.77+0.75*(2.75+2.3+2.75))*10.764</f>
        <v>437.23368000000005</v>
      </c>
      <c r="E140" s="42">
        <v>0</v>
      </c>
      <c r="F140" s="42">
        <f t="shared" ref="F140:F141" si="6">D140*(($F$132)+1)+(IF(E140&lt;101,E140,IF(E140&lt;201,E140/2,IF(E140&lt;=301,E140/3,E140/4))))</f>
        <v>633.98883600000011</v>
      </c>
      <c r="G140" s="101"/>
      <c r="H140" s="102"/>
      <c r="I140" s="36">
        <f>4.4*2.75+2.25*2.3+3.3*2.75+1.1*1.85+1.1*1.95+2.6*0.9</f>
        <v>32.870000000000005</v>
      </c>
      <c r="K140" s="67">
        <f t="shared" si="5"/>
        <v>2726151.9948000005</v>
      </c>
      <c r="N140" s="36"/>
    </row>
    <row r="141" spans="1:14" s="37" customFormat="1" x14ac:dyDescent="0.25">
      <c r="A141" s="96">
        <f t="shared" si="4"/>
        <v>6</v>
      </c>
      <c r="B141" s="98"/>
      <c r="C141" s="61" t="s">
        <v>264</v>
      </c>
      <c r="D141" s="66">
        <f>(33.36+0.75*(2.75+2.1+1.9))*10.764</f>
        <v>413.57978999999995</v>
      </c>
      <c r="E141" s="42">
        <v>0</v>
      </c>
      <c r="F141" s="42">
        <f t="shared" si="6"/>
        <v>599.69069549999995</v>
      </c>
      <c r="G141" s="101"/>
      <c r="H141" s="102"/>
      <c r="I141" s="36"/>
      <c r="K141" s="67">
        <f t="shared" si="5"/>
        <v>2578669.9906499996</v>
      </c>
      <c r="N141" s="36"/>
    </row>
    <row r="142" spans="1:14" s="37" customFormat="1" x14ac:dyDescent="0.25">
      <c r="A142" s="96">
        <f t="shared" si="4"/>
        <v>7</v>
      </c>
      <c r="B142" s="98"/>
      <c r="C142" s="61" t="s">
        <v>265</v>
      </c>
      <c r="D142" s="66">
        <f>(43.74+0.75*(2.75+2.2+2.75))*10.764</f>
        <v>532.97946000000002</v>
      </c>
      <c r="E142" s="42">
        <v>0</v>
      </c>
      <c r="F142" s="42">
        <f>D142*(($F$132)+1)+(IF(E142&lt;101,E142,IF(E142&lt;201,E142/2,IF(E142&lt;=301,E142/3,E142/4))))</f>
        <v>772.82021699999996</v>
      </c>
      <c r="G142" s="101"/>
      <c r="H142" s="102"/>
      <c r="I142" s="36"/>
      <c r="K142" s="67">
        <f t="shared" si="5"/>
        <v>3323126.9331</v>
      </c>
      <c r="N142" s="36"/>
    </row>
    <row r="143" spans="1:14" s="37" customFormat="1" x14ac:dyDescent="0.25">
      <c r="A143" s="96">
        <f t="shared" si="4"/>
        <v>8</v>
      </c>
      <c r="B143" s="98"/>
      <c r="C143" s="61" t="s">
        <v>265</v>
      </c>
      <c r="D143" s="66">
        <f>(43.74+0.75*(2.75+2.2+2.75))*10.764</f>
        <v>532.97946000000002</v>
      </c>
      <c r="E143" s="42">
        <v>0</v>
      </c>
      <c r="F143" s="42">
        <f>D143*(($F$132)+1)+(IF(E143&lt;101,E143,IF(E143&lt;201,E143/2,IF(E143&lt;=301,E143/3,E143/4))))</f>
        <v>772.82021699999996</v>
      </c>
      <c r="G143" s="103"/>
      <c r="H143" s="104"/>
      <c r="I143" s="36">
        <f>4.4*2.75+2.15*2.2+2.6*3+3.2*2.75+1.55*1.1+1.8*1.1+0.9*3.75+0.6*1.1</f>
        <v>41.15</v>
      </c>
      <c r="K143" s="67">
        <f t="shared" si="5"/>
        <v>3323126.9331</v>
      </c>
      <c r="N143" s="36"/>
    </row>
    <row r="144" spans="1:14" s="37" customFormat="1" ht="15.75" customHeight="1" x14ac:dyDescent="0.25">
      <c r="A144" s="121" t="s">
        <v>269</v>
      </c>
      <c r="B144" s="122"/>
      <c r="C144" s="122"/>
      <c r="D144" s="122"/>
      <c r="E144" s="122"/>
      <c r="F144" s="122"/>
      <c r="G144" s="122"/>
      <c r="H144" s="123"/>
      <c r="I144" s="36"/>
      <c r="K144" s="67">
        <f t="shared" si="5"/>
        <v>0</v>
      </c>
    </row>
    <row r="145" spans="1:11" s="37" customFormat="1" ht="15.75" customHeight="1" x14ac:dyDescent="0.25">
      <c r="A145" s="96">
        <v>1</v>
      </c>
      <c r="B145" s="98"/>
      <c r="C145" s="61" t="s">
        <v>264</v>
      </c>
      <c r="D145" s="66">
        <f>(33.84+0.75*(2.75+2.1+2.75))*10.764</f>
        <v>425.60856000000007</v>
      </c>
      <c r="E145" s="42">
        <v>0</v>
      </c>
      <c r="F145" s="42">
        <f>D145*(($F$132)+1)+(IF(E145&lt;101,E145,IF(E145&lt;201,E145/2,IF(E145&lt;=301,E145/3,E145/4))))</f>
        <v>617.13241200000004</v>
      </c>
      <c r="G145" s="99" t="str">
        <f>A144</f>
        <v>5th Floor (Part Terrace Area)</v>
      </c>
      <c r="H145" s="100"/>
      <c r="I145" s="36"/>
      <c r="K145" s="67">
        <f t="shared" si="5"/>
        <v>2653669.3716000002</v>
      </c>
    </row>
    <row r="146" spans="1:11" s="37" customFormat="1" ht="15.75" customHeight="1" x14ac:dyDescent="0.25">
      <c r="A146" s="96">
        <v>2</v>
      </c>
      <c r="B146" s="98"/>
      <c r="C146" s="61" t="s">
        <v>264</v>
      </c>
      <c r="D146" s="66">
        <f>(33.84+0.75*(2.75+2.1+2.75))*10.764</f>
        <v>425.60856000000007</v>
      </c>
      <c r="E146" s="42">
        <v>0</v>
      </c>
      <c r="F146" s="42">
        <f>D146*(($F$132)+1)+(IF(E146&lt;101,E146,IF(E146&lt;201,E146/2,IF(E146&lt;=301,E146/3,E146/4))))</f>
        <v>617.13241200000004</v>
      </c>
      <c r="G146" s="101"/>
      <c r="H146" s="102"/>
      <c r="I146" s="36"/>
      <c r="K146" s="67">
        <f t="shared" si="5"/>
        <v>2653669.3716000002</v>
      </c>
    </row>
    <row r="147" spans="1:11" s="37" customFormat="1" ht="15.75" customHeight="1" x14ac:dyDescent="0.25">
      <c r="A147" s="96">
        <v>3</v>
      </c>
      <c r="B147" s="98"/>
      <c r="C147" s="61" t="s">
        <v>268</v>
      </c>
      <c r="D147" s="66">
        <f>(24.42+0.75*(2.75+2.1))*10.764</f>
        <v>302.01092999999997</v>
      </c>
      <c r="E147" s="42">
        <v>0</v>
      </c>
      <c r="F147" s="42">
        <f>D147*(($F$132)+1)+(IF(E147&lt;101,E147,IF(E147&lt;201,E147/2,IF(E147&lt;=301,E147/3,E147/4))))</f>
        <v>437.91584849999992</v>
      </c>
      <c r="G147" s="101"/>
      <c r="H147" s="102"/>
      <c r="I147" s="36"/>
      <c r="K147" s="67">
        <f t="shared" si="5"/>
        <v>1883038.1485499996</v>
      </c>
    </row>
    <row r="148" spans="1:11" s="37" customFormat="1" ht="15.75" customHeight="1" x14ac:dyDescent="0.25">
      <c r="A148" s="96" t="s">
        <v>271</v>
      </c>
      <c r="B148" s="98"/>
      <c r="C148" s="96" t="s">
        <v>270</v>
      </c>
      <c r="D148" s="97"/>
      <c r="E148" s="97"/>
      <c r="F148" s="98"/>
      <c r="G148" s="101"/>
      <c r="H148" s="102"/>
      <c r="I148" s="36"/>
      <c r="K148" s="67">
        <f t="shared" si="5"/>
        <v>0</v>
      </c>
    </row>
    <row r="149" spans="1:11" s="37" customFormat="1" ht="15.75" customHeight="1" x14ac:dyDescent="0.25">
      <c r="A149" s="96">
        <v>5</v>
      </c>
      <c r="B149" s="98"/>
      <c r="C149" s="61" t="s">
        <v>264</v>
      </c>
      <c r="D149" s="66">
        <f>(34.77+0.75*(2.75+2.3+2.75))*10.764</f>
        <v>437.23368000000005</v>
      </c>
      <c r="E149" s="42">
        <v>0</v>
      </c>
      <c r="F149" s="42">
        <f>D149*(($F$132)+1)+(IF(E149&lt;101,E149,IF(E149&lt;201,E149/2,IF(E149&lt;=301,E149/3,E149/4))))</f>
        <v>633.98883600000011</v>
      </c>
      <c r="G149" s="101"/>
      <c r="H149" s="102"/>
      <c r="I149" s="36"/>
      <c r="K149" s="67">
        <f t="shared" si="5"/>
        <v>2726151.9948000005</v>
      </c>
    </row>
    <row r="150" spans="1:11" s="62" customFormat="1" ht="15.75" customHeight="1" x14ac:dyDescent="0.25">
      <c r="A150" s="96">
        <v>6</v>
      </c>
      <c r="B150" s="98"/>
      <c r="C150" s="61" t="s">
        <v>264</v>
      </c>
      <c r="D150" s="66">
        <f>(33.36+0.75*(2.75+2.1+1.9))*10.764</f>
        <v>413.57978999999995</v>
      </c>
      <c r="E150" s="61">
        <v>0</v>
      </c>
      <c r="F150" s="61">
        <f>D150*(($F$132)+1)+(IF(E150&lt;101,E150,IF(E150&lt;201,E150/2,IF(E150&lt;=301,E150/3,E150/4))))</f>
        <v>599.69069549999995</v>
      </c>
      <c r="G150" s="101"/>
      <c r="H150" s="102"/>
      <c r="I150" s="36"/>
      <c r="K150" s="67">
        <f t="shared" si="5"/>
        <v>2578669.9906499996</v>
      </c>
    </row>
    <row r="151" spans="1:11" s="37" customFormat="1" ht="15.75" customHeight="1" x14ac:dyDescent="0.25">
      <c r="A151" s="96">
        <v>7</v>
      </c>
      <c r="B151" s="98"/>
      <c r="C151" s="61" t="s">
        <v>265</v>
      </c>
      <c r="D151" s="66">
        <f>(43.74+0.75*(2.75+2.2+2.75))*10.764</f>
        <v>532.97946000000002</v>
      </c>
      <c r="E151" s="61">
        <v>0</v>
      </c>
      <c r="F151" s="61">
        <f>D151*(($F$132)+1)+(IF(E151&lt;101,E151,IF(E151&lt;201,E151/2,IF(E151&lt;=301,E151/3,E151/4))))</f>
        <v>772.82021699999996</v>
      </c>
      <c r="G151" s="101"/>
      <c r="H151" s="102"/>
      <c r="I151" s="36"/>
      <c r="K151" s="67">
        <f t="shared" si="5"/>
        <v>3323126.9331</v>
      </c>
    </row>
    <row r="152" spans="1:11" s="37" customFormat="1" ht="14.25" customHeight="1" x14ac:dyDescent="0.25">
      <c r="A152" s="96">
        <v>8</v>
      </c>
      <c r="B152" s="98"/>
      <c r="C152" s="61" t="s">
        <v>265</v>
      </c>
      <c r="D152" s="66">
        <f>(43.74+0.75*(2.75+2.2+2.75))*10.764</f>
        <v>532.97946000000002</v>
      </c>
      <c r="E152" s="42">
        <v>0</v>
      </c>
      <c r="F152" s="42">
        <f>D152*(($F$132)+1)+(IF(E152&lt;101,E152,IF(E152&lt;201,E152/2,IF(E152&lt;=301,E152/3,E152/4))))</f>
        <v>772.82021699999996</v>
      </c>
      <c r="G152" s="103"/>
      <c r="H152" s="104"/>
      <c r="I152" s="36"/>
      <c r="K152" s="67">
        <f t="shared" si="5"/>
        <v>3323126.9331</v>
      </c>
    </row>
    <row r="153" spans="1:11" s="62" customFormat="1" x14ac:dyDescent="0.25">
      <c r="A153" s="121" t="s">
        <v>267</v>
      </c>
      <c r="B153" s="122"/>
      <c r="C153" s="122"/>
      <c r="D153" s="122"/>
      <c r="E153" s="122"/>
      <c r="F153" s="122"/>
      <c r="G153" s="122"/>
      <c r="H153" s="123"/>
      <c r="I153" s="36"/>
    </row>
    <row r="154" spans="1:11" s="37" customFormat="1" x14ac:dyDescent="0.25">
      <c r="A154" s="121" t="s">
        <v>262</v>
      </c>
      <c r="B154" s="122"/>
      <c r="C154" s="122"/>
      <c r="D154" s="122"/>
      <c r="E154" s="122"/>
      <c r="F154" s="122"/>
      <c r="G154" s="122"/>
      <c r="H154" s="123"/>
      <c r="I154" s="36"/>
    </row>
    <row r="155" spans="1:11" s="62" customFormat="1" x14ac:dyDescent="0.25">
      <c r="A155" s="121" t="s">
        <v>263</v>
      </c>
      <c r="B155" s="122"/>
      <c r="C155" s="122"/>
      <c r="D155" s="122"/>
      <c r="E155" s="122"/>
      <c r="F155" s="122"/>
      <c r="G155" s="122"/>
      <c r="H155" s="123"/>
      <c r="I155" s="36"/>
    </row>
    <row r="156" spans="1:11" s="62" customFormat="1" ht="15.75" customHeight="1" x14ac:dyDescent="0.25">
      <c r="A156" s="96">
        <v>1</v>
      </c>
      <c r="B156" s="98"/>
      <c r="C156" s="61" t="s">
        <v>265</v>
      </c>
      <c r="D156" s="66">
        <f>(43.36+0.75*(2.75+2.2+2.75+2.6))*10.764</f>
        <v>549.87893999999994</v>
      </c>
      <c r="E156" s="61">
        <v>0</v>
      </c>
      <c r="F156" s="61">
        <f t="shared" ref="F156:F161" si="7">D156*(($F$132)+1)+(IF(E156&lt;101,E156,IF(E156&lt;201,E156/2,IF(E156&lt;=301,E156/3,E156/4))))</f>
        <v>797.32446299999992</v>
      </c>
      <c r="G156" s="99" t="str">
        <f>A155</f>
        <v>1st To 4th Floor For Residential</v>
      </c>
      <c r="H156" s="100"/>
      <c r="I156" s="36"/>
    </row>
    <row r="157" spans="1:11" s="62" customFormat="1" ht="15.75" customHeight="1" x14ac:dyDescent="0.25">
      <c r="A157" s="96">
        <v>2</v>
      </c>
      <c r="B157" s="98"/>
      <c r="C157" s="61" t="s">
        <v>268</v>
      </c>
      <c r="D157" s="66">
        <f>(23.43+0.75*2.75)*10.764</f>
        <v>274.40126999999995</v>
      </c>
      <c r="E157" s="61">
        <v>0</v>
      </c>
      <c r="F157" s="61">
        <f t="shared" si="7"/>
        <v>397.88184149999989</v>
      </c>
      <c r="G157" s="101"/>
      <c r="H157" s="102"/>
      <c r="I157" s="36">
        <f>2.75*4.5+2.1*2.3+1.1*1.9+0.85*1.1+2.25*0.9</f>
        <v>22.254999999999995</v>
      </c>
    </row>
    <row r="158" spans="1:11" s="62" customFormat="1" ht="15.75" customHeight="1" x14ac:dyDescent="0.25">
      <c r="A158" s="96">
        <v>3</v>
      </c>
      <c r="B158" s="98"/>
      <c r="C158" s="61" t="s">
        <v>268</v>
      </c>
      <c r="D158" s="66">
        <f>(23.43+0.75*(2.75+2.1))*10.764</f>
        <v>291.35456999999997</v>
      </c>
      <c r="E158" s="61">
        <v>0</v>
      </c>
      <c r="F158" s="61">
        <f t="shared" si="7"/>
        <v>422.46412649999996</v>
      </c>
      <c r="G158" s="101"/>
      <c r="H158" s="102"/>
      <c r="I158" s="36"/>
    </row>
    <row r="159" spans="1:11" s="62" customFormat="1" ht="15.75" customHeight="1" x14ac:dyDescent="0.25">
      <c r="A159" s="96">
        <v>4</v>
      </c>
      <c r="B159" s="98"/>
      <c r="C159" s="61" t="s">
        <v>264</v>
      </c>
      <c r="D159" s="66">
        <f>(33.84+0.75*(2.75+2.1+2.75))*10.764</f>
        <v>425.60856000000007</v>
      </c>
      <c r="E159" s="61">
        <v>0</v>
      </c>
      <c r="F159" s="61">
        <f t="shared" si="7"/>
        <v>617.13241200000004</v>
      </c>
      <c r="G159" s="101"/>
      <c r="H159" s="102"/>
      <c r="I159" s="36"/>
    </row>
    <row r="160" spans="1:11" s="62" customFormat="1" ht="15.75" customHeight="1" x14ac:dyDescent="0.25">
      <c r="A160" s="96">
        <v>5</v>
      </c>
      <c r="B160" s="98"/>
      <c r="C160" s="61" t="s">
        <v>264</v>
      </c>
      <c r="D160" s="66">
        <f>(33.84+0.75*(2.75+2.1+2.75))*10.764</f>
        <v>425.60856000000007</v>
      </c>
      <c r="E160" s="61">
        <v>0</v>
      </c>
      <c r="F160" s="61">
        <f t="shared" si="7"/>
        <v>617.13241200000004</v>
      </c>
      <c r="G160" s="101"/>
      <c r="H160" s="102"/>
      <c r="I160" s="36"/>
    </row>
    <row r="161" spans="1:9" s="62" customFormat="1" x14ac:dyDescent="0.25">
      <c r="A161" s="96">
        <v>6</v>
      </c>
      <c r="B161" s="98"/>
      <c r="C161" s="61" t="s">
        <v>264</v>
      </c>
      <c r="D161" s="66">
        <f>(33.84+0.75*(2.75+2.1+2.75))*10.764</f>
        <v>425.60856000000007</v>
      </c>
      <c r="E161" s="61">
        <v>0</v>
      </c>
      <c r="F161" s="61">
        <f t="shared" si="7"/>
        <v>617.13241200000004</v>
      </c>
      <c r="G161" s="103"/>
      <c r="H161" s="104"/>
      <c r="I161" s="36"/>
    </row>
    <row r="162" spans="1:9" s="62" customFormat="1" x14ac:dyDescent="0.25">
      <c r="A162" s="121" t="s">
        <v>266</v>
      </c>
      <c r="B162" s="122"/>
      <c r="C162" s="122"/>
      <c r="D162" s="122"/>
      <c r="E162" s="122"/>
      <c r="F162" s="122"/>
      <c r="G162" s="122"/>
      <c r="H162" s="123"/>
      <c r="I162" s="36"/>
    </row>
    <row r="163" spans="1:9" s="62" customFormat="1" x14ac:dyDescent="0.25">
      <c r="A163" s="96">
        <v>1</v>
      </c>
      <c r="B163" s="98"/>
      <c r="C163" s="61" t="s">
        <v>265</v>
      </c>
      <c r="D163" s="66">
        <f>(43.36+0.75*(2.75+2.2+2.75+2.6))*10.764</f>
        <v>549.87893999999994</v>
      </c>
      <c r="E163" s="61">
        <v>0</v>
      </c>
      <c r="F163" s="61">
        <f t="shared" ref="F163:F168" si="8">D163*(($F$132)+1)+(IF(E163&lt;101,E163,IF(E163&lt;201,E163/2,IF(E163&lt;=301,E163/3,E163/4))))</f>
        <v>797.32446299999992</v>
      </c>
      <c r="G163" s="99" t="str">
        <f>A162</f>
        <v>5th Floor</v>
      </c>
      <c r="H163" s="100"/>
      <c r="I163" s="36"/>
    </row>
    <row r="164" spans="1:9" s="62" customFormat="1" x14ac:dyDescent="0.25">
      <c r="A164" s="96">
        <v>2</v>
      </c>
      <c r="B164" s="98"/>
      <c r="C164" s="61" t="s">
        <v>268</v>
      </c>
      <c r="D164" s="66">
        <f>(23.43+0.75*2.75)*10.764</f>
        <v>274.40126999999995</v>
      </c>
      <c r="E164" s="61">
        <v>0</v>
      </c>
      <c r="F164" s="61">
        <f t="shared" si="8"/>
        <v>397.88184149999989</v>
      </c>
      <c r="G164" s="101"/>
      <c r="H164" s="102"/>
      <c r="I164" s="36"/>
    </row>
    <row r="165" spans="1:9" s="62" customFormat="1" x14ac:dyDescent="0.25">
      <c r="A165" s="96">
        <v>3</v>
      </c>
      <c r="B165" s="98"/>
      <c r="C165" s="61" t="s">
        <v>268</v>
      </c>
      <c r="D165" s="66">
        <f>(23.43+0.75*(2.75+2.1))*10.764</f>
        <v>291.35456999999997</v>
      </c>
      <c r="E165" s="61">
        <v>0</v>
      </c>
      <c r="F165" s="61">
        <f t="shared" si="8"/>
        <v>422.46412649999996</v>
      </c>
      <c r="G165" s="101"/>
      <c r="H165" s="102"/>
      <c r="I165" s="36"/>
    </row>
    <row r="166" spans="1:9" s="37" customFormat="1" x14ac:dyDescent="0.25">
      <c r="A166" s="96">
        <v>4</v>
      </c>
      <c r="B166" s="98"/>
      <c r="C166" s="61" t="s">
        <v>264</v>
      </c>
      <c r="D166" s="66">
        <f>(33.84+0.75*(2.75+2.1+2.75))*10.764</f>
        <v>425.60856000000007</v>
      </c>
      <c r="E166" s="61">
        <v>0</v>
      </c>
      <c r="F166" s="42">
        <f t="shared" si="8"/>
        <v>617.13241200000004</v>
      </c>
      <c r="G166" s="101"/>
      <c r="H166" s="102"/>
      <c r="I166" s="36"/>
    </row>
    <row r="167" spans="1:9" s="37" customFormat="1" x14ac:dyDescent="0.25">
      <c r="A167" s="96">
        <v>5</v>
      </c>
      <c r="B167" s="98"/>
      <c r="C167" s="61" t="s">
        <v>264</v>
      </c>
      <c r="D167" s="66">
        <f>(33.84+0.75*(2.75+2.1+2.75))*10.764</f>
        <v>425.60856000000007</v>
      </c>
      <c r="E167" s="61">
        <v>0</v>
      </c>
      <c r="F167" s="42">
        <f t="shared" si="8"/>
        <v>617.13241200000004</v>
      </c>
      <c r="G167" s="101"/>
      <c r="H167" s="102"/>
      <c r="I167" s="36"/>
    </row>
    <row r="168" spans="1:9" s="37" customFormat="1" x14ac:dyDescent="0.25">
      <c r="A168" s="96">
        <v>6</v>
      </c>
      <c r="B168" s="98"/>
      <c r="C168" s="61" t="s">
        <v>264</v>
      </c>
      <c r="D168" s="66">
        <f>(33.84+0.75*(2.75+2.1+2.75))*10.764</f>
        <v>425.60856000000007</v>
      </c>
      <c r="E168" s="61">
        <v>0</v>
      </c>
      <c r="F168" s="42">
        <f t="shared" si="8"/>
        <v>617.13241200000004</v>
      </c>
      <c r="G168" s="103"/>
      <c r="H168" s="104"/>
      <c r="I168" s="36"/>
    </row>
    <row r="169" spans="1:9" s="37" customFormat="1" x14ac:dyDescent="0.25">
      <c r="A169" s="96"/>
      <c r="B169" s="97"/>
      <c r="C169" s="97"/>
      <c r="D169" s="97"/>
      <c r="E169" s="97"/>
      <c r="F169" s="97"/>
      <c r="G169" s="97"/>
      <c r="H169" s="98"/>
      <c r="I169" s="36"/>
    </row>
    <row r="170" spans="1:9" s="35" customFormat="1" x14ac:dyDescent="0.25">
      <c r="A170" s="204" t="s">
        <v>68</v>
      </c>
      <c r="B170" s="204"/>
      <c r="C170" s="204"/>
      <c r="D170" s="204"/>
      <c r="E170" s="204"/>
      <c r="F170" s="204"/>
      <c r="G170" s="204"/>
      <c r="H170" s="204"/>
    </row>
    <row r="171" spans="1:9" s="35" customFormat="1" x14ac:dyDescent="0.25">
      <c r="A171" s="47" t="s">
        <v>153</v>
      </c>
      <c r="B171" s="190" t="s">
        <v>287</v>
      </c>
      <c r="C171" s="191"/>
      <c r="D171" s="191"/>
      <c r="E171" s="191"/>
      <c r="F171" s="191"/>
      <c r="G171" s="191"/>
      <c r="H171" s="192"/>
    </row>
    <row r="172" spans="1:9" s="35" customFormat="1" x14ac:dyDescent="0.25">
      <c r="A172" s="47" t="s">
        <v>153</v>
      </c>
      <c r="B172" s="190" t="str">
        <f>(IF(F131="Saleable area Loading :","We have considered Saleable area of Flats as per our Calculation.","We considered Saleable area of Flat as per Builder area Sheet."))</f>
        <v>We have considered Saleable area of Flats as per our Calculation.</v>
      </c>
      <c r="C172" s="191"/>
      <c r="D172" s="191"/>
      <c r="E172" s="191"/>
      <c r="F172" s="191"/>
      <c r="G172" s="191"/>
      <c r="H172" s="192"/>
    </row>
    <row r="173" spans="1:9" s="35" customFormat="1" x14ac:dyDescent="0.25">
      <c r="A173" s="47" t="s">
        <v>153</v>
      </c>
      <c r="B173" s="190" t="str">
        <f>(IF(F123="Saleable area Loading :","We have considered Saleable area of Commercial as per our Calculation.","We considered Saleable area of Commercial as per Builder area Sheet."))</f>
        <v>We have considered Saleable area of Commercial as per our Calculation.</v>
      </c>
      <c r="C173" s="191"/>
      <c r="D173" s="191"/>
      <c r="E173" s="191"/>
      <c r="F173" s="191"/>
      <c r="G173" s="191"/>
      <c r="H173" s="192"/>
    </row>
    <row r="174" spans="1:9" s="35" customFormat="1" x14ac:dyDescent="0.25">
      <c r="A174" s="47" t="s">
        <v>153</v>
      </c>
      <c r="B174" s="72" t="s">
        <v>123</v>
      </c>
      <c r="C174" s="73"/>
      <c r="D174" s="73"/>
      <c r="E174" s="73"/>
      <c r="F174" s="73"/>
      <c r="G174" s="73"/>
      <c r="H174" s="74"/>
    </row>
    <row r="175" spans="1:9" s="35" customFormat="1" x14ac:dyDescent="0.25">
      <c r="A175" s="47" t="s">
        <v>153</v>
      </c>
      <c r="B175" s="72" t="s">
        <v>272</v>
      </c>
      <c r="C175" s="73"/>
      <c r="D175" s="73"/>
      <c r="E175" s="73"/>
      <c r="F175" s="73"/>
      <c r="G175" s="73"/>
      <c r="H175" s="74"/>
    </row>
    <row r="176" spans="1:9" s="35" customFormat="1" x14ac:dyDescent="0.25">
      <c r="A176" s="47" t="s">
        <v>153</v>
      </c>
      <c r="B176" s="72" t="s">
        <v>152</v>
      </c>
      <c r="C176" s="73"/>
      <c r="D176" s="73"/>
      <c r="E176" s="73"/>
      <c r="F176" s="73"/>
      <c r="G176" s="73"/>
      <c r="H176" s="74"/>
    </row>
    <row r="177" spans="1:9" s="35" customFormat="1" x14ac:dyDescent="0.25">
      <c r="A177" s="47" t="s">
        <v>153</v>
      </c>
      <c r="B177" s="72" t="s">
        <v>124</v>
      </c>
      <c r="C177" s="73"/>
      <c r="D177" s="73"/>
      <c r="E177" s="73"/>
      <c r="F177" s="73"/>
      <c r="G177" s="73"/>
      <c r="H177" s="74"/>
    </row>
    <row r="178" spans="1:9" s="35" customFormat="1" ht="34.5" customHeight="1" x14ac:dyDescent="0.25">
      <c r="A178" s="47" t="s">
        <v>153</v>
      </c>
      <c r="B178" s="72" t="s">
        <v>154</v>
      </c>
      <c r="C178" s="73"/>
      <c r="D178" s="73"/>
      <c r="E178" s="73"/>
      <c r="F178" s="73"/>
      <c r="G178" s="73"/>
      <c r="H178" s="74"/>
    </row>
    <row r="179" spans="1:9" s="35" customFormat="1" x14ac:dyDescent="0.25">
      <c r="A179" s="47" t="s">
        <v>153</v>
      </c>
      <c r="B179" s="72" t="s">
        <v>125</v>
      </c>
      <c r="C179" s="73"/>
      <c r="D179" s="73"/>
      <c r="E179" s="73"/>
      <c r="F179" s="73"/>
      <c r="G179" s="73"/>
      <c r="H179" s="74"/>
    </row>
    <row r="180" spans="1:9" s="35" customFormat="1" ht="32.25" hidden="1" customHeight="1" x14ac:dyDescent="0.25">
      <c r="A180" s="58" t="s">
        <v>153</v>
      </c>
      <c r="B180" s="210" t="s">
        <v>179</v>
      </c>
      <c r="C180" s="211"/>
      <c r="D180" s="211"/>
      <c r="E180" s="211"/>
      <c r="F180" s="211"/>
      <c r="G180" s="211"/>
      <c r="H180" s="212"/>
    </row>
    <row r="181" spans="1:9" s="35" customFormat="1" ht="32.25" customHeight="1" x14ac:dyDescent="0.25">
      <c r="A181" s="63" t="s">
        <v>153</v>
      </c>
      <c r="B181" s="193" t="s">
        <v>279</v>
      </c>
      <c r="C181" s="194"/>
      <c r="D181" s="194"/>
      <c r="E181" s="194"/>
      <c r="F181" s="194"/>
      <c r="G181" s="194"/>
      <c r="H181" s="195"/>
      <c r="I181" s="35" t="s">
        <v>279</v>
      </c>
    </row>
    <row r="182" spans="1:9" s="35" customFormat="1" ht="32.25" customHeight="1" x14ac:dyDescent="0.25">
      <c r="A182" s="68" t="s">
        <v>153</v>
      </c>
      <c r="B182" s="193" t="s">
        <v>288</v>
      </c>
      <c r="C182" s="194"/>
      <c r="D182" s="194"/>
      <c r="E182" s="194"/>
      <c r="F182" s="194"/>
      <c r="G182" s="194"/>
      <c r="H182" s="195"/>
    </row>
    <row r="183" spans="1:9" s="35" customFormat="1" ht="38.25" customHeight="1" x14ac:dyDescent="0.25">
      <c r="A183" s="69" t="s">
        <v>153</v>
      </c>
      <c r="B183" s="193" t="s">
        <v>289</v>
      </c>
      <c r="C183" s="194"/>
      <c r="D183" s="194"/>
      <c r="E183" s="194"/>
      <c r="F183" s="194"/>
      <c r="G183" s="194"/>
      <c r="H183" s="195"/>
    </row>
    <row r="184" spans="1:9" x14ac:dyDescent="0.25">
      <c r="A184" s="184" t="s">
        <v>61</v>
      </c>
      <c r="B184" s="184"/>
      <c r="C184" s="184"/>
      <c r="D184" s="184"/>
      <c r="E184" s="184"/>
      <c r="F184" s="184"/>
      <c r="G184" s="184"/>
      <c r="H184" s="184"/>
    </row>
    <row r="185" spans="1:9" x14ac:dyDescent="0.25">
      <c r="A185" s="89" t="s">
        <v>62</v>
      </c>
      <c r="B185" s="89"/>
      <c r="C185" s="89"/>
      <c r="D185" s="89"/>
      <c r="E185" s="89"/>
      <c r="F185" s="89"/>
      <c r="G185" s="89"/>
      <c r="H185" s="89"/>
    </row>
    <row r="186" spans="1:9" ht="15.75" customHeight="1" x14ac:dyDescent="0.25">
      <c r="A186" s="208" t="s">
        <v>63</v>
      </c>
      <c r="B186" s="208"/>
      <c r="C186" s="208"/>
      <c r="D186" s="208"/>
      <c r="E186" s="208"/>
      <c r="F186" s="208"/>
      <c r="G186" s="208"/>
      <c r="H186" s="208"/>
    </row>
    <row r="187" spans="1:9" x14ac:dyDescent="0.25">
      <c r="A187" s="89" t="s">
        <v>64</v>
      </c>
      <c r="B187" s="89"/>
      <c r="C187" s="89"/>
      <c r="D187" s="89"/>
      <c r="E187" s="89"/>
      <c r="F187" s="89"/>
      <c r="G187" s="89"/>
      <c r="H187" s="89"/>
    </row>
    <row r="188" spans="1:9" x14ac:dyDescent="0.25">
      <c r="A188" s="89" t="s">
        <v>65</v>
      </c>
      <c r="B188" s="89"/>
      <c r="C188" s="89"/>
      <c r="D188" s="89"/>
      <c r="E188" s="89"/>
      <c r="F188" s="89"/>
      <c r="G188" s="89"/>
      <c r="H188" s="89"/>
    </row>
    <row r="189" spans="1:9" x14ac:dyDescent="0.25">
      <c r="A189" s="89" t="s">
        <v>126</v>
      </c>
      <c r="B189" s="89"/>
      <c r="C189" s="89"/>
      <c r="D189" s="89"/>
      <c r="E189" s="89"/>
      <c r="F189" s="89"/>
      <c r="G189" s="89"/>
      <c r="H189" s="89"/>
    </row>
    <row r="190" spans="1:9" ht="33.950000000000003" customHeight="1" x14ac:dyDescent="0.25">
      <c r="A190" s="112" t="s">
        <v>127</v>
      </c>
      <c r="B190" s="112"/>
      <c r="C190" s="112"/>
      <c r="D190" s="112"/>
      <c r="E190" s="112"/>
      <c r="F190" s="112"/>
      <c r="G190" s="112"/>
      <c r="H190" s="112"/>
    </row>
    <row r="191" spans="1:9" x14ac:dyDescent="0.25">
      <c r="A191" s="189" t="s">
        <v>76</v>
      </c>
      <c r="B191" s="189"/>
      <c r="C191" s="189" t="s">
        <v>286</v>
      </c>
      <c r="D191" s="189"/>
      <c r="E191" s="189" t="s">
        <v>106</v>
      </c>
      <c r="F191" s="189"/>
      <c r="G191" s="189" t="s">
        <v>285</v>
      </c>
      <c r="H191" s="189"/>
    </row>
    <row r="192" spans="1:9" x14ac:dyDescent="0.25">
      <c r="A192" s="188" t="s">
        <v>78</v>
      </c>
      <c r="B192" s="188"/>
      <c r="C192" s="188"/>
      <c r="D192" s="188"/>
      <c r="E192" s="188"/>
      <c r="F192" s="188"/>
      <c r="G192" s="188"/>
      <c r="H192" s="188"/>
    </row>
    <row r="193" spans="1:8" x14ac:dyDescent="0.25">
      <c r="A193" s="188"/>
      <c r="B193" s="188"/>
      <c r="C193" s="188"/>
      <c r="D193" s="188"/>
      <c r="E193" s="188"/>
      <c r="F193" s="188"/>
      <c r="G193" s="188"/>
      <c r="H193" s="188"/>
    </row>
    <row r="194" spans="1:8" x14ac:dyDescent="0.25">
      <c r="A194" s="188"/>
      <c r="B194" s="188"/>
      <c r="C194" s="188"/>
      <c r="D194" s="188"/>
      <c r="E194" s="188"/>
      <c r="F194" s="188"/>
      <c r="G194" s="188"/>
      <c r="H194" s="188"/>
    </row>
    <row r="195" spans="1:8" x14ac:dyDescent="0.25">
      <c r="A195" s="188"/>
      <c r="B195" s="188"/>
      <c r="C195" s="188"/>
      <c r="D195" s="188"/>
      <c r="E195" s="188"/>
      <c r="F195" s="188"/>
      <c r="G195" s="188"/>
      <c r="H195" s="188"/>
    </row>
    <row r="196" spans="1:8" x14ac:dyDescent="0.25">
      <c r="A196" s="38" t="s">
        <v>66</v>
      </c>
      <c r="B196" s="39"/>
      <c r="C196" s="39"/>
      <c r="D196" s="38" t="str">
        <f>E8</f>
        <v>Nana Heights</v>
      </c>
      <c r="F196" s="39"/>
      <c r="G196" s="39"/>
      <c r="H196" s="39"/>
    </row>
    <row r="197" spans="1:8" x14ac:dyDescent="0.25">
      <c r="A197" s="39"/>
      <c r="B197" s="39"/>
      <c r="C197" s="39"/>
      <c r="D197" s="39"/>
      <c r="E197" s="39"/>
      <c r="F197" s="39"/>
      <c r="G197" s="39"/>
      <c r="H197" s="39"/>
    </row>
    <row r="198" spans="1:8" x14ac:dyDescent="0.25">
      <c r="A198" s="39"/>
      <c r="B198" s="39"/>
      <c r="C198" s="39"/>
      <c r="D198" s="39"/>
      <c r="E198" s="39"/>
      <c r="F198" s="39"/>
      <c r="G198" s="39"/>
      <c r="H198" s="39"/>
    </row>
    <row r="199" spans="1:8" ht="15" customHeight="1" x14ac:dyDescent="0.25"/>
    <row r="239" spans="1:1" x14ac:dyDescent="0.25">
      <c r="A239" s="41" t="s">
        <v>165</v>
      </c>
    </row>
    <row r="274" spans="1:1" x14ac:dyDescent="0.25">
      <c r="A274" s="41" t="s">
        <v>67</v>
      </c>
    </row>
  </sheetData>
  <mergeCells count="345">
    <mergeCell ref="B183:H183"/>
    <mergeCell ref="B181:H181"/>
    <mergeCell ref="I14:P14"/>
    <mergeCell ref="F106:H106"/>
    <mergeCell ref="F104:H104"/>
    <mergeCell ref="A146:B146"/>
    <mergeCell ref="A122:H122"/>
    <mergeCell ref="G110:H110"/>
    <mergeCell ref="A105:E105"/>
    <mergeCell ref="A127:B127"/>
    <mergeCell ref="A53:B53"/>
    <mergeCell ref="C53:E53"/>
    <mergeCell ref="D55:H55"/>
    <mergeCell ref="F105:H105"/>
    <mergeCell ref="E110:F110"/>
    <mergeCell ref="A110:B110"/>
    <mergeCell ref="A112:B112"/>
    <mergeCell ref="C116:D116"/>
    <mergeCell ref="D64:H64"/>
    <mergeCell ref="A65:C65"/>
    <mergeCell ref="A81:B81"/>
    <mergeCell ref="C81:H81"/>
    <mergeCell ref="A76:B76"/>
    <mergeCell ref="A49:B49"/>
    <mergeCell ref="C49:E49"/>
    <mergeCell ref="G49:H49"/>
    <mergeCell ref="G51:H51"/>
    <mergeCell ref="A50:B50"/>
    <mergeCell ref="A54:H54"/>
    <mergeCell ref="A55:C55"/>
    <mergeCell ref="A56:C56"/>
    <mergeCell ref="D56:H56"/>
    <mergeCell ref="G53:H53"/>
    <mergeCell ref="C51:E51"/>
    <mergeCell ref="C52:H52"/>
    <mergeCell ref="A58:C59"/>
    <mergeCell ref="D58:H58"/>
    <mergeCell ref="D59:H59"/>
    <mergeCell ref="C50:E50"/>
    <mergeCell ref="A189:H189"/>
    <mergeCell ref="A186:H186"/>
    <mergeCell ref="A140:B140"/>
    <mergeCell ref="A116:B116"/>
    <mergeCell ref="D131:D132"/>
    <mergeCell ref="E131:E132"/>
    <mergeCell ref="G131:H132"/>
    <mergeCell ref="A89:B89"/>
    <mergeCell ref="A90:B90"/>
    <mergeCell ref="A91:B91"/>
    <mergeCell ref="F96:H96"/>
    <mergeCell ref="G111:H111"/>
    <mergeCell ref="F103:H103"/>
    <mergeCell ref="C110:D110"/>
    <mergeCell ref="C119:D119"/>
    <mergeCell ref="A134:H134"/>
    <mergeCell ref="A148:B148"/>
    <mergeCell ref="A145:B145"/>
    <mergeCell ref="A126:B126"/>
    <mergeCell ref="B180:H180"/>
    <mergeCell ref="A152:B152"/>
    <mergeCell ref="A131:A132"/>
    <mergeCell ref="B123:B124"/>
    <mergeCell ref="A123:A124"/>
    <mergeCell ref="C131:C132"/>
    <mergeCell ref="A136:B136"/>
    <mergeCell ref="A135:H135"/>
    <mergeCell ref="B174:H174"/>
    <mergeCell ref="B175:H175"/>
    <mergeCell ref="A170:H170"/>
    <mergeCell ref="A144:H144"/>
    <mergeCell ref="A139:B139"/>
    <mergeCell ref="A143:B143"/>
    <mergeCell ref="A141:B141"/>
    <mergeCell ref="A142:B142"/>
    <mergeCell ref="A163:B163"/>
    <mergeCell ref="A166:B166"/>
    <mergeCell ref="A167:B167"/>
    <mergeCell ref="E116:F116"/>
    <mergeCell ref="G128:H128"/>
    <mergeCell ref="G126:H126"/>
    <mergeCell ref="G127:H127"/>
    <mergeCell ref="G129:H129"/>
    <mergeCell ref="A133:H133"/>
    <mergeCell ref="E84:F84"/>
    <mergeCell ref="G84:H84"/>
    <mergeCell ref="A101:E101"/>
    <mergeCell ref="F101:H101"/>
    <mergeCell ref="A102:E102"/>
    <mergeCell ref="A104:E104"/>
    <mergeCell ref="F98:H98"/>
    <mergeCell ref="A103:E103"/>
    <mergeCell ref="E85:F94"/>
    <mergeCell ref="A92:B92"/>
    <mergeCell ref="A93:B93"/>
    <mergeCell ref="A100:E100"/>
    <mergeCell ref="A94:B94"/>
    <mergeCell ref="F95:H95"/>
    <mergeCell ref="F100:H100"/>
    <mergeCell ref="A120:B120"/>
    <mergeCell ref="C120:D120"/>
    <mergeCell ref="E120:F120"/>
    <mergeCell ref="G120:H120"/>
    <mergeCell ref="A192:H195"/>
    <mergeCell ref="A191:B191"/>
    <mergeCell ref="E191:F191"/>
    <mergeCell ref="C191:D191"/>
    <mergeCell ref="G191:H191"/>
    <mergeCell ref="A190:H190"/>
    <mergeCell ref="A188:H188"/>
    <mergeCell ref="A151:B151"/>
    <mergeCell ref="A158:B158"/>
    <mergeCell ref="A159:B159"/>
    <mergeCell ref="A160:B160"/>
    <mergeCell ref="A161:B161"/>
    <mergeCell ref="A129:B129"/>
    <mergeCell ref="A128:B128"/>
    <mergeCell ref="A130:H130"/>
    <mergeCell ref="B177:H177"/>
    <mergeCell ref="B173:H173"/>
    <mergeCell ref="A168:B168"/>
    <mergeCell ref="A154:H154"/>
    <mergeCell ref="B182:H182"/>
    <mergeCell ref="A121:H121"/>
    <mergeCell ref="B171:H171"/>
    <mergeCell ref="B172:H172"/>
    <mergeCell ref="A109:H109"/>
    <mergeCell ref="A107:E107"/>
    <mergeCell ref="F107:H107"/>
    <mergeCell ref="A108:E108"/>
    <mergeCell ref="F108:H108"/>
    <mergeCell ref="A117:B117"/>
    <mergeCell ref="A147:B147"/>
    <mergeCell ref="A111:B111"/>
    <mergeCell ref="A187:H187"/>
    <mergeCell ref="A115:H115"/>
    <mergeCell ref="A184:H184"/>
    <mergeCell ref="G116:H116"/>
    <mergeCell ref="A149:B149"/>
    <mergeCell ref="C123:C124"/>
    <mergeCell ref="B131:B132"/>
    <mergeCell ref="A185:H185"/>
    <mergeCell ref="B179:H179"/>
    <mergeCell ref="C111:D111"/>
    <mergeCell ref="E111:F111"/>
    <mergeCell ref="G113:H113"/>
    <mergeCell ref="A164:B164"/>
    <mergeCell ref="A165:B165"/>
    <mergeCell ref="A162:H162"/>
    <mergeCell ref="A150:B150"/>
    <mergeCell ref="A1:H1"/>
    <mergeCell ref="A2:H2"/>
    <mergeCell ref="A3:D3"/>
    <mergeCell ref="E3:H3"/>
    <mergeCell ref="A4:D4"/>
    <mergeCell ref="A8:D8"/>
    <mergeCell ref="E8:H8"/>
    <mergeCell ref="A9:D9"/>
    <mergeCell ref="E9:H9"/>
    <mergeCell ref="E4:H4"/>
    <mergeCell ref="A5:D5"/>
    <mergeCell ref="E5:H5"/>
    <mergeCell ref="A6:D6"/>
    <mergeCell ref="E6:H6"/>
    <mergeCell ref="A7:D7"/>
    <mergeCell ref="E7:H7"/>
    <mergeCell ref="E13:H13"/>
    <mergeCell ref="A14:D14"/>
    <mergeCell ref="A10:D10"/>
    <mergeCell ref="E10:H10"/>
    <mergeCell ref="A22:D23"/>
    <mergeCell ref="E22:H23"/>
    <mergeCell ref="E14:H14"/>
    <mergeCell ref="A15:B15"/>
    <mergeCell ref="C15:H15"/>
    <mergeCell ref="C16:H16"/>
    <mergeCell ref="A17:B17"/>
    <mergeCell ref="C17:H17"/>
    <mergeCell ref="A12:D12"/>
    <mergeCell ref="E12:H12"/>
    <mergeCell ref="A11:D11"/>
    <mergeCell ref="E11:H11"/>
    <mergeCell ref="A16:B16"/>
    <mergeCell ref="A13:D13"/>
    <mergeCell ref="C34:E34"/>
    <mergeCell ref="A24:D24"/>
    <mergeCell ref="E24:H24"/>
    <mergeCell ref="A18:B18"/>
    <mergeCell ref="C18:D18"/>
    <mergeCell ref="E18:F18"/>
    <mergeCell ref="G18:H18"/>
    <mergeCell ref="A19:B19"/>
    <mergeCell ref="C19:D19"/>
    <mergeCell ref="E19:F19"/>
    <mergeCell ref="G19:H19"/>
    <mergeCell ref="A20:B20"/>
    <mergeCell ref="C20:D20"/>
    <mergeCell ref="E20:F20"/>
    <mergeCell ref="G20:H20"/>
    <mergeCell ref="A21:B21"/>
    <mergeCell ref="C21:D21"/>
    <mergeCell ref="E21:F21"/>
    <mergeCell ref="G21:H21"/>
    <mergeCell ref="F33:H33"/>
    <mergeCell ref="F34:H34"/>
    <mergeCell ref="F36:H36"/>
    <mergeCell ref="E26:H26"/>
    <mergeCell ref="A28:D28"/>
    <mergeCell ref="E28:H28"/>
    <mergeCell ref="A25:D25"/>
    <mergeCell ref="E25:H25"/>
    <mergeCell ref="A29:D29"/>
    <mergeCell ref="E29:H29"/>
    <mergeCell ref="A26:D26"/>
    <mergeCell ref="A35:B35"/>
    <mergeCell ref="C35:E35"/>
    <mergeCell ref="A30:D30"/>
    <mergeCell ref="E30:H30"/>
    <mergeCell ref="A31:D31"/>
    <mergeCell ref="E31:H31"/>
    <mergeCell ref="A27:D27"/>
    <mergeCell ref="E27:H27"/>
    <mergeCell ref="C32:E32"/>
    <mergeCell ref="F35:H35"/>
    <mergeCell ref="F32:H32"/>
    <mergeCell ref="A33:B33"/>
    <mergeCell ref="A32:B32"/>
    <mergeCell ref="C33:E33"/>
    <mergeCell ref="A34:B34"/>
    <mergeCell ref="A37:H37"/>
    <mergeCell ref="A36:B36"/>
    <mergeCell ref="C36:E36"/>
    <mergeCell ref="A41:D41"/>
    <mergeCell ref="E41:H41"/>
    <mergeCell ref="A40:H40"/>
    <mergeCell ref="A60:C60"/>
    <mergeCell ref="A61:C61"/>
    <mergeCell ref="D60:H60"/>
    <mergeCell ref="D61:H61"/>
    <mergeCell ref="A43:D43"/>
    <mergeCell ref="E43:H43"/>
    <mergeCell ref="E44:H44"/>
    <mergeCell ref="E45:H45"/>
    <mergeCell ref="E46:H46"/>
    <mergeCell ref="A46:D46"/>
    <mergeCell ref="A47:H47"/>
    <mergeCell ref="D57:H57"/>
    <mergeCell ref="A57:C57"/>
    <mergeCell ref="G50:H50"/>
    <mergeCell ref="A51:B52"/>
    <mergeCell ref="E42:H42"/>
    <mergeCell ref="A42:D42"/>
    <mergeCell ref="A39:B39"/>
    <mergeCell ref="A38:B38"/>
    <mergeCell ref="C38:H38"/>
    <mergeCell ref="A45:D45"/>
    <mergeCell ref="L129:M129"/>
    <mergeCell ref="L128:M128"/>
    <mergeCell ref="L127:M127"/>
    <mergeCell ref="L126:M126"/>
    <mergeCell ref="A78:B78"/>
    <mergeCell ref="C117:D117"/>
    <mergeCell ref="E117:F117"/>
    <mergeCell ref="G117:H117"/>
    <mergeCell ref="F102:H102"/>
    <mergeCell ref="A96:E96"/>
    <mergeCell ref="A125:H125"/>
    <mergeCell ref="E123:E124"/>
    <mergeCell ref="G123:H124"/>
    <mergeCell ref="A85:B85"/>
    <mergeCell ref="E71:F80"/>
    <mergeCell ref="G71:H80"/>
    <mergeCell ref="A79:B79"/>
    <mergeCell ref="A80:B80"/>
    <mergeCell ref="A84:B84"/>
    <mergeCell ref="C83:H83"/>
    <mergeCell ref="A44:D44"/>
    <mergeCell ref="L139:M139"/>
    <mergeCell ref="A153:H153"/>
    <mergeCell ref="A155:H155"/>
    <mergeCell ref="A156:B156"/>
    <mergeCell ref="A157:B157"/>
    <mergeCell ref="C148:F148"/>
    <mergeCell ref="C112:D112"/>
    <mergeCell ref="E112:F112"/>
    <mergeCell ref="G112:H112"/>
    <mergeCell ref="A113:B113"/>
    <mergeCell ref="C113:D113"/>
    <mergeCell ref="L137:M137"/>
    <mergeCell ref="A138:B138"/>
    <mergeCell ref="L138:M138"/>
    <mergeCell ref="L136:M136"/>
    <mergeCell ref="A137:B137"/>
    <mergeCell ref="A118:B118"/>
    <mergeCell ref="C118:D118"/>
    <mergeCell ref="E118:F118"/>
    <mergeCell ref="G118:H118"/>
    <mergeCell ref="G145:H152"/>
    <mergeCell ref="G136:H143"/>
    <mergeCell ref="A114:H114"/>
    <mergeCell ref="A119:B119"/>
    <mergeCell ref="A77:B77"/>
    <mergeCell ref="A70:B70"/>
    <mergeCell ref="A73:B73"/>
    <mergeCell ref="A69:B69"/>
    <mergeCell ref="A67:B67"/>
    <mergeCell ref="C67:H67"/>
    <mergeCell ref="A75:B75"/>
    <mergeCell ref="A62:C62"/>
    <mergeCell ref="D62:H62"/>
    <mergeCell ref="C69:H69"/>
    <mergeCell ref="A72:B72"/>
    <mergeCell ref="A74:B74"/>
    <mergeCell ref="E70:F70"/>
    <mergeCell ref="A63:C63"/>
    <mergeCell ref="D63:H63"/>
    <mergeCell ref="A66:C66"/>
    <mergeCell ref="D66:H66"/>
    <mergeCell ref="A64:C64"/>
    <mergeCell ref="D65:H65"/>
    <mergeCell ref="A71:B71"/>
    <mergeCell ref="G70:H70"/>
    <mergeCell ref="C39:H39"/>
    <mergeCell ref="B178:H178"/>
    <mergeCell ref="A48:B48"/>
    <mergeCell ref="C48:H48"/>
    <mergeCell ref="B176:H176"/>
    <mergeCell ref="G85:H94"/>
    <mergeCell ref="A86:B86"/>
    <mergeCell ref="A87:B87"/>
    <mergeCell ref="A88:B88"/>
    <mergeCell ref="F97:H97"/>
    <mergeCell ref="A97:E97"/>
    <mergeCell ref="D123:D124"/>
    <mergeCell ref="A99:E99"/>
    <mergeCell ref="A98:E98"/>
    <mergeCell ref="A95:E95"/>
    <mergeCell ref="F99:H99"/>
    <mergeCell ref="A106:E106"/>
    <mergeCell ref="G119:H119"/>
    <mergeCell ref="A83:B83"/>
    <mergeCell ref="A169:H169"/>
    <mergeCell ref="G163:H168"/>
    <mergeCell ref="G156:H161"/>
    <mergeCell ref="E119:F119"/>
    <mergeCell ref="E113:F113"/>
  </mergeCells>
  <dataValidations count="13">
    <dataValidation type="list" allowBlank="1" showInputMessage="1" showErrorMessage="1" sqref="E4:H4">
      <formula1>"Axis Goregaon,Axis Thane,Axis Badlapur,Axis Sanpada, PNB Thane"</formula1>
    </dataValidation>
    <dataValidation type="list" allowBlank="1" showInputMessage="1" showErrorMessage="1" sqref="A16:B16">
      <formula1>"CTS No,Old S. No,Plot No,Gut No,FP No,"</formula1>
    </dataValidation>
    <dataValidation type="list" allowBlank="1" showInputMessage="1" showErrorMessage="1" sqref="G19:H19">
      <formula1>$S$12:$W$12</formula1>
    </dataValidation>
    <dataValidation type="list" allowBlank="1" showInputMessage="1" showErrorMessage="1" sqref="E123:E124">
      <formula1>"Attached Loft area,Attached Terrace area,Attached Mezzanine area"</formula1>
    </dataValidation>
    <dataValidation type="list" allowBlank="1" showInputMessage="1" showErrorMessage="1" sqref="F124 F132">
      <formula1>"45%,50%,55%,60%"</formula1>
    </dataValidation>
    <dataValidation type="list" allowBlank="1" showInputMessage="1" showErrorMessage="1" sqref="G191:H191">
      <formula1>"Kunal Kadam,Shruti Tathare,Pranita Mhatre,Shruti Fule,Pooja Kawale,Mansee Mohite,Anjali Kamble, Hitakshi Mhatre, Sachin Sawant"</formula1>
    </dataValidation>
    <dataValidation type="list" allowBlank="1" showInputMessage="1" showErrorMessage="1" sqref="F95:H95">
      <formula1>"On Saleable Area,On Builtup Area,On Carpet Area,On Plot Area"</formula1>
    </dataValidation>
    <dataValidation type="list" allowBlank="1" showInputMessage="1" showErrorMessage="1" sqref="F107:H107">
      <formula1>"100000,150000,200000,250000,300000,350000,400000,500000,600000,700000,800000,900000,1000000,1200000,1400000,1500000"</formula1>
    </dataValidation>
    <dataValidation type="list" allowBlank="1" showInputMessage="1" showErrorMessage="1" sqref="F123 F131">
      <formula1>"Saleable area Loading :,Builder Saleable area"</formula1>
    </dataValidation>
    <dataValidation type="list" allowBlank="1" showInputMessage="1" showErrorMessage="1" sqref="B123:B124">
      <formula1>"Shop No. (Sale Plan),Sale / Rehab,Sale / Mhada"</formula1>
    </dataValidation>
    <dataValidation type="list" allowBlank="1" showInputMessage="1" showErrorMessage="1" sqref="B131:B132">
      <formula1>"Flat No. (Sale Plan),Sale / Rehab,Sale / Mhada"</formula1>
    </dataValidation>
    <dataValidation type="list" allowBlank="1" showInputMessage="1" showErrorMessage="1" sqref="C20:D20">
      <formula1>OFFSET($S$12,1,MATCH($G19,$S$12:$W$12,0)-1,15,1)</formula1>
    </dataValidation>
    <dataValidation type="list" allowBlank="1" showInputMessage="1" showErrorMessage="1" sqref="Y12">
      <formula1>$D$4:$H$4</formula1>
    </dataValidation>
  </dataValidations>
  <hyperlinks>
    <hyperlink ref="C39"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5" manualBreakCount="5">
    <brk id="66" max="7" man="1"/>
    <brk id="169" max="7" man="1"/>
    <brk id="195" max="16383" man="1"/>
    <brk id="238" max="16383" man="1"/>
    <brk id="273" max="16383" man="1"/>
  </rowBreaks>
  <ignoredErrors>
    <ignoredError sqref="F136:F143 C148:F148 C151:C152 C150 E150:F150 F157:F161 F156:G156 C145:C147 E145:F147 C149 F149 E151:F152 C15 D71:D80 D85:D94 G119:H120 E117:F120 E7 E42:H44 C50:E51 G50:H51 D65:D66 F163:F166 F167:F168 E25:H31 H68 C120 G163 C117:D119 F108" unlockedFormula="1"/>
  </ignoredError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20" sqref="C20"/>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24" t="s">
        <v>107</v>
      </c>
      <c r="C3" s="224"/>
      <c r="D3" s="224"/>
      <c r="E3" s="224"/>
      <c r="F3" s="224"/>
      <c r="G3" s="224"/>
      <c r="H3" s="224"/>
    </row>
    <row r="4" spans="1:9" x14ac:dyDescent="0.25">
      <c r="A4" s="2"/>
      <c r="B4" s="3" t="s">
        <v>108</v>
      </c>
      <c r="C4" s="3" t="s">
        <v>109</v>
      </c>
      <c r="D4" s="3" t="s">
        <v>69</v>
      </c>
      <c r="E4" s="3" t="s">
        <v>110</v>
      </c>
      <c r="F4" s="3" t="s">
        <v>116</v>
      </c>
      <c r="G4" s="3" t="s">
        <v>117</v>
      </c>
      <c r="H4" s="3" t="s">
        <v>111</v>
      </c>
    </row>
    <row r="5" spans="1:9" ht="15" customHeight="1" x14ac:dyDescent="0.25">
      <c r="A5" s="2"/>
      <c r="B5" s="5" t="s">
        <v>112</v>
      </c>
      <c r="C5" s="6"/>
      <c r="D5" s="5"/>
      <c r="E5" s="5"/>
      <c r="F5" s="7">
        <f>E5*1.6</f>
        <v>0</v>
      </c>
      <c r="G5" s="7" t="e">
        <f>H5/F5</f>
        <v>#DIV/0!</v>
      </c>
      <c r="H5" s="8"/>
    </row>
    <row r="6" spans="1:9" x14ac:dyDescent="0.25">
      <c r="A6" s="2"/>
      <c r="B6" s="5" t="s">
        <v>112</v>
      </c>
      <c r="C6" s="9"/>
      <c r="D6" s="5"/>
      <c r="E6" s="5"/>
      <c r="F6" s="7">
        <f t="shared" ref="F6:F11" si="0">E6*1.6</f>
        <v>0</v>
      </c>
      <c r="G6" s="7" t="e">
        <f t="shared" ref="G6:G11" si="1">H6/F6</f>
        <v>#DIV/0!</v>
      </c>
      <c r="H6" s="8"/>
    </row>
    <row r="7" spans="1:9" ht="15" customHeight="1" x14ac:dyDescent="0.25">
      <c r="A7" s="2"/>
      <c r="B7" s="5" t="s">
        <v>112</v>
      </c>
      <c r="C7" s="6"/>
      <c r="D7" s="5"/>
      <c r="E7" s="5"/>
      <c r="F7" s="7">
        <f t="shared" si="0"/>
        <v>0</v>
      </c>
      <c r="G7" s="7" t="e">
        <f t="shared" si="1"/>
        <v>#DIV/0!</v>
      </c>
      <c r="H7" s="8"/>
    </row>
    <row r="8" spans="1:9" x14ac:dyDescent="0.25">
      <c r="A8" s="2"/>
      <c r="B8" s="5" t="s">
        <v>112</v>
      </c>
      <c r="C8" s="9"/>
      <c r="D8" s="5"/>
      <c r="E8" s="5"/>
      <c r="F8" s="7">
        <f t="shared" si="0"/>
        <v>0</v>
      </c>
      <c r="G8" s="7" t="e">
        <f t="shared" si="1"/>
        <v>#DIV/0!</v>
      </c>
      <c r="H8" s="8"/>
    </row>
    <row r="9" spans="1:9" ht="15" customHeight="1" x14ac:dyDescent="0.25">
      <c r="A9" s="2"/>
      <c r="B9" s="5" t="s">
        <v>112</v>
      </c>
      <c r="C9" s="9"/>
      <c r="D9" s="5"/>
      <c r="E9" s="5"/>
      <c r="F9" s="7">
        <f t="shared" si="0"/>
        <v>0</v>
      </c>
      <c r="G9" s="7" t="e">
        <f t="shared" si="1"/>
        <v>#DIV/0!</v>
      </c>
      <c r="H9" s="8"/>
    </row>
    <row r="10" spans="1:9" ht="15" customHeight="1" x14ac:dyDescent="0.25">
      <c r="A10" s="2"/>
      <c r="B10" s="5" t="s">
        <v>113</v>
      </c>
      <c r="C10" s="6"/>
      <c r="D10" s="5"/>
      <c r="E10" s="5"/>
      <c r="F10" s="7">
        <f t="shared" si="0"/>
        <v>0</v>
      </c>
      <c r="G10" s="7" t="e">
        <f t="shared" si="1"/>
        <v>#DIV/0!</v>
      </c>
      <c r="H10" s="8"/>
    </row>
    <row r="11" spans="1:9" ht="15" customHeight="1" x14ac:dyDescent="0.25">
      <c r="A11" s="2"/>
      <c r="B11" s="5" t="s">
        <v>113</v>
      </c>
      <c r="C11" s="6"/>
      <c r="D11" s="5"/>
      <c r="E11" s="5"/>
      <c r="F11" s="7">
        <f t="shared" si="0"/>
        <v>0</v>
      </c>
      <c r="G11" s="7" t="e">
        <f t="shared" si="1"/>
        <v>#DIV/0!</v>
      </c>
      <c r="H11" s="8"/>
    </row>
    <row r="12" spans="1:9" ht="15" customHeight="1" x14ac:dyDescent="0.25">
      <c r="A12" s="2"/>
      <c r="B12" s="10" t="s">
        <v>114</v>
      </c>
      <c r="C12" s="5"/>
      <c r="D12" s="5"/>
      <c r="E12" s="5"/>
      <c r="F12" s="5"/>
      <c r="G12" s="11" t="e">
        <f>AVERAGE(G5:G11)</f>
        <v>#DIV/0!</v>
      </c>
      <c r="H12" s="5"/>
    </row>
    <row r="13" spans="1:9" ht="15" customHeight="1" x14ac:dyDescent="0.25">
      <c r="B13" s="10" t="s">
        <v>115</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30"/>
  <sheetViews>
    <sheetView topLeftCell="A16" zoomScale="130" zoomScaleNormal="130" workbookViewId="0">
      <selection activeCell="C30" sqref="C30"/>
    </sheetView>
  </sheetViews>
  <sheetFormatPr defaultRowHeight="15" x14ac:dyDescent="0.25"/>
  <cols>
    <col min="4" max="4" width="11" bestFit="1" customWidth="1"/>
    <col min="5" max="5" width="10.42578125" bestFit="1" customWidth="1"/>
    <col min="8" max="8" width="10.5703125" bestFit="1" customWidth="1"/>
  </cols>
  <sheetData>
    <row r="3" spans="2:11" x14ac:dyDescent="0.25">
      <c r="J3">
        <v>1</v>
      </c>
      <c r="K3">
        <v>2</v>
      </c>
    </row>
    <row r="4" spans="2:11" x14ac:dyDescent="0.25">
      <c r="B4" s="59"/>
      <c r="C4" s="59" t="s">
        <v>12</v>
      </c>
      <c r="D4" s="60" t="s">
        <v>180</v>
      </c>
      <c r="E4" s="60" t="s">
        <v>190</v>
      </c>
      <c r="F4" s="60" t="s">
        <v>174</v>
      </c>
      <c r="G4" s="60" t="s">
        <v>195</v>
      </c>
      <c r="H4" s="60" t="s">
        <v>213</v>
      </c>
      <c r="J4" t="s">
        <v>195</v>
      </c>
      <c r="K4" t="s">
        <v>211</v>
      </c>
    </row>
    <row r="5" spans="2:11" x14ac:dyDescent="0.25">
      <c r="B5" s="59"/>
      <c r="C5" s="59"/>
      <c r="D5" s="60" t="s">
        <v>181</v>
      </c>
      <c r="E5" s="60" t="s">
        <v>188</v>
      </c>
      <c r="F5" s="60" t="s">
        <v>210</v>
      </c>
      <c r="G5" s="60" t="s">
        <v>196</v>
      </c>
      <c r="H5" s="60" t="s">
        <v>214</v>
      </c>
    </row>
    <row r="6" spans="2:11" x14ac:dyDescent="0.25">
      <c r="B6" s="59"/>
      <c r="C6" s="59"/>
      <c r="D6" s="60" t="s">
        <v>182</v>
      </c>
      <c r="E6" s="60" t="s">
        <v>189</v>
      </c>
      <c r="F6" s="60" t="s">
        <v>211</v>
      </c>
      <c r="G6" s="60" t="s">
        <v>197</v>
      </c>
      <c r="H6" s="60" t="s">
        <v>227</v>
      </c>
    </row>
    <row r="7" spans="2:11" x14ac:dyDescent="0.25">
      <c r="B7" s="59"/>
      <c r="C7" s="59"/>
      <c r="D7" s="60" t="s">
        <v>183</v>
      </c>
      <c r="E7" s="60" t="s">
        <v>191</v>
      </c>
      <c r="F7" s="60" t="s">
        <v>212</v>
      </c>
      <c r="G7" s="60" t="s">
        <v>198</v>
      </c>
      <c r="H7" s="60" t="s">
        <v>215</v>
      </c>
    </row>
    <row r="8" spans="2:11" x14ac:dyDescent="0.25">
      <c r="B8" s="59"/>
      <c r="C8" s="59"/>
      <c r="D8" s="60" t="s">
        <v>184</v>
      </c>
      <c r="E8" s="60" t="s">
        <v>192</v>
      </c>
      <c r="F8" s="60"/>
      <c r="G8" s="60" t="s">
        <v>199</v>
      </c>
      <c r="H8" s="60" t="s">
        <v>216</v>
      </c>
    </row>
    <row r="9" spans="2:11" x14ac:dyDescent="0.25">
      <c r="B9" s="59"/>
      <c r="C9" s="59"/>
      <c r="D9" s="60" t="s">
        <v>185</v>
      </c>
      <c r="E9" s="60" t="s">
        <v>190</v>
      </c>
      <c r="F9" s="60"/>
      <c r="G9" s="60" t="s">
        <v>200</v>
      </c>
      <c r="H9" s="60" t="s">
        <v>217</v>
      </c>
    </row>
    <row r="10" spans="2:11" x14ac:dyDescent="0.25">
      <c r="B10" s="59"/>
      <c r="C10" s="59"/>
      <c r="D10" s="60" t="s">
        <v>186</v>
      </c>
      <c r="E10" s="60" t="s">
        <v>193</v>
      </c>
      <c r="F10" s="60"/>
      <c r="G10" s="60" t="s">
        <v>201</v>
      </c>
      <c r="H10" s="60" t="s">
        <v>218</v>
      </c>
    </row>
    <row r="11" spans="2:11" x14ac:dyDescent="0.25">
      <c r="B11" s="59"/>
      <c r="C11" s="59"/>
      <c r="D11" s="60" t="s">
        <v>187</v>
      </c>
      <c r="E11" s="60" t="s">
        <v>194</v>
      </c>
      <c r="F11" s="60"/>
      <c r="G11" s="60" t="s">
        <v>202</v>
      </c>
      <c r="H11" s="60" t="s">
        <v>219</v>
      </c>
    </row>
    <row r="12" spans="2:11" x14ac:dyDescent="0.25">
      <c r="B12" s="59"/>
      <c r="C12" s="59"/>
      <c r="D12" s="60"/>
      <c r="E12" s="60"/>
      <c r="F12" s="60"/>
      <c r="G12" s="60" t="s">
        <v>203</v>
      </c>
      <c r="H12" s="60" t="s">
        <v>220</v>
      </c>
    </row>
    <row r="13" spans="2:11" x14ac:dyDescent="0.25">
      <c r="B13" s="59"/>
      <c r="C13" s="59"/>
      <c r="D13" s="60"/>
      <c r="E13" s="60"/>
      <c r="F13" s="60"/>
      <c r="G13" s="60" t="s">
        <v>204</v>
      </c>
      <c r="H13" s="60" t="s">
        <v>221</v>
      </c>
    </row>
    <row r="14" spans="2:11" x14ac:dyDescent="0.25">
      <c r="B14" s="59"/>
      <c r="C14" s="59"/>
      <c r="D14" s="60"/>
      <c r="E14" s="60"/>
      <c r="F14" s="60"/>
      <c r="G14" s="60" t="s">
        <v>205</v>
      </c>
      <c r="H14" s="60" t="s">
        <v>222</v>
      </c>
    </row>
    <row r="15" spans="2:11" x14ac:dyDescent="0.25">
      <c r="B15" s="59"/>
      <c r="C15" s="59"/>
      <c r="D15" s="60"/>
      <c r="E15" s="60"/>
      <c r="F15" s="60"/>
      <c r="G15" s="60" t="s">
        <v>206</v>
      </c>
      <c r="H15" s="60" t="s">
        <v>223</v>
      </c>
    </row>
    <row r="16" spans="2:11" x14ac:dyDescent="0.25">
      <c r="B16" s="59"/>
      <c r="C16" s="59"/>
      <c r="D16" s="60"/>
      <c r="E16" s="60"/>
      <c r="F16" s="60"/>
      <c r="G16" s="60" t="s">
        <v>207</v>
      </c>
      <c r="H16" s="60" t="s">
        <v>224</v>
      </c>
    </row>
    <row r="17" spans="2:8" x14ac:dyDescent="0.25">
      <c r="B17" s="59"/>
      <c r="C17" s="59"/>
      <c r="D17" s="60"/>
      <c r="E17" s="60"/>
      <c r="F17" s="60"/>
      <c r="G17" s="60" t="s">
        <v>208</v>
      </c>
      <c r="H17" s="60" t="s">
        <v>225</v>
      </c>
    </row>
    <row r="18" spans="2:8" x14ac:dyDescent="0.25">
      <c r="B18" s="59"/>
      <c r="C18" s="59"/>
      <c r="D18" s="60"/>
      <c r="E18" s="60"/>
      <c r="F18" s="60"/>
      <c r="G18" s="60" t="s">
        <v>209</v>
      </c>
      <c r="H18" s="60" t="s">
        <v>226</v>
      </c>
    </row>
    <row r="24" spans="2:8" x14ac:dyDescent="0.25">
      <c r="C24" t="s">
        <v>171</v>
      </c>
    </row>
    <row r="25" spans="2:8" x14ac:dyDescent="0.25">
      <c r="C25" t="s">
        <v>228</v>
      </c>
    </row>
    <row r="26" spans="2:8" x14ac:dyDescent="0.25">
      <c r="C26" t="s">
        <v>229</v>
      </c>
    </row>
    <row r="27" spans="2:8" x14ac:dyDescent="0.25">
      <c r="C27" t="s">
        <v>230</v>
      </c>
    </row>
    <row r="28" spans="2:8" x14ac:dyDescent="0.25">
      <c r="C28" t="s">
        <v>231</v>
      </c>
    </row>
    <row r="29" spans="2:8" x14ac:dyDescent="0.25">
      <c r="C29" t="s">
        <v>232</v>
      </c>
    </row>
    <row r="30" spans="2:8" x14ac:dyDescent="0.25">
      <c r="C30" t="s">
        <v>171</v>
      </c>
    </row>
  </sheetData>
  <dataValidations count="2">
    <dataValidation type="list" allowBlank="1" showInputMessage="1" showErrorMessage="1" sqref="J4">
      <formula1>$D$4:$H$4</formula1>
    </dataValidation>
    <dataValidation type="list" allowBlank="1" showInputMessage="1" showErrorMessage="1" sqref="K4">
      <formula1>OFFSET($D$4,1,MATCH($J4,$D$4:$H$4,0)-1,15,1)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Research</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2025-09-18T11:42:19Z</cp:lastPrinted>
  <dcterms:created xsi:type="dcterms:W3CDTF">2019-07-16T09:29:46Z</dcterms:created>
  <dcterms:modified xsi:type="dcterms:W3CDTF">2025-09-18T11:44:36Z</dcterms:modified>
</cp:coreProperties>
</file>