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14B65269-1D15-4759-8E51-0CDE1E066A6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9" i="1" l="1"/>
  <c r="N130" i="1"/>
  <c r="N131" i="1"/>
  <c r="N132" i="1"/>
  <c r="N133" i="1"/>
  <c r="N134" i="1"/>
  <c r="N135" i="1"/>
  <c r="N136" i="1"/>
  <c r="N137" i="1"/>
  <c r="N138" i="1"/>
  <c r="N128" i="1"/>
  <c r="D137" i="1"/>
  <c r="D138" i="1"/>
  <c r="D150" i="1"/>
  <c r="D149" i="1"/>
  <c r="D148" i="1"/>
  <c r="D147" i="1"/>
  <c r="D146" i="1"/>
  <c r="D144" i="1"/>
  <c r="D143" i="1"/>
  <c r="D142" i="1"/>
  <c r="D141" i="1"/>
  <c r="D128" i="1"/>
  <c r="D134" i="1"/>
  <c r="D140" i="1"/>
  <c r="D136" i="1"/>
  <c r="D135" i="1"/>
  <c r="D132" i="1"/>
  <c r="M132" i="1" s="1"/>
  <c r="D130" i="1"/>
  <c r="D129" i="1"/>
  <c r="M138" i="1" l="1"/>
  <c r="M137" i="1"/>
  <c r="M136" i="1"/>
  <c r="M135" i="1"/>
  <c r="M134" i="1"/>
  <c r="M129" i="1"/>
  <c r="M128" i="1"/>
  <c r="M107" i="1"/>
  <c r="M115" i="1"/>
  <c r="C99" i="1"/>
  <c r="C100" i="1" s="1"/>
  <c r="G99" i="1"/>
  <c r="K130" i="1"/>
  <c r="J129" i="1"/>
  <c r="J128" i="1"/>
  <c r="I132" i="1"/>
  <c r="I131" i="1"/>
  <c r="I130" i="1"/>
  <c r="I129" i="1"/>
  <c r="I128" i="1"/>
  <c r="I115" i="1"/>
  <c r="I106" i="1"/>
  <c r="E131" i="1"/>
  <c r="E130" i="1"/>
  <c r="M130" i="1" s="1"/>
  <c r="D131" i="1"/>
  <c r="E99" i="1" s="1"/>
  <c r="D121" i="1"/>
  <c r="M121" i="1" s="1"/>
  <c r="D120" i="1"/>
  <c r="M120" i="1" s="1"/>
  <c r="D119" i="1"/>
  <c r="M119" i="1" s="1"/>
  <c r="D118" i="1"/>
  <c r="M118" i="1" s="1"/>
  <c r="D117" i="1"/>
  <c r="M117" i="1" s="1"/>
  <c r="D116" i="1"/>
  <c r="M116" i="1" s="1"/>
  <c r="D115" i="1"/>
  <c r="D114" i="1"/>
  <c r="M114" i="1" s="1"/>
  <c r="D113" i="1"/>
  <c r="M113" i="1" s="1"/>
  <c r="D112" i="1"/>
  <c r="M112" i="1" s="1"/>
  <c r="D111" i="1"/>
  <c r="M111" i="1" s="1"/>
  <c r="D110" i="1"/>
  <c r="M110" i="1" s="1"/>
  <c r="D109" i="1"/>
  <c r="M109" i="1" s="1"/>
  <c r="D108" i="1"/>
  <c r="M108" i="1" s="1"/>
  <c r="D107" i="1"/>
  <c r="D106" i="1"/>
  <c r="C96" i="1" s="1"/>
  <c r="E42" i="1"/>
  <c r="M106" i="1" l="1"/>
  <c r="M131" i="1"/>
  <c r="E96" i="1"/>
  <c r="E100" i="1" s="1"/>
  <c r="Z12" i="1"/>
  <c r="I14" i="1"/>
  <c r="A135" i="1"/>
  <c r="A141" i="1"/>
  <c r="E43" i="1" l="1"/>
  <c r="E44" i="1" s="1"/>
  <c r="A142" i="1"/>
  <c r="A136" i="1"/>
  <c r="C15" i="1" l="1"/>
  <c r="A137" i="1"/>
  <c r="A143" i="1"/>
  <c r="E30" i="1" l="1"/>
  <c r="A144" i="1"/>
  <c r="A138" i="1"/>
  <c r="A129" i="1" l="1"/>
  <c r="A130" i="1" s="1"/>
  <c r="A131" i="1" s="1"/>
  <c r="A132" i="1" s="1"/>
  <c r="G128" i="1"/>
  <c r="F93" i="1" l="1"/>
  <c r="G96" i="1" l="1"/>
  <c r="G100" i="1" s="1"/>
  <c r="B153" i="1"/>
  <c r="A147" i="1"/>
  <c r="B154" i="1" l="1"/>
  <c r="A14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5" i="1"/>
  <c r="G146" i="1"/>
  <c r="G140" i="1"/>
  <c r="G134" i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G106" i="1"/>
  <c r="C66" i="1"/>
  <c r="B67" i="1" s="1"/>
  <c r="D55" i="1"/>
  <c r="G50" i="1"/>
  <c r="G51" i="1" s="1"/>
  <c r="C50" i="1"/>
  <c r="C51" i="1" s="1"/>
  <c r="E27" i="1"/>
  <c r="E25" i="1"/>
  <c r="E7" i="1"/>
  <c r="E3" i="1"/>
  <c r="A149" i="1"/>
  <c r="D60" i="1" l="1"/>
  <c r="A150" i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<sst xmlns="http://schemas.openxmlformats.org/spreadsheetml/2006/main" count="422" uniqueCount="287">
  <si>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</si>
  <si>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</si>
  <si>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</si>
  <si>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</si>
  <si>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</si>
  <si>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</si>
  <si>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</si>
  <si>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</si>
  <si>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</si>
  <si>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</si>
  <si>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</si>
  <si>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</si>
  <si>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</si>
  <si>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</si>
  <si>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</si>
  <si>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</si>
  <si>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</si>
  <si>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</si>
  <si>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</si>
  <si>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</si>
  <si>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</si>
  <si>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</si>
  <si>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</si>
  <si>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</si>
  <si>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</si>
  <si>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</si>
  <si>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</si>
  <si>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</si>
  <si>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</si>
  <si>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</si>
  <si>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</si>
  <si>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</si>
  <si>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</si>
  <si>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</si>
  <si>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</si>
  <si>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</si>
  <si>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</si>
  <si>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</si>
  <si>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</si>
  <si>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</si>
  <si>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</si>
  <si>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</si>
  <si>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</si>
  <si>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</si>
  <si>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</si>
  <si>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</si>
  <si>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</si>
  <si>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</si>
  <si>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</si>
  <si>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</si>
  <si>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</si>
  <si>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</si>
  <si>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</si>
  <si>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</si>
  <si>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</si>
  <si>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</si>
  <si>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</si>
  <si>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</si>
  <si>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</si>
  <si>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</si>
  <si>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</si>
  <si>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</si>
  <si>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</si>
  <si>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</si>
  <si>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</si>
  <si>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</si>
  <si>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</si>
  <si>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</si>
  <si>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</si>
  <si>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</si>
  <si>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</si>
  <si>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</si>
  <si>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</si>
  <si>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</si>
  <si>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</si>
  <si>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</si>
  <si>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</si>
  <si>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</si>
  <si>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</si>
  <si>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</si>
  <si>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</si>
  <si>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</si>
  <si>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</si>
  <si>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</si>
  <si>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</si>
  <si>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</si>
  <si>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</si>
  <si>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</si>
  <si>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</si>
  <si>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</si>
  <si>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</si>
  <si>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</si>
  <si>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</si>
  <si>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</si>
  <si>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</si>
  <si>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</si>
  <si>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</si>
  <si>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</si>
  <si>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</si>
  <si>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</si>
  <si>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</si>
  <si>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</si>
  <si>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</si>
  <si>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</si>
  <si>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</si>
  <si>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</si>
  <si>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</si>
  <si>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</si>
  <si>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</si>
  <si>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</si>
  <si>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</si>
  <si>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</si>
  <si>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</si>
  <si>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</si>
  <si>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</si>
  <si>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</si>
  <si>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</si>
  <si>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</si>
  <si>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</si>
  <si>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</si>
  <si>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</si>
  <si>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</si>
  <si>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</si>
  <si>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</si>
  <si>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</si>
  <si>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</si>
  <si>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</si>
  <si>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</si>
  <si>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</si>
  <si>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</si>
  <si>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</si>
  <si>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</si>
  <si>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</si>
  <si>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</si>
  <si>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</si>
  <si>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</si>
  <si>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</si>
  <si>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</si>
  <si>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</si>
  <si>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</si>
  <si>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</si>
  <si>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</si>
  <si>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</si>
  <si>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</si>
  <si>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</si>
  <si>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</si>
  <si>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</si>
  <si>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</si>
  <si>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</si>
  <si>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</si>
  <si>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</si>
  <si>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</si>
  <si>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</si>
  <si>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</si>
  <si>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</si>
  <si>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</si>
  <si>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</si>
  <si>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</si>
  <si>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</si>
  <si>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</si>
  <si>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</si>
  <si>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</si>
  <si>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</si>
  <si>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</si>
  <si>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</si>
  <si>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</si>
  <si>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</si>
  <si>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</si>
  <si>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</si>
  <si>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</si>
  <si>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</si>
  <si>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</si>
  <si>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</si>
  <si>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</si>
  <si>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</si>
  <si>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</si>
  <si>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</si>
  <si>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</si>
  <si>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</si>
  <si>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</si>
  <si>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</si>
  <si>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</si>
  <si>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</si>
  <si>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</si>
  <si>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</si>
  <si>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</si>
  <si>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</si>
  <si>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</si>
  <si>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</si>
  <si>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</si>
  <si>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</si>
  <si>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</si>
  <si>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</si>
  <si>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</si>
  <si>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</si>
  <si>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</si>
  <si>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</si>
  <si>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</si>
  <si>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</si>
  <si>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</si>
  <si>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</si>
  <si>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</si>
  <si>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</si>
  <si>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</si>
  <si>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</si>
  <si>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</si>
  <si>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</si>
  <si>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</si>
  <si>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</si>
  <si>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</si>
  <si>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</si>
  <si>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</si>
  <si>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</si>
  <si>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</si>
  <si>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</si>
  <si>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</si>
  <si>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</si>
  <si>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</si>
  <si>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</si>
  <si>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</si>
  <si>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</si>
  <si>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</si>
  <si>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</si>
  <si>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</si>
  <si>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</si>
  <si>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</si>
  <si>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</si>
  <si>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</si>
  <si>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</si>
  <si>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</si>
  <si>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</si>
  <si>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</si>
  <si>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</si>
  <si>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Nms Enterprises</t>
  </si>
  <si>
    <t>NMS One 27</t>
  </si>
  <si>
    <t>Navi Mumbai</t>
  </si>
  <si>
    <t>01, Sector 27</t>
  </si>
  <si>
    <t>Kharghar</t>
  </si>
  <si>
    <t>19.057352,73.082695</t>
  </si>
  <si>
    <t>https://maps.app.goo.gl/kq2Eea9HjQXzHeat9</t>
  </si>
  <si>
    <t>Internal Road</t>
  </si>
  <si>
    <t>5.50KM from Kharghar Railway Station</t>
  </si>
  <si>
    <t>Divya Residency</t>
  </si>
  <si>
    <t>Open Plot</t>
  </si>
  <si>
    <t>40.00 M. Wide Road</t>
  </si>
  <si>
    <t>45.00 M. Wide Road</t>
  </si>
  <si>
    <t>Plot 1A</t>
  </si>
  <si>
    <t>Drain/ Other Plot</t>
  </si>
  <si>
    <t>City and Industrial Development Corporation of Maharashtra (CIDCO)</t>
  </si>
  <si>
    <t>CIDCO/BP-17941/TPO(NM &amp; K)/
2021/10788</t>
  </si>
  <si>
    <t>As per RERA - 31/12/2027</t>
  </si>
  <si>
    <t>Shop</t>
  </si>
  <si>
    <t>7th Floor For Residential</t>
  </si>
  <si>
    <t>2BHK</t>
  </si>
  <si>
    <t>3BHK</t>
  </si>
  <si>
    <t>Ground Floor For Commercial, Meter Room, Pump room, Fire Control Room, &amp; Parking</t>
  </si>
  <si>
    <t>1st to 5th Floor For Parking</t>
  </si>
  <si>
    <t>6th Floor For Party Area, Fitness Centre, Jogging Track, Indoor Games, Drivers Room, Swimming Pool, Library &amp; Lawn</t>
  </si>
  <si>
    <t>8th to 15th Floor
(8th, 10th, 12th &amp; 14th Floor Fire Rescue Area at Staircase)</t>
  </si>
  <si>
    <t>16th to 19th Floor 
(16th &amp; 18th Floor Fire Rescue Area at Staircase)</t>
  </si>
  <si>
    <t>20th to 23rd Floor
(20th &amp; 22nd Floor Fire Rescue Area at Staircase)</t>
  </si>
  <si>
    <t>801 to 1501</t>
  </si>
  <si>
    <t>1601 to 1901</t>
  </si>
  <si>
    <t>2001 to 2301</t>
  </si>
  <si>
    <t>We have updated revised approved floor plan &amp; C.C (on 16/09/2023).</t>
  </si>
  <si>
    <t>Shops</t>
  </si>
  <si>
    <t>Flats</t>
  </si>
  <si>
    <t>Flats - 85, Shops - 16</t>
  </si>
  <si>
    <t>Fitness Area, Yoga, Library, Swimming Pool, Lawn, Jogging Track, Party Hall, Indoor Games, etc.</t>
  </si>
  <si>
    <t>From Plan</t>
  </si>
  <si>
    <t>Builder Saleable area</t>
  </si>
  <si>
    <t>Gr + 6 Parking + 17 Floors</t>
  </si>
  <si>
    <t>Gr + 1st to 23rd Floor</t>
  </si>
  <si>
    <t>Approved Plans, CC, Sale Plans &amp; Builder Saleable Area.</t>
  </si>
  <si>
    <t>P52000034056</t>
  </si>
  <si>
    <t>Plot No</t>
  </si>
  <si>
    <t>We considered Gross carpet area = Net carpet + Balcony + D.B Area + Chajja</t>
  </si>
  <si>
    <t>Other Charges</t>
  </si>
  <si>
    <t>Smith</t>
  </si>
  <si>
    <t>Verbal</t>
  </si>
  <si>
    <t>8501 to 9500</t>
  </si>
  <si>
    <t>9500 to 11000</t>
  </si>
  <si>
    <t>Recommended Rates of the Property have been revised on 09/11/2023</t>
  </si>
  <si>
    <t>Mr. Mahesh Patel 9699727133</t>
  </si>
  <si>
    <t>Sunil Peravi</t>
  </si>
  <si>
    <t>Pranita Mhatre</t>
  </si>
  <si>
    <t>Construction work is in process at the time of Visit.(Internal visit was not allowed).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</si>
</sst>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24" xfId="1" applyFont="1" applyBorder="1" applyAlignment="1">
      <alignment vertical="center"/>
    </xf>
    <xf numFmtId="0" fontId="7" fillId="0" borderId="0" xfId="1" applyFont="1" applyAlignment="1">
      <alignment vertical="center"/>
    </xf>
    <xf numFmtId="169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117232</xdr:colOff>
      <xdr:row>220</xdr:row>
      <xdr:rowOff>14656</xdr:rowOff>
    </xdr:from>
    <xdr:to>
      <xdr:col>6</xdr:col>
      <xdr:colOff>721113</xdr:colOff>
      <xdr:row>241</xdr:row>
      <xdr:rowOff>180290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7847" y="47427175"/>
          <a:ext cx="5058651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33210</xdr:colOff>
      <xdr:row>242</xdr:row>
      <xdr:rowOff>139573</xdr:rowOff>
    </xdr:from>
    <xdr:to>
      <xdr:col>6</xdr:col>
      <xdr:colOff>3835</xdr:colOff>
      <xdr:row>260</xdr:row>
      <xdr:rowOff>178688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1075" y="51904285"/>
          <a:ext cx="351219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399885</xdr:colOff>
      <xdr:row>285</xdr:row>
      <xdr:rowOff>8294</xdr:rowOff>
    </xdr:from>
    <xdr:to>
      <xdr:col>6</xdr:col>
      <xdr:colOff>474798</xdr:colOff>
      <xdr:row>305</xdr:row>
      <xdr:rowOff>11755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0500" y="60279563"/>
          <a:ext cx="4529683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351696</xdr:colOff>
      <xdr:row>264</xdr:row>
      <xdr:rowOff>21981</xdr:rowOff>
    </xdr:from>
    <xdr:to>
      <xdr:col>6</xdr:col>
      <xdr:colOff>474798</xdr:colOff>
      <xdr:row>284</xdr:row>
      <xdr:rowOff>25443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2311" y="56138885"/>
          <a:ext cx="457787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446942</xdr:colOff>
      <xdr:row>292</xdr:row>
      <xdr:rowOff>131884</xdr:rowOff>
    </xdr:from>
    <xdr:to>
      <xdr:col>4</xdr:col>
      <xdr:colOff>381000</xdr:colOff>
      <xdr:row>297</xdr:row>
      <xdr:rowOff>139212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439352">
          <a:off x="3040673" y="61787942"/>
          <a:ext cx="945173" cy="996462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403860</xdr:colOff>
      <xdr:row>173</xdr:row>
      <xdr:rowOff>36195</xdr:rowOff>
    </xdr:from>
    <xdr:to>
      <xdr:col>16</xdr:col>
      <xdr:colOff>548640</xdr:colOff>
      <xdr:row>215</xdr:row>
      <xdr:rowOff>14970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437120" y="36086415"/>
          <a:ext cx="6819900" cy="8292195"/>
          <a:chOff x="114300" y="36852225"/>
          <a:chExt cx="6667500" cy="8370300"/>
        </a:xfrm>
      </xdr:grpSpPr>
      <xdr:pic>
        <xdr:nvPicPr>
          <xdr:cNvPr id="34" name="Picture 33" descr="https://vsjcllp.vsjadon.com/upload/insp-236398-1525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90801" y="43329225"/>
            <a:ext cx="1418496" cy="18933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6398-845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300" y="40947975"/>
            <a:ext cx="1724025" cy="23010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6398-847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95674" y="36852225"/>
            <a:ext cx="3011523" cy="4019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398-849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14525" y="40952737"/>
            <a:ext cx="3065287" cy="23010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6398-851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0049" y="36852225"/>
            <a:ext cx="3011523" cy="4019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6398-874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57775" y="40947975"/>
            <a:ext cx="1724025" cy="23010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335281</xdr:colOff>
      <xdr:row>175</xdr:row>
      <xdr:rowOff>175260</xdr:rowOff>
    </xdr:from>
    <xdr:to>
      <xdr:col>7</xdr:col>
      <xdr:colOff>762001</xdr:colOff>
      <xdr:row>216</xdr:row>
      <xdr:rowOff>179094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A4B0316-1D4D-58A6-530D-4EC69D6E64F7}"/>
            </a:ext>
          </a:extLst>
        </xdr:cNvPr>
        <xdr:cNvGrpSpPr/>
      </xdr:nvGrpSpPr>
      <xdr:grpSpPr>
        <a:xfrm>
          <a:off x="335281" y="36621720"/>
          <a:ext cx="6256020" cy="8119134"/>
          <a:chOff x="-1158427" y="240066"/>
          <a:chExt cx="6867249" cy="829439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11BB050-224B-B36C-E4F1-DE7846D550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4265" y="6374460"/>
            <a:ext cx="162507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19B793C-5FCE-1F2E-5C5A-31C9E85769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157" y="6374460"/>
            <a:ext cx="162507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DC1ED43-DC92-3BA4-202B-06D9A2E2F2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0500" y="637446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EEBCBFC3-7E1A-B540-0E0D-1236CC01AB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30142" y="3307263"/>
            <a:ext cx="2178680" cy="28958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6FC99CA-D6B2-CF36-08AE-57D5A5C887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158427" y="240066"/>
            <a:ext cx="4486287" cy="59630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6F3DEE38-409C-DFF2-CED1-62E6791ABD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30142" y="240066"/>
            <a:ext cx="2178680" cy="28958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kq2Eea9HjQXzHeat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63"/>
  <sheetViews>
    <sheetView tabSelected="1" view="pageBreakPreview" topLeftCell="A67" zoomScaleNormal="100" zoomScaleSheetLayoutView="100" zoomScalePageLayoutView="85" workbookViewId="0">
      <selection activeCell="L74" sqref="L74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6" width="11.6640625" style="38" customWidth="1"/>
    <col min="7" max="7" width="11.44140625" style="38" customWidth="1"/>
    <col min="8" max="8" width="17.55468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1.88671875" style="19" bestFit="1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26" ht="46.5" customHeight="1" x14ac:dyDescent="0.3">
      <c r="A1" s="121" t="s">
        <v>163</v>
      </c>
      <c r="B1" s="121"/>
      <c r="C1" s="121"/>
      <c r="D1" s="121"/>
      <c r="E1" s="121"/>
      <c r="F1" s="121"/>
      <c r="G1" s="121"/>
      <c r="H1" s="121"/>
    </row>
    <row r="2" spans="1:26" ht="16.5" customHeight="1" x14ac:dyDescent="0.3">
      <c r="A2" s="122" t="s">
        <v>0</v>
      </c>
      <c r="B2" s="122"/>
      <c r="C2" s="122"/>
      <c r="D2" s="122"/>
      <c r="E2" s="122"/>
      <c r="F2" s="122"/>
      <c r="G2" s="122"/>
      <c r="H2" s="122"/>
    </row>
    <row r="3" spans="1:26" x14ac:dyDescent="0.3">
      <c r="A3" s="83" t="s">
        <v>1</v>
      </c>
      <c r="B3" s="83"/>
      <c r="C3" s="83"/>
      <c r="D3" s="83"/>
      <c r="E3" s="83" t="str">
        <f ca="1">TEXT(TODAY(),"DD/MM/YYYY")</f>
        <v>13/09/2025</v>
      </c>
      <c r="F3" s="83"/>
      <c r="G3" s="83"/>
      <c r="H3" s="83"/>
    </row>
    <row r="4" spans="1:26" ht="15" customHeight="1" x14ac:dyDescent="0.3">
      <c r="A4" s="83" t="s">
        <v>2</v>
      </c>
      <c r="B4" s="83"/>
      <c r="C4" s="83"/>
      <c r="D4" s="83"/>
      <c r="E4" s="83" t="s">
        <v>232</v>
      </c>
      <c r="F4" s="83"/>
      <c r="G4" s="83"/>
      <c r="H4" s="83"/>
    </row>
    <row r="5" spans="1:26" x14ac:dyDescent="0.3">
      <c r="A5" s="83" t="s">
        <v>3</v>
      </c>
      <c r="B5" s="83"/>
      <c r="C5" s="83"/>
      <c r="D5" s="83"/>
      <c r="E5" s="123">
        <v>45908</v>
      </c>
      <c r="F5" s="83"/>
      <c r="G5" s="83"/>
      <c r="H5" s="83"/>
    </row>
    <row r="6" spans="1:26" ht="16.5" customHeight="1" x14ac:dyDescent="0.3">
      <c r="A6" s="83" t="s">
        <v>4</v>
      </c>
      <c r="B6" s="83"/>
      <c r="C6" s="83"/>
      <c r="D6" s="83"/>
      <c r="E6" s="83" t="s">
        <v>233</v>
      </c>
      <c r="F6" s="83"/>
      <c r="G6" s="83"/>
      <c r="H6" s="83"/>
    </row>
    <row r="7" spans="1:26" ht="15" customHeight="1" x14ac:dyDescent="0.3">
      <c r="A7" s="83" t="s">
        <v>5</v>
      </c>
      <c r="B7" s="83"/>
      <c r="C7" s="83"/>
      <c r="D7" s="83"/>
      <c r="E7" s="83" t="str">
        <f>E6</f>
        <v>Nms Enterprises</v>
      </c>
      <c r="F7" s="83"/>
      <c r="G7" s="83"/>
      <c r="H7" s="83"/>
    </row>
    <row r="8" spans="1:26" x14ac:dyDescent="0.3">
      <c r="A8" s="83" t="s">
        <v>6</v>
      </c>
      <c r="B8" s="83"/>
      <c r="C8" s="83"/>
      <c r="D8" s="83"/>
      <c r="E8" s="102" t="s">
        <v>234</v>
      </c>
      <c r="F8" s="102"/>
      <c r="G8" s="102"/>
      <c r="H8" s="102"/>
    </row>
    <row r="9" spans="1:26" x14ac:dyDescent="0.3">
      <c r="A9" s="83" t="s">
        <v>166</v>
      </c>
      <c r="B9" s="83"/>
      <c r="C9" s="83"/>
      <c r="D9" s="83"/>
      <c r="E9" s="83">
        <v>9699727133</v>
      </c>
      <c r="F9" s="83"/>
      <c r="G9" s="83"/>
      <c r="H9" s="83"/>
    </row>
    <row r="10" spans="1:26" x14ac:dyDescent="0.3">
      <c r="A10" s="83" t="s">
        <v>167</v>
      </c>
      <c r="B10" s="83"/>
      <c r="C10" s="83"/>
      <c r="D10" s="83"/>
      <c r="E10" s="83" t="s">
        <v>283</v>
      </c>
      <c r="F10" s="83"/>
      <c r="G10" s="83"/>
      <c r="H10" s="83"/>
    </row>
    <row r="11" spans="1:26" x14ac:dyDescent="0.3">
      <c r="A11" s="83" t="s">
        <v>7</v>
      </c>
      <c r="B11" s="83"/>
      <c r="C11" s="83"/>
      <c r="D11" s="83"/>
      <c r="E11" s="83" t="s">
        <v>121</v>
      </c>
      <c r="F11" s="83"/>
      <c r="G11" s="83"/>
      <c r="H11" s="83"/>
    </row>
    <row r="12" spans="1:26" x14ac:dyDescent="0.3">
      <c r="A12" s="83" t="s">
        <v>169</v>
      </c>
      <c r="B12" s="83"/>
      <c r="C12" s="83"/>
      <c r="D12" s="83"/>
      <c r="E12" s="83" t="s">
        <v>29</v>
      </c>
      <c r="F12" s="83"/>
      <c r="G12" s="83"/>
      <c r="H12" s="83"/>
      <c r="S12" s="50" t="s">
        <v>176</v>
      </c>
      <c r="T12" s="50" t="s">
        <v>186</v>
      </c>
      <c r="U12" s="50" t="s">
        <v>170</v>
      </c>
      <c r="V12" s="50" t="s">
        <v>191</v>
      </c>
      <c r="W12" s="50" t="s">
        <v>209</v>
      </c>
      <c r="X12"/>
      <c r="Y12" t="s">
        <v>191</v>
      </c>
      <c r="Z12" t="e">
        <f ca="1">OFFSET($S$12,1,MATCH($G19,$S$12:$W$12,0)-1,15,1)</f>
        <v>#VALUE!</v>
      </c>
    </row>
    <row r="13" spans="1:26" x14ac:dyDescent="0.3">
      <c r="A13" s="90" t="s">
        <v>8</v>
      </c>
      <c r="B13" s="90"/>
      <c r="C13" s="90"/>
      <c r="D13" s="90"/>
      <c r="E13" s="100" t="s">
        <v>273</v>
      </c>
      <c r="F13" s="100"/>
      <c r="G13" s="100"/>
      <c r="H13" s="100"/>
      <c r="S13" s="50" t="s">
        <v>177</v>
      </c>
      <c r="T13" s="50" t="s">
        <v>184</v>
      </c>
      <c r="U13" s="50" t="s">
        <v>206</v>
      </c>
      <c r="V13" s="50" t="s">
        <v>192</v>
      </c>
      <c r="W13" s="50" t="s">
        <v>210</v>
      </c>
      <c r="X13"/>
      <c r="Y13"/>
      <c r="Z13"/>
    </row>
    <row r="14" spans="1:26" x14ac:dyDescent="0.3">
      <c r="A14" s="90" t="s">
        <v>9</v>
      </c>
      <c r="B14" s="90"/>
      <c r="C14" s="90"/>
      <c r="D14" s="90"/>
      <c r="E14" s="100" t="s">
        <v>274</v>
      </c>
      <c r="F14" s="83"/>
      <c r="G14" s="83"/>
      <c r="H14" s="83"/>
      <c r="I14" s="174" t="e">
        <f ca="1">OFFSET($D$4,1,MATCH($J12,$D$4:$H$4,0)-1,15,1)</f>
        <v>#N/A</v>
      </c>
      <c r="J14" s="175"/>
      <c r="K14" s="175"/>
      <c r="L14" s="175"/>
      <c r="M14" s="175"/>
      <c r="N14" s="175"/>
      <c r="O14" s="175"/>
      <c r="P14" s="175"/>
      <c r="S14" s="50" t="s">
        <v>178</v>
      </c>
      <c r="T14" s="50" t="s">
        <v>185</v>
      </c>
      <c r="U14" s="50" t="s">
        <v>207</v>
      </c>
      <c r="V14" s="50" t="s">
        <v>193</v>
      </c>
      <c r="W14" s="50" t="s">
        <v>223</v>
      </c>
      <c r="X14"/>
      <c r="Y14"/>
      <c r="Z14"/>
    </row>
    <row r="15" spans="1:26" ht="32.25" customHeight="1" x14ac:dyDescent="0.3">
      <c r="A15" s="91" t="s">
        <v>10</v>
      </c>
      <c r="B15" s="91"/>
      <c r="C15" s="9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NMS One 27, Plot No.01, Sector 27, near Divya Residency, Internal Road, Navi Mumbai, Kharghar, Kharghar, Panvel, Raigad - 410210.</v>
      </c>
      <c r="D15" s="91"/>
      <c r="E15" s="91"/>
      <c r="F15" s="91"/>
      <c r="G15" s="91"/>
      <c r="H15" s="91"/>
      <c r="S15" s="50" t="s">
        <v>179</v>
      </c>
      <c r="T15" s="50" t="s">
        <v>187</v>
      </c>
      <c r="U15" s="50" t="s">
        <v>208</v>
      </c>
      <c r="V15" s="50" t="s">
        <v>194</v>
      </c>
      <c r="W15" s="50" t="s">
        <v>211</v>
      </c>
      <c r="X15"/>
      <c r="Y15"/>
      <c r="Z15"/>
    </row>
    <row r="16" spans="1:26" x14ac:dyDescent="0.3">
      <c r="A16" s="100" t="s">
        <v>275</v>
      </c>
      <c r="B16" s="100"/>
      <c r="C16" s="100" t="s">
        <v>236</v>
      </c>
      <c r="D16" s="100"/>
      <c r="E16" s="100"/>
      <c r="F16" s="100"/>
      <c r="G16" s="100"/>
      <c r="H16" s="100"/>
      <c r="S16" s="50" t="s">
        <v>180</v>
      </c>
      <c r="T16" s="50" t="s">
        <v>188</v>
      </c>
      <c r="U16" s="50"/>
      <c r="V16" s="50" t="s">
        <v>195</v>
      </c>
      <c r="W16" s="50" t="s">
        <v>212</v>
      </c>
      <c r="X16"/>
      <c r="Y16"/>
      <c r="Z16"/>
    </row>
    <row r="17" spans="1:26" ht="15.75" customHeight="1" x14ac:dyDescent="0.3">
      <c r="A17" s="100" t="s">
        <v>161</v>
      </c>
      <c r="B17" s="100"/>
      <c r="C17" s="100" t="s">
        <v>235</v>
      </c>
      <c r="D17" s="100"/>
      <c r="E17" s="100"/>
      <c r="F17" s="100"/>
      <c r="G17" s="100"/>
      <c r="H17" s="100"/>
      <c r="S17" s="50" t="s">
        <v>181</v>
      </c>
      <c r="T17" s="50" t="s">
        <v>186</v>
      </c>
      <c r="U17" s="50"/>
      <c r="V17" s="50" t="s">
        <v>196</v>
      </c>
      <c r="W17" s="50" t="s">
        <v>213</v>
      </c>
      <c r="X17"/>
      <c r="Y17"/>
      <c r="Z17"/>
    </row>
    <row r="18" spans="1:26" ht="15.75" customHeight="1" x14ac:dyDescent="0.3">
      <c r="A18" s="91" t="s">
        <v>11</v>
      </c>
      <c r="B18" s="91"/>
      <c r="C18" s="83" t="s">
        <v>240</v>
      </c>
      <c r="D18" s="83"/>
      <c r="E18" s="100" t="s">
        <v>73</v>
      </c>
      <c r="F18" s="100"/>
      <c r="G18" s="100" t="s">
        <v>237</v>
      </c>
      <c r="H18" s="100"/>
      <c r="S18" s="50" t="s">
        <v>182</v>
      </c>
      <c r="T18" s="50" t="s">
        <v>189</v>
      </c>
      <c r="U18" s="50"/>
      <c r="V18" s="50" t="s">
        <v>197</v>
      </c>
      <c r="W18" s="50" t="s">
        <v>214</v>
      </c>
      <c r="X18"/>
      <c r="Y18"/>
      <c r="Z18"/>
    </row>
    <row r="19" spans="1:26" x14ac:dyDescent="0.3">
      <c r="A19" s="90" t="s">
        <v>13</v>
      </c>
      <c r="B19" s="90"/>
      <c r="C19" s="100" t="s">
        <v>237</v>
      </c>
      <c r="D19" s="100"/>
      <c r="E19" s="100" t="s">
        <v>12</v>
      </c>
      <c r="F19" s="100"/>
      <c r="G19" s="120" t="s">
        <v>191</v>
      </c>
      <c r="H19" s="120"/>
      <c r="S19" s="50" t="s">
        <v>183</v>
      </c>
      <c r="T19" s="50" t="s">
        <v>190</v>
      </c>
      <c r="U19" s="50"/>
      <c r="V19" s="50" t="s">
        <v>198</v>
      </c>
      <c r="W19" s="50" t="s">
        <v>215</v>
      </c>
      <c r="X19"/>
      <c r="Y19"/>
      <c r="Z19"/>
    </row>
    <row r="20" spans="1:26" x14ac:dyDescent="0.3">
      <c r="A20" s="90" t="s">
        <v>74</v>
      </c>
      <c r="B20" s="90"/>
      <c r="C20" s="100" t="s">
        <v>193</v>
      </c>
      <c r="D20" s="100"/>
      <c r="E20" s="91" t="s">
        <v>14</v>
      </c>
      <c r="F20" s="91"/>
      <c r="G20" s="100">
        <v>410210</v>
      </c>
      <c r="H20" s="100"/>
      <c r="S20" s="50"/>
      <c r="T20" s="50"/>
      <c r="U20" s="50"/>
      <c r="V20" s="50" t="s">
        <v>199</v>
      </c>
      <c r="W20" s="50" t="s">
        <v>216</v>
      </c>
      <c r="X20"/>
      <c r="Y20"/>
      <c r="Z20"/>
    </row>
    <row r="21" spans="1:26" ht="32.25" customHeight="1" x14ac:dyDescent="0.3">
      <c r="A21" s="90" t="s">
        <v>122</v>
      </c>
      <c r="B21" s="90"/>
      <c r="C21" s="100" t="s">
        <v>242</v>
      </c>
      <c r="D21" s="100"/>
      <c r="E21" s="91" t="s">
        <v>15</v>
      </c>
      <c r="F21" s="91"/>
      <c r="G21" s="100" t="s">
        <v>241</v>
      </c>
      <c r="H21" s="100"/>
      <c r="S21" s="50"/>
      <c r="T21" s="50"/>
      <c r="U21" s="50"/>
      <c r="V21" s="50" t="s">
        <v>200</v>
      </c>
      <c r="W21" s="50" t="s">
        <v>217</v>
      </c>
      <c r="X21"/>
      <c r="Y21"/>
      <c r="Z21"/>
    </row>
    <row r="22" spans="1:26" ht="15" customHeight="1" x14ac:dyDescent="0.3">
      <c r="A22" s="91" t="s">
        <v>76</v>
      </c>
      <c r="B22" s="91"/>
      <c r="C22" s="91"/>
      <c r="D22" s="91"/>
      <c r="E22" s="83" t="s">
        <v>16</v>
      </c>
      <c r="F22" s="83"/>
      <c r="G22" s="83"/>
      <c r="H22" s="83"/>
      <c r="S22" s="50"/>
      <c r="T22" s="50"/>
      <c r="U22" s="50"/>
      <c r="V22" s="50" t="s">
        <v>201</v>
      </c>
      <c r="W22" s="50" t="s">
        <v>218</v>
      </c>
      <c r="X22"/>
      <c r="Y22"/>
      <c r="Z22"/>
    </row>
    <row r="23" spans="1:26" ht="18.75" customHeight="1" x14ac:dyDescent="0.3">
      <c r="A23" s="91"/>
      <c r="B23" s="91"/>
      <c r="C23" s="91"/>
      <c r="D23" s="91"/>
      <c r="E23" s="83"/>
      <c r="F23" s="83"/>
      <c r="G23" s="83"/>
      <c r="H23" s="83"/>
      <c r="S23" s="50"/>
      <c r="T23" s="50"/>
      <c r="U23" s="50"/>
      <c r="V23" s="50" t="s">
        <v>202</v>
      </c>
      <c r="W23" s="50" t="s">
        <v>219</v>
      </c>
      <c r="X23"/>
      <c r="Y23"/>
      <c r="Z23"/>
    </row>
    <row r="24" spans="1:26" ht="15" customHeight="1" x14ac:dyDescent="0.3">
      <c r="A24" s="91" t="s">
        <v>17</v>
      </c>
      <c r="B24" s="91"/>
      <c r="C24" s="91"/>
      <c r="D24" s="91"/>
      <c r="E24" s="100" t="s">
        <v>18</v>
      </c>
      <c r="F24" s="100"/>
      <c r="G24" s="100"/>
      <c r="H24" s="100"/>
      <c r="S24" s="50"/>
      <c r="T24" s="50"/>
      <c r="U24" s="50"/>
      <c r="V24" s="50" t="s">
        <v>203</v>
      </c>
      <c r="W24" s="50" t="s">
        <v>220</v>
      </c>
      <c r="X24"/>
      <c r="Y24"/>
      <c r="Z24"/>
    </row>
    <row r="25" spans="1:26" ht="15" customHeight="1" x14ac:dyDescent="0.3">
      <c r="A25" s="90" t="s">
        <v>19</v>
      </c>
      <c r="B25" s="90"/>
      <c r="C25" s="90"/>
      <c r="D25" s="90"/>
      <c r="E25" s="100" t="str">
        <f>IF(AND(G19="Mumbai"),"Upper Class","Middle Class")</f>
        <v>Middle Class</v>
      </c>
      <c r="F25" s="100"/>
      <c r="G25" s="100"/>
      <c r="H25" s="100"/>
      <c r="S25" s="50"/>
      <c r="T25" s="50"/>
      <c r="U25" s="50"/>
      <c r="V25" s="50" t="s">
        <v>204</v>
      </c>
      <c r="W25" s="50" t="s">
        <v>221</v>
      </c>
      <c r="X25"/>
      <c r="Y25"/>
      <c r="Z25"/>
    </row>
    <row r="26" spans="1:26" x14ac:dyDescent="0.3">
      <c r="A26" s="90" t="s">
        <v>20</v>
      </c>
      <c r="B26" s="90"/>
      <c r="C26" s="90"/>
      <c r="D26" s="90"/>
      <c r="E26" s="100" t="s">
        <v>21</v>
      </c>
      <c r="F26" s="100"/>
      <c r="G26" s="100"/>
      <c r="H26" s="100"/>
      <c r="S26" s="50"/>
      <c r="T26" s="50"/>
      <c r="U26" s="50"/>
      <c r="V26" s="50" t="s">
        <v>205</v>
      </c>
      <c r="W26" s="50" t="s">
        <v>222</v>
      </c>
      <c r="X26"/>
      <c r="Y26"/>
      <c r="Z26"/>
    </row>
    <row r="27" spans="1:26" ht="15.75" customHeight="1" x14ac:dyDescent="0.3">
      <c r="A27" s="90" t="s">
        <v>22</v>
      </c>
      <c r="B27" s="90"/>
      <c r="C27" s="90"/>
      <c r="D27" s="90"/>
      <c r="E27" s="100" t="str">
        <f>IF(AND(G19="Mumbai"),"Developed","Developing")</f>
        <v>Developing</v>
      </c>
      <c r="F27" s="100"/>
      <c r="G27" s="100"/>
      <c r="H27" s="100"/>
    </row>
    <row r="28" spans="1:26" x14ac:dyDescent="0.3">
      <c r="A28" s="90" t="s">
        <v>23</v>
      </c>
      <c r="B28" s="90"/>
      <c r="C28" s="90"/>
      <c r="D28" s="90"/>
      <c r="E28" s="100" t="s">
        <v>24</v>
      </c>
      <c r="F28" s="100"/>
      <c r="G28" s="100"/>
      <c r="H28" s="100"/>
    </row>
    <row r="29" spans="1:26" ht="15.75" customHeight="1" x14ac:dyDescent="0.3">
      <c r="A29" s="90" t="s">
        <v>81</v>
      </c>
      <c r="B29" s="90"/>
      <c r="C29" s="90"/>
      <c r="D29" s="90"/>
      <c r="E29" s="100" t="s">
        <v>82</v>
      </c>
      <c r="F29" s="100"/>
      <c r="G29" s="100"/>
      <c r="H29" s="100"/>
    </row>
    <row r="30" spans="1:26" ht="15" customHeight="1" x14ac:dyDescent="0.3">
      <c r="A30" s="90" t="s">
        <v>32</v>
      </c>
      <c r="B30" s="90"/>
      <c r="C30" s="90"/>
      <c r="D30" s="90"/>
      <c r="E30" s="10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00"/>
      <c r="G30" s="100"/>
      <c r="H30" s="100"/>
    </row>
    <row r="31" spans="1:26" ht="15.75" customHeight="1" x14ac:dyDescent="0.3">
      <c r="A31" s="90" t="s">
        <v>93</v>
      </c>
      <c r="B31" s="90"/>
      <c r="C31" s="90"/>
      <c r="D31" s="90"/>
      <c r="E31" s="100" t="s">
        <v>33</v>
      </c>
      <c r="F31" s="100"/>
      <c r="G31" s="100"/>
      <c r="H31" s="100"/>
    </row>
    <row r="32" spans="1:26" s="20" customFormat="1" x14ac:dyDescent="0.3">
      <c r="A32" s="119" t="s">
        <v>94</v>
      </c>
      <c r="B32" s="119"/>
      <c r="C32" s="116" t="s">
        <v>171</v>
      </c>
      <c r="D32" s="117"/>
      <c r="E32" s="118"/>
      <c r="F32" s="116" t="s">
        <v>30</v>
      </c>
      <c r="G32" s="117"/>
      <c r="H32" s="118"/>
    </row>
    <row r="33" spans="1:8" s="20" customFormat="1" x14ac:dyDescent="0.3">
      <c r="A33" s="113" t="s">
        <v>25</v>
      </c>
      <c r="B33" s="113" t="s">
        <v>29</v>
      </c>
      <c r="C33" s="94" t="s">
        <v>245</v>
      </c>
      <c r="D33" s="95"/>
      <c r="E33" s="96"/>
      <c r="F33" s="94" t="s">
        <v>240</v>
      </c>
      <c r="G33" s="95"/>
      <c r="H33" s="96"/>
    </row>
    <row r="34" spans="1:8" x14ac:dyDescent="0.3">
      <c r="A34" s="113" t="s">
        <v>26</v>
      </c>
      <c r="B34" s="113" t="s">
        <v>29</v>
      </c>
      <c r="C34" s="94" t="s">
        <v>246</v>
      </c>
      <c r="D34" s="95"/>
      <c r="E34" s="96"/>
      <c r="F34" s="94" t="s">
        <v>243</v>
      </c>
      <c r="G34" s="95"/>
      <c r="H34" s="96"/>
    </row>
    <row r="35" spans="1:8" s="20" customFormat="1" x14ac:dyDescent="0.3">
      <c r="A35" s="113" t="s">
        <v>28</v>
      </c>
      <c r="B35" s="113" t="s">
        <v>29</v>
      </c>
      <c r="C35" s="94" t="s">
        <v>247</v>
      </c>
      <c r="D35" s="95"/>
      <c r="E35" s="96"/>
      <c r="F35" s="94" t="s">
        <v>242</v>
      </c>
      <c r="G35" s="95"/>
      <c r="H35" s="96"/>
    </row>
    <row r="36" spans="1:8" x14ac:dyDescent="0.3">
      <c r="A36" s="113" t="s">
        <v>27</v>
      </c>
      <c r="B36" s="113" t="s">
        <v>29</v>
      </c>
      <c r="C36" s="94" t="s">
        <v>244</v>
      </c>
      <c r="D36" s="95"/>
      <c r="E36" s="96"/>
      <c r="F36" s="94" t="s">
        <v>240</v>
      </c>
      <c r="G36" s="95"/>
      <c r="H36" s="96"/>
    </row>
    <row r="37" spans="1:8" x14ac:dyDescent="0.3">
      <c r="A37" s="90" t="s">
        <v>31</v>
      </c>
      <c r="B37" s="90"/>
      <c r="C37" s="90"/>
      <c r="D37" s="90"/>
      <c r="E37" s="90"/>
      <c r="F37" s="90"/>
      <c r="G37" s="90"/>
      <c r="H37" s="90"/>
    </row>
    <row r="38" spans="1:8" ht="15.75" customHeight="1" x14ac:dyDescent="0.3">
      <c r="A38" s="90" t="s">
        <v>164</v>
      </c>
      <c r="B38" s="90"/>
      <c r="C38" s="90" t="s">
        <v>238</v>
      </c>
      <c r="D38" s="90"/>
      <c r="E38" s="90"/>
      <c r="F38" s="90"/>
      <c r="G38" s="90"/>
      <c r="H38" s="90"/>
    </row>
    <row r="39" spans="1:8" x14ac:dyDescent="0.3">
      <c r="A39" s="90" t="s">
        <v>160</v>
      </c>
      <c r="B39" s="90"/>
      <c r="C39" s="115" t="s">
        <v>239</v>
      </c>
      <c r="D39" s="100"/>
      <c r="E39" s="100"/>
      <c r="F39" s="100"/>
      <c r="G39" s="100"/>
      <c r="H39" s="100"/>
    </row>
    <row r="40" spans="1:8" x14ac:dyDescent="0.3">
      <c r="A40" s="108" t="s">
        <v>34</v>
      </c>
      <c r="B40" s="108"/>
      <c r="C40" s="108"/>
      <c r="D40" s="108"/>
      <c r="E40" s="108"/>
      <c r="F40" s="108"/>
      <c r="G40" s="108"/>
      <c r="H40" s="108"/>
    </row>
    <row r="41" spans="1:8" x14ac:dyDescent="0.3">
      <c r="A41" s="90" t="s">
        <v>35</v>
      </c>
      <c r="B41" s="90"/>
      <c r="C41" s="90"/>
      <c r="D41" s="90"/>
      <c r="E41" s="114">
        <v>2129.5</v>
      </c>
      <c r="F41" s="114"/>
      <c r="G41" s="114"/>
      <c r="H41" s="114"/>
    </row>
    <row r="42" spans="1:8" x14ac:dyDescent="0.3">
      <c r="A42" s="90" t="s">
        <v>36</v>
      </c>
      <c r="B42" s="90"/>
      <c r="C42" s="90"/>
      <c r="D42" s="90"/>
      <c r="E42" s="111">
        <f>3194.385/E41</f>
        <v>1.5000633951631839</v>
      </c>
      <c r="F42" s="111"/>
      <c r="G42" s="111"/>
      <c r="H42" s="111"/>
    </row>
    <row r="43" spans="1:8" x14ac:dyDescent="0.3">
      <c r="A43" s="90" t="s">
        <v>37</v>
      </c>
      <c r="B43" s="90"/>
      <c r="C43" s="90"/>
      <c r="D43" s="90"/>
      <c r="E43" s="111">
        <f>E45/E41-E42</f>
        <v>3.3306949988260159</v>
      </c>
      <c r="F43" s="111"/>
      <c r="G43" s="111"/>
      <c r="H43" s="111"/>
    </row>
    <row r="44" spans="1:8" x14ac:dyDescent="0.3">
      <c r="A44" s="90" t="s">
        <v>38</v>
      </c>
      <c r="B44" s="90"/>
      <c r="C44" s="90"/>
      <c r="D44" s="90"/>
      <c r="E44" s="111">
        <f>E42+E43</f>
        <v>4.8307583939891998</v>
      </c>
      <c r="F44" s="111"/>
      <c r="G44" s="111"/>
      <c r="H44" s="111"/>
    </row>
    <row r="45" spans="1:8" x14ac:dyDescent="0.3">
      <c r="A45" s="90" t="s">
        <v>92</v>
      </c>
      <c r="B45" s="90"/>
      <c r="C45" s="90"/>
      <c r="D45" s="90"/>
      <c r="E45" s="112">
        <v>10287.1</v>
      </c>
      <c r="F45" s="112"/>
      <c r="G45" s="112"/>
      <c r="H45" s="112"/>
    </row>
    <row r="46" spans="1:8" x14ac:dyDescent="0.3">
      <c r="A46" s="83" t="s">
        <v>39</v>
      </c>
      <c r="B46" s="83"/>
      <c r="C46" s="83"/>
      <c r="D46" s="83"/>
      <c r="E46" s="83" t="s">
        <v>121</v>
      </c>
      <c r="F46" s="83"/>
      <c r="G46" s="83"/>
      <c r="H46" s="83"/>
    </row>
    <row r="47" spans="1:8" x14ac:dyDescent="0.3">
      <c r="A47" s="108" t="s">
        <v>40</v>
      </c>
      <c r="B47" s="108"/>
      <c r="C47" s="108"/>
      <c r="D47" s="108"/>
      <c r="E47" s="108"/>
      <c r="F47" s="108"/>
      <c r="G47" s="108"/>
      <c r="H47" s="108"/>
    </row>
    <row r="48" spans="1:8" ht="33.75" customHeight="1" x14ac:dyDescent="0.3">
      <c r="A48" s="77" t="s">
        <v>149</v>
      </c>
      <c r="B48" s="78"/>
      <c r="C48" s="79" t="s">
        <v>248</v>
      </c>
      <c r="D48" s="80"/>
      <c r="E48" s="80"/>
      <c r="F48" s="80"/>
      <c r="G48" s="80"/>
      <c r="H48" s="81"/>
    </row>
    <row r="49" spans="1:14" ht="33.75" customHeight="1" x14ac:dyDescent="0.3">
      <c r="A49" s="77" t="s">
        <v>41</v>
      </c>
      <c r="B49" s="78"/>
      <c r="C49" s="77" t="s">
        <v>249</v>
      </c>
      <c r="D49" s="129"/>
      <c r="E49" s="130"/>
      <c r="F49" s="18" t="s">
        <v>42</v>
      </c>
      <c r="G49" s="127">
        <v>45078</v>
      </c>
      <c r="H49" s="78"/>
    </row>
    <row r="50" spans="1:14" ht="31.5" customHeight="1" x14ac:dyDescent="0.3">
      <c r="A50" s="77" t="s">
        <v>43</v>
      </c>
      <c r="B50" s="78"/>
      <c r="C50" s="77" t="str">
        <f>C49</f>
        <v>CIDCO/BP-17941/TPO(NM &amp; K)/
2021/10788</v>
      </c>
      <c r="D50" s="97"/>
      <c r="E50" s="78"/>
      <c r="F50" s="18" t="s">
        <v>42</v>
      </c>
      <c r="G50" s="127">
        <f>G49</f>
        <v>45078</v>
      </c>
      <c r="H50" s="128"/>
    </row>
    <row r="51" spans="1:14" s="21" customFormat="1" ht="30.75" customHeight="1" x14ac:dyDescent="0.3">
      <c r="A51" s="91" t="s">
        <v>229</v>
      </c>
      <c r="B51" s="91"/>
      <c r="C51" s="77" t="str">
        <f>C50</f>
        <v>CIDCO/BP-17941/TPO(NM &amp; K)/
2021/10788</v>
      </c>
      <c r="D51" s="97"/>
      <c r="E51" s="78"/>
      <c r="F51" s="18" t="s">
        <v>42</v>
      </c>
      <c r="G51" s="127">
        <f>G50</f>
        <v>45078</v>
      </c>
      <c r="H51" s="128"/>
    </row>
    <row r="52" spans="1:14" s="21" customFormat="1" x14ac:dyDescent="0.3">
      <c r="A52" s="91" t="s">
        <v>230</v>
      </c>
      <c r="B52" s="91"/>
      <c r="C52" s="77" t="s">
        <v>271</v>
      </c>
      <c r="D52" s="97"/>
      <c r="E52" s="97"/>
      <c r="F52" s="97"/>
      <c r="G52" s="97"/>
      <c r="H52" s="78"/>
    </row>
    <row r="53" spans="1:14" x14ac:dyDescent="0.3">
      <c r="A53" s="176" t="s">
        <v>44</v>
      </c>
      <c r="B53" s="177"/>
      <c r="C53" s="176" t="s">
        <v>105</v>
      </c>
      <c r="D53" s="178"/>
      <c r="E53" s="177"/>
      <c r="F53" s="42" t="s">
        <v>42</v>
      </c>
      <c r="G53" s="181" t="s">
        <v>29</v>
      </c>
      <c r="H53" s="182"/>
    </row>
    <row r="54" spans="1:14" x14ac:dyDescent="0.3">
      <c r="A54" s="131" t="s">
        <v>46</v>
      </c>
      <c r="B54" s="131"/>
      <c r="C54" s="131"/>
      <c r="D54" s="131"/>
      <c r="E54" s="131"/>
      <c r="F54" s="131"/>
      <c r="G54" s="131"/>
      <c r="H54" s="131"/>
    </row>
    <row r="55" spans="1:14" x14ac:dyDescent="0.3">
      <c r="A55" s="91" t="s">
        <v>91</v>
      </c>
      <c r="B55" s="91"/>
      <c r="C55" s="91"/>
      <c r="D55" s="90">
        <f>E45</f>
        <v>10287.1</v>
      </c>
      <c r="E55" s="90"/>
      <c r="F55" s="90"/>
      <c r="G55" s="90"/>
      <c r="H55" s="90"/>
    </row>
    <row r="56" spans="1:14" x14ac:dyDescent="0.3">
      <c r="A56" s="100" t="s">
        <v>47</v>
      </c>
      <c r="B56" s="83"/>
      <c r="C56" s="83"/>
      <c r="D56" s="83" t="s">
        <v>267</v>
      </c>
      <c r="E56" s="83"/>
      <c r="F56" s="83"/>
      <c r="G56" s="83"/>
      <c r="H56" s="83"/>
      <c r="I56" s="22"/>
    </row>
    <row r="57" spans="1:14" x14ac:dyDescent="0.3">
      <c r="A57" s="98" t="s">
        <v>48</v>
      </c>
      <c r="B57" s="99"/>
      <c r="C57" s="126"/>
      <c r="D57" s="124" t="s">
        <v>272</v>
      </c>
      <c r="E57" s="125"/>
      <c r="F57" s="125"/>
      <c r="G57" s="125"/>
      <c r="H57" s="125"/>
    </row>
    <row r="58" spans="1:14" ht="15.75" customHeight="1" x14ac:dyDescent="0.3">
      <c r="A58" s="98" t="s">
        <v>89</v>
      </c>
      <c r="B58" s="99"/>
      <c r="C58" s="99"/>
      <c r="D58" s="100" t="s">
        <v>272</v>
      </c>
      <c r="E58" s="83"/>
      <c r="F58" s="83"/>
      <c r="G58" s="83"/>
      <c r="H58" s="83"/>
    </row>
    <row r="59" spans="1:14" ht="15.75" customHeight="1" x14ac:dyDescent="0.3">
      <c r="A59" s="90" t="s">
        <v>45</v>
      </c>
      <c r="B59" s="90"/>
      <c r="C59" s="90"/>
      <c r="D59" s="109" t="s">
        <v>250</v>
      </c>
      <c r="E59" s="109"/>
      <c r="F59" s="109"/>
      <c r="G59" s="109"/>
      <c r="H59" s="109"/>
      <c r="J59" s="23"/>
      <c r="K59" s="22"/>
      <c r="N59" s="22"/>
    </row>
    <row r="60" spans="1:14" ht="15.75" customHeight="1" x14ac:dyDescent="0.3">
      <c r="A60" s="90" t="s">
        <v>87</v>
      </c>
      <c r="B60" s="90"/>
      <c r="C60" s="90"/>
      <c r="D60" s="110" t="str">
        <f>(IF(G53="NA","60 Years After Completion",IF(G53&lt;&gt;"NA",""&amp;60-ROUNDDOWN((E3-G53)/360,0)&amp;" Years"," ")))</f>
        <v>60 Years After Completion</v>
      </c>
      <c r="E60" s="110"/>
      <c r="F60" s="110"/>
      <c r="G60" s="110"/>
      <c r="H60" s="110"/>
      <c r="N60" s="22"/>
    </row>
    <row r="61" spans="1:14" ht="15.75" customHeight="1" x14ac:dyDescent="0.3">
      <c r="A61" s="90" t="s">
        <v>88</v>
      </c>
      <c r="B61" s="90"/>
      <c r="C61" s="90"/>
      <c r="D61" s="91" t="s">
        <v>24</v>
      </c>
      <c r="E61" s="91"/>
      <c r="F61" s="91"/>
      <c r="G61" s="91"/>
      <c r="H61" s="91"/>
      <c r="J61" s="24"/>
      <c r="K61" s="24"/>
    </row>
    <row r="62" spans="1:14" ht="33.75" customHeight="1" x14ac:dyDescent="0.3">
      <c r="A62" s="83" t="s">
        <v>231</v>
      </c>
      <c r="B62" s="83"/>
      <c r="C62" s="83"/>
      <c r="D62" s="100" t="s">
        <v>268</v>
      </c>
      <c r="E62" s="91"/>
      <c r="F62" s="91"/>
      <c r="G62" s="91"/>
      <c r="H62" s="91"/>
      <c r="I62" s="52" t="s">
        <v>269</v>
      </c>
      <c r="J62" s="20"/>
    </row>
    <row r="63" spans="1:14" x14ac:dyDescent="0.3">
      <c r="A63" s="91" t="s">
        <v>148</v>
      </c>
      <c r="B63" s="91"/>
      <c r="C63" s="91"/>
      <c r="D63" s="91" t="s">
        <v>29</v>
      </c>
      <c r="E63" s="91"/>
      <c r="F63" s="91"/>
      <c r="G63" s="91"/>
      <c r="H63" s="91"/>
      <c r="I63" s="25"/>
      <c r="J63" s="25"/>
      <c r="K63" s="25"/>
      <c r="L63" s="25"/>
      <c r="M63" s="25"/>
      <c r="N63" s="25"/>
    </row>
    <row r="64" spans="1:14" ht="15.75" customHeight="1" x14ac:dyDescent="0.3">
      <c r="A64" s="92" t="s">
        <v>86</v>
      </c>
      <c r="B64" s="92"/>
      <c r="C64" s="92"/>
      <c r="D64" s="124" t="str">
        <f ca="1">(IF(G70&gt;95%,"Nothing",IF(G70&gt;0%,"Cement, Aggregate, Steel, etc",IF(G70=0%,"Work not yet Started"))))</f>
        <v>Cement, Aggregate, Steel, etc</v>
      </c>
      <c r="E64" s="124"/>
      <c r="F64" s="124"/>
      <c r="G64" s="124"/>
      <c r="H64" s="124"/>
      <c r="J64" s="24"/>
    </row>
    <row r="65" spans="1:10" ht="33.75" customHeight="1" thickBot="1" x14ac:dyDescent="0.35">
      <c r="A65" s="160" t="s">
        <v>118</v>
      </c>
      <c r="B65" s="160"/>
      <c r="C65" s="160"/>
      <c r="D65" s="124" t="str">
        <f ca="1">(IF(D64="Nothing","Yes",IF(D64="Cement, Aggregate, Steel, etc","Under Construction",IF(D64="Work not yet Started","Work not yet Started"))))</f>
        <v>Under Construction</v>
      </c>
      <c r="E65" s="124"/>
      <c r="F65" s="124" t="str">
        <f ca="1">(IF(D64="Nothing","Yes",IF(D64="Cement, Aggregate, Steel, etc","Under Construction",IF(D64="Work not yet Started","Work not yet Started"))))</f>
        <v>Under Construction</v>
      </c>
      <c r="G65" s="124"/>
      <c r="H65" s="124"/>
    </row>
    <row r="66" spans="1:10" ht="15.75" customHeight="1" x14ac:dyDescent="0.3">
      <c r="A66" s="103" t="s">
        <v>140</v>
      </c>
      <c r="B66" s="104"/>
      <c r="C66" s="105" t="str">
        <f>D58</f>
        <v>Gr + 1st to 23rd Floor</v>
      </c>
      <c r="D66" s="106"/>
      <c r="E66" s="106"/>
      <c r="F66" s="106"/>
      <c r="G66" s="106"/>
      <c r="H66" s="107"/>
      <c r="I66" s="44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20 Floor, Flooring upto 14 Floor, Painting upto 8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20 Floor, Flooring upto 14 Floor, Painting upto 8 Floor</v>
      </c>
    </row>
    <row r="67" spans="1:10" x14ac:dyDescent="0.3">
      <c r="A67" s="16" t="s">
        <v>142</v>
      </c>
      <c r="B67" s="48">
        <f>IF(AND(ISNUMBER(SEARCH("1B",C66))),1,IF(AND(ISNUMBER(SEARCH("2B",C66))),2,IF(AND(ISNUMBER(SEARCH("3B",C66))),3,IF(AND(ISNUMBER(SEARCH("4B",C66))),4,IF(ISNUMBER(SEARCH("5B",C66)),5,0)))))</f>
        <v>0</v>
      </c>
      <c r="C67" s="48" t="s">
        <v>72</v>
      </c>
      <c r="D67" s="48">
        <v>1</v>
      </c>
      <c r="E67" s="48" t="s">
        <v>71</v>
      </c>
      <c r="F67" s="48">
        <v>0</v>
      </c>
      <c r="G67" s="48" t="s">
        <v>80</v>
      </c>
      <c r="H67" s="17">
        <f ca="1">--TRIM(RIGHT(SUBSTITUTE(LEFT(C66,_xlfn.AGGREGATE(16,6,FIND({0,1,2,3,4,5,6,7,8,9},C66,ROW(INDIRECT("1:"&amp;LEN(C66)))),1))," ",REPT(" ",LEN(C66))),LEN(C66)))</f>
        <v>23</v>
      </c>
      <c r="I67" s="4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5.25" customHeight="1" x14ac:dyDescent="0.3">
      <c r="A68" s="101" t="s">
        <v>90</v>
      </c>
      <c r="B68" s="102"/>
      <c r="C68" s="172" t="str">
        <f ca="1">I66</f>
        <v>Excavation, Plinth, RCC Slab, Brickwork, Internal Plaster Completed, External Plaster upto 20 Floor, Flooring upto 14 Floor, Painting upto 8 Floor Completed</v>
      </c>
      <c r="D68" s="172"/>
      <c r="E68" s="172"/>
      <c r="F68" s="172"/>
      <c r="G68" s="172"/>
      <c r="H68" s="173"/>
      <c r="I68" s="46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0" ht="15.75" customHeight="1" x14ac:dyDescent="0.3">
      <c r="A69" s="88" t="s">
        <v>49</v>
      </c>
      <c r="B69" s="89"/>
      <c r="C69" s="57" t="s">
        <v>139</v>
      </c>
      <c r="D69" s="57" t="s">
        <v>83</v>
      </c>
      <c r="E69" s="89" t="s">
        <v>85</v>
      </c>
      <c r="F69" s="89"/>
      <c r="G69" s="89" t="s">
        <v>84</v>
      </c>
      <c r="H69" s="143"/>
      <c r="I69" s="14" t="s">
        <v>141</v>
      </c>
      <c r="J69" s="26">
        <f ca="1">H67*25%</f>
        <v>5.75</v>
      </c>
    </row>
    <row r="70" spans="1:10" x14ac:dyDescent="0.3">
      <c r="A70" s="88" t="s">
        <v>128</v>
      </c>
      <c r="B70" s="89"/>
      <c r="C70" s="57">
        <f ca="1">J71</f>
        <v>23</v>
      </c>
      <c r="D70" s="58">
        <f ca="1">((100/H67)*C70)/100</f>
        <v>1</v>
      </c>
      <c r="E70" s="161">
        <f ca="1">(((C71/H67*10)+(40/(D67+F67+H67)*C72)+(7.5/(H67)*C73)+(7.5/(H67)*C74)+(10/H67*C75)+(10/H67*C76)+(5/H67*C77)+(5/H67*C78)+(5/H67*C79))/100)</f>
        <v>0.81521739130434778</v>
      </c>
      <c r="F70" s="162"/>
      <c r="G70" s="161">
        <f ca="1">((((C70/H67)*20)+((C71/H67)*25)+(30/(H67+F67+D67)*C72)+(5/H67*C73)+(5/H67*C74)+(5/H67*C75)+(5/H67*C76)+(0/H67*C77)+(0/H67*C78)+(5/H67*C79))/100)</f>
        <v>0.92391304347826075</v>
      </c>
      <c r="H70" s="167"/>
      <c r="I70" s="14" t="s">
        <v>100</v>
      </c>
      <c r="J70" s="27">
        <f ca="1">H67*50%</f>
        <v>11.5</v>
      </c>
    </row>
    <row r="71" spans="1:10" x14ac:dyDescent="0.3">
      <c r="A71" s="88" t="s">
        <v>50</v>
      </c>
      <c r="B71" s="89"/>
      <c r="C71" s="57">
        <f ca="1">J79</f>
        <v>23</v>
      </c>
      <c r="D71" s="58">
        <f ca="1">((100/H67)*C71)/100</f>
        <v>1</v>
      </c>
      <c r="E71" s="163"/>
      <c r="F71" s="164"/>
      <c r="G71" s="163"/>
      <c r="H71" s="168"/>
      <c r="I71" s="14" t="s">
        <v>101</v>
      </c>
      <c r="J71" s="27">
        <f ca="1">H67</f>
        <v>23</v>
      </c>
    </row>
    <row r="72" spans="1:10" ht="15.75" customHeight="1" x14ac:dyDescent="0.3">
      <c r="A72" s="88" t="s">
        <v>129</v>
      </c>
      <c r="B72" s="89"/>
      <c r="C72" s="57">
        <v>24</v>
      </c>
      <c r="D72" s="58">
        <f ca="1">((100/(D67+F67+H67))*C72)/100</f>
        <v>1</v>
      </c>
      <c r="E72" s="163"/>
      <c r="F72" s="164"/>
      <c r="G72" s="163"/>
      <c r="H72" s="168"/>
      <c r="I72" s="14" t="s">
        <v>102</v>
      </c>
      <c r="J72" s="28">
        <f ca="1">(IF(B67&gt;1,(H67/(B67+2)),H67/4))</f>
        <v>5.75</v>
      </c>
    </row>
    <row r="73" spans="1:10" ht="15.75" customHeight="1" x14ac:dyDescent="0.3">
      <c r="A73" s="88" t="s">
        <v>136</v>
      </c>
      <c r="B73" s="89" t="s">
        <v>130</v>
      </c>
      <c r="C73" s="57">
        <v>23</v>
      </c>
      <c r="D73" s="58">
        <f ca="1">((100/H67)*C73)/100</f>
        <v>1</v>
      </c>
      <c r="E73" s="163"/>
      <c r="F73" s="164"/>
      <c r="G73" s="163"/>
      <c r="H73" s="168"/>
      <c r="I73" s="14" t="s">
        <v>103</v>
      </c>
      <c r="J73" s="28">
        <f ca="1">(IF(B67&gt;1,(H67/(B67+2)+J72),H67/4+J72))</f>
        <v>11.5</v>
      </c>
    </row>
    <row r="74" spans="1:10" ht="15.75" customHeight="1" x14ac:dyDescent="0.3">
      <c r="A74" s="88" t="s">
        <v>137</v>
      </c>
      <c r="B74" s="89" t="s">
        <v>130</v>
      </c>
      <c r="C74" s="57">
        <v>23</v>
      </c>
      <c r="D74" s="58">
        <f ca="1">((100/H67)*C74)/100</f>
        <v>1</v>
      </c>
      <c r="E74" s="163"/>
      <c r="F74" s="164"/>
      <c r="G74" s="163"/>
      <c r="H74" s="168"/>
      <c r="I74" s="14" t="s">
        <v>146</v>
      </c>
      <c r="J74" s="28">
        <f>(IF(B67&gt;1,(H67/(B67+2)+J73),0))</f>
        <v>0</v>
      </c>
    </row>
    <row r="75" spans="1:10" ht="15" customHeight="1" x14ac:dyDescent="0.3">
      <c r="A75" s="88" t="s">
        <v>135</v>
      </c>
      <c r="B75" s="89" t="s">
        <v>132</v>
      </c>
      <c r="C75" s="57">
        <v>20</v>
      </c>
      <c r="D75" s="58">
        <f ca="1">((100/(H67))*C75)/100</f>
        <v>0.86956521739130432</v>
      </c>
      <c r="E75" s="163"/>
      <c r="F75" s="164"/>
      <c r="G75" s="163"/>
      <c r="H75" s="168"/>
      <c r="I75" s="14" t="s">
        <v>143</v>
      </c>
      <c r="J75" s="28">
        <f>(IF(B67&gt;2,(H67/(B67+2)+J74),0))</f>
        <v>0</v>
      </c>
    </row>
    <row r="76" spans="1:10" ht="15.75" customHeight="1" x14ac:dyDescent="0.3">
      <c r="A76" s="88" t="s">
        <v>131</v>
      </c>
      <c r="B76" s="89" t="s">
        <v>131</v>
      </c>
      <c r="C76" s="57">
        <v>14</v>
      </c>
      <c r="D76" s="58">
        <f ca="1">((100/H67)*C76)/100</f>
        <v>0.60869565217391297</v>
      </c>
      <c r="E76" s="163"/>
      <c r="F76" s="164"/>
      <c r="G76" s="163"/>
      <c r="H76" s="168"/>
      <c r="I76" s="14" t="s">
        <v>144</v>
      </c>
      <c r="J76" s="29">
        <f>(IF(B67&gt;3,(H67/(B67+2)+J75),0))</f>
        <v>0</v>
      </c>
    </row>
    <row r="77" spans="1:10" ht="15.75" customHeight="1" x14ac:dyDescent="0.3">
      <c r="A77" s="88" t="s">
        <v>138</v>
      </c>
      <c r="B77" s="89"/>
      <c r="C77" s="57">
        <v>8</v>
      </c>
      <c r="D77" s="58">
        <f ca="1">((100/H67)*C77)/100</f>
        <v>0.34782608695652173</v>
      </c>
      <c r="E77" s="163"/>
      <c r="F77" s="164"/>
      <c r="G77" s="163"/>
      <c r="H77" s="168"/>
      <c r="I77" s="14" t="s">
        <v>145</v>
      </c>
      <c r="J77" s="28">
        <f>(IF(B67&gt;4,(H67/(B67+2)+J76),0))</f>
        <v>0</v>
      </c>
    </row>
    <row r="78" spans="1:10" ht="15.75" customHeight="1" x14ac:dyDescent="0.3">
      <c r="A78" s="88" t="s">
        <v>133</v>
      </c>
      <c r="B78" s="89" t="s">
        <v>133</v>
      </c>
      <c r="C78" s="57">
        <v>0</v>
      </c>
      <c r="D78" s="58">
        <f ca="1">((100/(H67))*C78)/100</f>
        <v>0</v>
      </c>
      <c r="E78" s="163"/>
      <c r="F78" s="164"/>
      <c r="G78" s="163"/>
      <c r="H78" s="168"/>
      <c r="I78" s="14" t="s">
        <v>147</v>
      </c>
      <c r="J78" s="28">
        <f ca="1">(IF(B67=1,(H67/(B67+3)+J73),IF(B67=0,(H67/4+J73),IF(B67&gt;1,0))))</f>
        <v>17.25</v>
      </c>
    </row>
    <row r="79" spans="1:10" ht="16.2" thickBot="1" x14ac:dyDescent="0.35">
      <c r="A79" s="170" t="s">
        <v>134</v>
      </c>
      <c r="B79" s="171"/>
      <c r="C79" s="59">
        <v>0</v>
      </c>
      <c r="D79" s="60">
        <f ca="1">((100/(H67))*C79)/100</f>
        <v>0</v>
      </c>
      <c r="E79" s="165"/>
      <c r="F79" s="166"/>
      <c r="G79" s="165"/>
      <c r="H79" s="169"/>
      <c r="I79" s="15" t="s">
        <v>104</v>
      </c>
      <c r="J79" s="30">
        <f ca="1">(IF(B67&gt;1.5,(H67/(B67+2)+J73+MAX(0,J74-J73)+MAX(0,J75-J74)+MAX(0,J76-J75)+MAX(0,J77-J76)+MAX(0,J78-J77)),IF(B67=1,(H67/(B67+3)+J78),IF(B67=0,H67/4+J78))))</f>
        <v>23</v>
      </c>
    </row>
    <row r="80" spans="1:10" x14ac:dyDescent="0.3">
      <c r="A80" s="86" t="s">
        <v>154</v>
      </c>
      <c r="B80" s="86"/>
      <c r="C80" s="86"/>
      <c r="D80" s="86"/>
      <c r="E80" s="86"/>
      <c r="F80" s="144" t="s">
        <v>158</v>
      </c>
      <c r="G80" s="144"/>
      <c r="H80" s="144"/>
    </row>
    <row r="81" spans="1:12" x14ac:dyDescent="0.3">
      <c r="A81" s="83" t="s">
        <v>156</v>
      </c>
      <c r="B81" s="83"/>
      <c r="C81" s="83"/>
      <c r="D81" s="83"/>
      <c r="E81" s="83"/>
      <c r="F81" s="180">
        <v>11000</v>
      </c>
      <c r="G81" s="180"/>
      <c r="H81" s="180"/>
      <c r="I81" s="61" t="s">
        <v>281</v>
      </c>
      <c r="J81" s="61" t="s">
        <v>278</v>
      </c>
      <c r="K81" s="61" t="s">
        <v>279</v>
      </c>
      <c r="L81" s="62">
        <v>45239</v>
      </c>
    </row>
    <row r="82" spans="1:12" x14ac:dyDescent="0.3">
      <c r="A82" s="83" t="s">
        <v>155</v>
      </c>
      <c r="B82" s="83"/>
      <c r="C82" s="83"/>
      <c r="D82" s="83"/>
      <c r="E82" s="83"/>
      <c r="F82" s="82">
        <v>11500</v>
      </c>
      <c r="G82" s="82"/>
      <c r="H82" s="82"/>
      <c r="I82" s="61" t="s">
        <v>280</v>
      </c>
      <c r="J82" s="61" t="s">
        <v>278</v>
      </c>
      <c r="K82" s="61" t="s">
        <v>279</v>
      </c>
      <c r="L82" s="62">
        <v>45225</v>
      </c>
    </row>
    <row r="83" spans="1:12" hidden="1" x14ac:dyDescent="0.3">
      <c r="A83" s="83" t="s">
        <v>157</v>
      </c>
      <c r="B83" s="83"/>
      <c r="C83" s="83"/>
      <c r="D83" s="83"/>
      <c r="E83" s="83"/>
      <c r="F83" s="82"/>
      <c r="G83" s="82"/>
      <c r="H83" s="82"/>
    </row>
    <row r="84" spans="1:12" s="31" customFormat="1" hidden="1" x14ac:dyDescent="0.25">
      <c r="A84" s="83" t="s">
        <v>173</v>
      </c>
      <c r="B84" s="83"/>
      <c r="C84" s="83"/>
      <c r="D84" s="83"/>
      <c r="E84" s="83"/>
      <c r="F84" s="82"/>
      <c r="G84" s="82"/>
      <c r="H84" s="82"/>
    </row>
    <row r="85" spans="1:12" s="31" customFormat="1" x14ac:dyDescent="0.25">
      <c r="A85" s="83" t="s">
        <v>277</v>
      </c>
      <c r="B85" s="83"/>
      <c r="C85" s="83"/>
      <c r="D85" s="83"/>
      <c r="E85" s="83"/>
      <c r="F85" s="82">
        <v>1000000</v>
      </c>
      <c r="G85" s="82"/>
      <c r="H85" s="82"/>
    </row>
    <row r="86" spans="1:12" s="31" customFormat="1" hidden="1" x14ac:dyDescent="0.25">
      <c r="A86" s="83" t="s">
        <v>95</v>
      </c>
      <c r="B86" s="83"/>
      <c r="C86" s="83"/>
      <c r="D86" s="83"/>
      <c r="E86" s="83"/>
      <c r="F86" s="82"/>
      <c r="G86" s="82"/>
      <c r="H86" s="82"/>
    </row>
    <row r="87" spans="1:12" s="31" customFormat="1" hidden="1" x14ac:dyDescent="0.25">
      <c r="A87" s="83" t="s">
        <v>159</v>
      </c>
      <c r="B87" s="83"/>
      <c r="C87" s="83"/>
      <c r="D87" s="83"/>
      <c r="E87" s="83"/>
      <c r="F87" s="82"/>
      <c r="G87" s="82"/>
      <c r="H87" s="82"/>
    </row>
    <row r="88" spans="1:12" s="31" customFormat="1" hidden="1" x14ac:dyDescent="0.25">
      <c r="A88" s="83" t="s">
        <v>96</v>
      </c>
      <c r="B88" s="83"/>
      <c r="C88" s="83"/>
      <c r="D88" s="83"/>
      <c r="E88" s="83"/>
      <c r="F88" s="82"/>
      <c r="G88" s="82"/>
      <c r="H88" s="82"/>
    </row>
    <row r="89" spans="1:12" s="31" customFormat="1" hidden="1" x14ac:dyDescent="0.25">
      <c r="A89" s="83" t="s">
        <v>97</v>
      </c>
      <c r="B89" s="83"/>
      <c r="C89" s="83"/>
      <c r="D89" s="83"/>
      <c r="E89" s="83"/>
      <c r="F89" s="82"/>
      <c r="G89" s="82"/>
      <c r="H89" s="82"/>
    </row>
    <row r="90" spans="1:12" s="31" customFormat="1" hidden="1" x14ac:dyDescent="0.25">
      <c r="A90" s="83" t="s">
        <v>98</v>
      </c>
      <c r="B90" s="83"/>
      <c r="C90" s="83"/>
      <c r="D90" s="83"/>
      <c r="E90" s="83"/>
      <c r="F90" s="82"/>
      <c r="G90" s="82"/>
      <c r="H90" s="82"/>
    </row>
    <row r="91" spans="1:12" s="31" customFormat="1" hidden="1" x14ac:dyDescent="0.25">
      <c r="A91" s="83" t="s">
        <v>99</v>
      </c>
      <c r="B91" s="83"/>
      <c r="C91" s="83"/>
      <c r="D91" s="83"/>
      <c r="E91" s="83"/>
      <c r="F91" s="82"/>
      <c r="G91" s="82"/>
      <c r="H91" s="82"/>
    </row>
    <row r="92" spans="1:12" x14ac:dyDescent="0.3">
      <c r="A92" s="83" t="s">
        <v>51</v>
      </c>
      <c r="B92" s="83"/>
      <c r="C92" s="83"/>
      <c r="D92" s="83"/>
      <c r="E92" s="83"/>
      <c r="F92" s="82">
        <v>500000</v>
      </c>
      <c r="G92" s="82"/>
      <c r="H92" s="82"/>
    </row>
    <row r="93" spans="1:12" s="32" customFormat="1" x14ac:dyDescent="0.3">
      <c r="A93" s="102" t="s">
        <v>52</v>
      </c>
      <c r="B93" s="102"/>
      <c r="C93" s="102"/>
      <c r="D93" s="102"/>
      <c r="E93" s="102"/>
      <c r="F93" s="82">
        <f>F81*0.8</f>
        <v>8800</v>
      </c>
      <c r="G93" s="82"/>
      <c r="H93" s="82"/>
    </row>
    <row r="94" spans="1:12" s="33" customFormat="1" ht="15.75" customHeight="1" x14ac:dyDescent="0.3">
      <c r="A94" s="134" t="s">
        <v>75</v>
      </c>
      <c r="B94" s="134"/>
      <c r="C94" s="134"/>
      <c r="D94" s="134"/>
      <c r="E94" s="134"/>
      <c r="F94" s="134"/>
      <c r="G94" s="134"/>
      <c r="H94" s="134"/>
    </row>
    <row r="95" spans="1:12" s="33" customFormat="1" ht="15.75" customHeight="1" x14ac:dyDescent="0.3">
      <c r="A95" s="93" t="s">
        <v>53</v>
      </c>
      <c r="B95" s="93"/>
      <c r="C95" s="179" t="s">
        <v>78</v>
      </c>
      <c r="D95" s="179"/>
      <c r="E95" s="146" t="s">
        <v>54</v>
      </c>
      <c r="F95" s="146"/>
      <c r="G95" s="93" t="s">
        <v>55</v>
      </c>
      <c r="H95" s="93"/>
    </row>
    <row r="96" spans="1:12" s="33" customFormat="1" x14ac:dyDescent="0.3">
      <c r="A96" s="136" t="s">
        <v>265</v>
      </c>
      <c r="B96" s="136"/>
      <c r="C96" s="141">
        <f>COUNT(D106:D121)</f>
        <v>16</v>
      </c>
      <c r="D96" s="137"/>
      <c r="E96" s="138">
        <f>SUM(D106:D121)</f>
        <v>6278.3182799999995</v>
      </c>
      <c r="F96" s="142"/>
      <c r="G96" s="138">
        <f>SUM(F106:F121)</f>
        <v>13610</v>
      </c>
      <c r="H96" s="142"/>
    </row>
    <row r="97" spans="1:14" s="33" customFormat="1" x14ac:dyDescent="0.3">
      <c r="A97" s="134" t="s">
        <v>70</v>
      </c>
      <c r="B97" s="134"/>
      <c r="C97" s="134"/>
      <c r="D97" s="134"/>
      <c r="E97" s="134"/>
      <c r="F97" s="134"/>
      <c r="G97" s="134"/>
      <c r="H97" s="134"/>
    </row>
    <row r="98" spans="1:14" s="33" customFormat="1" ht="15.75" customHeight="1" x14ac:dyDescent="0.3">
      <c r="A98" s="93" t="s">
        <v>53</v>
      </c>
      <c r="B98" s="93"/>
      <c r="C98" s="179" t="s">
        <v>78</v>
      </c>
      <c r="D98" s="179"/>
      <c r="E98" s="146" t="s">
        <v>54</v>
      </c>
      <c r="F98" s="146"/>
      <c r="G98" s="93" t="s">
        <v>55</v>
      </c>
      <c r="H98" s="93"/>
    </row>
    <row r="99" spans="1:14" s="33" customFormat="1" ht="16.2" thickBot="1" x14ac:dyDescent="0.35">
      <c r="A99" s="136" t="s">
        <v>266</v>
      </c>
      <c r="B99" s="136"/>
      <c r="C99" s="137">
        <f>COUNT(D128:D132)+COUNT(D134:D138)*8+COUNT(D140:D144)*4+COUNT(D146:D150)*4</f>
        <v>85</v>
      </c>
      <c r="D99" s="137"/>
      <c r="E99" s="138">
        <f>SUM(D128:D132)+SUM(D134:D138)*8+SUM(D140:D144)*4+SUM(D146:D150)*4</f>
        <v>82530.844109999991</v>
      </c>
      <c r="F99" s="138"/>
      <c r="G99" s="138">
        <f>SUM(F128:F132)+SUM(F134:F138)*8+SUM(F140:F144)*4+SUM(F146:F150)*4</f>
        <v>131225</v>
      </c>
      <c r="H99" s="138"/>
    </row>
    <row r="100" spans="1:14" s="33" customFormat="1" ht="16.2" thickBot="1" x14ac:dyDescent="0.35">
      <c r="A100" s="158" t="s">
        <v>165</v>
      </c>
      <c r="B100" s="159"/>
      <c r="C100" s="139">
        <f>C96+C99</f>
        <v>101</v>
      </c>
      <c r="D100" s="140"/>
      <c r="E100" s="139">
        <f t="shared" ref="E100" si="0">E96+E99</f>
        <v>88809.162389999983</v>
      </c>
      <c r="F100" s="140"/>
      <c r="G100" s="139">
        <f t="shared" ref="G100" si="1">G96+G99</f>
        <v>144835</v>
      </c>
      <c r="H100" s="140"/>
    </row>
    <row r="101" spans="1:14" s="32" customFormat="1" x14ac:dyDescent="0.3">
      <c r="A101" s="150" t="s">
        <v>56</v>
      </c>
      <c r="B101" s="150"/>
      <c r="C101" s="150"/>
      <c r="D101" s="150"/>
      <c r="E101" s="150"/>
      <c r="F101" s="150"/>
      <c r="G101" s="150"/>
      <c r="H101" s="150"/>
    </row>
    <row r="102" spans="1:14" x14ac:dyDescent="0.3">
      <c r="A102" s="122" t="s">
        <v>172</v>
      </c>
      <c r="B102" s="122"/>
      <c r="C102" s="122"/>
      <c r="D102" s="122"/>
      <c r="E102" s="122"/>
      <c r="F102" s="122"/>
      <c r="G102" s="122"/>
      <c r="H102" s="122"/>
    </row>
    <row r="103" spans="1:14" ht="47.25" customHeight="1" x14ac:dyDescent="0.3">
      <c r="A103" s="84" t="s">
        <v>119</v>
      </c>
      <c r="B103" s="84" t="s">
        <v>174</v>
      </c>
      <c r="C103" s="84" t="s">
        <v>57</v>
      </c>
      <c r="D103" s="84" t="s">
        <v>58</v>
      </c>
      <c r="E103" s="154" t="s">
        <v>153</v>
      </c>
      <c r="F103" s="41" t="s">
        <v>270</v>
      </c>
      <c r="G103" s="151" t="s">
        <v>60</v>
      </c>
      <c r="H103" s="156"/>
    </row>
    <row r="104" spans="1:14" s="35" customFormat="1" hidden="1" x14ac:dyDescent="0.3">
      <c r="A104" s="85"/>
      <c r="B104" s="85"/>
      <c r="C104" s="85"/>
      <c r="D104" s="85"/>
      <c r="E104" s="155"/>
      <c r="F104" s="13">
        <v>0.6</v>
      </c>
      <c r="G104" s="152"/>
      <c r="H104" s="157"/>
    </row>
    <row r="105" spans="1:14" s="35" customFormat="1" x14ac:dyDescent="0.3">
      <c r="A105" s="63" t="s">
        <v>255</v>
      </c>
      <c r="B105" s="64"/>
      <c r="C105" s="64"/>
      <c r="D105" s="64"/>
      <c r="E105" s="64"/>
      <c r="F105" s="64"/>
      <c r="G105" s="64"/>
      <c r="H105" s="65"/>
      <c r="J105" s="34"/>
    </row>
    <row r="106" spans="1:14" s="35" customFormat="1" ht="15.75" customHeight="1" x14ac:dyDescent="0.3">
      <c r="A106" s="66">
        <v>1</v>
      </c>
      <c r="B106" s="67"/>
      <c r="C106" s="40" t="s">
        <v>251</v>
      </c>
      <c r="D106" s="40">
        <f>(30.38)*10.764</f>
        <v>327.01031999999998</v>
      </c>
      <c r="E106" s="40">
        <v>0</v>
      </c>
      <c r="F106" s="56">
        <v>700</v>
      </c>
      <c r="G106" s="68" t="str">
        <f>A105</f>
        <v>Ground Floor For Commercial, Meter Room, Pump room, Fire Control Room, &amp; Parking</v>
      </c>
      <c r="H106" s="69"/>
      <c r="I106" s="34">
        <f>2.89*9.5+1.29*1+1.5*0.9</f>
        <v>30.095000000000002</v>
      </c>
      <c r="L106" s="56">
        <v>700</v>
      </c>
      <c r="M106" s="55">
        <f>L106/D106</f>
        <v>2.1406052261592237</v>
      </c>
      <c r="N106" s="34"/>
    </row>
    <row r="107" spans="1:14" s="35" customFormat="1" ht="15.75" customHeight="1" x14ac:dyDescent="0.3">
      <c r="A107" s="66">
        <f t="shared" ref="A107:A121" si="2">A106+1</f>
        <v>2</v>
      </c>
      <c r="B107" s="67"/>
      <c r="C107" s="40" t="s">
        <v>251</v>
      </c>
      <c r="D107" s="40">
        <f>(30.38)*10.764</f>
        <v>327.01031999999998</v>
      </c>
      <c r="E107" s="40">
        <v>0</v>
      </c>
      <c r="F107" s="56">
        <v>700</v>
      </c>
      <c r="G107" s="70"/>
      <c r="H107" s="71"/>
      <c r="I107" s="34"/>
      <c r="L107" s="56">
        <v>700</v>
      </c>
      <c r="M107" s="55">
        <f t="shared" ref="M107:M121" si="3">L107/D107</f>
        <v>2.1406052261592237</v>
      </c>
      <c r="N107" s="34"/>
    </row>
    <row r="108" spans="1:14" s="35" customFormat="1" ht="15.75" customHeight="1" x14ac:dyDescent="0.3">
      <c r="A108" s="66">
        <f t="shared" si="2"/>
        <v>3</v>
      </c>
      <c r="B108" s="67"/>
      <c r="C108" s="40" t="s">
        <v>251</v>
      </c>
      <c r="D108" s="40">
        <f>(28.88)*10.764</f>
        <v>310.86431999999996</v>
      </c>
      <c r="E108" s="40">
        <v>0</v>
      </c>
      <c r="F108" s="56">
        <v>670</v>
      </c>
      <c r="G108" s="70"/>
      <c r="H108" s="71"/>
      <c r="I108" s="34"/>
      <c r="L108" s="56">
        <v>670</v>
      </c>
      <c r="M108" s="55">
        <f t="shared" si="3"/>
        <v>2.1552811207153013</v>
      </c>
      <c r="N108" s="34"/>
    </row>
    <row r="109" spans="1:14" s="35" customFormat="1" ht="15.75" customHeight="1" x14ac:dyDescent="0.3">
      <c r="A109" s="66">
        <f t="shared" si="2"/>
        <v>4</v>
      </c>
      <c r="B109" s="67"/>
      <c r="C109" s="40" t="s">
        <v>251</v>
      </c>
      <c r="D109" s="40">
        <f>(32.03)*10.764</f>
        <v>344.77091999999999</v>
      </c>
      <c r="E109" s="40">
        <v>0</v>
      </c>
      <c r="F109" s="56">
        <v>740</v>
      </c>
      <c r="G109" s="70"/>
      <c r="H109" s="71"/>
      <c r="I109" s="34"/>
      <c r="L109" s="56">
        <v>740</v>
      </c>
      <c r="M109" s="55">
        <f t="shared" si="3"/>
        <v>2.1463527144342684</v>
      </c>
      <c r="N109" s="34"/>
    </row>
    <row r="110" spans="1:14" s="35" customFormat="1" x14ac:dyDescent="0.3">
      <c r="A110" s="66">
        <f t="shared" si="2"/>
        <v>5</v>
      </c>
      <c r="B110" s="67"/>
      <c r="C110" s="40" t="s">
        <v>251</v>
      </c>
      <c r="D110" s="40">
        <f>(32.02)*10.764</f>
        <v>344.66327999999999</v>
      </c>
      <c r="E110" s="40">
        <v>0</v>
      </c>
      <c r="F110" s="56">
        <v>740</v>
      </c>
      <c r="G110" s="70"/>
      <c r="H110" s="71"/>
      <c r="I110" s="34"/>
      <c r="L110" s="56">
        <v>740</v>
      </c>
      <c r="M110" s="55">
        <f t="shared" si="3"/>
        <v>2.1470230307098568</v>
      </c>
      <c r="N110" s="34"/>
    </row>
    <row r="111" spans="1:14" s="35" customFormat="1" x14ac:dyDescent="0.3">
      <c r="A111" s="66">
        <f t="shared" si="2"/>
        <v>6</v>
      </c>
      <c r="B111" s="67"/>
      <c r="C111" s="40" t="s">
        <v>251</v>
      </c>
      <c r="D111" s="40">
        <f>(28.88)*10.764</f>
        <v>310.86431999999996</v>
      </c>
      <c r="E111" s="40">
        <v>0</v>
      </c>
      <c r="F111" s="56">
        <v>670</v>
      </c>
      <c r="G111" s="70"/>
      <c r="H111" s="71"/>
      <c r="I111" s="34"/>
      <c r="L111" s="56">
        <v>670</v>
      </c>
      <c r="M111" s="55">
        <f t="shared" si="3"/>
        <v>2.1552811207153013</v>
      </c>
      <c r="N111" s="34"/>
    </row>
    <row r="112" spans="1:14" s="35" customFormat="1" x14ac:dyDescent="0.3">
      <c r="A112" s="66">
        <f t="shared" si="2"/>
        <v>7</v>
      </c>
      <c r="B112" s="67"/>
      <c r="C112" s="40" t="s">
        <v>251</v>
      </c>
      <c r="D112" s="40">
        <f>(28.87)*10.764</f>
        <v>310.75668000000002</v>
      </c>
      <c r="E112" s="40">
        <v>0</v>
      </c>
      <c r="F112" s="56">
        <v>670</v>
      </c>
      <c r="G112" s="70"/>
      <c r="H112" s="71"/>
      <c r="I112" s="34"/>
      <c r="L112" s="56">
        <v>670</v>
      </c>
      <c r="M112" s="55">
        <f t="shared" si="3"/>
        <v>2.1560276676916486</v>
      </c>
      <c r="N112" s="34"/>
    </row>
    <row r="113" spans="1:14" s="35" customFormat="1" x14ac:dyDescent="0.3">
      <c r="A113" s="66">
        <f t="shared" si="2"/>
        <v>8</v>
      </c>
      <c r="B113" s="67"/>
      <c r="C113" s="40" t="s">
        <v>251</v>
      </c>
      <c r="D113" s="40">
        <f>(32.02)*10.764</f>
        <v>344.66327999999999</v>
      </c>
      <c r="E113" s="40">
        <v>0</v>
      </c>
      <c r="F113" s="56">
        <v>740</v>
      </c>
      <c r="G113" s="70"/>
      <c r="H113" s="71"/>
      <c r="I113" s="34"/>
      <c r="L113" s="56">
        <v>740</v>
      </c>
      <c r="M113" s="55">
        <f t="shared" si="3"/>
        <v>2.1470230307098568</v>
      </c>
      <c r="N113" s="34"/>
    </row>
    <row r="114" spans="1:14" s="35" customFormat="1" x14ac:dyDescent="0.3">
      <c r="A114" s="66">
        <f t="shared" si="2"/>
        <v>9</v>
      </c>
      <c r="B114" s="67"/>
      <c r="C114" s="40" t="s">
        <v>251</v>
      </c>
      <c r="D114" s="40">
        <f>(32.03)*10.764</f>
        <v>344.77091999999999</v>
      </c>
      <c r="E114" s="40">
        <v>0</v>
      </c>
      <c r="F114" s="56">
        <v>740</v>
      </c>
      <c r="G114" s="70"/>
      <c r="H114" s="71"/>
      <c r="I114" s="34"/>
      <c r="L114" s="56">
        <v>740</v>
      </c>
      <c r="M114" s="55">
        <f t="shared" si="3"/>
        <v>2.1463527144342684</v>
      </c>
      <c r="N114" s="34"/>
    </row>
    <row r="115" spans="1:14" s="35" customFormat="1" x14ac:dyDescent="0.3">
      <c r="A115" s="66">
        <f t="shared" si="2"/>
        <v>10</v>
      </c>
      <c r="B115" s="67"/>
      <c r="C115" s="40" t="s">
        <v>251</v>
      </c>
      <c r="D115" s="40">
        <f>(98.18)*10.764</f>
        <v>1056.80952</v>
      </c>
      <c r="E115" s="40">
        <v>0</v>
      </c>
      <c r="F115" s="56">
        <v>2410</v>
      </c>
      <c r="G115" s="70"/>
      <c r="H115" s="71"/>
      <c r="I115" s="34">
        <f>(1/2*8.5*9)+((3.14*(2.76*2.76))/2)+(8.5*3.1)+(1.96*1)+0.9*1.96</f>
        <v>80.283631999999983</v>
      </c>
      <c r="L115" s="56">
        <v>2410</v>
      </c>
      <c r="M115" s="55">
        <f t="shared" si="3"/>
        <v>2.2804487983794846</v>
      </c>
      <c r="N115" s="34"/>
    </row>
    <row r="116" spans="1:14" s="35" customFormat="1" x14ac:dyDescent="0.3">
      <c r="A116" s="66">
        <f t="shared" si="2"/>
        <v>11</v>
      </c>
      <c r="B116" s="67"/>
      <c r="C116" s="40" t="s">
        <v>251</v>
      </c>
      <c r="D116" s="40">
        <f>(30.49)*10.764</f>
        <v>328.19435999999996</v>
      </c>
      <c r="E116" s="40">
        <v>0</v>
      </c>
      <c r="F116" s="56">
        <v>705</v>
      </c>
      <c r="G116" s="70"/>
      <c r="H116" s="71"/>
      <c r="I116" s="34"/>
      <c r="L116" s="56">
        <v>705</v>
      </c>
      <c r="M116" s="55">
        <f t="shared" si="3"/>
        <v>2.1481173533877915</v>
      </c>
      <c r="N116" s="34"/>
    </row>
    <row r="117" spans="1:14" s="35" customFormat="1" x14ac:dyDescent="0.3">
      <c r="A117" s="66">
        <f t="shared" si="2"/>
        <v>12</v>
      </c>
      <c r="B117" s="67"/>
      <c r="C117" s="40" t="s">
        <v>251</v>
      </c>
      <c r="D117" s="40">
        <f>(30.49)*10.764</f>
        <v>328.19435999999996</v>
      </c>
      <c r="E117" s="40">
        <v>0</v>
      </c>
      <c r="F117" s="56">
        <v>705</v>
      </c>
      <c r="G117" s="70"/>
      <c r="H117" s="71"/>
      <c r="I117" s="34"/>
      <c r="L117" s="56">
        <v>705</v>
      </c>
      <c r="M117" s="55">
        <f t="shared" si="3"/>
        <v>2.1481173533877915</v>
      </c>
      <c r="N117" s="34"/>
    </row>
    <row r="118" spans="1:14" s="35" customFormat="1" x14ac:dyDescent="0.3">
      <c r="A118" s="66">
        <f t="shared" si="2"/>
        <v>13</v>
      </c>
      <c r="B118" s="67"/>
      <c r="C118" s="40" t="s">
        <v>251</v>
      </c>
      <c r="D118" s="40">
        <f>(33.48)*10.764</f>
        <v>360.37871999999993</v>
      </c>
      <c r="E118" s="40">
        <v>0</v>
      </c>
      <c r="F118" s="56">
        <v>770</v>
      </c>
      <c r="G118" s="70"/>
      <c r="H118" s="71"/>
      <c r="I118" s="34"/>
      <c r="L118" s="56">
        <v>770</v>
      </c>
      <c r="M118" s="55">
        <f t="shared" si="3"/>
        <v>2.1366411424070773</v>
      </c>
      <c r="N118" s="34"/>
    </row>
    <row r="119" spans="1:14" s="35" customFormat="1" x14ac:dyDescent="0.3">
      <c r="A119" s="66">
        <f t="shared" si="2"/>
        <v>14</v>
      </c>
      <c r="B119" s="67"/>
      <c r="C119" s="40" t="s">
        <v>251</v>
      </c>
      <c r="D119" s="40">
        <f>(33.48)*10.764</f>
        <v>360.37871999999993</v>
      </c>
      <c r="E119" s="40">
        <v>0</v>
      </c>
      <c r="F119" s="56">
        <v>770</v>
      </c>
      <c r="G119" s="70"/>
      <c r="H119" s="71"/>
      <c r="I119" s="34"/>
      <c r="L119" s="56">
        <v>770</v>
      </c>
      <c r="M119" s="55">
        <f t="shared" si="3"/>
        <v>2.1366411424070773</v>
      </c>
      <c r="N119" s="34"/>
    </row>
    <row r="120" spans="1:14" s="35" customFormat="1" x14ac:dyDescent="0.3">
      <c r="A120" s="66">
        <f t="shared" si="2"/>
        <v>15</v>
      </c>
      <c r="B120" s="67"/>
      <c r="C120" s="40" t="s">
        <v>251</v>
      </c>
      <c r="D120" s="40">
        <f>(40.83)*10.764</f>
        <v>439.49411999999995</v>
      </c>
      <c r="E120" s="40">
        <v>0</v>
      </c>
      <c r="F120" s="56">
        <v>940</v>
      </c>
      <c r="G120" s="70"/>
      <c r="H120" s="71"/>
      <c r="I120" s="34"/>
      <c r="L120" s="56">
        <v>940</v>
      </c>
      <c r="M120" s="55">
        <f t="shared" si="3"/>
        <v>2.1388226991523802</v>
      </c>
      <c r="N120" s="34"/>
    </row>
    <row r="121" spans="1:14" s="35" customFormat="1" x14ac:dyDescent="0.3">
      <c r="A121" s="66">
        <f t="shared" si="2"/>
        <v>16</v>
      </c>
      <c r="B121" s="67"/>
      <c r="C121" s="40" t="s">
        <v>251</v>
      </c>
      <c r="D121" s="40">
        <f>(40.83)*10.764</f>
        <v>439.49411999999995</v>
      </c>
      <c r="E121" s="40">
        <v>0</v>
      </c>
      <c r="F121" s="56">
        <v>940</v>
      </c>
      <c r="G121" s="72"/>
      <c r="H121" s="73"/>
      <c r="I121" s="34"/>
      <c r="L121" s="56">
        <v>940</v>
      </c>
      <c r="M121" s="55">
        <f t="shared" si="3"/>
        <v>2.1388226991523802</v>
      </c>
      <c r="N121" s="34"/>
    </row>
    <row r="122" spans="1:14" s="35" customFormat="1" x14ac:dyDescent="0.3">
      <c r="A122" s="66"/>
      <c r="B122" s="145"/>
      <c r="C122" s="145"/>
      <c r="D122" s="145"/>
      <c r="E122" s="145"/>
      <c r="F122" s="145"/>
      <c r="G122" s="145"/>
      <c r="H122" s="67"/>
      <c r="I122" s="34"/>
      <c r="N122" s="34"/>
    </row>
    <row r="123" spans="1:14" ht="47.25" customHeight="1" x14ac:dyDescent="0.3">
      <c r="A123" s="151" t="s">
        <v>120</v>
      </c>
      <c r="B123" s="84" t="s">
        <v>175</v>
      </c>
      <c r="C123" s="84" t="s">
        <v>57</v>
      </c>
      <c r="D123" s="84" t="s">
        <v>58</v>
      </c>
      <c r="E123" s="154" t="s">
        <v>59</v>
      </c>
      <c r="F123" s="41" t="s">
        <v>270</v>
      </c>
      <c r="G123" s="151" t="s">
        <v>60</v>
      </c>
      <c r="H123" s="156"/>
      <c r="I123" s="34"/>
    </row>
    <row r="124" spans="1:14" s="35" customFormat="1" hidden="1" x14ac:dyDescent="0.3">
      <c r="A124" s="152"/>
      <c r="B124" s="85"/>
      <c r="C124" s="85"/>
      <c r="D124" s="85"/>
      <c r="E124" s="155"/>
      <c r="F124" s="13">
        <v>0.55000000000000004</v>
      </c>
      <c r="G124" s="152"/>
      <c r="H124" s="157"/>
      <c r="I124" s="34"/>
    </row>
    <row r="125" spans="1:14" s="35" customFormat="1" x14ac:dyDescent="0.3">
      <c r="A125" s="63" t="s">
        <v>256</v>
      </c>
      <c r="B125" s="64"/>
      <c r="C125" s="64"/>
      <c r="D125" s="64"/>
      <c r="E125" s="64"/>
      <c r="F125" s="64"/>
      <c r="G125" s="64"/>
      <c r="H125" s="65"/>
      <c r="J125" s="34"/>
    </row>
    <row r="126" spans="1:14" s="35" customFormat="1" ht="30" customHeight="1" x14ac:dyDescent="0.3">
      <c r="A126" s="63" t="s">
        <v>257</v>
      </c>
      <c r="B126" s="64"/>
      <c r="C126" s="64"/>
      <c r="D126" s="64"/>
      <c r="E126" s="64"/>
      <c r="F126" s="64"/>
      <c r="G126" s="64"/>
      <c r="H126" s="65"/>
      <c r="J126" s="34"/>
    </row>
    <row r="127" spans="1:14" s="35" customFormat="1" x14ac:dyDescent="0.3">
      <c r="A127" s="63" t="s">
        <v>252</v>
      </c>
      <c r="B127" s="64"/>
      <c r="C127" s="64"/>
      <c r="D127" s="64"/>
      <c r="E127" s="64"/>
      <c r="F127" s="64"/>
      <c r="G127" s="64"/>
      <c r="H127" s="65"/>
      <c r="J127" s="34"/>
    </row>
    <row r="128" spans="1:14" s="35" customFormat="1" ht="15.75" customHeight="1" x14ac:dyDescent="0.3">
      <c r="A128" s="66">
        <v>701</v>
      </c>
      <c r="B128" s="67"/>
      <c r="C128" s="40" t="s">
        <v>253</v>
      </c>
      <c r="D128" s="40">
        <f>(60.25+6.55+1.8+0.75*(2.47+3.63))*10.764</f>
        <v>787.65569999999991</v>
      </c>
      <c r="E128" s="40">
        <v>0</v>
      </c>
      <c r="F128" s="56">
        <v>1230</v>
      </c>
      <c r="G128" s="68" t="str">
        <f>A127</f>
        <v>7th Floor For Residential</v>
      </c>
      <c r="H128" s="69"/>
      <c r="I128" s="34">
        <f>(60.25+6.55+1.8)</f>
        <v>68.599999999999994</v>
      </c>
      <c r="J128" s="34">
        <f>(4.75*3.1+3.1*1+3.05*2.75+3.05*3.4+3.1*4.3+1.2*2.1+1.8*1.2+2.1*0.9+1.2*1.2+2.75*1.05+3.05*1.2+2.1*0.7)</f>
        <v>65.94</v>
      </c>
      <c r="L128" s="56">
        <v>1230</v>
      </c>
      <c r="M128" s="54">
        <f t="shared" ref="M128:M138" si="4">L128/D128</f>
        <v>1.5615960120646624</v>
      </c>
      <c r="N128" s="34">
        <f>8500*F128</f>
        <v>10455000</v>
      </c>
    </row>
    <row r="129" spans="1:14" s="35" customFormat="1" ht="15.75" customHeight="1" x14ac:dyDescent="0.3">
      <c r="A129" s="66">
        <f t="shared" ref="A129:A132" si="5">A128+1</f>
        <v>702</v>
      </c>
      <c r="B129" s="67"/>
      <c r="C129" s="40" t="s">
        <v>254</v>
      </c>
      <c r="D129" s="40">
        <f>(91.39+15.73+0.75*2.24)*10.764</f>
        <v>1171.1232</v>
      </c>
      <c r="E129" s="40">
        <v>0</v>
      </c>
      <c r="F129" s="56">
        <v>1885</v>
      </c>
      <c r="G129" s="70"/>
      <c r="H129" s="71"/>
      <c r="I129" s="34">
        <f>(91.39+15.73)</f>
        <v>107.12</v>
      </c>
      <c r="J129" s="34">
        <f>(3.05*7.15+1.4*3.4+3.34*2.45+2.75*3.65+3.65*3.85+3.69*3.4+1.35*1.8+0.7*0.8+2.1*1.2+1.35*0.9+2.65*1.2+2.45*1.2+3.65*1.1+5.85*1.5+0.9*1+2.4*1.2+1.4*1.1+0.8*1.2)</f>
        <v>103.3015</v>
      </c>
      <c r="L129" s="56">
        <v>1885</v>
      </c>
      <c r="M129" s="54">
        <f t="shared" si="4"/>
        <v>1.6095659278204035</v>
      </c>
      <c r="N129" s="34">
        <f t="shared" ref="N129:N138" si="6">8500*F129</f>
        <v>16022500</v>
      </c>
    </row>
    <row r="130" spans="1:14" s="35" customFormat="1" ht="15.75" customHeight="1" x14ac:dyDescent="0.3">
      <c r="A130" s="66">
        <f t="shared" si="5"/>
        <v>703</v>
      </c>
      <c r="B130" s="67"/>
      <c r="C130" s="40" t="s">
        <v>253</v>
      </c>
      <c r="D130" s="40">
        <f>(71.16+7.32+3.75+0.75*(3.1+3.05))*10.764</f>
        <v>934.77266999999983</v>
      </c>
      <c r="E130" s="40">
        <f>(15.04)*10.764</f>
        <v>161.89055999999999</v>
      </c>
      <c r="F130" s="56">
        <v>1625</v>
      </c>
      <c r="G130" s="70"/>
      <c r="H130" s="71"/>
      <c r="I130" s="34">
        <f>(71.16+7.32+3.75)</f>
        <v>82.22999999999999</v>
      </c>
      <c r="K130" s="34">
        <f>(1.55*1.25+1*1.25+0.5*0.45+2.4*0.5+3.1*3+2.25*0.5)*10.764</f>
        <v>161.86365000000001</v>
      </c>
      <c r="L130" s="56">
        <v>1625</v>
      </c>
      <c r="M130" s="54">
        <f>(L130-E130)/D130</f>
        <v>1.565203484179742</v>
      </c>
      <c r="N130" s="34">
        <f t="shared" si="6"/>
        <v>13812500</v>
      </c>
    </row>
    <row r="131" spans="1:14" s="35" customFormat="1" ht="15.75" customHeight="1" x14ac:dyDescent="0.3">
      <c r="A131" s="66">
        <f t="shared" si="5"/>
        <v>704</v>
      </c>
      <c r="B131" s="67"/>
      <c r="C131" s="40" t="s">
        <v>254</v>
      </c>
      <c r="D131" s="40">
        <f>(91.39+15.73)*10.764</f>
        <v>1153.0396800000001</v>
      </c>
      <c r="E131" s="40">
        <f>(12.05)*10.764</f>
        <v>129.7062</v>
      </c>
      <c r="F131" s="56">
        <v>1985</v>
      </c>
      <c r="G131" s="70"/>
      <c r="H131" s="71"/>
      <c r="I131" s="34">
        <f>(91.39+15.73)</f>
        <v>107.12</v>
      </c>
      <c r="L131" s="56">
        <v>1985</v>
      </c>
      <c r="M131" s="54">
        <f>(L131-E131)/D131</f>
        <v>1.6090459263292654</v>
      </c>
      <c r="N131" s="34">
        <f t="shared" si="6"/>
        <v>16872500</v>
      </c>
    </row>
    <row r="132" spans="1:14" s="35" customFormat="1" ht="15.75" customHeight="1" x14ac:dyDescent="0.3">
      <c r="A132" s="66">
        <f t="shared" si="5"/>
        <v>705</v>
      </c>
      <c r="B132" s="67"/>
      <c r="C132" s="40" t="s">
        <v>253</v>
      </c>
      <c r="D132" s="40">
        <f>(60.69+6.55+1.8+0.75*(3.63+2.47))*10.764</f>
        <v>792.39185999999995</v>
      </c>
      <c r="E132" s="40">
        <v>0</v>
      </c>
      <c r="F132" s="56">
        <v>1240</v>
      </c>
      <c r="G132" s="72"/>
      <c r="H132" s="73"/>
      <c r="I132" s="34">
        <f>(60.69+6.55+1.8)</f>
        <v>69.039999999999992</v>
      </c>
      <c r="L132" s="56">
        <v>1240</v>
      </c>
      <c r="M132" s="54">
        <f>(L132-E132)/D132</f>
        <v>1.5648823045708724</v>
      </c>
      <c r="N132" s="34">
        <f t="shared" si="6"/>
        <v>10540000</v>
      </c>
    </row>
    <row r="133" spans="1:14" s="35" customFormat="1" ht="31.5" customHeight="1" x14ac:dyDescent="0.3">
      <c r="A133" s="135" t="s">
        <v>258</v>
      </c>
      <c r="B133" s="135"/>
      <c r="C133" s="135"/>
      <c r="D133" s="135"/>
      <c r="E133" s="135"/>
      <c r="F133" s="135"/>
      <c r="G133" s="135"/>
      <c r="H133" s="135"/>
      <c r="I133" s="34"/>
      <c r="L133" s="53"/>
      <c r="M133" s="53"/>
      <c r="N133" s="34">
        <f t="shared" si="6"/>
        <v>0</v>
      </c>
    </row>
    <row r="134" spans="1:14" s="35" customFormat="1" ht="15.75" customHeight="1" x14ac:dyDescent="0.3">
      <c r="A134" s="66" t="s">
        <v>261</v>
      </c>
      <c r="B134" s="67"/>
      <c r="C134" s="40" t="s">
        <v>253</v>
      </c>
      <c r="D134" s="40">
        <f>(60.25+6.55+1.8+0.75*(2.47+3.63))*10.764</f>
        <v>787.65569999999991</v>
      </c>
      <c r="E134" s="40">
        <v>0</v>
      </c>
      <c r="F134" s="56">
        <v>1230</v>
      </c>
      <c r="G134" s="68" t="str">
        <f>A133</f>
        <v>8th to 15th Floor
(8th, 10th, 12th &amp; 14th Floor Fire Rescue Area at Staircase)</v>
      </c>
      <c r="H134" s="69"/>
      <c r="I134" s="34"/>
      <c r="L134" s="56">
        <v>1230</v>
      </c>
      <c r="M134" s="54">
        <f t="shared" si="4"/>
        <v>1.5615960120646624</v>
      </c>
      <c r="N134" s="34">
        <f t="shared" si="6"/>
        <v>10455000</v>
      </c>
    </row>
    <row r="135" spans="1:14" s="35" customFormat="1" ht="15.75" customHeight="1" x14ac:dyDescent="0.3">
      <c r="A135" s="66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to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802 to 1502</v>
      </c>
      <c r="B135" s="67"/>
      <c r="C135" s="40" t="s">
        <v>254</v>
      </c>
      <c r="D135" s="40">
        <f>(91.39+15.73+0.75*2.24)*10.764</f>
        <v>1171.1232</v>
      </c>
      <c r="E135" s="40">
        <v>0</v>
      </c>
      <c r="F135" s="56">
        <v>1885</v>
      </c>
      <c r="G135" s="70"/>
      <c r="H135" s="71"/>
      <c r="I135" s="34"/>
      <c r="L135" s="56">
        <v>1885</v>
      </c>
      <c r="M135" s="54">
        <f t="shared" si="4"/>
        <v>1.6095659278204035</v>
      </c>
      <c r="N135" s="34">
        <f t="shared" si="6"/>
        <v>16022500</v>
      </c>
    </row>
    <row r="136" spans="1:14" s="35" customFormat="1" ht="15.75" customHeight="1" x14ac:dyDescent="0.3">
      <c r="A136" s="66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to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803 to 1503</v>
      </c>
      <c r="B136" s="67"/>
      <c r="C136" s="40" t="s">
        <v>253</v>
      </c>
      <c r="D136" s="40">
        <f>(71.16+7.32+3.75+0.75*(3.1+3.05))*10.764</f>
        <v>934.77266999999983</v>
      </c>
      <c r="E136" s="40">
        <v>0</v>
      </c>
      <c r="F136" s="56">
        <v>1460</v>
      </c>
      <c r="G136" s="70"/>
      <c r="H136" s="71"/>
      <c r="I136" s="34"/>
      <c r="L136" s="56">
        <v>1460</v>
      </c>
      <c r="M136" s="54">
        <f t="shared" si="4"/>
        <v>1.5618770711385905</v>
      </c>
      <c r="N136" s="34">
        <f t="shared" si="6"/>
        <v>12410000</v>
      </c>
    </row>
    <row r="137" spans="1:14" s="35" customFormat="1" ht="15.75" customHeight="1" x14ac:dyDescent="0.3">
      <c r="A137" s="66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to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804 to 1504</v>
      </c>
      <c r="B137" s="67"/>
      <c r="C137" s="40" t="s">
        <v>254</v>
      </c>
      <c r="D137" s="51">
        <f>(91.98+15.73+0.75*1.79)*10.764</f>
        <v>1173.8411100000001</v>
      </c>
      <c r="E137" s="40">
        <v>0</v>
      </c>
      <c r="F137" s="56">
        <v>1885</v>
      </c>
      <c r="G137" s="70"/>
      <c r="H137" s="71"/>
      <c r="I137" s="34"/>
      <c r="L137" s="56">
        <v>1885</v>
      </c>
      <c r="M137" s="54">
        <f t="shared" si="4"/>
        <v>1.6058391412105169</v>
      </c>
      <c r="N137" s="34">
        <f t="shared" si="6"/>
        <v>16022500</v>
      </c>
    </row>
    <row r="138" spans="1:14" s="35" customFormat="1" ht="15.75" customHeight="1" x14ac:dyDescent="0.3">
      <c r="A138" s="66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805 to 1505</v>
      </c>
      <c r="B138" s="67"/>
      <c r="C138" s="40" t="s">
        <v>253</v>
      </c>
      <c r="D138" s="40">
        <f>(60.69+6.55+1.8+0.75*(3.63+2.47))*10.764</f>
        <v>792.39185999999995</v>
      </c>
      <c r="E138" s="40">
        <v>0</v>
      </c>
      <c r="F138" s="56">
        <v>1240</v>
      </c>
      <c r="G138" s="72"/>
      <c r="H138" s="73"/>
      <c r="I138" s="34"/>
      <c r="L138" s="56">
        <v>1240</v>
      </c>
      <c r="M138" s="54">
        <f t="shared" si="4"/>
        <v>1.5648823045708724</v>
      </c>
      <c r="N138" s="34">
        <f t="shared" si="6"/>
        <v>10540000</v>
      </c>
    </row>
    <row r="139" spans="1:14" s="35" customFormat="1" ht="29.25" customHeight="1" x14ac:dyDescent="0.3">
      <c r="A139" s="63" t="s">
        <v>259</v>
      </c>
      <c r="B139" s="64"/>
      <c r="C139" s="64"/>
      <c r="D139" s="64"/>
      <c r="E139" s="64"/>
      <c r="F139" s="64"/>
      <c r="G139" s="64"/>
      <c r="H139" s="65"/>
      <c r="I139" s="34"/>
    </row>
    <row r="140" spans="1:14" s="35" customFormat="1" ht="15.75" customHeight="1" x14ac:dyDescent="0.3">
      <c r="A140" s="66" t="s">
        <v>262</v>
      </c>
      <c r="B140" s="67"/>
      <c r="C140" s="40" t="s">
        <v>253</v>
      </c>
      <c r="D140" s="40">
        <f>(60.25+6.55+1.8+0.75*(2.47+3.63))*10.764</f>
        <v>787.65569999999991</v>
      </c>
      <c r="E140" s="40">
        <v>0</v>
      </c>
      <c r="F140" s="56">
        <v>1230</v>
      </c>
      <c r="G140" s="68" t="str">
        <f>A139</f>
        <v>16th to 19th Floor 
(16th &amp; 18th Floor Fire Rescue Area at Staircase)</v>
      </c>
      <c r="H140" s="69"/>
      <c r="I140" s="34"/>
    </row>
    <row r="141" spans="1:14" s="35" customFormat="1" ht="15.75" customHeight="1" x14ac:dyDescent="0.3">
      <c r="A141" s="66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to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1602 to 1902</v>
      </c>
      <c r="B141" s="67"/>
      <c r="C141" s="40" t="s">
        <v>254</v>
      </c>
      <c r="D141" s="40">
        <f>(91.39+15.73+0.75*2.24)*10.764</f>
        <v>1171.1232</v>
      </c>
      <c r="E141" s="40">
        <v>0</v>
      </c>
      <c r="F141" s="56">
        <v>1885</v>
      </c>
      <c r="G141" s="70"/>
      <c r="H141" s="71"/>
      <c r="I141" s="34"/>
    </row>
    <row r="142" spans="1:14" s="35" customFormat="1" ht="15.75" customHeight="1" x14ac:dyDescent="0.3">
      <c r="A142" s="66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to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1603 to 1903</v>
      </c>
      <c r="B142" s="67"/>
      <c r="C142" s="40" t="s">
        <v>253</v>
      </c>
      <c r="D142" s="40">
        <f>(71.16+7.32+3.75+0.75*(3.05+3.1))*10.764</f>
        <v>934.77266999999983</v>
      </c>
      <c r="E142" s="40">
        <v>0</v>
      </c>
      <c r="F142" s="56">
        <v>1460</v>
      </c>
      <c r="G142" s="70"/>
      <c r="H142" s="71"/>
      <c r="I142" s="34"/>
    </row>
    <row r="143" spans="1:14" s="35" customFormat="1" ht="15.75" customHeight="1" x14ac:dyDescent="0.3">
      <c r="A143" s="66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to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1604 to 1904</v>
      </c>
      <c r="B143" s="67"/>
      <c r="C143" s="40" t="s">
        <v>254</v>
      </c>
      <c r="D143" s="51">
        <f>(91.98+15.73+0.75*1.79)*10.764</f>
        <v>1173.8411100000001</v>
      </c>
      <c r="E143" s="40">
        <v>0</v>
      </c>
      <c r="F143" s="56">
        <v>1890</v>
      </c>
      <c r="G143" s="70"/>
      <c r="H143" s="71"/>
      <c r="I143" s="34"/>
    </row>
    <row r="144" spans="1:14" s="35" customFormat="1" ht="15.75" customHeight="1" x14ac:dyDescent="0.3">
      <c r="A144" s="66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1605 to 1905</v>
      </c>
      <c r="B144" s="67"/>
      <c r="C144" s="40" t="s">
        <v>253</v>
      </c>
      <c r="D144" s="40">
        <f>(60.69+6.55+1.8+0.75*(3.63+2.47))*10.764</f>
        <v>792.39185999999995</v>
      </c>
      <c r="E144" s="40">
        <v>0</v>
      </c>
      <c r="F144" s="56">
        <v>1240</v>
      </c>
      <c r="G144" s="72"/>
      <c r="H144" s="73"/>
      <c r="I144" s="34"/>
    </row>
    <row r="145" spans="1:9" s="35" customFormat="1" ht="32.25" customHeight="1" x14ac:dyDescent="0.3">
      <c r="A145" s="63" t="s">
        <v>260</v>
      </c>
      <c r="B145" s="64"/>
      <c r="C145" s="64"/>
      <c r="D145" s="64"/>
      <c r="E145" s="64"/>
      <c r="F145" s="64"/>
      <c r="G145" s="64"/>
      <c r="H145" s="65"/>
      <c r="I145" s="34"/>
    </row>
    <row r="146" spans="1:9" s="35" customFormat="1" ht="15.75" customHeight="1" x14ac:dyDescent="0.3">
      <c r="A146" s="66" t="s">
        <v>263</v>
      </c>
      <c r="B146" s="67"/>
      <c r="C146" s="40" t="s">
        <v>253</v>
      </c>
      <c r="D146" s="40">
        <f>(60.25+6.55+1.8+0.75*(2.47+3.63))*10.764</f>
        <v>787.65569999999991</v>
      </c>
      <c r="E146" s="40">
        <v>0</v>
      </c>
      <c r="F146" s="56">
        <v>1230</v>
      </c>
      <c r="G146" s="68" t="str">
        <f>A145</f>
        <v>20th to 23rd Floor
(20th &amp; 22nd Floor Fire Rescue Area at Staircase)</v>
      </c>
      <c r="H146" s="69"/>
      <c r="I146" s="34"/>
    </row>
    <row r="147" spans="1:9" s="35" customFormat="1" ht="15.75" customHeight="1" x14ac:dyDescent="0.3">
      <c r="A147" s="66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to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2002 to 2302</v>
      </c>
      <c r="B147" s="67"/>
      <c r="C147" s="40" t="s">
        <v>254</v>
      </c>
      <c r="D147" s="40">
        <f>(91.39+15.73+0.75*2.24)*10.764</f>
        <v>1171.1232</v>
      </c>
      <c r="E147" s="40">
        <v>0</v>
      </c>
      <c r="F147" s="56">
        <v>1885</v>
      </c>
      <c r="G147" s="70"/>
      <c r="H147" s="71"/>
      <c r="I147" s="34"/>
    </row>
    <row r="148" spans="1:9" s="35" customFormat="1" ht="15.75" customHeight="1" x14ac:dyDescent="0.3">
      <c r="A148" s="66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to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2003 to 2303</v>
      </c>
      <c r="B148" s="67"/>
      <c r="C148" s="40" t="s">
        <v>253</v>
      </c>
      <c r="D148" s="40">
        <f>(71.16+7.32+3.75+0.75*(3.1+3.05))*10.764</f>
        <v>934.77266999999983</v>
      </c>
      <c r="E148" s="40">
        <v>0</v>
      </c>
      <c r="F148" s="56">
        <v>1460</v>
      </c>
      <c r="G148" s="70"/>
      <c r="H148" s="71"/>
      <c r="I148" s="34"/>
    </row>
    <row r="149" spans="1:9" s="35" customFormat="1" ht="15.75" customHeight="1" x14ac:dyDescent="0.3">
      <c r="A149" s="66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10^ROW(INDIRECT("1:"&amp;LEN((LEFT(A148,SUM(LEN(A148)-LEN(SUBSTITUTE(A148,{"0","1","2"},""))))))))/10))*1+1&amp;""&amp;" to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",LEN(A148))),LEN(A148)))))))/10))*1+1</f>
        <v>2004 to 2304</v>
      </c>
      <c r="B149" s="67"/>
      <c r="C149" s="40" t="s">
        <v>254</v>
      </c>
      <c r="D149" s="40">
        <f>(91.98+15.73+0.75*1.79)*10.764</f>
        <v>1173.8411100000001</v>
      </c>
      <c r="E149" s="40">
        <v>0</v>
      </c>
      <c r="F149" s="56">
        <v>1890</v>
      </c>
      <c r="G149" s="70"/>
      <c r="H149" s="71"/>
      <c r="I149" s="34"/>
    </row>
    <row r="150" spans="1:9" s="35" customFormat="1" ht="15.75" customHeight="1" x14ac:dyDescent="0.3">
      <c r="A150" s="66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to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2005 to 2305</v>
      </c>
      <c r="B150" s="67"/>
      <c r="C150" s="40" t="s">
        <v>253</v>
      </c>
      <c r="D150" s="51">
        <f>(54.3+6.15+9.81+0.75*2.47)*10.764</f>
        <v>776.21894999999995</v>
      </c>
      <c r="E150" s="40">
        <v>0</v>
      </c>
      <c r="F150" s="56">
        <v>1245</v>
      </c>
      <c r="G150" s="72"/>
      <c r="H150" s="73"/>
      <c r="I150" s="34"/>
    </row>
    <row r="151" spans="1:9" s="33" customFormat="1" x14ac:dyDescent="0.3">
      <c r="A151" s="87" t="s">
        <v>68</v>
      </c>
      <c r="B151" s="87"/>
      <c r="C151" s="87"/>
      <c r="D151" s="87"/>
      <c r="E151" s="87"/>
      <c r="F151" s="87"/>
      <c r="G151" s="87"/>
      <c r="H151" s="87"/>
    </row>
    <row r="152" spans="1:9" s="33" customFormat="1" x14ac:dyDescent="0.3">
      <c r="A152" s="43" t="s">
        <v>151</v>
      </c>
      <c r="B152" s="147" t="s">
        <v>286</v>
      </c>
      <c r="C152" s="148"/>
      <c r="D152" s="148"/>
      <c r="E152" s="148"/>
      <c r="F152" s="148"/>
      <c r="G152" s="148"/>
      <c r="H152" s="149"/>
    </row>
    <row r="153" spans="1:9" s="33" customFormat="1" x14ac:dyDescent="0.3">
      <c r="A153" s="43" t="s">
        <v>151</v>
      </c>
      <c r="B153" s="147" t="str">
        <f>(IF(F123="Saleable area Loading :","We have considered Saleable area of Flats as per our Calculation.","We considered Saleable area of Flat as per Builder area Sheet."))</f>
        <v>We considered Saleable area of Flat as per Builder area Sheet.</v>
      </c>
      <c r="C153" s="148"/>
      <c r="D153" s="148"/>
      <c r="E153" s="148"/>
      <c r="F153" s="148"/>
      <c r="G153" s="148"/>
      <c r="H153" s="149"/>
    </row>
    <row r="154" spans="1:9" s="33" customFormat="1" x14ac:dyDescent="0.3">
      <c r="A154" s="43" t="s">
        <v>151</v>
      </c>
      <c r="B154" s="147" t="str">
        <f>(IF(F103="Saleable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54" s="148"/>
      <c r="D154" s="148"/>
      <c r="E154" s="148"/>
      <c r="F154" s="148"/>
      <c r="G154" s="148"/>
      <c r="H154" s="149"/>
    </row>
    <row r="155" spans="1:9" s="33" customFormat="1" x14ac:dyDescent="0.3">
      <c r="A155" s="43" t="s">
        <v>151</v>
      </c>
      <c r="B155" s="74" t="s">
        <v>123</v>
      </c>
      <c r="C155" s="75"/>
      <c r="D155" s="75"/>
      <c r="E155" s="75"/>
      <c r="F155" s="75"/>
      <c r="G155" s="75"/>
      <c r="H155" s="76"/>
    </row>
    <row r="156" spans="1:9" s="33" customFormat="1" x14ac:dyDescent="0.3">
      <c r="A156" s="43" t="s">
        <v>151</v>
      </c>
      <c r="B156" s="74" t="s">
        <v>276</v>
      </c>
      <c r="C156" s="75"/>
      <c r="D156" s="75"/>
      <c r="E156" s="75"/>
      <c r="F156" s="75"/>
      <c r="G156" s="75"/>
      <c r="H156" s="76"/>
    </row>
    <row r="157" spans="1:9" s="33" customFormat="1" x14ac:dyDescent="0.3">
      <c r="A157" s="43" t="s">
        <v>151</v>
      </c>
      <c r="B157" s="74" t="s">
        <v>150</v>
      </c>
      <c r="C157" s="75"/>
      <c r="D157" s="75"/>
      <c r="E157" s="75"/>
      <c r="F157" s="75"/>
      <c r="G157" s="75"/>
      <c r="H157" s="76"/>
    </row>
    <row r="158" spans="1:9" s="33" customFormat="1" x14ac:dyDescent="0.3">
      <c r="A158" s="43" t="s">
        <v>151</v>
      </c>
      <c r="B158" s="74" t="s">
        <v>124</v>
      </c>
      <c r="C158" s="75"/>
      <c r="D158" s="75"/>
      <c r="E158" s="75"/>
      <c r="F158" s="75"/>
      <c r="G158" s="75"/>
      <c r="H158" s="76"/>
    </row>
    <row r="159" spans="1:9" s="33" customFormat="1" ht="34.5" customHeight="1" x14ac:dyDescent="0.3">
      <c r="A159" s="43" t="s">
        <v>151</v>
      </c>
      <c r="B159" s="74" t="s">
        <v>152</v>
      </c>
      <c r="C159" s="75"/>
      <c r="D159" s="75"/>
      <c r="E159" s="75"/>
      <c r="F159" s="75"/>
      <c r="G159" s="75"/>
      <c r="H159" s="76"/>
    </row>
    <row r="160" spans="1:9" s="33" customFormat="1" x14ac:dyDescent="0.3">
      <c r="A160" s="43" t="s">
        <v>151</v>
      </c>
      <c r="B160" s="74" t="s">
        <v>125</v>
      </c>
      <c r="C160" s="75"/>
      <c r="D160" s="75"/>
      <c r="E160" s="75"/>
      <c r="F160" s="75"/>
      <c r="G160" s="75"/>
      <c r="H160" s="76"/>
    </row>
    <row r="161" spans="1:8" s="33" customFormat="1" x14ac:dyDescent="0.3">
      <c r="A161" s="43" t="s">
        <v>151</v>
      </c>
      <c r="B161" s="147" t="s">
        <v>264</v>
      </c>
      <c r="C161" s="148"/>
      <c r="D161" s="148"/>
      <c r="E161" s="148"/>
      <c r="F161" s="148"/>
      <c r="G161" s="148"/>
      <c r="H161" s="149"/>
    </row>
    <row r="162" spans="1:8" s="33" customFormat="1" x14ac:dyDescent="0.3">
      <c r="A162" s="43" t="s">
        <v>151</v>
      </c>
      <c r="B162" s="147" t="s">
        <v>282</v>
      </c>
      <c r="C162" s="148"/>
      <c r="D162" s="148"/>
      <c r="E162" s="148"/>
      <c r="F162" s="148"/>
      <c r="G162" s="148"/>
      <c r="H162" s="149"/>
    </row>
    <row r="163" spans="1:8" x14ac:dyDescent="0.3">
      <c r="A163" s="131" t="s">
        <v>61</v>
      </c>
      <c r="B163" s="131"/>
      <c r="C163" s="131"/>
      <c r="D163" s="131"/>
      <c r="E163" s="131"/>
      <c r="F163" s="131"/>
      <c r="G163" s="131"/>
      <c r="H163" s="131"/>
    </row>
    <row r="164" spans="1:8" x14ac:dyDescent="0.3">
      <c r="A164" s="90" t="s">
        <v>62</v>
      </c>
      <c r="B164" s="90"/>
      <c r="C164" s="90"/>
      <c r="D164" s="90"/>
      <c r="E164" s="90"/>
      <c r="F164" s="90"/>
      <c r="G164" s="90"/>
      <c r="H164" s="90"/>
    </row>
    <row r="165" spans="1:8" ht="15.75" customHeight="1" x14ac:dyDescent="0.3">
      <c r="A165" s="153" t="s">
        <v>63</v>
      </c>
      <c r="B165" s="153"/>
      <c r="C165" s="153"/>
      <c r="D165" s="153"/>
      <c r="E165" s="153"/>
      <c r="F165" s="153"/>
      <c r="G165" s="153"/>
      <c r="H165" s="153"/>
    </row>
    <row r="166" spans="1:8" x14ac:dyDescent="0.3">
      <c r="A166" s="90" t="s">
        <v>64</v>
      </c>
      <c r="B166" s="90"/>
      <c r="C166" s="90"/>
      <c r="D166" s="90"/>
      <c r="E166" s="90"/>
      <c r="F166" s="90"/>
      <c r="G166" s="90"/>
      <c r="H166" s="90"/>
    </row>
    <row r="167" spans="1:8" x14ac:dyDescent="0.3">
      <c r="A167" s="90" t="s">
        <v>65</v>
      </c>
      <c r="B167" s="90"/>
      <c r="C167" s="90"/>
      <c r="D167" s="90"/>
      <c r="E167" s="90"/>
      <c r="F167" s="90"/>
      <c r="G167" s="90"/>
      <c r="H167" s="90"/>
    </row>
    <row r="168" spans="1:8" hidden="1" x14ac:dyDescent="0.3">
      <c r="A168" s="90" t="s">
        <v>126</v>
      </c>
      <c r="B168" s="90"/>
      <c r="C168" s="90"/>
      <c r="D168" s="90"/>
      <c r="E168" s="90"/>
      <c r="F168" s="90"/>
      <c r="G168" s="90"/>
      <c r="H168" s="90"/>
    </row>
    <row r="169" spans="1:8" ht="33.9" hidden="1" customHeight="1" x14ac:dyDescent="0.3">
      <c r="A169" s="91" t="s">
        <v>127</v>
      </c>
      <c r="B169" s="91"/>
      <c r="C169" s="91"/>
      <c r="D169" s="91"/>
      <c r="E169" s="91"/>
      <c r="F169" s="91"/>
      <c r="G169" s="91"/>
      <c r="H169" s="91"/>
    </row>
    <row r="170" spans="1:8" x14ac:dyDescent="0.3">
      <c r="A170" s="133" t="s">
        <v>77</v>
      </c>
      <c r="B170" s="133"/>
      <c r="C170" s="133" t="s">
        <v>284</v>
      </c>
      <c r="D170" s="133"/>
      <c r="E170" s="133" t="s">
        <v>106</v>
      </c>
      <c r="F170" s="133"/>
      <c r="G170" s="133" t="s">
        <v>285</v>
      </c>
      <c r="H170" s="133"/>
    </row>
    <row r="171" spans="1:8" x14ac:dyDescent="0.3">
      <c r="A171" s="132" t="s">
        <v>79</v>
      </c>
      <c r="B171" s="132"/>
      <c r="C171" s="132"/>
      <c r="D171" s="132"/>
      <c r="E171" s="132"/>
      <c r="F171" s="132"/>
      <c r="G171" s="132"/>
      <c r="H171" s="132"/>
    </row>
    <row r="172" spans="1:8" x14ac:dyDescent="0.3">
      <c r="A172" s="132"/>
      <c r="B172" s="132"/>
      <c r="C172" s="132"/>
      <c r="D172" s="132"/>
      <c r="E172" s="132"/>
      <c r="F172" s="132"/>
      <c r="G172" s="132"/>
      <c r="H172" s="132"/>
    </row>
    <row r="173" spans="1:8" x14ac:dyDescent="0.3">
      <c r="A173" s="132"/>
      <c r="B173" s="132"/>
      <c r="C173" s="132"/>
      <c r="D173" s="132"/>
      <c r="E173" s="132"/>
      <c r="F173" s="132"/>
      <c r="G173" s="132"/>
      <c r="H173" s="132"/>
    </row>
    <row r="174" spans="1:8" x14ac:dyDescent="0.3">
      <c r="A174" s="132"/>
      <c r="B174" s="132"/>
      <c r="C174" s="132"/>
      <c r="D174" s="132"/>
      <c r="E174" s="132"/>
      <c r="F174" s="132"/>
      <c r="G174" s="132"/>
      <c r="H174" s="132"/>
    </row>
    <row r="175" spans="1:8" x14ac:dyDescent="0.3">
      <c r="A175" s="36" t="s">
        <v>66</v>
      </c>
      <c r="B175" s="37"/>
      <c r="C175" s="37"/>
      <c r="D175" s="36" t="str">
        <f>E8</f>
        <v>NMS One 27</v>
      </c>
      <c r="F175" s="37"/>
      <c r="G175" s="37"/>
      <c r="H175" s="37"/>
    </row>
    <row r="176" spans="1:8" x14ac:dyDescent="0.3">
      <c r="A176" s="37"/>
      <c r="B176" s="37"/>
      <c r="C176" s="37"/>
      <c r="D176" s="37"/>
      <c r="E176" s="37"/>
      <c r="F176" s="37"/>
      <c r="G176" s="37"/>
      <c r="H176" s="37"/>
    </row>
    <row r="177" spans="1:8" x14ac:dyDescent="0.3">
      <c r="A177" s="37"/>
      <c r="B177" s="37"/>
      <c r="C177" s="37"/>
      <c r="D177" s="37"/>
      <c r="E177" s="37"/>
      <c r="F177" s="37"/>
      <c r="G177" s="37"/>
      <c r="H177" s="37"/>
    </row>
    <row r="178" spans="1:8" ht="15" customHeight="1" x14ac:dyDescent="0.3"/>
    <row r="219" spans="1:1" x14ac:dyDescent="0.3">
      <c r="A219" s="39" t="s">
        <v>162</v>
      </c>
    </row>
    <row r="263" spans="1:1" x14ac:dyDescent="0.3">
      <c r="A263" s="39" t="s">
        <v>67</v>
      </c>
    </row>
  </sheetData>
  <mergeCells count="296">
    <mergeCell ref="B162:H162"/>
    <mergeCell ref="I14:P14"/>
    <mergeCell ref="F91:H91"/>
    <mergeCell ref="F89:H89"/>
    <mergeCell ref="A141:B141"/>
    <mergeCell ref="A102:H102"/>
    <mergeCell ref="G95:H95"/>
    <mergeCell ref="A90:E90"/>
    <mergeCell ref="A107:B107"/>
    <mergeCell ref="A53:B53"/>
    <mergeCell ref="C53:E53"/>
    <mergeCell ref="D55:H55"/>
    <mergeCell ref="F90:H90"/>
    <mergeCell ref="E95:F95"/>
    <mergeCell ref="A95:B95"/>
    <mergeCell ref="C98:D98"/>
    <mergeCell ref="F81:H81"/>
    <mergeCell ref="G96:H96"/>
    <mergeCell ref="F88:H88"/>
    <mergeCell ref="C95:D95"/>
    <mergeCell ref="A127:H127"/>
    <mergeCell ref="A62:C62"/>
    <mergeCell ref="D62:H62"/>
    <mergeCell ref="G53:H53"/>
    <mergeCell ref="A100:B100"/>
    <mergeCell ref="C100:D100"/>
    <mergeCell ref="G100:H100"/>
    <mergeCell ref="A75:B75"/>
    <mergeCell ref="A71:B71"/>
    <mergeCell ref="A73:B73"/>
    <mergeCell ref="E69:F69"/>
    <mergeCell ref="A65:C65"/>
    <mergeCell ref="D65:H65"/>
    <mergeCell ref="A77:B77"/>
    <mergeCell ref="F87:H87"/>
    <mergeCell ref="A81:E81"/>
    <mergeCell ref="E70:F79"/>
    <mergeCell ref="G70:H79"/>
    <mergeCell ref="A78:B78"/>
    <mergeCell ref="A79:B79"/>
    <mergeCell ref="A76:B76"/>
    <mergeCell ref="A69:B69"/>
    <mergeCell ref="C68:H68"/>
    <mergeCell ref="A91:E91"/>
    <mergeCell ref="B160:H160"/>
    <mergeCell ref="B158:H158"/>
    <mergeCell ref="B154:H154"/>
    <mergeCell ref="A101:H101"/>
    <mergeCell ref="B152:H152"/>
    <mergeCell ref="B153:H153"/>
    <mergeCell ref="A123:A124"/>
    <mergeCell ref="A135:B135"/>
    <mergeCell ref="A168:H168"/>
    <mergeCell ref="A165:H165"/>
    <mergeCell ref="A134:B134"/>
    <mergeCell ref="D123:D124"/>
    <mergeCell ref="E123:E124"/>
    <mergeCell ref="G123:H124"/>
    <mergeCell ref="B161:H161"/>
    <mergeCell ref="C123:C124"/>
    <mergeCell ref="C103:C104"/>
    <mergeCell ref="B123:B124"/>
    <mergeCell ref="A113:B113"/>
    <mergeCell ref="A105:H105"/>
    <mergeCell ref="E103:E104"/>
    <mergeCell ref="G103:H104"/>
    <mergeCell ref="A150:B150"/>
    <mergeCell ref="G146:H150"/>
    <mergeCell ref="A169:H169"/>
    <mergeCell ref="A167:H167"/>
    <mergeCell ref="A163:H163"/>
    <mergeCell ref="G98:H98"/>
    <mergeCell ref="A144:B144"/>
    <mergeCell ref="A146:B146"/>
    <mergeCell ref="A138:B138"/>
    <mergeCell ref="D64:H64"/>
    <mergeCell ref="A70:B70"/>
    <mergeCell ref="G69:H69"/>
    <mergeCell ref="F80:H80"/>
    <mergeCell ref="F85:H85"/>
    <mergeCell ref="A128:B128"/>
    <mergeCell ref="A109:B109"/>
    <mergeCell ref="A108:B108"/>
    <mergeCell ref="A86:E86"/>
    <mergeCell ref="F86:H86"/>
    <mergeCell ref="A87:E87"/>
    <mergeCell ref="A89:E89"/>
    <mergeCell ref="F83:H83"/>
    <mergeCell ref="A88:E88"/>
    <mergeCell ref="A122:H122"/>
    <mergeCell ref="A164:H164"/>
    <mergeCell ref="E98:F98"/>
    <mergeCell ref="A171:H174"/>
    <mergeCell ref="A170:B170"/>
    <mergeCell ref="E170:F170"/>
    <mergeCell ref="C170:D170"/>
    <mergeCell ref="G170:H170"/>
    <mergeCell ref="A94:H94"/>
    <mergeCell ref="A92:E92"/>
    <mergeCell ref="F92:H92"/>
    <mergeCell ref="A93:E93"/>
    <mergeCell ref="F93:H93"/>
    <mergeCell ref="A133:H133"/>
    <mergeCell ref="A99:B99"/>
    <mergeCell ref="A142:B142"/>
    <mergeCell ref="A96:B96"/>
    <mergeCell ref="A166:H166"/>
    <mergeCell ref="A97:H97"/>
    <mergeCell ref="C99:D99"/>
    <mergeCell ref="E99:F99"/>
    <mergeCell ref="G99:H99"/>
    <mergeCell ref="E100:F100"/>
    <mergeCell ref="C96:D96"/>
    <mergeCell ref="E96:F96"/>
    <mergeCell ref="B103:B104"/>
    <mergeCell ref="A103:A104"/>
    <mergeCell ref="A10:D10"/>
    <mergeCell ref="E10:H10"/>
    <mergeCell ref="A22:D23"/>
    <mergeCell ref="E22:H23"/>
    <mergeCell ref="E14:H14"/>
    <mergeCell ref="A46:D46"/>
    <mergeCell ref="A47:H47"/>
    <mergeCell ref="D57:H57"/>
    <mergeCell ref="A57:C57"/>
    <mergeCell ref="G50:H50"/>
    <mergeCell ref="F34:H34"/>
    <mergeCell ref="E42:H42"/>
    <mergeCell ref="A42:D42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A51:B51"/>
    <mergeCell ref="A52:B5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A43:D43"/>
    <mergeCell ref="E43:H43"/>
    <mergeCell ref="E44:H44"/>
    <mergeCell ref="E45:H45"/>
    <mergeCell ref="E46:H46"/>
    <mergeCell ref="A44:D44"/>
    <mergeCell ref="E26:H26"/>
    <mergeCell ref="A28:D28"/>
    <mergeCell ref="E28:H28"/>
    <mergeCell ref="A37:H37"/>
    <mergeCell ref="A36:B36"/>
    <mergeCell ref="C36:E36"/>
    <mergeCell ref="A41:D41"/>
    <mergeCell ref="E41:H41"/>
    <mergeCell ref="C39:H39"/>
    <mergeCell ref="D63:H63"/>
    <mergeCell ref="A64:C64"/>
    <mergeCell ref="A63:C63"/>
    <mergeCell ref="A98:B98"/>
    <mergeCell ref="F36:H36"/>
    <mergeCell ref="C51:E51"/>
    <mergeCell ref="A58:C58"/>
    <mergeCell ref="D58:H58"/>
    <mergeCell ref="C50:E50"/>
    <mergeCell ref="A38:B38"/>
    <mergeCell ref="C38:H38"/>
    <mergeCell ref="A45:D45"/>
    <mergeCell ref="A72:B72"/>
    <mergeCell ref="A68:B68"/>
    <mergeCell ref="A66:B66"/>
    <mergeCell ref="C66:H66"/>
    <mergeCell ref="C52:H52"/>
    <mergeCell ref="A40:H40"/>
    <mergeCell ref="A59:C59"/>
    <mergeCell ref="A60:C60"/>
    <mergeCell ref="D59:H59"/>
    <mergeCell ref="D60:H60"/>
    <mergeCell ref="A85:E85"/>
    <mergeCell ref="A39:B39"/>
    <mergeCell ref="B159:H159"/>
    <mergeCell ref="A48:B48"/>
    <mergeCell ref="C48:H48"/>
    <mergeCell ref="B157:H157"/>
    <mergeCell ref="F82:H82"/>
    <mergeCell ref="A82:E82"/>
    <mergeCell ref="D103:D104"/>
    <mergeCell ref="A84:E84"/>
    <mergeCell ref="A83:E83"/>
    <mergeCell ref="A80:E80"/>
    <mergeCell ref="F84:H84"/>
    <mergeCell ref="A130:B130"/>
    <mergeCell ref="B155:H155"/>
    <mergeCell ref="B156:H156"/>
    <mergeCell ref="A151:H151"/>
    <mergeCell ref="A149:B149"/>
    <mergeCell ref="A126:H126"/>
    <mergeCell ref="A120:B120"/>
    <mergeCell ref="A74:B74"/>
    <mergeCell ref="A61:C61"/>
    <mergeCell ref="D61:H61"/>
    <mergeCell ref="A121:B121"/>
    <mergeCell ref="G106:H121"/>
    <mergeCell ref="A125:H125"/>
    <mergeCell ref="A117:B117"/>
    <mergeCell ref="A118:B118"/>
    <mergeCell ref="A119:B119"/>
    <mergeCell ref="A114:B114"/>
    <mergeCell ref="A115:B115"/>
    <mergeCell ref="A116:B116"/>
    <mergeCell ref="A106:B106"/>
    <mergeCell ref="A110:B110"/>
    <mergeCell ref="A111:B111"/>
    <mergeCell ref="A112:B112"/>
    <mergeCell ref="A145:H145"/>
    <mergeCell ref="A139:H139"/>
    <mergeCell ref="A131:B131"/>
    <mergeCell ref="A147:B147"/>
    <mergeCell ref="A148:B148"/>
    <mergeCell ref="A137:B137"/>
    <mergeCell ref="A136:B136"/>
    <mergeCell ref="A129:B129"/>
    <mergeCell ref="G140:H144"/>
    <mergeCell ref="G134:H138"/>
    <mergeCell ref="G128:H132"/>
    <mergeCell ref="A143:B143"/>
    <mergeCell ref="A140:B140"/>
    <mergeCell ref="A132:B132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3:E104" xr:uid="{00000000-0002-0000-0000-000003000000}">
      <formula1>"Attached Loft area,Attached Terrace area,Attached Mezzanine area"</formula1>
    </dataValidation>
    <dataValidation type="list" allowBlank="1" showInputMessage="1" showErrorMessage="1" sqref="F104 F124" xr:uid="{00000000-0002-0000-0000-000004000000}">
      <formula1>"45%,50%,55%,60%"</formula1>
    </dataValidation>
    <dataValidation type="list" allowBlank="1" showInputMessage="1" showErrorMessage="1" sqref="F80:H80" xr:uid="{00000000-0002-0000-0000-000005000000}">
      <formula1>"On Saleable Area,On Builtup Area,On Carpet Area,On Plot Area"</formula1>
    </dataValidation>
    <dataValidation type="list" allowBlank="1" showInputMessage="1" showErrorMessage="1" sqref="F92:H92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F103 F123" xr:uid="{00000000-0002-0000-0000-000007000000}">
      <formula1>"Saleable area Loading :,Builder Saleable area"</formula1>
    </dataValidation>
    <dataValidation type="list" allowBlank="1" showInputMessage="1" showErrorMessage="1" sqref="B103:B104" xr:uid="{00000000-0002-0000-0000-000008000000}">
      <formula1>"Shop No. (Sale Plan),Sale / Rehab,Sale / Mhada"</formula1>
    </dataValidation>
    <dataValidation type="list" allowBlank="1" showInputMessage="1" showErrorMessage="1" sqref="B123:B124" xr:uid="{00000000-0002-0000-0000-000009000000}">
      <formula1>"Flat No. (Sale Plan),Sale / Rehab,Sale / Mhada"</formula1>
    </dataValidation>
    <dataValidation type="list" allowBlank="1" showInputMessage="1" showErrorMessage="1" sqref="C20:D20" xr:uid="{00000000-0002-0000-0000-00000A000000}">
      <formula1>OFFSET($S$12,1,MATCH($G19,$S$12:$W$12,0)-1,15,1)</formula1>
    </dataValidation>
    <dataValidation type="list" allowBlank="1" showInputMessage="1" showErrorMessage="1" sqref="Y12" xr:uid="{00000000-0002-0000-0000-00000B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50" max="7" man="1"/>
    <brk id="174" max="16383" man="1"/>
    <brk id="218" max="16383" man="1"/>
    <brk id="26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3" t="s">
        <v>107</v>
      </c>
      <c r="C3" s="183"/>
      <c r="D3" s="183"/>
      <c r="E3" s="183"/>
      <c r="F3" s="183"/>
      <c r="G3" s="183"/>
      <c r="H3" s="183"/>
    </row>
    <row r="4" spans="1:9" x14ac:dyDescent="0.3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9"/>
      <c r="C4" s="49" t="s">
        <v>12</v>
      </c>
      <c r="D4" s="50" t="s">
        <v>176</v>
      </c>
      <c r="E4" s="50" t="s">
        <v>186</v>
      </c>
      <c r="F4" s="50" t="s">
        <v>170</v>
      </c>
      <c r="G4" s="50" t="s">
        <v>191</v>
      </c>
      <c r="H4" s="50" t="s">
        <v>209</v>
      </c>
      <c r="J4" t="s">
        <v>191</v>
      </c>
      <c r="K4" t="s">
        <v>207</v>
      </c>
    </row>
    <row r="5" spans="2:11" x14ac:dyDescent="0.3">
      <c r="B5" s="49"/>
      <c r="C5" s="49"/>
      <c r="D5" s="50" t="s">
        <v>177</v>
      </c>
      <c r="E5" s="50" t="s">
        <v>184</v>
      </c>
      <c r="F5" s="50" t="s">
        <v>206</v>
      </c>
      <c r="G5" s="50" t="s">
        <v>192</v>
      </c>
      <c r="H5" s="50" t="s">
        <v>210</v>
      </c>
    </row>
    <row r="6" spans="2:11" x14ac:dyDescent="0.3">
      <c r="B6" s="49"/>
      <c r="C6" s="49"/>
      <c r="D6" s="50" t="s">
        <v>178</v>
      </c>
      <c r="E6" s="50" t="s">
        <v>185</v>
      </c>
      <c r="F6" s="50" t="s">
        <v>207</v>
      </c>
      <c r="G6" s="50" t="s">
        <v>193</v>
      </c>
      <c r="H6" s="50" t="s">
        <v>223</v>
      </c>
    </row>
    <row r="7" spans="2:11" x14ac:dyDescent="0.3">
      <c r="B7" s="49"/>
      <c r="C7" s="49"/>
      <c r="D7" s="50" t="s">
        <v>179</v>
      </c>
      <c r="E7" s="50" t="s">
        <v>187</v>
      </c>
      <c r="F7" s="50" t="s">
        <v>208</v>
      </c>
      <c r="G7" s="50" t="s">
        <v>194</v>
      </c>
      <c r="H7" s="50" t="s">
        <v>211</v>
      </c>
    </row>
    <row r="8" spans="2:11" x14ac:dyDescent="0.3">
      <c r="B8" s="49"/>
      <c r="C8" s="49"/>
      <c r="D8" s="50" t="s">
        <v>180</v>
      </c>
      <c r="E8" s="50" t="s">
        <v>188</v>
      </c>
      <c r="F8" s="50"/>
      <c r="G8" s="50" t="s">
        <v>195</v>
      </c>
      <c r="H8" s="50" t="s">
        <v>212</v>
      </c>
    </row>
    <row r="9" spans="2:11" x14ac:dyDescent="0.3">
      <c r="B9" s="49"/>
      <c r="C9" s="49"/>
      <c r="D9" s="50" t="s">
        <v>181</v>
      </c>
      <c r="E9" s="50" t="s">
        <v>186</v>
      </c>
      <c r="F9" s="50"/>
      <c r="G9" s="50" t="s">
        <v>196</v>
      </c>
      <c r="H9" s="50" t="s">
        <v>213</v>
      </c>
    </row>
    <row r="10" spans="2:11" x14ac:dyDescent="0.3">
      <c r="B10" s="49"/>
      <c r="C10" s="49"/>
      <c r="D10" s="50" t="s">
        <v>182</v>
      </c>
      <c r="E10" s="50" t="s">
        <v>189</v>
      </c>
      <c r="F10" s="50"/>
      <c r="G10" s="50" t="s">
        <v>197</v>
      </c>
      <c r="H10" s="50" t="s">
        <v>214</v>
      </c>
    </row>
    <row r="11" spans="2:11" x14ac:dyDescent="0.3">
      <c r="B11" s="49"/>
      <c r="C11" s="49"/>
      <c r="D11" s="50" t="s">
        <v>183</v>
      </c>
      <c r="E11" s="50" t="s">
        <v>190</v>
      </c>
      <c r="F11" s="50"/>
      <c r="G11" s="50" t="s">
        <v>198</v>
      </c>
      <c r="H11" s="50" t="s">
        <v>215</v>
      </c>
    </row>
    <row r="12" spans="2:11" x14ac:dyDescent="0.3">
      <c r="B12" s="49"/>
      <c r="C12" s="49"/>
      <c r="D12" s="50"/>
      <c r="E12" s="50"/>
      <c r="F12" s="50"/>
      <c r="G12" s="50" t="s">
        <v>199</v>
      </c>
      <c r="H12" s="50" t="s">
        <v>216</v>
      </c>
    </row>
    <row r="13" spans="2:11" x14ac:dyDescent="0.3">
      <c r="B13" s="49"/>
      <c r="C13" s="49"/>
      <c r="D13" s="50"/>
      <c r="E13" s="50"/>
      <c r="F13" s="50"/>
      <c r="G13" s="50" t="s">
        <v>200</v>
      </c>
      <c r="H13" s="50" t="s">
        <v>217</v>
      </c>
    </row>
    <row r="14" spans="2:11" x14ac:dyDescent="0.3">
      <c r="B14" s="49"/>
      <c r="C14" s="49"/>
      <c r="D14" s="50"/>
      <c r="E14" s="50"/>
      <c r="F14" s="50"/>
      <c r="G14" s="50" t="s">
        <v>201</v>
      </c>
      <c r="H14" s="50" t="s">
        <v>218</v>
      </c>
    </row>
    <row r="15" spans="2:11" x14ac:dyDescent="0.3">
      <c r="B15" s="49"/>
      <c r="C15" s="49"/>
      <c r="D15" s="50"/>
      <c r="E15" s="50"/>
      <c r="F15" s="50"/>
      <c r="G15" s="50" t="s">
        <v>202</v>
      </c>
      <c r="H15" s="50" t="s">
        <v>219</v>
      </c>
    </row>
    <row r="16" spans="2:11" x14ac:dyDescent="0.3">
      <c r="B16" s="49"/>
      <c r="C16" s="49"/>
      <c r="D16" s="50"/>
      <c r="E16" s="50"/>
      <c r="F16" s="50"/>
      <c r="G16" s="50" t="s">
        <v>203</v>
      </c>
      <c r="H16" s="50" t="s">
        <v>220</v>
      </c>
    </row>
    <row r="17" spans="2:8" x14ac:dyDescent="0.3">
      <c r="B17" s="49"/>
      <c r="C17" s="49"/>
      <c r="D17" s="50"/>
      <c r="E17" s="50"/>
      <c r="F17" s="50"/>
      <c r="G17" s="50" t="s">
        <v>204</v>
      </c>
      <c r="H17" s="50" t="s">
        <v>221</v>
      </c>
    </row>
    <row r="18" spans="2:8" x14ac:dyDescent="0.3">
      <c r="B18" s="49"/>
      <c r="C18" s="49"/>
      <c r="D18" s="50"/>
      <c r="E18" s="50"/>
      <c r="F18" s="50"/>
      <c r="G18" s="50" t="s">
        <v>205</v>
      </c>
      <c r="H18" s="50" t="s">
        <v>222</v>
      </c>
    </row>
    <row r="24" spans="2:8" x14ac:dyDescent="0.3">
      <c r="C24" t="s">
        <v>168</v>
      </c>
    </row>
    <row r="25" spans="2:8" x14ac:dyDescent="0.3">
      <c r="C25" t="s">
        <v>224</v>
      </c>
    </row>
    <row r="26" spans="2:8" x14ac:dyDescent="0.3">
      <c r="C26" t="s">
        <v>225</v>
      </c>
    </row>
    <row r="27" spans="2:8" x14ac:dyDescent="0.3">
      <c r="C27" t="s">
        <v>226</v>
      </c>
    </row>
    <row r="28" spans="2:8" x14ac:dyDescent="0.3">
      <c r="C28" t="s">
        <v>227</v>
      </c>
    </row>
    <row r="29" spans="2:8" x14ac:dyDescent="0.3">
      <c r="C29" t="s">
        <v>228</v>
      </c>
    </row>
    <row r="30" spans="2:8" x14ac:dyDescent="0.3">
      <c r="C30" t="s">
        <v>168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2025-09-13T08:37:22Z</cp:lastPrinted>
  <dcterms:created xsi:type="dcterms:W3CDTF">2019-07-16T09:29:46Z</dcterms:created>
  <dcterms:modified xsi:type="dcterms:W3CDTF">2025-09-13T08:41:16Z</dcterms:modified>
</cp:coreProperties>
</file>