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bookViews>
  <sheets>
    <sheet name="Report" sheetId="1" r:id="rId1"/>
    <sheet name="VALUATION" sheetId="5" r:id="rId2"/>
    <sheet name="Flat detail" sheetId="3" r:id="rId3"/>
    <sheet name="Note" sheetId="4" r:id="rId4"/>
  </sheets>
  <definedNames>
    <definedName name="_xlnm.Print_Area" localSheetId="0">Report!$A$1:$H$1332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9" i="1" l="1"/>
  <c r="C128" i="1"/>
  <c r="C185" i="1"/>
  <c r="C184" i="1"/>
  <c r="C183" i="1"/>
  <c r="C182" i="1"/>
  <c r="C155" i="1"/>
  <c r="C154" i="1"/>
  <c r="C141" i="1"/>
  <c r="C140" i="1"/>
  <c r="J145" i="1" l="1"/>
  <c r="J144" i="1"/>
  <c r="J143" i="1"/>
  <c r="J142" i="1"/>
  <c r="H135" i="1"/>
  <c r="D143" i="1" l="1"/>
  <c r="D142" i="1"/>
  <c r="J138" i="1"/>
  <c r="D144" i="1"/>
  <c r="D141" i="1"/>
  <c r="D140" i="1"/>
  <c r="D146" i="1"/>
  <c r="J139" i="1"/>
  <c r="C138" i="1" s="1"/>
  <c r="J137" i="1"/>
  <c r="D145" i="1"/>
  <c r="D147" i="1"/>
  <c r="J140" i="1"/>
  <c r="J141" i="1" s="1"/>
  <c r="J146" i="1" s="1"/>
  <c r="J147" i="1" s="1"/>
  <c r="C139" i="1" s="1"/>
  <c r="J212" i="1"/>
  <c r="J211" i="1"/>
  <c r="J210" i="1"/>
  <c r="J209" i="1"/>
  <c r="H202" i="1"/>
  <c r="E138" i="1" l="1"/>
  <c r="D139" i="1"/>
  <c r="G138" i="1"/>
  <c r="D138" i="1"/>
  <c r="D214" i="1"/>
  <c r="D210" i="1"/>
  <c r="D213" i="1"/>
  <c r="D209" i="1"/>
  <c r="J205" i="1"/>
  <c r="D212" i="1"/>
  <c r="D208" i="1"/>
  <c r="D211" i="1"/>
  <c r="D207" i="1"/>
  <c r="J206" i="1"/>
  <c r="J204" i="1"/>
  <c r="J207" i="1"/>
  <c r="D1202" i="1"/>
  <c r="C113" i="1"/>
  <c r="I134" i="1" l="1"/>
  <c r="C136" i="1" s="1"/>
  <c r="J208" i="1"/>
  <c r="C127" i="1"/>
  <c r="J213" i="1" l="1"/>
  <c r="J214" i="1" s="1"/>
  <c r="C205" i="1" s="1"/>
  <c r="C206" i="1"/>
  <c r="G205" i="1" l="1"/>
  <c r="D205" i="1"/>
  <c r="D206" i="1"/>
  <c r="E205" i="1"/>
  <c r="G59" i="1"/>
  <c r="C59" i="1"/>
  <c r="I201" i="1" l="1"/>
  <c r="C203" i="1" s="1"/>
  <c r="D826" i="1"/>
  <c r="F826" i="1" s="1"/>
  <c r="D825" i="1"/>
  <c r="F825" i="1" s="1"/>
  <c r="D824" i="1"/>
  <c r="F824" i="1" s="1"/>
  <c r="D823" i="1"/>
  <c r="F823" i="1" s="1"/>
  <c r="D822" i="1"/>
  <c r="F822" i="1" s="1"/>
  <c r="D820" i="1"/>
  <c r="F820" i="1" s="1"/>
  <c r="G819" i="1"/>
  <c r="D819" i="1"/>
  <c r="F819" i="1" s="1"/>
  <c r="D817" i="1"/>
  <c r="F817" i="1" s="1"/>
  <c r="D816" i="1"/>
  <c r="F816" i="1" s="1"/>
  <c r="D815" i="1"/>
  <c r="F815" i="1" s="1"/>
  <c r="D814" i="1"/>
  <c r="F814" i="1" s="1"/>
  <c r="D813" i="1"/>
  <c r="F813" i="1" s="1"/>
  <c r="J812" i="1"/>
  <c r="I812" i="1"/>
  <c r="D812" i="1"/>
  <c r="F812" i="1" s="1"/>
  <c r="D811" i="1"/>
  <c r="F811" i="1" s="1"/>
  <c r="J810" i="1"/>
  <c r="I810" i="1"/>
  <c r="G810" i="1"/>
  <c r="D810" i="1"/>
  <c r="F810" i="1" s="1"/>
  <c r="J807" i="1"/>
  <c r="J187" i="1"/>
  <c r="J186" i="1"/>
  <c r="J185" i="1"/>
  <c r="J184" i="1"/>
  <c r="H177" i="1"/>
  <c r="G266" i="1" l="1"/>
  <c r="C266" i="1"/>
  <c r="E266" i="1"/>
  <c r="K810" i="1"/>
  <c r="K812" i="1"/>
  <c r="J182" i="1"/>
  <c r="J181" i="1"/>
  <c r="J179" i="1"/>
  <c r="D189" i="1"/>
  <c r="D188" i="1"/>
  <c r="D187" i="1"/>
  <c r="D186" i="1"/>
  <c r="D185" i="1"/>
  <c r="D184" i="1"/>
  <c r="D183" i="1"/>
  <c r="D182" i="1"/>
  <c r="J180" i="1"/>
  <c r="D806" i="1"/>
  <c r="D805" i="1"/>
  <c r="F805" i="1" s="1"/>
  <c r="D804" i="1"/>
  <c r="F804" i="1" s="1"/>
  <c r="D803" i="1"/>
  <c r="F803" i="1" s="1"/>
  <c r="D802" i="1"/>
  <c r="F802" i="1" s="1"/>
  <c r="D800" i="1"/>
  <c r="F800" i="1" s="1"/>
  <c r="D799" i="1"/>
  <c r="F799" i="1" s="1"/>
  <c r="D797" i="1"/>
  <c r="F797" i="1" s="1"/>
  <c r="D796" i="1"/>
  <c r="F796" i="1" s="1"/>
  <c r="D795" i="1"/>
  <c r="F795" i="1" s="1"/>
  <c r="D794" i="1"/>
  <c r="F794" i="1" s="1"/>
  <c r="D793" i="1"/>
  <c r="F793" i="1" s="1"/>
  <c r="D792" i="1"/>
  <c r="F792" i="1" s="1"/>
  <c r="D791" i="1"/>
  <c r="F791" i="1" s="1"/>
  <c r="D790" i="1"/>
  <c r="J787" i="1"/>
  <c r="F806" i="1"/>
  <c r="G799" i="1"/>
  <c r="J792" i="1"/>
  <c r="I792" i="1"/>
  <c r="J790" i="1"/>
  <c r="I790" i="1"/>
  <c r="G790" i="1"/>
  <c r="J183" i="1" l="1"/>
  <c r="J188" i="1" s="1"/>
  <c r="J189" i="1" s="1"/>
  <c r="C265" i="1"/>
  <c r="E265" i="1"/>
  <c r="F790" i="1"/>
  <c r="G265" i="1" s="1"/>
  <c r="K790" i="1"/>
  <c r="K792" i="1"/>
  <c r="C180" i="1" l="1"/>
  <c r="D180" i="1" s="1"/>
  <c r="C181" i="1"/>
  <c r="E180" i="1" s="1"/>
  <c r="D712" i="1"/>
  <c r="F712" i="1" s="1"/>
  <c r="D711" i="1"/>
  <c r="F711" i="1" s="1"/>
  <c r="D710" i="1"/>
  <c r="F710" i="1" s="1"/>
  <c r="D709" i="1"/>
  <c r="F709" i="1" s="1"/>
  <c r="D708" i="1"/>
  <c r="F708" i="1" s="1"/>
  <c r="D707" i="1"/>
  <c r="F707" i="1" s="1"/>
  <c r="D706" i="1"/>
  <c r="F706" i="1" s="1"/>
  <c r="D717" i="1"/>
  <c r="F717" i="1" s="1"/>
  <c r="D716" i="1"/>
  <c r="F716" i="1" s="1"/>
  <c r="D715" i="1"/>
  <c r="F715" i="1" s="1"/>
  <c r="D714" i="1"/>
  <c r="F714" i="1" s="1"/>
  <c r="D704" i="1"/>
  <c r="F704" i="1" s="1"/>
  <c r="D703" i="1"/>
  <c r="F703" i="1" s="1"/>
  <c r="D702" i="1"/>
  <c r="F702" i="1" s="1"/>
  <c r="D701" i="1"/>
  <c r="F701" i="1" s="1"/>
  <c r="D700" i="1"/>
  <c r="F700" i="1" s="1"/>
  <c r="D699" i="1"/>
  <c r="F699" i="1" s="1"/>
  <c r="D698" i="1"/>
  <c r="F698" i="1" s="1"/>
  <c r="D697" i="1"/>
  <c r="F697" i="1" s="1"/>
  <c r="D695" i="1"/>
  <c r="F695" i="1" s="1"/>
  <c r="D694" i="1"/>
  <c r="F694" i="1" s="1"/>
  <c r="D696" i="1"/>
  <c r="F696" i="1" s="1"/>
  <c r="D693" i="1"/>
  <c r="F693" i="1" s="1"/>
  <c r="J693" i="1"/>
  <c r="G706" i="1"/>
  <c r="G693" i="1"/>
  <c r="I176" i="1" l="1"/>
  <c r="C178" i="1" s="1"/>
  <c r="D181" i="1"/>
  <c r="G180" i="1"/>
  <c r="C262" i="1"/>
  <c r="G262" i="1"/>
  <c r="E262" i="1"/>
  <c r="J173" i="1"/>
  <c r="J172" i="1"/>
  <c r="J171" i="1"/>
  <c r="J170" i="1"/>
  <c r="C47" i="1"/>
  <c r="H163" i="1"/>
  <c r="J168" i="1" l="1"/>
  <c r="D174" i="1"/>
  <c r="D172" i="1"/>
  <c r="D170" i="1"/>
  <c r="D168" i="1"/>
  <c r="J166" i="1"/>
  <c r="J167" i="1"/>
  <c r="C166" i="1" s="1"/>
  <c r="J165" i="1"/>
  <c r="D175" i="1"/>
  <c r="D173" i="1"/>
  <c r="D171" i="1"/>
  <c r="D169" i="1"/>
  <c r="J159" i="1"/>
  <c r="J158" i="1"/>
  <c r="J157" i="1"/>
  <c r="J156" i="1"/>
  <c r="H149" i="1"/>
  <c r="J169" i="1" l="1"/>
  <c r="J174" i="1" s="1"/>
  <c r="J175" i="1" s="1"/>
  <c r="C167" i="1" s="1"/>
  <c r="D167" i="1" s="1"/>
  <c r="D166" i="1"/>
  <c r="J154" i="1"/>
  <c r="J155" i="1" s="1"/>
  <c r="D160" i="1"/>
  <c r="D158" i="1"/>
  <c r="D156" i="1"/>
  <c r="D154" i="1"/>
  <c r="J152" i="1"/>
  <c r="J153" i="1"/>
  <c r="C152" i="1" s="1"/>
  <c r="J151" i="1"/>
  <c r="D161" i="1"/>
  <c r="D159" i="1"/>
  <c r="D157" i="1"/>
  <c r="D155" i="1"/>
  <c r="G166" i="1" l="1"/>
  <c r="E166" i="1"/>
  <c r="I162" i="1" s="1"/>
  <c r="C164" i="1" s="1"/>
  <c r="D152" i="1"/>
  <c r="J160" i="1"/>
  <c r="J117" i="1"/>
  <c r="J116" i="1"/>
  <c r="J115" i="1"/>
  <c r="J114" i="1"/>
  <c r="H107" i="1"/>
  <c r="J161" i="1" l="1"/>
  <c r="C153" i="1" s="1"/>
  <c r="J112" i="1"/>
  <c r="J113" i="1" s="1"/>
  <c r="D110" i="1"/>
  <c r="D118" i="1"/>
  <c r="D116" i="1"/>
  <c r="D114" i="1"/>
  <c r="D112" i="1"/>
  <c r="J110" i="1"/>
  <c r="J109" i="1"/>
  <c r="J111" i="1"/>
  <c r="D119" i="1"/>
  <c r="D117" i="1"/>
  <c r="D115" i="1"/>
  <c r="D113" i="1"/>
  <c r="D761" i="1"/>
  <c r="D752" i="1"/>
  <c r="D757" i="1"/>
  <c r="D756" i="1"/>
  <c r="J754" i="1"/>
  <c r="D754" i="1"/>
  <c r="D753" i="1"/>
  <c r="D678" i="1"/>
  <c r="E152" i="1" l="1"/>
  <c r="I148" i="1" s="1"/>
  <c r="C150" i="1" s="1"/>
  <c r="D153" i="1"/>
  <c r="G152" i="1"/>
  <c r="J118" i="1"/>
  <c r="J119" i="1" s="1"/>
  <c r="C111" i="1" s="1"/>
  <c r="E110" i="1" s="1"/>
  <c r="O263" i="1"/>
  <c r="G110" i="1" l="1"/>
  <c r="D111" i="1"/>
  <c r="D786" i="1"/>
  <c r="F786" i="1" s="1"/>
  <c r="D785" i="1"/>
  <c r="F785" i="1" s="1"/>
  <c r="D784" i="1"/>
  <c r="F784" i="1" s="1"/>
  <c r="D783" i="1"/>
  <c r="F783" i="1" s="1"/>
  <c r="D781" i="1"/>
  <c r="F781" i="1" s="1"/>
  <c r="D780" i="1"/>
  <c r="F780" i="1" s="1"/>
  <c r="D779" i="1"/>
  <c r="F779" i="1" s="1"/>
  <c r="D778" i="1"/>
  <c r="F778" i="1" s="1"/>
  <c r="D777" i="1"/>
  <c r="F777" i="1" s="1"/>
  <c r="A777" i="1"/>
  <c r="A778" i="1" s="1"/>
  <c r="A779" i="1" s="1"/>
  <c r="A780" i="1" s="1"/>
  <c r="A781" i="1" s="1"/>
  <c r="A784" i="1" s="1"/>
  <c r="A785" i="1" s="1"/>
  <c r="A786" i="1" s="1"/>
  <c r="G776" i="1"/>
  <c r="D776" i="1"/>
  <c r="F776" i="1" s="1"/>
  <c r="D769" i="1"/>
  <c r="F769" i="1" s="1"/>
  <c r="D768" i="1"/>
  <c r="F768" i="1" s="1"/>
  <c r="D767" i="1"/>
  <c r="F767" i="1" s="1"/>
  <c r="D774" i="1"/>
  <c r="F774" i="1" s="1"/>
  <c r="D773" i="1"/>
  <c r="F773" i="1" s="1"/>
  <c r="D772" i="1"/>
  <c r="F772" i="1" s="1"/>
  <c r="D771" i="1"/>
  <c r="F771" i="1" s="1"/>
  <c r="D770" i="1"/>
  <c r="F770" i="1" s="1"/>
  <c r="D766" i="1"/>
  <c r="F766" i="1" s="1"/>
  <c r="D765" i="1"/>
  <c r="F765" i="1" s="1"/>
  <c r="A765" i="1"/>
  <c r="A766" i="1" s="1"/>
  <c r="A767" i="1" s="1"/>
  <c r="A768" i="1" s="1"/>
  <c r="A769" i="1" s="1"/>
  <c r="A770" i="1" s="1"/>
  <c r="A771" i="1" s="1"/>
  <c r="A772" i="1" s="1"/>
  <c r="A773" i="1" s="1"/>
  <c r="A774" i="1" s="1"/>
  <c r="G764" i="1"/>
  <c r="D764" i="1"/>
  <c r="F764" i="1" s="1"/>
  <c r="E758" i="1"/>
  <c r="E757" i="1"/>
  <c r="E756" i="1"/>
  <c r="E755" i="1"/>
  <c r="I106" i="1" l="1"/>
  <c r="C108" i="1" s="1"/>
  <c r="D760" i="1"/>
  <c r="D759" i="1"/>
  <c r="F759" i="1" s="1"/>
  <c r="D758" i="1"/>
  <c r="F758" i="1" s="1"/>
  <c r="F757" i="1"/>
  <c r="D755" i="1"/>
  <c r="F754" i="1"/>
  <c r="D762" i="1"/>
  <c r="F762" i="1" s="1"/>
  <c r="F761" i="1"/>
  <c r="F760" i="1"/>
  <c r="F756" i="1"/>
  <c r="D750" i="1"/>
  <c r="F750" i="1" s="1"/>
  <c r="D749" i="1"/>
  <c r="F749" i="1" s="1"/>
  <c r="D748" i="1"/>
  <c r="F748" i="1" s="1"/>
  <c r="D747" i="1"/>
  <c r="F747" i="1" s="1"/>
  <c r="D746" i="1"/>
  <c r="F746" i="1" s="1"/>
  <c r="D745" i="1"/>
  <c r="F745" i="1" s="1"/>
  <c r="D744" i="1"/>
  <c r="F744" i="1" s="1"/>
  <c r="D743" i="1"/>
  <c r="F743" i="1" s="1"/>
  <c r="D742" i="1"/>
  <c r="F742" i="1" s="1"/>
  <c r="D741" i="1"/>
  <c r="D740" i="1"/>
  <c r="F740" i="1" s="1"/>
  <c r="D739" i="1"/>
  <c r="F739" i="1" s="1"/>
  <c r="D738" i="1"/>
  <c r="F738" i="1" s="1"/>
  <c r="D737" i="1"/>
  <c r="F737" i="1" s="1"/>
  <c r="F753" i="1"/>
  <c r="D661" i="1"/>
  <c r="F752" i="1"/>
  <c r="J752" i="1"/>
  <c r="F755" i="1"/>
  <c r="A753" i="1"/>
  <c r="A754" i="1" s="1"/>
  <c r="A755" i="1" s="1"/>
  <c r="A756" i="1" s="1"/>
  <c r="A757" i="1" s="1"/>
  <c r="A758" i="1" s="1"/>
  <c r="A759" i="1" s="1"/>
  <c r="A760" i="1" s="1"/>
  <c r="A761" i="1" s="1"/>
  <c r="A762" i="1" s="1"/>
  <c r="G752" i="1"/>
  <c r="F741" i="1"/>
  <c r="A738" i="1"/>
  <c r="A739" i="1" s="1"/>
  <c r="A740" i="1" s="1"/>
  <c r="A741" i="1" s="1"/>
  <c r="A742" i="1" s="1"/>
  <c r="A743" i="1" s="1"/>
  <c r="A744" i="1" s="1"/>
  <c r="A745" i="1" s="1"/>
  <c r="A746" i="1" s="1"/>
  <c r="A747" i="1" s="1"/>
  <c r="A748" i="1" s="1"/>
  <c r="A749" i="1" s="1"/>
  <c r="A750" i="1" s="1"/>
  <c r="G737" i="1"/>
  <c r="C264" i="1" l="1"/>
  <c r="E245" i="1"/>
  <c r="C245" i="1"/>
  <c r="G264" i="1"/>
  <c r="G245" i="1"/>
  <c r="E264" i="1"/>
  <c r="D735" i="1"/>
  <c r="F735" i="1" s="1"/>
  <c r="D734" i="1"/>
  <c r="F734" i="1" s="1"/>
  <c r="D733" i="1"/>
  <c r="F733" i="1" s="1"/>
  <c r="D732" i="1"/>
  <c r="F732" i="1" s="1"/>
  <c r="D731" i="1"/>
  <c r="F731" i="1" s="1"/>
  <c r="D730" i="1"/>
  <c r="F730" i="1" s="1"/>
  <c r="D729" i="1"/>
  <c r="F729" i="1" s="1"/>
  <c r="D728" i="1"/>
  <c r="F728" i="1" s="1"/>
  <c r="D727" i="1"/>
  <c r="F727" i="1" s="1"/>
  <c r="D726" i="1"/>
  <c r="F726" i="1" s="1"/>
  <c r="D725" i="1"/>
  <c r="F725" i="1" s="1"/>
  <c r="D724" i="1"/>
  <c r="F724" i="1" s="1"/>
  <c r="D723" i="1"/>
  <c r="F723" i="1" s="1"/>
  <c r="D722" i="1"/>
  <c r="F722" i="1" s="1"/>
  <c r="D721" i="1"/>
  <c r="J720" i="1"/>
  <c r="J722" i="1"/>
  <c r="J721" i="1"/>
  <c r="A722" i="1"/>
  <c r="A723" i="1" s="1"/>
  <c r="A724" i="1" s="1"/>
  <c r="A725" i="1" s="1"/>
  <c r="A726" i="1" s="1"/>
  <c r="A727" i="1" s="1"/>
  <c r="A728" i="1" s="1"/>
  <c r="A729" i="1" s="1"/>
  <c r="A730" i="1" s="1"/>
  <c r="A731" i="1" s="1"/>
  <c r="A732" i="1" s="1"/>
  <c r="A733" i="1" s="1"/>
  <c r="A734" i="1" s="1"/>
  <c r="A735" i="1" s="1"/>
  <c r="G721" i="1"/>
  <c r="F721" i="1" l="1"/>
  <c r="G244" i="1" s="1"/>
  <c r="C244" i="1"/>
  <c r="E244" i="1"/>
  <c r="E3" i="1"/>
  <c r="J131" i="1" l="1"/>
  <c r="J130" i="1"/>
  <c r="J129" i="1"/>
  <c r="J128" i="1"/>
  <c r="J103" i="1"/>
  <c r="J102" i="1"/>
  <c r="J101" i="1"/>
  <c r="J100" i="1"/>
  <c r="J233" i="1"/>
  <c r="J240" i="1"/>
  <c r="K269" i="1"/>
  <c r="D687" i="1"/>
  <c r="F687" i="1" s="1"/>
  <c r="D686" i="1"/>
  <c r="F686" i="1" s="1"/>
  <c r="D685" i="1"/>
  <c r="F685" i="1" s="1"/>
  <c r="D684" i="1"/>
  <c r="F684" i="1" s="1"/>
  <c r="D683" i="1"/>
  <c r="F683" i="1" s="1"/>
  <c r="D682" i="1"/>
  <c r="F682" i="1" s="1"/>
  <c r="G681" i="1"/>
  <c r="D681" i="1"/>
  <c r="F681" i="1" s="1"/>
  <c r="D669" i="1"/>
  <c r="E669" i="1"/>
  <c r="D668" i="1"/>
  <c r="D667" i="1"/>
  <c r="E668" i="1"/>
  <c r="E667" i="1"/>
  <c r="E666" i="1"/>
  <c r="D679" i="1"/>
  <c r="F679" i="1" s="1"/>
  <c r="F678" i="1"/>
  <c r="D677" i="1"/>
  <c r="F677" i="1" s="1"/>
  <c r="D676" i="1"/>
  <c r="F676" i="1" s="1"/>
  <c r="D675" i="1"/>
  <c r="F675" i="1" s="1"/>
  <c r="D674" i="1"/>
  <c r="F674" i="1" s="1"/>
  <c r="D673" i="1"/>
  <c r="F673" i="1" s="1"/>
  <c r="G672" i="1"/>
  <c r="D672" i="1"/>
  <c r="F672" i="1" s="1"/>
  <c r="E665" i="1"/>
  <c r="D666" i="1"/>
  <c r="D665" i="1"/>
  <c r="F661" i="1"/>
  <c r="D660" i="1"/>
  <c r="F660" i="1" s="1"/>
  <c r="D659" i="1"/>
  <c r="F659" i="1" s="1"/>
  <c r="D658" i="1"/>
  <c r="F658" i="1" s="1"/>
  <c r="D657" i="1"/>
  <c r="F657" i="1" s="1"/>
  <c r="D656" i="1"/>
  <c r="F656" i="1" s="1"/>
  <c r="D655" i="1"/>
  <c r="F655" i="1" s="1"/>
  <c r="D654" i="1"/>
  <c r="F654" i="1" s="1"/>
  <c r="D653" i="1"/>
  <c r="F653" i="1" s="1"/>
  <c r="D652" i="1"/>
  <c r="F652" i="1" s="1"/>
  <c r="D651" i="1"/>
  <c r="F651" i="1" s="1"/>
  <c r="D650" i="1"/>
  <c r="F650" i="1" s="1"/>
  <c r="D649" i="1"/>
  <c r="F649" i="1" s="1"/>
  <c r="G649" i="1"/>
  <c r="D647" i="1"/>
  <c r="F647" i="1" s="1"/>
  <c r="D646" i="1"/>
  <c r="F646" i="1" s="1"/>
  <c r="D645" i="1"/>
  <c r="F645" i="1" s="1"/>
  <c r="D644" i="1"/>
  <c r="F644" i="1" s="1"/>
  <c r="D643" i="1"/>
  <c r="F643" i="1" s="1"/>
  <c r="D642" i="1"/>
  <c r="F642" i="1" s="1"/>
  <c r="D641" i="1"/>
  <c r="F641" i="1" s="1"/>
  <c r="D640" i="1"/>
  <c r="F640" i="1" s="1"/>
  <c r="D639" i="1"/>
  <c r="F639" i="1" s="1"/>
  <c r="D638" i="1"/>
  <c r="F638" i="1" s="1"/>
  <c r="D637" i="1"/>
  <c r="F637" i="1" s="1"/>
  <c r="D636" i="1"/>
  <c r="F636" i="1" s="1"/>
  <c r="G636" i="1"/>
  <c r="D670" i="1"/>
  <c r="F670" i="1" s="1"/>
  <c r="D664" i="1"/>
  <c r="F664" i="1" s="1"/>
  <c r="G663" i="1"/>
  <c r="D663" i="1"/>
  <c r="F663" i="1" s="1"/>
  <c r="G626" i="1"/>
  <c r="D633" i="1"/>
  <c r="F633" i="1" s="1"/>
  <c r="D632" i="1"/>
  <c r="F632" i="1" s="1"/>
  <c r="D631" i="1"/>
  <c r="F631" i="1" s="1"/>
  <c r="K630" i="1"/>
  <c r="J630" i="1"/>
  <c r="D630" i="1"/>
  <c r="F630" i="1" s="1"/>
  <c r="D629" i="1"/>
  <c r="F629" i="1" s="1"/>
  <c r="D627" i="1"/>
  <c r="F627" i="1" s="1"/>
  <c r="I626" i="1"/>
  <c r="D626" i="1"/>
  <c r="F626" i="1" s="1"/>
  <c r="K621" i="1"/>
  <c r="J621" i="1"/>
  <c r="D622" i="1"/>
  <c r="F622" i="1" s="1"/>
  <c r="D621" i="1"/>
  <c r="F621" i="1" s="1"/>
  <c r="D623" i="1"/>
  <c r="F623" i="1" s="1"/>
  <c r="D618" i="1"/>
  <c r="F618" i="1" s="1"/>
  <c r="D617" i="1"/>
  <c r="F617" i="1" s="1"/>
  <c r="I617" i="1"/>
  <c r="D624" i="1"/>
  <c r="F624" i="1" s="1"/>
  <c r="D620" i="1"/>
  <c r="F620" i="1" s="1"/>
  <c r="D619" i="1"/>
  <c r="F619" i="1" s="1"/>
  <c r="G617" i="1"/>
  <c r="K260" i="1"/>
  <c r="M260" i="1"/>
  <c r="D613" i="1"/>
  <c r="F613" i="1" s="1"/>
  <c r="D612" i="1"/>
  <c r="F612" i="1" s="1"/>
  <c r="D611" i="1"/>
  <c r="F611" i="1" s="1"/>
  <c r="D610" i="1"/>
  <c r="F610" i="1" s="1"/>
  <c r="G609" i="1"/>
  <c r="D584" i="1"/>
  <c r="D583" i="1"/>
  <c r="F583" i="1" s="1"/>
  <c r="D582" i="1"/>
  <c r="F582" i="1" s="1"/>
  <c r="D581" i="1"/>
  <c r="D580" i="1"/>
  <c r="D579" i="1"/>
  <c r="F579" i="1" s="1"/>
  <c r="D605" i="1"/>
  <c r="F605" i="1" s="1"/>
  <c r="D606" i="1"/>
  <c r="F606" i="1" s="1"/>
  <c r="D607" i="1"/>
  <c r="F607" i="1" s="1"/>
  <c r="G603" i="1"/>
  <c r="D604" i="1"/>
  <c r="F604" i="1" s="1"/>
  <c r="D603" i="1"/>
  <c r="F603" i="1" s="1"/>
  <c r="D574" i="1"/>
  <c r="F574" i="1" s="1"/>
  <c r="D573" i="1"/>
  <c r="F573" i="1" s="1"/>
  <c r="D577" i="1"/>
  <c r="F577" i="1" s="1"/>
  <c r="D576" i="1"/>
  <c r="F576" i="1" s="1"/>
  <c r="D575" i="1"/>
  <c r="F575" i="1" s="1"/>
  <c r="D572" i="1"/>
  <c r="D598" i="1"/>
  <c r="F598" i="1" s="1"/>
  <c r="D597" i="1"/>
  <c r="F597" i="1" s="1"/>
  <c r="D570" i="1"/>
  <c r="D569" i="1"/>
  <c r="D568" i="1"/>
  <c r="D566" i="1"/>
  <c r="D567" i="1"/>
  <c r="D565" i="1"/>
  <c r="F565" i="1" s="1"/>
  <c r="E600" i="1"/>
  <c r="E601" i="1"/>
  <c r="D601" i="1"/>
  <c r="G597" i="1"/>
  <c r="J601" i="1"/>
  <c r="D600" i="1"/>
  <c r="D599" i="1"/>
  <c r="F599" i="1" s="1"/>
  <c r="J597" i="1"/>
  <c r="I597" i="1"/>
  <c r="J569" i="1"/>
  <c r="E570" i="1"/>
  <c r="E569" i="1"/>
  <c r="E568" i="1"/>
  <c r="E567" i="1"/>
  <c r="I565" i="1"/>
  <c r="J565" i="1"/>
  <c r="D595" i="1"/>
  <c r="F595" i="1" s="1"/>
  <c r="D594" i="1"/>
  <c r="F594" i="1" s="1"/>
  <c r="D593" i="1"/>
  <c r="F593" i="1" s="1"/>
  <c r="D592" i="1"/>
  <c r="F592" i="1" s="1"/>
  <c r="D591" i="1"/>
  <c r="F591" i="1" s="1"/>
  <c r="D590" i="1"/>
  <c r="F590" i="1" s="1"/>
  <c r="D589" i="1"/>
  <c r="F589" i="1" s="1"/>
  <c r="D587" i="1"/>
  <c r="F587" i="1" s="1"/>
  <c r="D588" i="1"/>
  <c r="F588" i="1" s="1"/>
  <c r="G587" i="1"/>
  <c r="D563" i="1"/>
  <c r="F563" i="1" s="1"/>
  <c r="D562" i="1"/>
  <c r="F562" i="1" s="1"/>
  <c r="D561" i="1"/>
  <c r="F561" i="1" s="1"/>
  <c r="D560" i="1"/>
  <c r="F560" i="1" s="1"/>
  <c r="D559" i="1"/>
  <c r="F559" i="1" s="1"/>
  <c r="D558" i="1"/>
  <c r="F558" i="1" s="1"/>
  <c r="D557" i="1"/>
  <c r="F557" i="1" s="1"/>
  <c r="D556" i="1"/>
  <c r="F556" i="1" s="1"/>
  <c r="D555" i="1"/>
  <c r="F555" i="1" s="1"/>
  <c r="D554" i="1"/>
  <c r="F554" i="1" s="1"/>
  <c r="G579" i="1"/>
  <c r="G572" i="1"/>
  <c r="G565" i="1"/>
  <c r="G554" i="1"/>
  <c r="G54" i="1"/>
  <c r="C54" i="1"/>
  <c r="C55" i="1" s="1"/>
  <c r="H93" i="1"/>
  <c r="H121" i="1"/>
  <c r="G242" i="1" l="1"/>
  <c r="F665" i="1"/>
  <c r="F668" i="1"/>
  <c r="F666" i="1"/>
  <c r="E260" i="1"/>
  <c r="G261" i="1"/>
  <c r="E242" i="1"/>
  <c r="E243" i="1"/>
  <c r="J126" i="1"/>
  <c r="J127" i="1" s="1"/>
  <c r="J125" i="1"/>
  <c r="C124" i="1" s="1"/>
  <c r="J123" i="1"/>
  <c r="D133" i="1"/>
  <c r="D132" i="1"/>
  <c r="D131" i="1"/>
  <c r="D130" i="1"/>
  <c r="D129" i="1"/>
  <c r="D128" i="1"/>
  <c r="D127" i="1"/>
  <c r="D126" i="1"/>
  <c r="J124" i="1"/>
  <c r="C242" i="1"/>
  <c r="C243" i="1"/>
  <c r="E261" i="1"/>
  <c r="C261" i="1"/>
  <c r="J98" i="1"/>
  <c r="J99" i="1" s="1"/>
  <c r="J104" i="1" s="1"/>
  <c r="J97" i="1"/>
  <c r="J95" i="1"/>
  <c r="D105" i="1"/>
  <c r="D104" i="1"/>
  <c r="D103" i="1"/>
  <c r="D102" i="1"/>
  <c r="D101" i="1"/>
  <c r="D100" i="1"/>
  <c r="D99" i="1"/>
  <c r="D98" i="1"/>
  <c r="J96" i="1"/>
  <c r="E263" i="1"/>
  <c r="G243" i="1"/>
  <c r="C263" i="1"/>
  <c r="F667" i="1"/>
  <c r="F669" i="1"/>
  <c r="J631" i="1"/>
  <c r="G241" i="1"/>
  <c r="J622" i="1"/>
  <c r="F569" i="1"/>
  <c r="F601" i="1"/>
  <c r="G240" i="1"/>
  <c r="E241" i="1"/>
  <c r="I566" i="1"/>
  <c r="F600" i="1"/>
  <c r="C259" i="1"/>
  <c r="F567" i="1"/>
  <c r="F570" i="1"/>
  <c r="E240" i="1"/>
  <c r="C241" i="1"/>
  <c r="E259" i="1"/>
  <c r="C260" i="1"/>
  <c r="I598" i="1"/>
  <c r="C240" i="1"/>
  <c r="F566" i="1"/>
  <c r="F568" i="1"/>
  <c r="F572" i="1"/>
  <c r="F580" i="1"/>
  <c r="F581" i="1"/>
  <c r="F584" i="1"/>
  <c r="G830" i="1"/>
  <c r="J132" i="1" l="1"/>
  <c r="J133" i="1" s="1"/>
  <c r="C125" i="1" s="1"/>
  <c r="G124" i="1" s="1"/>
  <c r="J105" i="1"/>
  <c r="C97" i="1" s="1"/>
  <c r="E96" i="1" s="1"/>
  <c r="D124" i="1"/>
  <c r="G260" i="1"/>
  <c r="G263" i="1"/>
  <c r="D96" i="1"/>
  <c r="G259" i="1"/>
  <c r="J198" i="1"/>
  <c r="J197" i="1"/>
  <c r="J196" i="1"/>
  <c r="J195" i="1"/>
  <c r="J89" i="1"/>
  <c r="J88" i="1"/>
  <c r="H72" i="1"/>
  <c r="H77" i="1"/>
  <c r="D97" i="1" l="1"/>
  <c r="D125" i="1"/>
  <c r="E124" i="1"/>
  <c r="I120" i="1" s="1"/>
  <c r="C122" i="1" s="1"/>
  <c r="G96" i="1"/>
  <c r="I92" i="1"/>
  <c r="C94" i="1" s="1"/>
  <c r="J192" i="1"/>
  <c r="C191" i="1" s="1"/>
  <c r="D191" i="1" s="1"/>
  <c r="J190" i="1"/>
  <c r="D200" i="1"/>
  <c r="D196" i="1"/>
  <c r="D195" i="1"/>
  <c r="J193" i="1"/>
  <c r="J194" i="1" s="1"/>
  <c r="J199" i="1" s="1"/>
  <c r="J200" i="1" s="1"/>
  <c r="C192" i="1" s="1"/>
  <c r="D198" i="1"/>
  <c r="D194" i="1"/>
  <c r="D197" i="1"/>
  <c r="D193" i="1"/>
  <c r="D199" i="1"/>
  <c r="J191" i="1"/>
  <c r="D84" i="1"/>
  <c r="D91" i="1"/>
  <c r="D87" i="1"/>
  <c r="J83" i="1"/>
  <c r="C82" i="1" s="1"/>
  <c r="J81" i="1"/>
  <c r="D90" i="1"/>
  <c r="D86" i="1"/>
  <c r="J82" i="1"/>
  <c r="J84" i="1"/>
  <c r="J85" i="1" s="1"/>
  <c r="J90" i="1" s="1"/>
  <c r="D89" i="1"/>
  <c r="D85" i="1"/>
  <c r="D88" i="1"/>
  <c r="E191" i="1" l="1"/>
  <c r="I71" i="1" s="1"/>
  <c r="D192" i="1"/>
  <c r="G191" i="1"/>
  <c r="J86" i="1"/>
  <c r="J87" i="1" s="1"/>
  <c r="D82" i="1"/>
  <c r="D850" i="1"/>
  <c r="F850" i="1" s="1"/>
  <c r="D847" i="1"/>
  <c r="F847" i="1" s="1"/>
  <c r="D848" i="1"/>
  <c r="F848" i="1" s="1"/>
  <c r="D849" i="1"/>
  <c r="F849" i="1" s="1"/>
  <c r="J91" i="1" l="1"/>
  <c r="C83" i="1" s="1"/>
  <c r="G1120" i="1"/>
  <c r="G920" i="1"/>
  <c r="D285" i="1"/>
  <c r="C14" i="1"/>
  <c r="E82" i="1" l="1"/>
  <c r="I76" i="1" s="1"/>
  <c r="D83" i="1"/>
  <c r="G82" i="1"/>
  <c r="E990" i="1"/>
  <c r="D990" i="1"/>
  <c r="E989" i="1"/>
  <c r="D989" i="1"/>
  <c r="E988" i="1"/>
  <c r="D988" i="1"/>
  <c r="E987" i="1"/>
  <c r="D987" i="1"/>
  <c r="E986" i="1"/>
  <c r="D986" i="1"/>
  <c r="G985" i="1"/>
  <c r="E985" i="1"/>
  <c r="D985" i="1"/>
  <c r="E916" i="1"/>
  <c r="D916" i="1"/>
  <c r="E937" i="1"/>
  <c r="D937" i="1"/>
  <c r="E943" i="1"/>
  <c r="D943" i="1"/>
  <c r="E337" i="1"/>
  <c r="D337" i="1"/>
  <c r="E335" i="1"/>
  <c r="D335" i="1"/>
  <c r="E336" i="1"/>
  <c r="D336" i="1"/>
  <c r="E334" i="1"/>
  <c r="D334" i="1"/>
  <c r="E357" i="1"/>
  <c r="D357" i="1"/>
  <c r="E868" i="1"/>
  <c r="E867" i="1"/>
  <c r="E873" i="1"/>
  <c r="E872" i="1"/>
  <c r="E900" i="1"/>
  <c r="D900" i="1"/>
  <c r="E899" i="1"/>
  <c r="D899" i="1"/>
  <c r="E898" i="1"/>
  <c r="D898" i="1"/>
  <c r="G897" i="1"/>
  <c r="E897" i="1"/>
  <c r="D897" i="1"/>
  <c r="E1106" i="1"/>
  <c r="D1106" i="1"/>
  <c r="E1105" i="1"/>
  <c r="D1105" i="1"/>
  <c r="E1104" i="1"/>
  <c r="D1104" i="1"/>
  <c r="E1103" i="1"/>
  <c r="D1103" i="1"/>
  <c r="E1102" i="1"/>
  <c r="D1102" i="1"/>
  <c r="G1101" i="1"/>
  <c r="E1055" i="1"/>
  <c r="D1055" i="1"/>
  <c r="E1003" i="1"/>
  <c r="D1003" i="1"/>
  <c r="E1002" i="1"/>
  <c r="D1002" i="1"/>
  <c r="E1001" i="1"/>
  <c r="D1001" i="1"/>
  <c r="E1000" i="1"/>
  <c r="D1000" i="1"/>
  <c r="G999" i="1"/>
  <c r="E999" i="1"/>
  <c r="D999" i="1"/>
  <c r="E1054" i="1"/>
  <c r="D1054" i="1"/>
  <c r="E1053" i="1"/>
  <c r="D1053" i="1"/>
  <c r="E1052" i="1"/>
  <c r="D1052" i="1"/>
  <c r="E1051" i="1"/>
  <c r="D1051" i="1"/>
  <c r="G1050" i="1"/>
  <c r="E1050" i="1"/>
  <c r="D1050" i="1"/>
  <c r="E1099" i="1"/>
  <c r="D1099" i="1"/>
  <c r="E1098" i="1"/>
  <c r="D1098" i="1"/>
  <c r="E1097" i="1"/>
  <c r="D1097" i="1"/>
  <c r="E1096" i="1"/>
  <c r="D1096" i="1"/>
  <c r="E1095" i="1"/>
  <c r="D1095" i="1"/>
  <c r="G1094" i="1"/>
  <c r="E1094" i="1"/>
  <c r="D1094" i="1"/>
  <c r="E1048" i="1"/>
  <c r="D1048" i="1"/>
  <c r="E1047" i="1"/>
  <c r="D1047" i="1"/>
  <c r="E1046" i="1"/>
  <c r="D1046" i="1"/>
  <c r="E1045" i="1"/>
  <c r="D1045" i="1"/>
  <c r="E1044" i="1"/>
  <c r="D1044" i="1"/>
  <c r="G1043" i="1"/>
  <c r="E1043" i="1"/>
  <c r="D1043" i="1"/>
  <c r="E997" i="1"/>
  <c r="D997" i="1"/>
  <c r="E996" i="1"/>
  <c r="D996" i="1"/>
  <c r="E995" i="1"/>
  <c r="D995" i="1"/>
  <c r="E994" i="1"/>
  <c r="D994" i="1"/>
  <c r="E993" i="1"/>
  <c r="D993" i="1"/>
  <c r="G992" i="1"/>
  <c r="E992" i="1"/>
  <c r="D992" i="1"/>
  <c r="F995" i="1" l="1"/>
  <c r="F1096" i="1"/>
  <c r="F943" i="1"/>
  <c r="F990" i="1"/>
  <c r="F994" i="1"/>
  <c r="F1000" i="1"/>
  <c r="F898" i="1"/>
  <c r="F1105" i="1"/>
  <c r="F988" i="1"/>
  <c r="F1050" i="1"/>
  <c r="F357" i="1"/>
  <c r="F987" i="1"/>
  <c r="F1052" i="1"/>
  <c r="F1104" i="1"/>
  <c r="F897" i="1"/>
  <c r="F900" i="1"/>
  <c r="F986" i="1"/>
  <c r="F989" i="1"/>
  <c r="F937" i="1"/>
  <c r="F916" i="1"/>
  <c r="F1053" i="1"/>
  <c r="F1102" i="1"/>
  <c r="F899" i="1"/>
  <c r="F985" i="1"/>
  <c r="F1055" i="1"/>
  <c r="F1094" i="1"/>
  <c r="F1103" i="1"/>
  <c r="F996" i="1"/>
  <c r="F1097" i="1"/>
  <c r="F992" i="1"/>
  <c r="F1098" i="1"/>
  <c r="F1003" i="1"/>
  <c r="F1047" i="1"/>
  <c r="F1095" i="1"/>
  <c r="F1099" i="1"/>
  <c r="F997" i="1"/>
  <c r="F1051" i="1"/>
  <c r="F999" i="1"/>
  <c r="F1044" i="1"/>
  <c r="F1048" i="1"/>
  <c r="F993" i="1"/>
  <c r="F1045" i="1"/>
  <c r="F1054" i="1"/>
  <c r="F1001" i="1"/>
  <c r="F1043" i="1"/>
  <c r="F1046" i="1"/>
  <c r="F1002" i="1"/>
  <c r="F1106" i="1"/>
  <c r="G6" i="5"/>
  <c r="G5" i="5"/>
  <c r="G7" i="5" l="1"/>
  <c r="G325" i="1" l="1"/>
  <c r="G400" i="1"/>
  <c r="G395" i="1"/>
  <c r="G390" i="1"/>
  <c r="G385" i="1"/>
  <c r="G380" i="1"/>
  <c r="G375" i="1"/>
  <c r="G360" i="1"/>
  <c r="G355" i="1"/>
  <c r="G350" i="1"/>
  <c r="G345" i="1"/>
  <c r="G339" i="1"/>
  <c r="G334" i="1"/>
  <c r="G319" i="1"/>
  <c r="G314" i="1"/>
  <c r="G309" i="1"/>
  <c r="G304" i="1"/>
  <c r="G299" i="1"/>
  <c r="G294" i="1"/>
  <c r="G285" i="1"/>
  <c r="E1092" i="1"/>
  <c r="D1092" i="1"/>
  <c r="E1091" i="1"/>
  <c r="D1091" i="1"/>
  <c r="E1090" i="1"/>
  <c r="D1090" i="1"/>
  <c r="E1089" i="1"/>
  <c r="D1089" i="1"/>
  <c r="E1088" i="1"/>
  <c r="D1088" i="1"/>
  <c r="G1087" i="1"/>
  <c r="E1087" i="1"/>
  <c r="D1087" i="1"/>
  <c r="E1085" i="1"/>
  <c r="D1085" i="1"/>
  <c r="E1084" i="1"/>
  <c r="D1084" i="1"/>
  <c r="E1083" i="1"/>
  <c r="D1083" i="1"/>
  <c r="E1082" i="1"/>
  <c r="D1082" i="1"/>
  <c r="E1081" i="1"/>
  <c r="D1081" i="1"/>
  <c r="G1080" i="1"/>
  <c r="E1080" i="1"/>
  <c r="D1080" i="1"/>
  <c r="E1041" i="1"/>
  <c r="D1041" i="1"/>
  <c r="E1040" i="1"/>
  <c r="D1040" i="1"/>
  <c r="E1039" i="1"/>
  <c r="D1039" i="1"/>
  <c r="E1038" i="1"/>
  <c r="D1038" i="1"/>
  <c r="E1037" i="1"/>
  <c r="D1037" i="1"/>
  <c r="G1036" i="1"/>
  <c r="E1036" i="1"/>
  <c r="D1036" i="1"/>
  <c r="E1034" i="1"/>
  <c r="D1034" i="1"/>
  <c r="E1033" i="1"/>
  <c r="D1033" i="1"/>
  <c r="E1032" i="1"/>
  <c r="D1032" i="1"/>
  <c r="E1031" i="1"/>
  <c r="D1031" i="1"/>
  <c r="E1030" i="1"/>
  <c r="D1030" i="1"/>
  <c r="G1029" i="1"/>
  <c r="E1029" i="1"/>
  <c r="D1029" i="1"/>
  <c r="E983" i="1"/>
  <c r="D983" i="1"/>
  <c r="E982" i="1"/>
  <c r="D982" i="1"/>
  <c r="E981" i="1"/>
  <c r="D981" i="1"/>
  <c r="E980" i="1"/>
  <c r="D980" i="1"/>
  <c r="E979" i="1"/>
  <c r="D979" i="1"/>
  <c r="G978" i="1"/>
  <c r="E978" i="1"/>
  <c r="D978" i="1"/>
  <c r="E976" i="1"/>
  <c r="D976" i="1"/>
  <c r="E975" i="1"/>
  <c r="D975" i="1"/>
  <c r="E974" i="1"/>
  <c r="D974" i="1"/>
  <c r="E973" i="1"/>
  <c r="D973" i="1"/>
  <c r="E972" i="1"/>
  <c r="D972" i="1"/>
  <c r="G971" i="1"/>
  <c r="E971" i="1"/>
  <c r="D971" i="1"/>
  <c r="E322" i="1"/>
  <c r="D322" i="1"/>
  <c r="E321" i="1"/>
  <c r="D321" i="1"/>
  <c r="E320" i="1"/>
  <c r="D320" i="1"/>
  <c r="E319" i="1"/>
  <c r="D319" i="1"/>
  <c r="E363" i="1"/>
  <c r="D363" i="1"/>
  <c r="E362" i="1"/>
  <c r="D362" i="1"/>
  <c r="E361" i="1"/>
  <c r="D361" i="1"/>
  <c r="E360" i="1"/>
  <c r="D360" i="1"/>
  <c r="E403" i="1"/>
  <c r="D403" i="1"/>
  <c r="E402" i="1"/>
  <c r="D402" i="1"/>
  <c r="E401" i="1"/>
  <c r="D401" i="1"/>
  <c r="E400" i="1"/>
  <c r="D400" i="1"/>
  <c r="E317" i="1"/>
  <c r="D317" i="1"/>
  <c r="E316" i="1"/>
  <c r="D316" i="1"/>
  <c r="E315" i="1"/>
  <c r="D315" i="1"/>
  <c r="E314" i="1"/>
  <c r="D314" i="1"/>
  <c r="F314" i="1" l="1"/>
  <c r="F315" i="1"/>
  <c r="F316" i="1"/>
  <c r="F317" i="1"/>
  <c r="F400" i="1"/>
  <c r="F401" i="1"/>
  <c r="F402" i="1"/>
  <c r="F403" i="1"/>
  <c r="F360" i="1"/>
  <c r="F361" i="1"/>
  <c r="F362" i="1"/>
  <c r="F363" i="1"/>
  <c r="F319" i="1"/>
  <c r="F320" i="1"/>
  <c r="F321" i="1"/>
  <c r="F322" i="1"/>
  <c r="F971" i="1"/>
  <c r="F979" i="1"/>
  <c r="F980" i="1"/>
  <c r="F981" i="1"/>
  <c r="F982" i="1"/>
  <c r="F983" i="1"/>
  <c r="F1029" i="1"/>
  <c r="F1037" i="1"/>
  <c r="F1038" i="1"/>
  <c r="F1039" i="1"/>
  <c r="F1040" i="1"/>
  <c r="F1041" i="1"/>
  <c r="F1080" i="1"/>
  <c r="F1088" i="1"/>
  <c r="F1089" i="1"/>
  <c r="F1090" i="1"/>
  <c r="F1091" i="1"/>
  <c r="F1092" i="1"/>
  <c r="F972" i="1"/>
  <c r="F973" i="1"/>
  <c r="F974" i="1"/>
  <c r="F975" i="1"/>
  <c r="F976" i="1"/>
  <c r="F978" i="1"/>
  <c r="F1030" i="1"/>
  <c r="F1031" i="1"/>
  <c r="F1032" i="1"/>
  <c r="F1033" i="1"/>
  <c r="F1034" i="1"/>
  <c r="F1036" i="1"/>
  <c r="F1081" i="1"/>
  <c r="F1082" i="1"/>
  <c r="F1083" i="1"/>
  <c r="F1084" i="1"/>
  <c r="F1085" i="1"/>
  <c r="F1087" i="1"/>
  <c r="E551" i="1" l="1"/>
  <c r="D551" i="1"/>
  <c r="E550" i="1"/>
  <c r="D550" i="1"/>
  <c r="E549" i="1"/>
  <c r="D549" i="1"/>
  <c r="G548" i="1"/>
  <c r="E548" i="1"/>
  <c r="D548" i="1"/>
  <c r="E524" i="1"/>
  <c r="D524" i="1"/>
  <c r="E523" i="1"/>
  <c r="D523" i="1"/>
  <c r="E522" i="1"/>
  <c r="D522" i="1"/>
  <c r="G521" i="1"/>
  <c r="E521" i="1"/>
  <c r="D521" i="1"/>
  <c r="G494" i="1"/>
  <c r="G489" i="1"/>
  <c r="G484" i="1"/>
  <c r="G479" i="1"/>
  <c r="G474" i="1"/>
  <c r="G469" i="1"/>
  <c r="G447" i="1"/>
  <c r="G442" i="1"/>
  <c r="G437" i="1"/>
  <c r="G432" i="1"/>
  <c r="G427" i="1"/>
  <c r="G422" i="1"/>
  <c r="E450" i="1"/>
  <c r="D450" i="1"/>
  <c r="E449" i="1"/>
  <c r="D449" i="1"/>
  <c r="E448" i="1"/>
  <c r="D448" i="1"/>
  <c r="E447" i="1"/>
  <c r="D447" i="1"/>
  <c r="E497" i="1"/>
  <c r="D497" i="1"/>
  <c r="E496" i="1"/>
  <c r="D496" i="1"/>
  <c r="E495" i="1"/>
  <c r="D495" i="1"/>
  <c r="E494" i="1"/>
  <c r="D494" i="1"/>
  <c r="G460" i="1"/>
  <c r="G453" i="1"/>
  <c r="G414" i="1"/>
  <c r="G407" i="1"/>
  <c r="F521" i="1" l="1"/>
  <c r="F497" i="1"/>
  <c r="F495" i="1"/>
  <c r="F448" i="1"/>
  <c r="F450" i="1"/>
  <c r="F550" i="1"/>
  <c r="F496" i="1"/>
  <c r="F447" i="1"/>
  <c r="F449" i="1"/>
  <c r="F549" i="1"/>
  <c r="F551" i="1"/>
  <c r="F522" i="1"/>
  <c r="F523" i="1"/>
  <c r="F524" i="1"/>
  <c r="F548" i="1"/>
  <c r="F494" i="1"/>
  <c r="D895" i="1"/>
  <c r="D894" i="1"/>
  <c r="D878" i="1"/>
  <c r="D893" i="1"/>
  <c r="D892" i="1"/>
  <c r="E895" i="1"/>
  <c r="E894" i="1"/>
  <c r="E893" i="1"/>
  <c r="G892" i="1"/>
  <c r="E892" i="1"/>
  <c r="E889" i="1"/>
  <c r="E890" i="1"/>
  <c r="D890" i="1"/>
  <c r="D889" i="1"/>
  <c r="D888" i="1"/>
  <c r="D887" i="1"/>
  <c r="E888" i="1"/>
  <c r="G887" i="1"/>
  <c r="E887" i="1"/>
  <c r="D885" i="1"/>
  <c r="D883" i="1"/>
  <c r="E885" i="1"/>
  <c r="E884" i="1"/>
  <c r="D884" i="1"/>
  <c r="E883" i="1"/>
  <c r="G882" i="1"/>
  <c r="E878" i="1"/>
  <c r="E879" i="1"/>
  <c r="E880" i="1"/>
  <c r="E877" i="1"/>
  <c r="D880" i="1"/>
  <c r="D879" i="1"/>
  <c r="D877" i="1"/>
  <c r="G877" i="1"/>
  <c r="D875" i="1"/>
  <c r="D874" i="1"/>
  <c r="D872" i="1"/>
  <c r="E875" i="1"/>
  <c r="E874" i="1"/>
  <c r="D873" i="1"/>
  <c r="G872" i="1"/>
  <c r="E870" i="1"/>
  <c r="E869" i="1"/>
  <c r="F879" i="1" l="1"/>
  <c r="F890" i="1"/>
  <c r="F872" i="1"/>
  <c r="F880" i="1"/>
  <c r="F887" i="1"/>
  <c r="F884" i="1"/>
  <c r="F888" i="1"/>
  <c r="F883" i="1"/>
  <c r="F873" i="1"/>
  <c r="F893" i="1"/>
  <c r="F894" i="1"/>
  <c r="F874" i="1"/>
  <c r="F875" i="1"/>
  <c r="F892" i="1"/>
  <c r="F895" i="1"/>
  <c r="F889" i="1"/>
  <c r="F885" i="1"/>
  <c r="F878" i="1"/>
  <c r="F877" i="1"/>
  <c r="D867" i="1"/>
  <c r="D868" i="1"/>
  <c r="F868" i="1" s="1"/>
  <c r="I868" i="1" s="1"/>
  <c r="D870" i="1"/>
  <c r="F870" i="1" s="1"/>
  <c r="D869" i="1"/>
  <c r="F869" i="1" s="1"/>
  <c r="G867" i="1"/>
  <c r="E863" i="1"/>
  <c r="E864" i="1"/>
  <c r="E865" i="1"/>
  <c r="E862" i="1"/>
  <c r="D862" i="1"/>
  <c r="D863" i="1"/>
  <c r="D865" i="1"/>
  <c r="D864" i="1"/>
  <c r="G862" i="1"/>
  <c r="E858" i="1"/>
  <c r="E857" i="1"/>
  <c r="D860" i="1"/>
  <c r="F860" i="1" s="1"/>
  <c r="D859" i="1"/>
  <c r="F859" i="1" s="1"/>
  <c r="I859" i="1" s="1"/>
  <c r="D857" i="1"/>
  <c r="D858" i="1"/>
  <c r="G857" i="1"/>
  <c r="F865" i="1" l="1"/>
  <c r="F864" i="1"/>
  <c r="F867" i="1"/>
  <c r="F858" i="1"/>
  <c r="F863" i="1"/>
  <c r="F857" i="1"/>
  <c r="F862" i="1"/>
  <c r="E855" i="1"/>
  <c r="E854" i="1"/>
  <c r="E853" i="1"/>
  <c r="E852" i="1"/>
  <c r="D855" i="1"/>
  <c r="D854" i="1"/>
  <c r="D852" i="1"/>
  <c r="D853" i="1"/>
  <c r="G852" i="1"/>
  <c r="G840" i="1"/>
  <c r="D846" i="1"/>
  <c r="F846" i="1" s="1"/>
  <c r="D845" i="1"/>
  <c r="F845" i="1" s="1"/>
  <c r="D844" i="1"/>
  <c r="F844" i="1" s="1"/>
  <c r="D843" i="1"/>
  <c r="F843" i="1" s="1"/>
  <c r="D842" i="1"/>
  <c r="F842" i="1" s="1"/>
  <c r="E841" i="1"/>
  <c r="E840" i="1"/>
  <c r="D840" i="1"/>
  <c r="D841" i="1"/>
  <c r="D834" i="1"/>
  <c r="F834" i="1" s="1"/>
  <c r="D838" i="1"/>
  <c r="F838" i="1" s="1"/>
  <c r="D837" i="1"/>
  <c r="F837" i="1" s="1"/>
  <c r="D836" i="1"/>
  <c r="F836" i="1" s="1"/>
  <c r="D835" i="1"/>
  <c r="F835" i="1" s="1"/>
  <c r="D833" i="1"/>
  <c r="F833" i="1" s="1"/>
  <c r="D832" i="1"/>
  <c r="F832" i="1" s="1"/>
  <c r="D831" i="1"/>
  <c r="F831" i="1" s="1"/>
  <c r="D830" i="1"/>
  <c r="E1078" i="1"/>
  <c r="D1078" i="1"/>
  <c r="E1077" i="1"/>
  <c r="D1077" i="1"/>
  <c r="E1076" i="1"/>
  <c r="D1076" i="1"/>
  <c r="E1075" i="1"/>
  <c r="D1075" i="1"/>
  <c r="E1074" i="1"/>
  <c r="D1074" i="1"/>
  <c r="G1073" i="1"/>
  <c r="E1026" i="1"/>
  <c r="D1026" i="1"/>
  <c r="E1025" i="1"/>
  <c r="D1025" i="1"/>
  <c r="E1024" i="1"/>
  <c r="D1024" i="1"/>
  <c r="E1023" i="1"/>
  <c r="D1023" i="1"/>
  <c r="G1022" i="1"/>
  <c r="E968" i="1"/>
  <c r="D968" i="1"/>
  <c r="E967" i="1"/>
  <c r="D967" i="1"/>
  <c r="E966" i="1"/>
  <c r="D966" i="1"/>
  <c r="E965" i="1"/>
  <c r="D965" i="1"/>
  <c r="G964" i="1"/>
  <c r="E964" i="1"/>
  <c r="D964" i="1"/>
  <c r="D1071" i="1"/>
  <c r="E1071" i="1"/>
  <c r="E1068" i="1"/>
  <c r="E1069" i="1"/>
  <c r="E1070" i="1"/>
  <c r="E1067" i="1"/>
  <c r="D1070" i="1"/>
  <c r="D1069" i="1"/>
  <c r="D1068" i="1"/>
  <c r="D1067" i="1"/>
  <c r="E1066" i="1"/>
  <c r="D1066" i="1"/>
  <c r="E1017" i="1"/>
  <c r="E1018" i="1"/>
  <c r="E1019" i="1"/>
  <c r="E1016" i="1"/>
  <c r="E1020" i="1"/>
  <c r="E1015" i="1"/>
  <c r="E958" i="1"/>
  <c r="E959" i="1"/>
  <c r="E960" i="1"/>
  <c r="E961" i="1"/>
  <c r="E962" i="1"/>
  <c r="E957" i="1"/>
  <c r="D1020" i="1"/>
  <c r="D1019" i="1"/>
  <c r="D1018" i="1"/>
  <c r="D1017" i="1"/>
  <c r="D1016" i="1"/>
  <c r="D1015" i="1"/>
  <c r="D961" i="1"/>
  <c r="D960" i="1"/>
  <c r="D962" i="1"/>
  <c r="D959" i="1"/>
  <c r="D958" i="1"/>
  <c r="D957" i="1"/>
  <c r="F957" i="1" s="1"/>
  <c r="G1066" i="1"/>
  <c r="G1015" i="1"/>
  <c r="G957" i="1"/>
  <c r="D1064" i="1"/>
  <c r="E1063" i="1"/>
  <c r="D1063" i="1"/>
  <c r="E1062" i="1"/>
  <c r="D1062" i="1"/>
  <c r="D1061" i="1"/>
  <c r="E1061" i="1"/>
  <c r="E1060" i="1"/>
  <c r="D1060" i="1"/>
  <c r="E1012" i="1"/>
  <c r="E1011" i="1"/>
  <c r="E1010" i="1"/>
  <c r="E1009" i="1"/>
  <c r="D1013" i="1"/>
  <c r="D1012" i="1"/>
  <c r="D1011" i="1"/>
  <c r="D1010" i="1"/>
  <c r="D1009" i="1"/>
  <c r="D1008" i="1"/>
  <c r="E1064" i="1"/>
  <c r="G1059" i="1"/>
  <c r="E1059" i="1"/>
  <c r="D1059" i="1"/>
  <c r="E1013" i="1"/>
  <c r="G1008" i="1"/>
  <c r="E1008" i="1"/>
  <c r="G950" i="1"/>
  <c r="E952" i="1"/>
  <c r="E953" i="1"/>
  <c r="E954" i="1"/>
  <c r="E951" i="1"/>
  <c r="E955" i="1"/>
  <c r="E950" i="1"/>
  <c r="D954" i="1"/>
  <c r="D955" i="1"/>
  <c r="D953" i="1"/>
  <c r="D952" i="1"/>
  <c r="D951" i="1"/>
  <c r="D950" i="1"/>
  <c r="F958" i="1" l="1"/>
  <c r="F1019" i="1"/>
  <c r="E274" i="1"/>
  <c r="C274" i="1"/>
  <c r="C273" i="1"/>
  <c r="E273" i="1"/>
  <c r="E275" i="1"/>
  <c r="C275" i="1"/>
  <c r="E270" i="1"/>
  <c r="C270" i="1"/>
  <c r="E249" i="1"/>
  <c r="F855" i="1"/>
  <c r="F1067" i="1"/>
  <c r="F954" i="1"/>
  <c r="F1069" i="1"/>
  <c r="C249" i="1"/>
  <c r="F854" i="1"/>
  <c r="F953" i="1"/>
  <c r="F961" i="1"/>
  <c r="F1076" i="1"/>
  <c r="F830" i="1"/>
  <c r="G249" i="1" s="1"/>
  <c r="F1062" i="1"/>
  <c r="F950" i="1"/>
  <c r="F1059" i="1"/>
  <c r="F1009" i="1"/>
  <c r="F962" i="1"/>
  <c r="F840" i="1"/>
  <c r="F852" i="1"/>
  <c r="F1018" i="1"/>
  <c r="F841" i="1"/>
  <c r="F955" i="1"/>
  <c r="F1060" i="1"/>
  <c r="I1060" i="1" s="1"/>
  <c r="F964" i="1"/>
  <c r="F952" i="1"/>
  <c r="F1012" i="1"/>
  <c r="F1061" i="1"/>
  <c r="F1063" i="1"/>
  <c r="F1024" i="1"/>
  <c r="F1026" i="1"/>
  <c r="F853" i="1"/>
  <c r="F1077" i="1"/>
  <c r="F1075" i="1"/>
  <c r="F951" i="1"/>
  <c r="F1064" i="1"/>
  <c r="F1023" i="1"/>
  <c r="F1011" i="1"/>
  <c r="F1068" i="1"/>
  <c r="F1071" i="1"/>
  <c r="F1008" i="1"/>
  <c r="F960" i="1"/>
  <c r="F1066" i="1"/>
  <c r="F965" i="1"/>
  <c r="F1025" i="1"/>
  <c r="F1078" i="1"/>
  <c r="F966" i="1"/>
  <c r="F1070" i="1"/>
  <c r="F1074" i="1"/>
  <c r="F968" i="1"/>
  <c r="F967" i="1"/>
  <c r="F1017" i="1"/>
  <c r="F959" i="1"/>
  <c r="F1020" i="1"/>
  <c r="F1016" i="1"/>
  <c r="F1015" i="1"/>
  <c r="F1010" i="1"/>
  <c r="F1013" i="1"/>
  <c r="E358" i="1"/>
  <c r="D358" i="1"/>
  <c r="E356" i="1"/>
  <c r="D356" i="1"/>
  <c r="E398" i="1"/>
  <c r="D398" i="1"/>
  <c r="E397" i="1"/>
  <c r="D397" i="1"/>
  <c r="E396" i="1"/>
  <c r="D396" i="1"/>
  <c r="E395" i="1"/>
  <c r="D395" i="1"/>
  <c r="E391" i="1"/>
  <c r="E392" i="1"/>
  <c r="E393" i="1"/>
  <c r="E350" i="1"/>
  <c r="E351" i="1"/>
  <c r="E352" i="1"/>
  <c r="E353" i="1"/>
  <c r="E309" i="1"/>
  <c r="E310" i="1"/>
  <c r="E311" i="1"/>
  <c r="E312" i="1"/>
  <c r="E390" i="1"/>
  <c r="D312" i="1"/>
  <c r="D311" i="1"/>
  <c r="D310" i="1"/>
  <c r="D309" i="1"/>
  <c r="F309" i="1" s="1"/>
  <c r="D353" i="1"/>
  <c r="D352" i="1"/>
  <c r="D351" i="1"/>
  <c r="D350" i="1"/>
  <c r="D393" i="1"/>
  <c r="D392" i="1"/>
  <c r="D391" i="1"/>
  <c r="D390" i="1"/>
  <c r="E307" i="1"/>
  <c r="D307" i="1"/>
  <c r="E306" i="1"/>
  <c r="D306" i="1"/>
  <c r="E305" i="1"/>
  <c r="D305" i="1"/>
  <c r="E304" i="1"/>
  <c r="D304" i="1"/>
  <c r="E346" i="1"/>
  <c r="D346" i="1"/>
  <c r="E345" i="1"/>
  <c r="D345" i="1"/>
  <c r="E388" i="1"/>
  <c r="D388" i="1"/>
  <c r="E387" i="1"/>
  <c r="D387" i="1"/>
  <c r="E386" i="1"/>
  <c r="D386" i="1"/>
  <c r="E385" i="1"/>
  <c r="D385" i="1"/>
  <c r="E381" i="1"/>
  <c r="E382" i="1"/>
  <c r="E383" i="1"/>
  <c r="E339" i="1"/>
  <c r="E340" i="1"/>
  <c r="E341" i="1"/>
  <c r="E342" i="1"/>
  <c r="E299" i="1"/>
  <c r="E300" i="1"/>
  <c r="E301" i="1"/>
  <c r="E302" i="1"/>
  <c r="E380" i="1"/>
  <c r="D302" i="1"/>
  <c r="D301" i="1"/>
  <c r="D342" i="1"/>
  <c r="D341" i="1"/>
  <c r="D381" i="1"/>
  <c r="F381" i="1" s="1"/>
  <c r="D380" i="1"/>
  <c r="D300" i="1"/>
  <c r="D299" i="1"/>
  <c r="D340" i="1"/>
  <c r="D339" i="1"/>
  <c r="D383" i="1"/>
  <c r="D382" i="1"/>
  <c r="D296" i="1"/>
  <c r="D297" i="1"/>
  <c r="E297" i="1"/>
  <c r="E296" i="1"/>
  <c r="D295" i="1"/>
  <c r="E295" i="1"/>
  <c r="E294" i="1"/>
  <c r="D294" i="1"/>
  <c r="E378" i="1"/>
  <c r="E377" i="1"/>
  <c r="D378" i="1"/>
  <c r="D377" i="1"/>
  <c r="E376" i="1"/>
  <c r="E375" i="1"/>
  <c r="D376" i="1"/>
  <c r="D375" i="1"/>
  <c r="G366" i="1"/>
  <c r="D292" i="1"/>
  <c r="F292" i="1" s="1"/>
  <c r="D291" i="1"/>
  <c r="F291" i="1" s="1"/>
  <c r="D290" i="1"/>
  <c r="F290" i="1" s="1"/>
  <c r="D289" i="1"/>
  <c r="F289" i="1" s="1"/>
  <c r="D288" i="1"/>
  <c r="F288" i="1" s="1"/>
  <c r="D287" i="1"/>
  <c r="F287" i="1" s="1"/>
  <c r="D286" i="1"/>
  <c r="F286" i="1" s="1"/>
  <c r="D332" i="1"/>
  <c r="F332" i="1" s="1"/>
  <c r="D331" i="1"/>
  <c r="F331" i="1" s="1"/>
  <c r="D330" i="1"/>
  <c r="F330" i="1" s="1"/>
  <c r="D329" i="1"/>
  <c r="F329" i="1" s="1"/>
  <c r="D328" i="1"/>
  <c r="F328" i="1" s="1"/>
  <c r="D327" i="1"/>
  <c r="F327" i="1" s="1"/>
  <c r="D326" i="1"/>
  <c r="F326" i="1" s="1"/>
  <c r="D325" i="1"/>
  <c r="D373" i="1"/>
  <c r="F373" i="1" s="1"/>
  <c r="D372" i="1"/>
  <c r="F372" i="1" s="1"/>
  <c r="D368" i="1"/>
  <c r="F368" i="1" s="1"/>
  <c r="D369" i="1"/>
  <c r="F369" i="1" s="1"/>
  <c r="D370" i="1"/>
  <c r="F370" i="1" s="1"/>
  <c r="D371" i="1"/>
  <c r="F371" i="1" s="1"/>
  <c r="D367" i="1"/>
  <c r="F367" i="1" s="1"/>
  <c r="D366" i="1"/>
  <c r="F342" i="1" l="1"/>
  <c r="F350" i="1"/>
  <c r="E254" i="1"/>
  <c r="E252" i="1"/>
  <c r="C252" i="1"/>
  <c r="F339" i="1"/>
  <c r="C253" i="1"/>
  <c r="E253" i="1"/>
  <c r="G275" i="1"/>
  <c r="G273" i="1"/>
  <c r="G270" i="1"/>
  <c r="F299" i="1"/>
  <c r="E233" i="1"/>
  <c r="C254" i="1"/>
  <c r="F301" i="1"/>
  <c r="F392" i="1"/>
  <c r="F383" i="1"/>
  <c r="E235" i="1"/>
  <c r="F325" i="1"/>
  <c r="G234" i="1" s="1"/>
  <c r="E234" i="1"/>
  <c r="F285" i="1"/>
  <c r="F393" i="1"/>
  <c r="F353" i="1"/>
  <c r="F312" i="1"/>
  <c r="F366" i="1"/>
  <c r="G235" i="1" s="1"/>
  <c r="F304" i="1"/>
  <c r="F390" i="1"/>
  <c r="F398" i="1"/>
  <c r="F341" i="1"/>
  <c r="F380" i="1"/>
  <c r="F376" i="1"/>
  <c r="F378" i="1"/>
  <c r="F337" i="1"/>
  <c r="F334" i="1"/>
  <c r="F297" i="1"/>
  <c r="F391" i="1"/>
  <c r="F397" i="1"/>
  <c r="F358" i="1"/>
  <c r="F375" i="1"/>
  <c r="F340" i="1"/>
  <c r="F345" i="1"/>
  <c r="F396" i="1"/>
  <c r="F336" i="1"/>
  <c r="I336" i="1" s="1"/>
  <c r="F335" i="1"/>
  <c r="F385" i="1"/>
  <c r="F388" i="1"/>
  <c r="F377" i="1"/>
  <c r="F294" i="1"/>
  <c r="F302" i="1"/>
  <c r="F346" i="1"/>
  <c r="F352" i="1"/>
  <c r="F295" i="1"/>
  <c r="F307" i="1"/>
  <c r="F311" i="1"/>
  <c r="F395" i="1"/>
  <c r="F356" i="1"/>
  <c r="F310" i="1"/>
  <c r="F351" i="1"/>
  <c r="F387" i="1"/>
  <c r="F305" i="1"/>
  <c r="F386" i="1"/>
  <c r="F306" i="1"/>
  <c r="F382" i="1"/>
  <c r="F300" i="1"/>
  <c r="F296" i="1"/>
  <c r="E1123" i="1"/>
  <c r="D1123" i="1"/>
  <c r="E1122" i="1"/>
  <c r="D1122" i="1"/>
  <c r="E1120" i="1"/>
  <c r="D1120" i="1"/>
  <c r="E1128" i="1"/>
  <c r="D1128" i="1"/>
  <c r="E1127" i="1"/>
  <c r="D1127" i="1"/>
  <c r="E1125" i="1"/>
  <c r="D1125" i="1"/>
  <c r="E1116" i="1"/>
  <c r="E1117" i="1"/>
  <c r="E1118" i="1"/>
  <c r="E1115" i="1"/>
  <c r="D1118" i="1"/>
  <c r="D1117" i="1"/>
  <c r="D1116" i="1"/>
  <c r="D1115" i="1"/>
  <c r="E1111" i="1"/>
  <c r="E1112" i="1"/>
  <c r="E1113" i="1"/>
  <c r="E1110" i="1"/>
  <c r="I1110" i="1"/>
  <c r="D1113" i="1"/>
  <c r="D1112" i="1"/>
  <c r="D1111" i="1"/>
  <c r="D1110" i="1"/>
  <c r="G252" i="1" l="1"/>
  <c r="G253" i="1"/>
  <c r="C276" i="1"/>
  <c r="E276" i="1"/>
  <c r="G254" i="1"/>
  <c r="G233" i="1"/>
  <c r="F1122" i="1"/>
  <c r="F1127" i="1"/>
  <c r="F1128" i="1"/>
  <c r="G1125" i="1"/>
  <c r="F1125" i="1"/>
  <c r="F1123" i="1"/>
  <c r="F1120" i="1"/>
  <c r="F1118" i="1"/>
  <c r="F1117" i="1"/>
  <c r="F1116" i="1"/>
  <c r="G1115" i="1"/>
  <c r="F1115" i="1"/>
  <c r="F1113" i="1"/>
  <c r="F1112" i="1"/>
  <c r="F1111" i="1"/>
  <c r="G1110" i="1"/>
  <c r="F1110" i="1"/>
  <c r="E546" i="1"/>
  <c r="D546" i="1"/>
  <c r="E544" i="1"/>
  <c r="D544" i="1"/>
  <c r="E543" i="1"/>
  <c r="D543" i="1"/>
  <c r="D536" i="1"/>
  <c r="D535" i="1"/>
  <c r="D534" i="1"/>
  <c r="D533" i="1"/>
  <c r="D531" i="1"/>
  <c r="D530" i="1"/>
  <c r="D529" i="1"/>
  <c r="D528" i="1"/>
  <c r="G543" i="1"/>
  <c r="E541" i="1"/>
  <c r="D541" i="1"/>
  <c r="E539" i="1"/>
  <c r="D539" i="1"/>
  <c r="G538" i="1"/>
  <c r="E538" i="1"/>
  <c r="D538" i="1"/>
  <c r="E536" i="1"/>
  <c r="E535" i="1"/>
  <c r="E534" i="1"/>
  <c r="G533" i="1"/>
  <c r="E533" i="1"/>
  <c r="E531" i="1"/>
  <c r="E530" i="1"/>
  <c r="E529" i="1"/>
  <c r="G528" i="1"/>
  <c r="E528" i="1"/>
  <c r="E519" i="1"/>
  <c r="D519" i="1"/>
  <c r="E517" i="1"/>
  <c r="D517" i="1"/>
  <c r="G516" i="1"/>
  <c r="E516" i="1"/>
  <c r="D516" i="1"/>
  <c r="E514" i="1"/>
  <c r="D514" i="1"/>
  <c r="E512" i="1"/>
  <c r="D512" i="1"/>
  <c r="G511" i="1"/>
  <c r="E511" i="1"/>
  <c r="D511" i="1"/>
  <c r="E507" i="1"/>
  <c r="E508" i="1"/>
  <c r="E509" i="1"/>
  <c r="E506" i="1"/>
  <c r="D509" i="1"/>
  <c r="D508" i="1"/>
  <c r="D507" i="1"/>
  <c r="D506" i="1"/>
  <c r="G506" i="1"/>
  <c r="G501" i="1"/>
  <c r="D504" i="1"/>
  <c r="D503" i="1"/>
  <c r="D502" i="1"/>
  <c r="E502" i="1"/>
  <c r="E503" i="1"/>
  <c r="E504" i="1"/>
  <c r="E501" i="1"/>
  <c r="D501" i="1"/>
  <c r="E940" i="1"/>
  <c r="D940" i="1"/>
  <c r="E939" i="1"/>
  <c r="D939" i="1"/>
  <c r="G937" i="1"/>
  <c r="E945" i="1"/>
  <c r="D945" i="1"/>
  <c r="E944" i="1"/>
  <c r="D944" i="1"/>
  <c r="G942" i="1"/>
  <c r="E942" i="1"/>
  <c r="D942" i="1"/>
  <c r="E918" i="1"/>
  <c r="D918" i="1"/>
  <c r="E917" i="1"/>
  <c r="D917" i="1"/>
  <c r="G915" i="1"/>
  <c r="E923" i="1"/>
  <c r="D923" i="1"/>
  <c r="E922" i="1"/>
  <c r="D922" i="1"/>
  <c r="E921" i="1"/>
  <c r="D921" i="1"/>
  <c r="E920" i="1"/>
  <c r="D920" i="1"/>
  <c r="D935" i="1"/>
  <c r="D933" i="1"/>
  <c r="D934" i="1"/>
  <c r="D932" i="1"/>
  <c r="D928" i="1"/>
  <c r="D929" i="1"/>
  <c r="D930" i="1"/>
  <c r="D927" i="1"/>
  <c r="E935" i="1"/>
  <c r="E934" i="1"/>
  <c r="E933" i="1"/>
  <c r="G932" i="1"/>
  <c r="E932" i="1"/>
  <c r="E930" i="1"/>
  <c r="E929" i="1"/>
  <c r="E928" i="1"/>
  <c r="G927" i="1"/>
  <c r="E927" i="1"/>
  <c r="D913" i="1"/>
  <c r="D912" i="1"/>
  <c r="D911" i="1"/>
  <c r="D910" i="1"/>
  <c r="E911" i="1"/>
  <c r="E912" i="1"/>
  <c r="E913" i="1"/>
  <c r="E910" i="1"/>
  <c r="G910" i="1"/>
  <c r="C258" i="1" l="1"/>
  <c r="E258" i="1"/>
  <c r="C272" i="1"/>
  <c r="E272" i="1"/>
  <c r="C257" i="1"/>
  <c r="E257" i="1"/>
  <c r="G276" i="1"/>
  <c r="F506" i="1"/>
  <c r="I506" i="1" s="1"/>
  <c r="F528" i="1"/>
  <c r="F508" i="1"/>
  <c r="F530" i="1"/>
  <c r="F543" i="1"/>
  <c r="F546" i="1"/>
  <c r="F535" i="1"/>
  <c r="F912" i="1"/>
  <c r="F927" i="1"/>
  <c r="F512" i="1"/>
  <c r="F516" i="1"/>
  <c r="F531" i="1"/>
  <c r="F536" i="1"/>
  <c r="F504" i="1"/>
  <c r="F509" i="1"/>
  <c r="F913" i="1"/>
  <c r="F501" i="1"/>
  <c r="F529" i="1"/>
  <c r="F514" i="1"/>
  <c r="F544" i="1"/>
  <c r="F507" i="1"/>
  <c r="F911" i="1"/>
  <c r="F928" i="1"/>
  <c r="F932" i="1"/>
  <c r="F920" i="1"/>
  <c r="F942" i="1"/>
  <c r="F940" i="1"/>
  <c r="F502" i="1"/>
  <c r="F511" i="1"/>
  <c r="F538" i="1"/>
  <c r="F503" i="1"/>
  <c r="F533" i="1"/>
  <c r="F534" i="1"/>
  <c r="F930" i="1"/>
  <c r="F935" i="1"/>
  <c r="F939" i="1"/>
  <c r="F517" i="1"/>
  <c r="F519" i="1"/>
  <c r="F539" i="1"/>
  <c r="F541" i="1"/>
  <c r="F917" i="1"/>
  <c r="F918" i="1"/>
  <c r="F910" i="1"/>
  <c r="F929" i="1"/>
  <c r="F933" i="1"/>
  <c r="F944" i="1"/>
  <c r="F945" i="1"/>
  <c r="F934" i="1"/>
  <c r="F921" i="1"/>
  <c r="F922" i="1"/>
  <c r="F923" i="1"/>
  <c r="E424" i="1"/>
  <c r="E472" i="1"/>
  <c r="E425" i="1"/>
  <c r="E471" i="1"/>
  <c r="G258" i="1" l="1"/>
  <c r="G257" i="1"/>
  <c r="G272" i="1"/>
  <c r="D908" i="1"/>
  <c r="D907" i="1"/>
  <c r="D906" i="1"/>
  <c r="E906" i="1"/>
  <c r="E907" i="1"/>
  <c r="E908" i="1"/>
  <c r="G905" i="1"/>
  <c r="E905" i="1"/>
  <c r="D905" i="1"/>
  <c r="L69" i="3"/>
  <c r="I69" i="3"/>
  <c r="E69" i="3"/>
  <c r="L68" i="3"/>
  <c r="I68" i="3"/>
  <c r="E68" i="3"/>
  <c r="L67" i="3"/>
  <c r="I67" i="3"/>
  <c r="E67" i="3"/>
  <c r="L66" i="3"/>
  <c r="I66" i="3"/>
  <c r="E66" i="3"/>
  <c r="L65" i="3"/>
  <c r="I65" i="3"/>
  <c r="E65" i="3"/>
  <c r="L64" i="3"/>
  <c r="I64" i="3"/>
  <c r="E64" i="3"/>
  <c r="L63" i="3"/>
  <c r="I63" i="3"/>
  <c r="E63" i="3"/>
  <c r="L62" i="3"/>
  <c r="I62" i="3"/>
  <c r="E62" i="3"/>
  <c r="L61" i="3"/>
  <c r="I61" i="3"/>
  <c r="E61" i="3"/>
  <c r="L60" i="3"/>
  <c r="I60" i="3"/>
  <c r="E60" i="3"/>
  <c r="L59" i="3"/>
  <c r="I59" i="3"/>
  <c r="E59" i="3"/>
  <c r="L58" i="3"/>
  <c r="I58" i="3"/>
  <c r="E58" i="3"/>
  <c r="L57" i="3"/>
  <c r="I57" i="3"/>
  <c r="E57" i="3"/>
  <c r="L56" i="3"/>
  <c r="I56" i="3"/>
  <c r="E56" i="3"/>
  <c r="L55" i="3"/>
  <c r="I55" i="3"/>
  <c r="E55" i="3"/>
  <c r="L54" i="3"/>
  <c r="I54" i="3"/>
  <c r="E54" i="3"/>
  <c r="L53" i="3"/>
  <c r="I53" i="3"/>
  <c r="E53" i="3"/>
  <c r="L52" i="3"/>
  <c r="I52" i="3"/>
  <c r="E52" i="3"/>
  <c r="L51" i="3"/>
  <c r="I51" i="3"/>
  <c r="E51" i="3"/>
  <c r="L50" i="3"/>
  <c r="I50" i="3"/>
  <c r="E50" i="3"/>
  <c r="L49" i="3"/>
  <c r="I49" i="3"/>
  <c r="E49" i="3"/>
  <c r="L48" i="3"/>
  <c r="I48" i="3"/>
  <c r="E48" i="3"/>
  <c r="L47" i="3"/>
  <c r="I47" i="3"/>
  <c r="E47" i="3"/>
  <c r="L46" i="3"/>
  <c r="I46" i="3"/>
  <c r="E46" i="3"/>
  <c r="L45" i="3"/>
  <c r="I45" i="3"/>
  <c r="E45" i="3"/>
  <c r="L44" i="3"/>
  <c r="I44" i="3"/>
  <c r="E44" i="3"/>
  <c r="L43" i="3"/>
  <c r="I43" i="3"/>
  <c r="E43" i="3"/>
  <c r="L42" i="3"/>
  <c r="I42" i="3"/>
  <c r="E42" i="3"/>
  <c r="D439" i="1"/>
  <c r="E439" i="1"/>
  <c r="E487" i="1"/>
  <c r="D487" i="1"/>
  <c r="E445" i="1"/>
  <c r="D445" i="1"/>
  <c r="E444" i="1"/>
  <c r="D444" i="1"/>
  <c r="E443" i="1"/>
  <c r="D443" i="1"/>
  <c r="E442" i="1"/>
  <c r="D442" i="1"/>
  <c r="E492" i="1"/>
  <c r="D492" i="1"/>
  <c r="E490" i="1"/>
  <c r="D490" i="1"/>
  <c r="E489" i="1"/>
  <c r="D489" i="1"/>
  <c r="E438" i="1"/>
  <c r="D438" i="1"/>
  <c r="E437" i="1"/>
  <c r="D437" i="1"/>
  <c r="E485" i="1"/>
  <c r="D485" i="1"/>
  <c r="E484" i="1"/>
  <c r="D484" i="1"/>
  <c r="E480" i="1"/>
  <c r="E481" i="1"/>
  <c r="E482" i="1"/>
  <c r="E432" i="1"/>
  <c r="E433" i="1"/>
  <c r="E434" i="1"/>
  <c r="E435" i="1"/>
  <c r="E479" i="1"/>
  <c r="D480" i="1"/>
  <c r="D481" i="1"/>
  <c r="D482" i="1"/>
  <c r="D432" i="1"/>
  <c r="D433" i="1"/>
  <c r="D434" i="1"/>
  <c r="D435" i="1"/>
  <c r="D479" i="1"/>
  <c r="D423" i="1"/>
  <c r="D422" i="1"/>
  <c r="D470" i="1"/>
  <c r="D430" i="1"/>
  <c r="D429" i="1"/>
  <c r="D428" i="1"/>
  <c r="D427" i="1"/>
  <c r="D477" i="1"/>
  <c r="D476" i="1"/>
  <c r="D475" i="1"/>
  <c r="D474" i="1"/>
  <c r="D420" i="1"/>
  <c r="D419" i="1"/>
  <c r="D467" i="1"/>
  <c r="D466" i="1"/>
  <c r="D469" i="1"/>
  <c r="Y33" i="3"/>
  <c r="V33" i="3"/>
  <c r="R33" i="3"/>
  <c r="Y32" i="3"/>
  <c r="V32" i="3"/>
  <c r="R32" i="3"/>
  <c r="Y31" i="3"/>
  <c r="V31" i="3"/>
  <c r="R31" i="3"/>
  <c r="Y30" i="3"/>
  <c r="V30" i="3"/>
  <c r="R30" i="3"/>
  <c r="Y29" i="3"/>
  <c r="V29" i="3"/>
  <c r="R29" i="3"/>
  <c r="Y28" i="3"/>
  <c r="V28" i="3"/>
  <c r="R28" i="3"/>
  <c r="Y27" i="3"/>
  <c r="V27" i="3"/>
  <c r="R27" i="3"/>
  <c r="Y26" i="3"/>
  <c r="V26" i="3"/>
  <c r="R26" i="3"/>
  <c r="Y25" i="3"/>
  <c r="V25" i="3"/>
  <c r="R25" i="3"/>
  <c r="Y24" i="3"/>
  <c r="V24" i="3"/>
  <c r="R24" i="3"/>
  <c r="Y23" i="3"/>
  <c r="V23" i="3"/>
  <c r="R23" i="3"/>
  <c r="Y22" i="3"/>
  <c r="V22" i="3"/>
  <c r="R22" i="3"/>
  <c r="Y21" i="3"/>
  <c r="V21" i="3"/>
  <c r="R21" i="3"/>
  <c r="Y20" i="3"/>
  <c r="V20" i="3"/>
  <c r="R20" i="3"/>
  <c r="Y19" i="3"/>
  <c r="V19" i="3"/>
  <c r="R19" i="3"/>
  <c r="Y18" i="3"/>
  <c r="V18" i="3"/>
  <c r="R18" i="3"/>
  <c r="Y17" i="3"/>
  <c r="V17" i="3"/>
  <c r="R17" i="3"/>
  <c r="Y16" i="3"/>
  <c r="V16" i="3"/>
  <c r="R16" i="3"/>
  <c r="Y15" i="3"/>
  <c r="V15" i="3"/>
  <c r="R15" i="3"/>
  <c r="Y14" i="3"/>
  <c r="V14" i="3"/>
  <c r="R14" i="3"/>
  <c r="Y13" i="3"/>
  <c r="V13" i="3"/>
  <c r="R13" i="3"/>
  <c r="Y12" i="3"/>
  <c r="V12" i="3"/>
  <c r="R12" i="3"/>
  <c r="Y11" i="3"/>
  <c r="V11" i="3"/>
  <c r="R11" i="3"/>
  <c r="Y10" i="3"/>
  <c r="V10" i="3"/>
  <c r="R10" i="3"/>
  <c r="Y9" i="3"/>
  <c r="V9" i="3"/>
  <c r="R9" i="3"/>
  <c r="Y8" i="3"/>
  <c r="V8" i="3"/>
  <c r="R8" i="3"/>
  <c r="Y7" i="3"/>
  <c r="V7" i="3"/>
  <c r="R7" i="3"/>
  <c r="Y6" i="3"/>
  <c r="V6" i="3"/>
  <c r="R6" i="3"/>
  <c r="E476" i="1"/>
  <c r="E477" i="1"/>
  <c r="E427" i="1"/>
  <c r="E428" i="1"/>
  <c r="E429" i="1"/>
  <c r="E430" i="1"/>
  <c r="E475" i="1"/>
  <c r="E474" i="1"/>
  <c r="D425" i="1"/>
  <c r="F425" i="1" s="1"/>
  <c r="D424" i="1"/>
  <c r="F424" i="1" s="1"/>
  <c r="D472" i="1"/>
  <c r="F472" i="1" s="1"/>
  <c r="D471" i="1"/>
  <c r="F471" i="1" s="1"/>
  <c r="E423" i="1"/>
  <c r="E422" i="1"/>
  <c r="E470" i="1"/>
  <c r="E469" i="1"/>
  <c r="E467" i="1"/>
  <c r="E419" i="1"/>
  <c r="E420" i="1"/>
  <c r="E466" i="1"/>
  <c r="F480" i="1" l="1"/>
  <c r="F435" i="1"/>
  <c r="F434" i="1"/>
  <c r="F433" i="1"/>
  <c r="C255" i="1"/>
  <c r="E255" i="1"/>
  <c r="C271" i="1"/>
  <c r="C277" i="1" s="1"/>
  <c r="E271" i="1"/>
  <c r="E277" i="1" s="1"/>
  <c r="E256" i="1"/>
  <c r="C256" i="1"/>
  <c r="F482" i="1"/>
  <c r="R34" i="3"/>
  <c r="Q34" i="3" s="1"/>
  <c r="Q36" i="3" s="1"/>
  <c r="Y34" i="3"/>
  <c r="X34" i="3" s="1"/>
  <c r="L70" i="3"/>
  <c r="K70" i="3" s="1"/>
  <c r="F474" i="1"/>
  <c r="F484" i="1"/>
  <c r="F427" i="1"/>
  <c r="F422" i="1"/>
  <c r="I422" i="1" s="1"/>
  <c r="J422" i="1" s="1"/>
  <c r="F905" i="1"/>
  <c r="F908" i="1"/>
  <c r="F437" i="1"/>
  <c r="F489" i="1"/>
  <c r="F469" i="1"/>
  <c r="F479" i="1"/>
  <c r="F432" i="1"/>
  <c r="F907" i="1"/>
  <c r="F477" i="1"/>
  <c r="V34" i="3"/>
  <c r="U34" i="3" s="1"/>
  <c r="F470" i="1"/>
  <c r="F423" i="1"/>
  <c r="F485" i="1"/>
  <c r="F490" i="1"/>
  <c r="F442" i="1"/>
  <c r="F443" i="1"/>
  <c r="F444" i="1"/>
  <c r="F906" i="1"/>
  <c r="I70" i="3"/>
  <c r="H70" i="3" s="1"/>
  <c r="E70" i="3"/>
  <c r="D70" i="3" s="1"/>
  <c r="F487" i="1"/>
  <c r="F492" i="1"/>
  <c r="F445" i="1"/>
  <c r="F439" i="1"/>
  <c r="F438" i="1"/>
  <c r="F475" i="1"/>
  <c r="F428" i="1"/>
  <c r="F481" i="1"/>
  <c r="F430" i="1"/>
  <c r="F429" i="1"/>
  <c r="F476" i="1"/>
  <c r="F467" i="1"/>
  <c r="F419" i="1"/>
  <c r="F420" i="1"/>
  <c r="F466" i="1"/>
  <c r="D418" i="1"/>
  <c r="F418" i="1" s="1"/>
  <c r="D417" i="1"/>
  <c r="F417" i="1" s="1"/>
  <c r="D416" i="1"/>
  <c r="F416" i="1" s="1"/>
  <c r="D415" i="1"/>
  <c r="F415" i="1" s="1"/>
  <c r="D414" i="1"/>
  <c r="D465" i="1"/>
  <c r="F465" i="1" s="1"/>
  <c r="D464" i="1"/>
  <c r="F464" i="1" s="1"/>
  <c r="D463" i="1"/>
  <c r="F463" i="1" s="1"/>
  <c r="D462" i="1"/>
  <c r="F462" i="1" s="1"/>
  <c r="D461" i="1"/>
  <c r="F461" i="1" s="1"/>
  <c r="D460" i="1"/>
  <c r="D412" i="1"/>
  <c r="F412" i="1" s="1"/>
  <c r="D411" i="1"/>
  <c r="F411" i="1" s="1"/>
  <c r="D410" i="1"/>
  <c r="F410" i="1" s="1"/>
  <c r="D409" i="1"/>
  <c r="F409" i="1" s="1"/>
  <c r="D408" i="1"/>
  <c r="F408" i="1" s="1"/>
  <c r="D407" i="1"/>
  <c r="D458" i="1"/>
  <c r="F458" i="1" s="1"/>
  <c r="D457" i="1"/>
  <c r="F457" i="1" s="1"/>
  <c r="D456" i="1"/>
  <c r="F456" i="1" s="1"/>
  <c r="D455" i="1"/>
  <c r="F455" i="1" s="1"/>
  <c r="D454" i="1"/>
  <c r="F454" i="1" s="1"/>
  <c r="D453" i="1"/>
  <c r="F453" i="1" s="1"/>
  <c r="E267" i="1" l="1"/>
  <c r="C267" i="1"/>
  <c r="I271" i="1" s="1"/>
  <c r="G255" i="1"/>
  <c r="G271" i="1"/>
  <c r="G256" i="1"/>
  <c r="C237" i="1"/>
  <c r="E237" i="1"/>
  <c r="F407" i="1"/>
  <c r="G236" i="1" s="1"/>
  <c r="C236" i="1"/>
  <c r="E236" i="1"/>
  <c r="E239" i="1"/>
  <c r="C239" i="1"/>
  <c r="F414" i="1"/>
  <c r="G238" i="1" s="1"/>
  <c r="C238" i="1"/>
  <c r="E238" i="1"/>
  <c r="F460" i="1"/>
  <c r="G239" i="1" s="1"/>
  <c r="G237" i="1"/>
  <c r="R36" i="3"/>
  <c r="D72" i="3"/>
  <c r="E72" i="3"/>
  <c r="G267" i="1" l="1"/>
  <c r="C246" i="1"/>
  <c r="E246" i="1"/>
  <c r="J246" i="1" s="1"/>
  <c r="G246" i="1"/>
  <c r="G274" i="1"/>
  <c r="G277" i="1" s="1"/>
  <c r="E7" i="1" l="1"/>
  <c r="E41" i="1" l="1"/>
  <c r="D1159" i="1" l="1"/>
  <c r="F230" i="1"/>
  <c r="E42" i="1"/>
  <c r="D63"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<sst xmlns="http://schemas.openxmlformats.org/spreadsheetml/2006/main" count="1698" uniqueCount="390">
  <si>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</si>
  <si>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</si>
  <si>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</si>
  <si>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</si>
  <si>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</si>
  <si>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</si>
  <si>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</si>
  <si>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</si>
  <si>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</si>
  <si>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</si>
  <si>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</si>
  <si>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</si>
  <si>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</si>
  <si>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</si>
  <si>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</si>
  <si>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</si>
  <si>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</si>
  <si>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</si>
  <si>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</si>
  <si>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</si>
  <si>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</si>
  <si>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</si>
  <si>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</si>
  <si>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</si>
  <si>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</si>
  <si>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</si>
  <si>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</si>
  <si>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</si>
  <si>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</si>
  <si>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</si>
  <si>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</si>
  <si>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</si>
  <si>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</si>
  <si>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</si>
  <si>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</si>
  <si>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</si>
  <si>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</si>
  <si>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</si>
  <si>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</si>
  <si>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</si>
  <si>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</si>
  <si>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</si>
  <si>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</si>
  <si>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</si>
  <si>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</si>
  <si>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</si>
  <si>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</si>
  <si>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</si>
  <si>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</si>
  <si>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</si>
  <si>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</si>
  <si>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</si>
  <si>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</si>
  <si>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</si>
  <si>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</si>
  <si>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</si>
  <si>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</si>
  <si>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</si>
  <si>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</si>
  <si>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</si>
  <si>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</si>
  <si>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</si>
  <si>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</si>
  <si>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</si>
  <si>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</si>
  <si>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</si>
  <si>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</si>
  <si>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</si>
  <si>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</si>
  <si>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</si>
  <si>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</si>
  <si>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</si>
  <si>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</si>
  <si>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</si>
  <si>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</si>
  <si>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</si>
  <si>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</si>
  <si>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</si>
  <si>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</si>
  <si>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</si>
  <si>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</si>
  <si>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</si>
  <si>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</si>
  <si>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</si>
  <si>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</si>
  <si>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</si>
  <si>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</si>
  <si>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</si>
  <si>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</si>
  <si>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</si>
  <si>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</si>
  <si>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</si>
  <si>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</si>
  <si>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</si>
  <si>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</si>
  <si>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</si>
  <si>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</si>
  <si>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</si>
  <si>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</si>
  <si>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</si>
  <si>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</si>
  <si>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</si>
  <si>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</si>
  <si>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</si>
  <si>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</si>
  <si>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</si>
  <si>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</si>
  <si>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</si>
  <si>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</si>
  <si>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</si>
  <si>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</si>
  <si>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</si>
  <si>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</si>
  <si>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</si>
  <si>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</si>
  <si>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</si>
  <si>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</si>
  <si>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</si>
  <si>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</si>
  <si>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</si>
  <si>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</si>
  <si>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</si>
  <si>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</si>
  <si>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</si>
  <si>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</si>
  <si>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</si>
  <si>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</si>
  <si>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</si>
  <si>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</si>
  <si>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</si>
  <si>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</si>
  <si>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</si>
  <si>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</si>
  <si>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</si>
  <si>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</si>
  <si>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</si>
  <si>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</si>
  <si>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</si>
  <si>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</si>
  <si>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</si>
  <si>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</si>
  <si>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</si>
  <si>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</si>
  <si>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</si>
  <si>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</si>
  <si>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</si>
  <si>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</si>
  <si>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Report By :</t>
  </si>
  <si>
    <t>Axis Goregaon</t>
  </si>
  <si>
    <t>M/s. Navkar Estate &amp; Homes Pvt. Ltd.</t>
  </si>
  <si>
    <t>Navkar City Phase I &amp; Phase II</t>
  </si>
  <si>
    <t>332, H No. 1, 3, 4, 7 &amp; 8, S No. 333, H. No. 1 &amp; 2, S No. 332, H. No. 2 &amp; 6A, S No. 335, H. No. 2, S No. 336, H. No. 2</t>
  </si>
  <si>
    <t>Juchandra</t>
  </si>
  <si>
    <t>Naigaon</t>
  </si>
  <si>
    <t>Vasai</t>
  </si>
  <si>
    <t>Palghar</t>
  </si>
  <si>
    <t>Open Plot</t>
  </si>
  <si>
    <t>Don Bosco High School</t>
  </si>
  <si>
    <t>Don Bosco Rd</t>
  </si>
  <si>
    <t>1.7km from Naigaon Railway Station</t>
  </si>
  <si>
    <t>Survey No</t>
  </si>
  <si>
    <t>Middle Class</t>
  </si>
  <si>
    <t>Developing</t>
  </si>
  <si>
    <t xml:space="preserve">Type B </t>
  </si>
  <si>
    <t>Shop</t>
  </si>
  <si>
    <t>1st Floor for Commercial &amp; Residential</t>
  </si>
  <si>
    <t>Office</t>
  </si>
  <si>
    <t>103A</t>
  </si>
  <si>
    <t>1BHK</t>
  </si>
  <si>
    <t>2nd Floor for Residential</t>
  </si>
  <si>
    <t>B type Odd Floor</t>
  </si>
  <si>
    <t>1, 2, 3, 4</t>
  </si>
  <si>
    <t>B type Even Floor</t>
  </si>
  <si>
    <t>Balcony</t>
  </si>
  <si>
    <t>3rd, 5th, 7th, 9th &amp; 11th Floor</t>
  </si>
  <si>
    <t>8th Floor(Part Refuge Area)</t>
  </si>
  <si>
    <t>Refuge Area</t>
  </si>
  <si>
    <t>13th Floor(Part Refuge Area)</t>
  </si>
  <si>
    <t xml:space="preserve">Type B1 &amp; B2 </t>
  </si>
  <si>
    <t xml:space="preserve">Ground Floor for Parking </t>
  </si>
  <si>
    <t>Type B1</t>
  </si>
  <si>
    <t>1st, 3rd, 5th, 7th, 9th &amp; 11th Floor</t>
  </si>
  <si>
    <t>B1 &amp; B2 type Odd Floor</t>
  </si>
  <si>
    <t>2BHK</t>
  </si>
  <si>
    <t>2nd, 4th, 6th, 10th, 12th &amp; 14th Floor</t>
  </si>
  <si>
    <t>Type B2</t>
  </si>
  <si>
    <t xml:space="preserve">Ground Floor for Commercial &amp; Parking </t>
  </si>
  <si>
    <t>13th Floor</t>
  </si>
  <si>
    <t>Type C1</t>
  </si>
  <si>
    <t>Type C2</t>
  </si>
  <si>
    <t>Type D</t>
  </si>
  <si>
    <t>Type A1, A2, A3</t>
  </si>
  <si>
    <t>Ground Floor for Parking &amp; Commercial</t>
  </si>
  <si>
    <t>1st Floor for Residential</t>
  </si>
  <si>
    <t>Type C1, C2, C3</t>
  </si>
  <si>
    <t>Wing C1</t>
  </si>
  <si>
    <t>Wing C2</t>
  </si>
  <si>
    <t>Wing C3</t>
  </si>
  <si>
    <t>Type A</t>
  </si>
  <si>
    <t>1&amp;2</t>
  </si>
  <si>
    <t>5A</t>
  </si>
  <si>
    <t>3BHK</t>
  </si>
  <si>
    <t>MP Room-1</t>
  </si>
  <si>
    <t>MP Room-2</t>
  </si>
  <si>
    <t>MP Room-3</t>
  </si>
  <si>
    <t>MP Room-4</t>
  </si>
  <si>
    <t>MP Room-5</t>
  </si>
  <si>
    <t>1RK</t>
  </si>
  <si>
    <t>2nd Floor</t>
  </si>
  <si>
    <t>3rd Floor</t>
  </si>
  <si>
    <t>4th &amp; 10th Floor</t>
  </si>
  <si>
    <t>5th &amp; 11th Floor</t>
  </si>
  <si>
    <t>7th Floor</t>
  </si>
  <si>
    <t>9th Floor</t>
  </si>
  <si>
    <t>Wing A1</t>
  </si>
  <si>
    <t>Wing A2</t>
  </si>
  <si>
    <t>Wing A3</t>
  </si>
  <si>
    <t>Wing B1</t>
  </si>
  <si>
    <t>Wing B2</t>
  </si>
  <si>
    <t>Type B (Shop)</t>
  </si>
  <si>
    <t>Type B (Office)</t>
  </si>
  <si>
    <t xml:space="preserve">Total </t>
  </si>
  <si>
    <t>Commercial Area Details : Phase I</t>
  </si>
  <si>
    <t>Commercial Area Details : Phase II</t>
  </si>
  <si>
    <t>Residential Area Details : Phase I</t>
  </si>
  <si>
    <t>Residential Area Details : Phase II</t>
  </si>
  <si>
    <t>2nd, 4th, 6th, 10th &amp; 12th Floor</t>
  </si>
  <si>
    <r>
      <t>2nd, 4th, 6th, 10th &amp; 12th</t>
    </r>
    <r>
      <rPr>
        <b/>
        <sz val="12"/>
        <color indexed="8"/>
        <rFont val="Times New Roman"/>
        <family val="1"/>
      </rPr>
      <t xml:space="preserve"> Floor</t>
    </r>
  </si>
  <si>
    <t>8th Floor</t>
  </si>
  <si>
    <t>2nd, 4th &amp; 6th Floor</t>
  </si>
  <si>
    <t>1st, 3rd, 5th, 7th &amp; 9th Floor</t>
  </si>
  <si>
    <t>Wheather the construction is as per approved Building plan : Under Construcion</t>
  </si>
  <si>
    <t>Approved Plans, CC, Sale Plans, Cost Sheet</t>
  </si>
  <si>
    <t>200000/-</t>
  </si>
  <si>
    <t>Brick, Sand, Cement</t>
  </si>
  <si>
    <t>Market Research Data</t>
  </si>
  <si>
    <t>Source</t>
  </si>
  <si>
    <t>Distance from proposed property</t>
  </si>
  <si>
    <t>Net Carpet</t>
  </si>
  <si>
    <t>Saleable Area</t>
  </si>
  <si>
    <t>Rate on Saleable</t>
  </si>
  <si>
    <t>Market Value</t>
  </si>
  <si>
    <t>Magic Brick</t>
  </si>
  <si>
    <t>99 Acres</t>
  </si>
  <si>
    <t>Average</t>
  </si>
  <si>
    <t xml:space="preserve">Valuation Adopted </t>
  </si>
  <si>
    <t>12th Floor</t>
  </si>
  <si>
    <t>12th &amp; 14th Floor</t>
  </si>
  <si>
    <t>Phase I</t>
  </si>
  <si>
    <t>Phase II</t>
  </si>
  <si>
    <t>14th Floor</t>
  </si>
  <si>
    <t>6th, 12th Floor</t>
  </si>
  <si>
    <t>Type A1, A2, A3 (Shop)</t>
  </si>
  <si>
    <t>Type A (Shop)</t>
  </si>
  <si>
    <t>15/06/2021.</t>
  </si>
  <si>
    <t>VVCMC/AMEND/BP/VP0093/41/2021</t>
  </si>
  <si>
    <t>4th, 6th, 10th, 12th Floor</t>
  </si>
  <si>
    <t>MP Room-6</t>
  </si>
  <si>
    <t>MP Room-7</t>
  </si>
  <si>
    <t>MP Room-8</t>
  </si>
  <si>
    <t>MP Room-9</t>
  </si>
  <si>
    <t>10th Floor</t>
  </si>
  <si>
    <t>11th Floor</t>
  </si>
  <si>
    <t>8th Floor (Part Refuge Area)</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</si>
  <si>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</si>
  <si>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</si>
  <si>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</si>
  <si>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</si>
  <si>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</si>
  <si>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</si>
  <si>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</si>
  <si>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</si>
  <si>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</si>
  <si>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</si>
  <si>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</si>
  <si>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</si>
  <si>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</si>
  <si>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</si>
  <si>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</si>
  <si>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</si>
  <si>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</si>
  <si>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Construction details:
  Phase I </t>
  </si>
  <si>
    <t>Construction details:
Phase II</t>
  </si>
  <si>
    <t>All work Completed. OC Received upto 7th Floor</t>
  </si>
  <si>
    <t>Approved upto : 
Phase 1
Building Type A (Wing A1, A2, A3) = St + Gr + 1st to 7th Floor
Building Type B1 = St + Gr + 1st to 7th Floor
Building Type B2 = St + Gr + 1st to 7th Floor
Building Type C1 = St + Gr + 1st to 7th Floor
Building Type C2 = St + Gr + 1st to 7th Floor
Phase 2
Building Type A = St + Gr + 1st to 7th Floor
Building Type B (Wing B1 &amp; B2) = St + Gr + 1st to 7th Floor
Building Type C ( Wing C1, C2, C3) = Gr + 1st to 7th Floor
Building Type D = St + Gr + 1st to 7th Floor</t>
  </si>
  <si>
    <t>9500/-</t>
  </si>
  <si>
    <t>Other Charges</t>
  </si>
  <si>
    <t>51640/-</t>
  </si>
  <si>
    <t>Rate Changed to 6400 from 5600 by rakesh by cost sheet on 30/12/2021</t>
  </si>
  <si>
    <t>9930055014 / 9167200720 / 8879688487</t>
  </si>
  <si>
    <t>Rate Changed to 6800 from 6800 by rakesh by cost sheet on 20/10/2022</t>
  </si>
  <si>
    <t>VVCMC/TP/CC/VP/0093/530/2021-22</t>
  </si>
  <si>
    <t>Wing C4</t>
  </si>
  <si>
    <t>2nd to 7th, 9th to 12th, 14th to 17th, 19th to 23rd Floor</t>
  </si>
  <si>
    <t>8th, 13th &amp; 18th Floor</t>
  </si>
  <si>
    <t xml:space="preserve"> 8th, 13th &amp; 18th Floor (Part Refuge Area)</t>
  </si>
  <si>
    <t>Wing C3 (Shop)</t>
  </si>
  <si>
    <t>Wing C4 (Shop)</t>
  </si>
  <si>
    <t>Ground Floor for Parking</t>
  </si>
  <si>
    <t>1st to 7th, 9th to 12th, 14th to 17th, 19th to 23rd Floor</t>
  </si>
  <si>
    <t>Type D1</t>
  </si>
  <si>
    <t>Wing H1</t>
  </si>
  <si>
    <t>1st Floor for Parking, Commercial &amp; Residential</t>
  </si>
  <si>
    <t>3rd to 7th, 9th to 12th, 14th to 17th, 19th to 23rd Floor</t>
  </si>
  <si>
    <t>Wing H1 (Shop)</t>
  </si>
  <si>
    <t>Wing H1 (Office)</t>
  </si>
  <si>
    <t>Building Type A = St + Gr +1st to 14th Floor
Building Type B (Wing B1 &amp; B2) = St + Gr + 1st to 14th Floor
Building Type C ( Wing C1, C2, C3) = Gr + 1st to 14th Floor
Building Type D = St + Gr + 1st to 14th Floor</t>
  </si>
  <si>
    <t>Wing H2 + H3</t>
  </si>
  <si>
    <t>1st Floor for Commercial &amp; Fitness Center</t>
  </si>
  <si>
    <t>-</t>
  </si>
  <si>
    <t>8th, 13th &amp; 18th Floor (Part Refuge Area)</t>
  </si>
  <si>
    <t>Wing H2 + H3 (Shop)</t>
  </si>
  <si>
    <t>Wing H2 + H3 (Office)</t>
  </si>
  <si>
    <t>Part 9</t>
  </si>
  <si>
    <t>Building Type C3, C4, D1, H1, H2 &amp; H3</t>
  </si>
  <si>
    <t>Wing H1 - Navkar Empire</t>
  </si>
  <si>
    <t>Recommended rate of the flat Per Sq. Ft. ( on Saleable area)
(Including Parking)</t>
  </si>
  <si>
    <t>Location Link</t>
  </si>
  <si>
    <t>https://goo.gl/maps/G2NtASKCFpw9b3cf6?coh=178572&amp;entry=tt</t>
  </si>
  <si>
    <t xml:space="preserve">Valid Up to: 
Phase 1
Building Type C3 = St + Gr + 23 Floor
Building Type C4 = St + Gr + 23 Floor
Building Type D1 = St + Gr + 23 Floor
Building Type H1, H2 &amp; H3 = St + Gr + 23 Floor
Building Type G = St + Gr + 23 Floor
</t>
  </si>
  <si>
    <t>Part 6</t>
  </si>
  <si>
    <t xml:space="preserve">Wing/Type G - Navkar Harmony </t>
  </si>
  <si>
    <t>1st to 7th, 9th to 12th, 14th to 17th, 19th to 23rd Floor for Residential</t>
  </si>
  <si>
    <t>Type G</t>
  </si>
  <si>
    <t>Harmony - G Type = Gr + 1st to 23rd Floor</t>
  </si>
  <si>
    <t>Empire - Building Type H3 = Gr + 1st to 23rd Floor</t>
  </si>
  <si>
    <t xml:space="preserve">Blossom - Building Type D1 = Gr + 1st to 23rd Floor
</t>
  </si>
  <si>
    <t>Elite - Building Type C3 = Gr + 1st to 23rd Floor
Elite - Building Type C4 = Gr + 1st to 23rd Floor</t>
  </si>
  <si>
    <t>Building Type A (Wing A1, A2, A3) = Gr + 1st to 14th Floor
Building Type B1 &amp; B2 = Gr + 1st to 14th Floor
Building Type C1 &amp; C2  = Gr + 1st to 14th Floor</t>
  </si>
  <si>
    <t>Layout Plan:</t>
  </si>
  <si>
    <t>VVCMC/TP/CC/VP-0093/201/2023-24</t>
  </si>
  <si>
    <t>As per RERA  -
Navkar City Phase I (Part 5, 8 &amp; 9) - 30/06/2026
Navkar City Phase I (Part 6) - 30/06/2027
Navkar City Phase I (Part 14) - 31/12/2028</t>
  </si>
  <si>
    <t>Construction details:
Phase I</t>
  </si>
  <si>
    <t>Don Bosco Road</t>
  </si>
  <si>
    <t>Naigaon East Vasai Link Road</t>
  </si>
  <si>
    <t>Type R2</t>
  </si>
  <si>
    <t>Type R1</t>
  </si>
  <si>
    <t xml:space="preserve">Wing R1 </t>
  </si>
  <si>
    <t xml:space="preserve">Wing R2 </t>
  </si>
  <si>
    <t>Phase I = Flats - 1858, Shops - 82, Offices - 36
Phase II = Flats - 471, Shops - 9</t>
  </si>
  <si>
    <r>
      <t xml:space="preserve">Navkar City Phase I
A Type Building = A1, A2 &amp; A3
B Type Building = B1 &amp; B2
C1 Building
C2 Building
</t>
    </r>
    <r>
      <rPr>
        <b/>
        <sz val="12"/>
        <rFont val="Times New Roman"/>
        <family val="1"/>
      </rPr>
      <t>C3 Building
C4 Building
D1 Building
H Type Building = H1, H2 &amp; H3
G Building
R1 Type Building
R2 Type Building</t>
    </r>
    <r>
      <rPr>
        <sz val="12"/>
        <rFont val="Times New Roman"/>
        <family val="1"/>
      </rPr>
      <t xml:space="preserve">
Navkar City Phase II
A Type Building
B Type Building = B1 &amp; B2
C Type Building = C1, C2 &amp; C3
D Type Building </t>
    </r>
  </si>
  <si>
    <r>
      <t xml:space="preserve">Phase 1
Building Type A (Wing A1, A2, A3) = Gr + 1st to 14 Floor
Building Type B1 = Gr + 1st to 14 Floor
Building Type B2 = Gr + 1st to 14 Floor
Building Type C1 = Gr + 1st to 14 Floor
Building Type C2 = Gr + 1st to 14 Floor
</t>
    </r>
    <r>
      <rPr>
        <b/>
        <sz val="12"/>
        <rFont val="Times New Roman"/>
        <family val="1"/>
      </rPr>
      <t>Building Type C3 = Gr + 1st to 23 Floor
Building Type C4 = Gr + 1st to 23 Floor
Building Type D1 = Gr + 1st to 23 Floor
Building Type H1, H2 &amp; H3 = Gr + 1st to 23 Floor
Building Type G = Gr + 1st to 23 Floor
Building Type R1 = St + Gr + 1st to 23rd Floor
Building Type R2 = St + Gr + 1st to 23rd Floor</t>
    </r>
    <r>
      <rPr>
        <sz val="12"/>
        <rFont val="Times New Roman"/>
        <family val="1"/>
      </rPr>
      <t xml:space="preserve">
Phase 2
Building Type A = Gr + 1st to 14 Floor
Building Type B (Wing B1 &amp; B2) = Gr + 1st to 14 Floor
Building Type C ( Wing C1, C2, C3) = Gr + 1st to 14 Floor
Building Type D = Gr + 1st to 14 Floor</t>
    </r>
  </si>
  <si>
    <t>Latitude, Longitude</t>
  </si>
  <si>
    <t>19.3599712,72.8533273</t>
  </si>
  <si>
    <t>Building Type R1 &amp; R2</t>
  </si>
  <si>
    <t>VVCMC/TP/AMEND/VP-0093/159/ 2023-24</t>
  </si>
  <si>
    <t>Valid Up to: 
Phase 1
Building Type A (Wing A1, A2, A3) = St + Gr + 1st to 14th Floor
Building Type B1 = St + Gr + 1st to 14th Floor
Building Type B2 = St + Gr + 1st to 14th Floor
Building Type C1 = St + Gr + 1st to 14th Floor
Building Type C2 = St + Gr + 1st to 14th Floor
Phase 2
Building Type A = St + Gr + 1st to 14th Floor
Building Type B (Wing B1 &amp; B2) = St + Gr + 1st to 14th Floor
Building Type C ( Wing C1, C2, C3) = Gr + 1st to 12th Floors
Building Type D = St + Gr + 1st to 14th Floor</t>
  </si>
  <si>
    <t xml:space="preserve">Commencement Certificate No.
Valid Up to: </t>
  </si>
  <si>
    <t>VVCMC/AMEND/BP/VP0093/13/2021</t>
  </si>
  <si>
    <t>Phase 1
Building Type R1 &amp; R2= St + Gr + 1st to 23rd Floor
Building Type R2 = St + Gr + 1st to 23rd Floor</t>
  </si>
  <si>
    <t>*</t>
  </si>
  <si>
    <t xml:space="preserve">Navkar City Phase I (A Type, B Type, C1 Building &amp; C2 Building),  
Navkar City Phase II (A Type Building, B Type Building, C Type, D Type) 
= All work Completed. Please Provide Full OC.
</t>
  </si>
  <si>
    <t xml:space="preserve">We considered  Saleable area  as per our calculation.
</t>
  </si>
  <si>
    <t xml:space="preserve">We considered Carpet area as per Approved Plan.
</t>
  </si>
  <si>
    <t xml:space="preserve">We considered Gross carpet area = Net carpet + Enclose balcony + E.P Area + C.B Area.
</t>
  </si>
  <si>
    <t xml:space="preserve">We have considered rate by verifying it from market inquire.
</t>
  </si>
  <si>
    <t>Car parking is subjected to authentic documentation.</t>
  </si>
  <si>
    <t xml:space="preserve">On Site, we meet Mr. Manish - 9930055014.
</t>
  </si>
  <si>
    <t>We update revised Approved plan &amp; CC of</t>
  </si>
  <si>
    <t>Wing C3, Wing C4,Wing H1 &amp; Type D1</t>
  </si>
  <si>
    <t>Part 9 i.e Wing H2 &amp; H3</t>
  </si>
  <si>
    <t>Part 6 i.e Wing/Type G</t>
  </si>
  <si>
    <t>Part 14 i.e Wing/Type R1 &amp; R2</t>
  </si>
  <si>
    <t>23 Wings</t>
  </si>
  <si>
    <t>6800 to 6900</t>
  </si>
  <si>
    <t>smith</t>
  </si>
  <si>
    <t>s</t>
  </si>
  <si>
    <t>Recommended Rates/Other Charges of the Property have been revised on 18/06/2024.</t>
  </si>
  <si>
    <t xml:space="preserve">Office No. 1031, Wing J, Akshar Business Park, Plot No. 03 Sector 25, Near APMC Market, Vashi,
Navi Mumbai, Maharashtra 400703 TEL: 022-46090378/79/80
Email : vsjcapf@gmail.com. Web site : www.vsjadon.com
</t>
  </si>
  <si>
    <t>Mr. Nitin - 8956402642</t>
  </si>
  <si>
    <t xml:space="preserve">Building Type R2 = St + Gr +1st to 23rd Floor
</t>
  </si>
  <si>
    <t xml:space="preserve">Building Type R1 = St + Gr +1st to 23rd Floor
</t>
  </si>
  <si>
    <t>Empire - Building Type H2 = Gr + 1st to 23rd Floor</t>
  </si>
  <si>
    <t>As per visit dt 08/03/2025, construction stage of bldg type H2 = 1st slab completed</t>
  </si>
  <si>
    <t>Please check before release the report</t>
  </si>
  <si>
    <t>Construction stage is more. Please check before release the report</t>
  </si>
  <si>
    <t>Pranita Mhatre</t>
  </si>
  <si>
    <t>Navnath Bhatkar</t>
  </si>
  <si>
    <t>Empire - Building Type H1 = Gr + 1st to 27th  Floor</t>
  </si>
  <si>
    <r>
      <t xml:space="preserve">Navkar City Phase I
Part 1 = P99000011999 = B1, B2, C1, C2 (G + 8th Floor)
Part 2 = P99000010920 = B1, B2, C1, C2 (8th to 14th Floor)
Part 3 = P99000004573 = A1, A2 &amp; A3 (G + 8th Floor)
Part 4 = P99000008528 = A1, A2 &amp; A3 (8th to 14th Floor)
</t>
    </r>
    <r>
      <rPr>
        <b/>
        <sz val="12"/>
        <rFont val="Times New Roman"/>
        <family val="1"/>
      </rPr>
      <t>Part 5 = P99000034105 = D1 (G + 23rd Floor) &amp; H1 (G + 27th Floor)
Part 6 = P99000050162 = G (G + 23rd Floor)
Part 8 = P99000033433 = C3 &amp; C4 (G + 23rd Floor)
Part 9 = P99000034013 = H2 &amp; H3 (G + 23rd Floor)
Part 14 = P99000054543 = R1 &amp; R2 (G + 23rd Floor)</t>
    </r>
    <r>
      <rPr>
        <sz val="12"/>
        <rFont val="Times New Roman"/>
        <family val="1"/>
      </rPr>
      <t xml:space="preserve">
Navkar City Phase II
Part 1 = P99000009437 = A, B1, B2, D (G + 8th Floor)
Part 2 = P99000004423 = A, B1, B2, D (8th to 14th Floor)
Part 3 = P99000009716 = C1, C2 &amp; C3 (G + 8th Floor)
Part 4 = P99000005905 = C1, C2 &amp; C3 (8th to 14th Floor)
</t>
    </r>
  </si>
  <si>
    <r>
      <t xml:space="preserve">Phase 1
Building Type A (Wing A1, A2, A3) = Gr + 1st to 14 Floor
Building Type B1 = Gr + 1st to 14 Floor
Building Type B2 = Gr + 1st to 14 Floor
Building Type C1 = Gr + 1st to 14 Floor
Building Type C2 = Gr + 1st to 14 Floor
</t>
    </r>
    <r>
      <rPr>
        <b/>
        <sz val="12"/>
        <rFont val="Times New Roman"/>
        <family val="1"/>
      </rPr>
      <t>Building Type C3 = Gr + 1st to 23rd Floor
Building Type C4 = Gr + 1st to 23rd Floor
Building Type D1, G = Gr + 1st to 23rd Floor
Building Type H1 = Gr + 1st to 27th Floor
Building Type H2 &amp; H3 = Gr + 1st to 23rd Floor
Building Type R1 = St + Gr + 1st to 23rd Floor
Building Type R2 = St + Gr + 1st to 23rd Floor</t>
    </r>
    <r>
      <rPr>
        <sz val="12"/>
        <rFont val="Times New Roman"/>
        <family val="1"/>
      </rPr>
      <t xml:space="preserve">
Phase 2
Building Type A = Gr + 1st to 14 Floor
Building Type B (Wing B1 &amp; B2) =Gr + 1st to 14 Floor
Building Type C ( Wing C1, C2, C3) = Gr + 1st to 14 Floor
Building Type D = Gr + 1st to 14 Floor</t>
    </r>
  </si>
  <si>
    <t>Site Meet Person Details ( Name &amp; Contact No.)</t>
  </si>
  <si>
    <t>Contact Details ( Name &amp; Contact No.)</t>
  </si>
  <si>
    <t>Navkar City Phase I (R1 &amp; R2)</t>
  </si>
  <si>
    <t xml:space="preserve">Construction stage is same as last visit dtd.08/03/2025 but work is in the process at the time of Visit.
</t>
  </si>
  <si>
    <t xml:space="preserve">As per site visit dated 05/06/2025, we have observed that construction work progress of Building H1 is more than Building H2 and H3 (i.e Building H1 is constructed upto 24th slab, Building H2 and H3 is constructed upto the 2nd slab)
we have confirmed this construction stage with meet person Mr Nitin - 8956402642 and approved layout plan. Earlier their was error in construction stage of Building H2 due to internal visits were not allowed or no official person available on site.
We have rectified construction stage of Building H2 in above subsequent report
</t>
  </si>
  <si>
    <t>These remark not removed till H2 &amp; H3 Stage is completed as its Building H1 (i.e completed upto 24th slab) dicuss with sir on 19/09/2025</t>
  </si>
  <si>
    <t>Navkar City Phase I (Wing C3, C4, D1, G, H1, H2, H3, R1 &amp; R2)</t>
  </si>
  <si>
    <t>Construction work is in process at the time of Visit.
(labour found)</t>
  </si>
  <si>
    <t>Construction work of Phase I (Wing H1) is goes beyond approved plan &amp; CC permission. Provide revised approved plans &amp;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</si>
</sst>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b/>
      <sz val="9"/>
      <color indexed="8"/>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applyNumberFormat="0" applyFill="0" applyBorder="0" applyAlignment="0" applyProtection="0"/>
  </cellStyleXfs>
  <cellXfs count="309">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1" fontId="4" fillId="0" borderId="1"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12" fillId="0" borderId="5" xfId="1" applyFont="1" applyBorder="1" applyAlignment="1" applyProtection="1">
      <alignment horizontal="center" vertical="top"/>
      <protection locked="0"/>
    </xf>
    <xf numFmtId="0" fontId="7" fillId="0" borderId="13" xfId="1" applyFont="1" applyBorder="1" applyProtection="1">
      <protection hidden="1"/>
    </xf>
    <xf numFmtId="0" fontId="7" fillId="0" borderId="14" xfId="1" applyFont="1" applyBorder="1" applyProtection="1">
      <protection hidden="1"/>
    </xf>
    <xf numFmtId="0" fontId="7" fillId="0" borderId="14" xfId="1" applyFont="1" applyBorder="1"/>
    <xf numFmtId="1" fontId="12" fillId="0" borderId="1" xfId="1" applyNumberFormat="1" applyFont="1" applyBorder="1" applyAlignment="1" applyProtection="1">
      <alignment horizontal="center" vertical="center" wrapText="1"/>
      <protection locked="0"/>
    </xf>
    <xf numFmtId="0" fontId="10" fillId="0" borderId="0" xfId="1" applyFont="1" applyAlignment="1">
      <alignment horizontal="center" vertical="center"/>
    </xf>
    <xf numFmtId="0" fontId="12" fillId="2" borderId="1" xfId="1" applyFont="1" applyFill="1" applyBorder="1" applyAlignment="1" applyProtection="1">
      <alignment horizontal="left" vertical="top"/>
      <protection locked="0"/>
    </xf>
    <xf numFmtId="1" fontId="6" fillId="0" borderId="10" xfId="0" applyNumberFormat="1" applyFont="1" applyBorder="1" applyAlignment="1" applyProtection="1">
      <alignment vertical="center" wrapText="1"/>
      <protection locked="0"/>
    </xf>
    <xf numFmtId="0" fontId="10" fillId="0" borderId="0" xfId="0" applyFont="1" applyAlignment="1">
      <alignment horizontal="center" vertical="center"/>
    </xf>
    <xf numFmtId="0" fontId="13" fillId="2" borderId="1" xfId="1" applyFont="1" applyFill="1" applyBorder="1" applyAlignment="1" applyProtection="1">
      <alignment horizontal="left" vertical="top"/>
      <protection locked="0"/>
    </xf>
    <xf numFmtId="1" fontId="18" fillId="0" borderId="1" xfId="1" applyNumberFormat="1" applyFont="1" applyBorder="1" applyAlignment="1" applyProtection="1">
      <alignment horizontal="center" vertical="top" wrapText="1"/>
      <protection locked="0"/>
    </xf>
    <xf numFmtId="0" fontId="12" fillId="0" borderId="6"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5" fillId="0" borderId="0" xfId="4"/>
    <xf numFmtId="0" fontId="1" fillId="0" borderId="0" xfId="5"/>
    <xf numFmtId="0" fontId="9" fillId="0" borderId="1" xfId="5" applyFont="1" applyBorder="1" applyAlignment="1">
      <alignment horizontal="center" vertical="top" wrapText="1"/>
    </xf>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20" fillId="0" borderId="0" xfId="4" applyFont="1"/>
    <xf numFmtId="0" fontId="6" fillId="0" borderId="1" xfId="1" applyFont="1" applyBorder="1" applyAlignment="1" applyProtection="1">
      <alignment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7" fillId="0" borderId="12" xfId="1" applyFont="1" applyBorder="1" applyProtection="1">
      <protection hidden="1"/>
    </xf>
    <xf numFmtId="0" fontId="17" fillId="0" borderId="0" xfId="0" applyFont="1" applyProtection="1">
      <protection hidden="1"/>
    </xf>
    <xf numFmtId="0" fontId="17" fillId="0" borderId="14" xfId="0" applyFont="1" applyBorder="1" applyProtection="1">
      <protection hidden="1"/>
    </xf>
    <xf numFmtId="1" fontId="0" fillId="0" borderId="14" xfId="0" applyNumberFormat="1" applyBorder="1"/>
    <xf numFmtId="2" fontId="0" fillId="0" borderId="0" xfId="0" applyNumberFormat="1"/>
    <xf numFmtId="165" fontId="0" fillId="0" borderId="0" xfId="0" applyNumberFormat="1"/>
    <xf numFmtId="2" fontId="17" fillId="0" borderId="0" xfId="0" applyNumberFormat="1" applyFont="1" applyProtection="1">
      <protection hidden="1"/>
    </xf>
    <xf numFmtId="1" fontId="0" fillId="0" borderId="14" xfId="0" applyNumberFormat="1" applyBorder="1" applyAlignment="1">
      <alignment horizontal="right"/>
    </xf>
    <xf numFmtId="0" fontId="17" fillId="0" borderId="15" xfId="0" applyFont="1" applyBorder="1" applyProtection="1">
      <protection hidden="1"/>
    </xf>
    <xf numFmtId="1" fontId="0" fillId="0" borderId="16" xfId="0" applyNumberFormat="1" applyBorder="1"/>
    <xf numFmtId="0" fontId="10" fillId="0" borderId="0" xfId="1" applyFont="1"/>
    <xf numFmtId="1" fontId="7" fillId="0" borderId="0" xfId="0" applyNumberFormat="1" applyFont="1" applyAlignment="1">
      <alignment horizontal="center" vertical="center"/>
    </xf>
    <xf numFmtId="0" fontId="12" fillId="0" borderId="3" xfId="1" applyFont="1" applyBorder="1" applyAlignment="1" applyProtection="1">
      <alignment horizontal="center" wrapText="1"/>
      <protection locked="0"/>
    </xf>
    <xf numFmtId="9" fontId="12" fillId="2" borderId="3" xfId="1" applyNumberFormat="1" applyFont="1" applyFill="1" applyBorder="1" applyAlignment="1" applyProtection="1">
      <alignment horizontal="center" vertical="center" wrapText="1"/>
      <protection hidden="1"/>
    </xf>
    <xf numFmtId="0" fontId="12"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7" fillId="0" borderId="0" xfId="1" applyFont="1" applyAlignment="1" applyProtection="1">
      <alignment vertical="center"/>
      <protection hidden="1"/>
    </xf>
    <xf numFmtId="0" fontId="7" fillId="0" borderId="14" xfId="1" applyFont="1" applyBorder="1" applyAlignment="1" applyProtection="1">
      <alignment vertical="center"/>
      <protection hidden="1"/>
    </xf>
    <xf numFmtId="0" fontId="0" fillId="0" borderId="0" xfId="0" applyAlignment="1">
      <alignment vertical="center"/>
    </xf>
    <xf numFmtId="1" fontId="7" fillId="0" borderId="1" xfId="1" applyNumberFormat="1" applyFont="1" applyBorder="1" applyAlignment="1">
      <alignment horizontal="center" vertical="center"/>
    </xf>
    <xf numFmtId="1" fontId="7" fillId="0" borderId="0" xfId="1" applyNumberFormat="1" applyFont="1" applyAlignment="1">
      <alignment horizontal="center" vertical="center"/>
    </xf>
    <xf numFmtId="1" fontId="10" fillId="0" borderId="0" xfId="0" applyNumberFormat="1" applyFont="1" applyAlignment="1">
      <alignment horizontal="center" vertical="center"/>
    </xf>
    <xf numFmtId="2" fontId="7" fillId="0" borderId="0" xfId="1" applyNumberFormat="1" applyFont="1" applyAlignment="1">
      <alignment horizontal="center" vertical="center"/>
    </xf>
    <xf numFmtId="0" fontId="7" fillId="0" borderId="0" xfId="1" applyFont="1" applyAlignment="1">
      <alignment wrapText="1"/>
    </xf>
    <xf numFmtId="0" fontId="13" fillId="0" borderId="10" xfId="2" applyFont="1" applyBorder="1" applyAlignment="1" applyProtection="1">
      <alignment horizontal="center" vertical="center" wrapText="1"/>
      <protection locked="0"/>
    </xf>
    <xf numFmtId="14" fontId="10" fillId="0" borderId="0" xfId="1" applyNumberFormat="1" applyFont="1"/>
    <xf numFmtId="1" fontId="8"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vertical="center" wrapText="1"/>
      <protection locked="0"/>
    </xf>
    <xf numFmtId="0" fontId="13" fillId="0" borderId="1" xfId="2" applyFont="1" applyBorder="1" applyAlignment="1" applyProtection="1">
      <alignment horizontal="center" vertical="center" wrapText="1"/>
      <protection locked="0"/>
    </xf>
    <xf numFmtId="0" fontId="0" fillId="0" borderId="0" xfId="0" applyAlignment="1">
      <alignment horizontal="left" vertical="top"/>
    </xf>
    <xf numFmtId="0" fontId="20" fillId="0" borderId="0" xfId="0" applyFont="1"/>
    <xf numFmtId="0" fontId="14"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7" fillId="0" borderId="0" xfId="0" applyFont="1" applyAlignment="1" applyProtection="1">
      <protection hidden="1"/>
    </xf>
    <xf numFmtId="0" fontId="12" fillId="0" borderId="12" xfId="1" applyFont="1" applyBorder="1" applyProtection="1">
      <protection hidden="1"/>
    </xf>
    <xf numFmtId="0" fontId="12" fillId="0" borderId="0" xfId="1" applyFont="1" applyProtection="1">
      <protection hidden="1"/>
    </xf>
    <xf numFmtId="0" fontId="14" fillId="0" borderId="0" xfId="0" applyFont="1" applyProtection="1">
      <protection hidden="1"/>
    </xf>
    <xf numFmtId="0" fontId="14" fillId="0" borderId="15" xfId="0" applyFont="1" applyBorder="1" applyProtection="1">
      <protection hidden="1"/>
    </xf>
    <xf numFmtId="0" fontId="12" fillId="0" borderId="1"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3"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12"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3"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34" xfId="1" applyNumberFormat="1" applyFont="1" applyFill="1" applyBorder="1" applyAlignment="1" applyProtection="1">
      <alignment horizontal="center" vertical="center" wrapText="1"/>
      <protection hidden="1"/>
    </xf>
    <xf numFmtId="0" fontId="12" fillId="0" borderId="5"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33"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0" fontId="13" fillId="0" borderId="1" xfId="1" applyFont="1" applyBorder="1" applyAlignment="1" applyProtection="1">
      <alignment horizontal="center" vertical="center" wrapText="1"/>
      <protection locked="0"/>
    </xf>
    <xf numFmtId="0" fontId="13" fillId="0" borderId="1" xfId="1" applyFont="1" applyBorder="1" applyAlignment="1" applyProtection="1">
      <alignment horizontal="left" vertical="top" wrapText="1"/>
      <protection locked="0"/>
    </xf>
    <xf numFmtId="0" fontId="13" fillId="0" borderId="37" xfId="1" applyFont="1" applyBorder="1" applyAlignment="1" applyProtection="1">
      <alignment horizontal="center" vertical="center" wrapText="1"/>
      <protection locked="0"/>
    </xf>
    <xf numFmtId="0" fontId="13" fillId="0" borderId="38" xfId="1" applyFont="1" applyBorder="1" applyAlignment="1" applyProtection="1">
      <alignment horizontal="center" vertical="center" wrapText="1"/>
      <protection locked="0"/>
    </xf>
    <xf numFmtId="0" fontId="13" fillId="0" borderId="38" xfId="1" applyFont="1" applyBorder="1" applyAlignment="1" applyProtection="1">
      <alignment horizontal="left" vertical="top" wrapText="1"/>
      <protection locked="0"/>
    </xf>
    <xf numFmtId="0" fontId="13" fillId="0" borderId="39" xfId="1" applyFont="1" applyBorder="1" applyAlignment="1" applyProtection="1">
      <alignment horizontal="left" vertical="top" wrapText="1"/>
      <protection locked="0"/>
    </xf>
    <xf numFmtId="0" fontId="13" fillId="0" borderId="5"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6" xfId="1" applyFont="1" applyBorder="1" applyAlignment="1" applyProtection="1">
      <alignment horizontal="left" vertical="top" wrapText="1"/>
      <protection locked="0"/>
    </xf>
    <xf numFmtId="0" fontId="12" fillId="0" borderId="35"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36" xfId="1" applyFont="1" applyBorder="1" applyAlignment="1" applyProtection="1">
      <alignment horizontal="center" vertical="top" wrapText="1"/>
      <protection locked="0"/>
    </xf>
    <xf numFmtId="0" fontId="13" fillId="0" borderId="10" xfId="2" applyFont="1" applyBorder="1" applyAlignment="1" applyProtection="1">
      <alignment horizontal="left" vertical="top" wrapText="1"/>
      <protection locked="0"/>
    </xf>
    <xf numFmtId="0" fontId="13" fillId="0" borderId="17" xfId="2" applyFont="1" applyBorder="1" applyAlignment="1" applyProtection="1">
      <alignment horizontal="left" vertical="top" wrapText="1"/>
      <protection locked="0"/>
    </xf>
    <xf numFmtId="0" fontId="13" fillId="0" borderId="11" xfId="2" applyFont="1" applyBorder="1" applyAlignment="1" applyProtection="1">
      <alignment horizontal="left" vertical="top" wrapText="1"/>
      <protection locked="0"/>
    </xf>
    <xf numFmtId="0" fontId="13" fillId="0" borderId="3" xfId="2" applyFont="1" applyBorder="1" applyAlignment="1" applyProtection="1">
      <alignment horizontal="center" vertical="center" wrapText="1"/>
      <protection locked="0"/>
    </xf>
    <xf numFmtId="0" fontId="13" fillId="0" borderId="25"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6" borderId="10" xfId="2" applyFont="1" applyFill="1" applyBorder="1" applyAlignment="1" applyProtection="1">
      <alignment horizontal="left" vertical="top" wrapText="1"/>
      <protection locked="0"/>
    </xf>
    <xf numFmtId="0" fontId="13" fillId="6" borderId="17" xfId="2" applyFont="1" applyFill="1" applyBorder="1" applyAlignment="1" applyProtection="1">
      <alignment horizontal="left" vertical="top" wrapText="1"/>
      <protection locked="0"/>
    </xf>
    <xf numFmtId="0" fontId="13" fillId="6" borderId="11" xfId="2" applyFont="1" applyFill="1" applyBorder="1" applyAlignment="1" applyProtection="1">
      <alignment horizontal="left" vertical="top" wrapText="1"/>
      <protection locked="0"/>
    </xf>
    <xf numFmtId="0" fontId="13" fillId="0" borderId="1" xfId="2" applyFont="1" applyBorder="1" applyAlignment="1" applyProtection="1">
      <alignment horizontal="center" vertical="top" wrapText="1"/>
      <protection locked="0"/>
    </xf>
    <xf numFmtId="14" fontId="13" fillId="0" borderId="1" xfId="2"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0" fontId="13" fillId="0" borderId="1" xfId="2" applyFont="1" applyBorder="1" applyAlignment="1" applyProtection="1">
      <alignment horizontal="left" vertical="top" wrapText="1"/>
      <protection locked="0"/>
    </xf>
    <xf numFmtId="1" fontId="8" fillId="0" borderId="10"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1" applyFont="1" applyBorder="1" applyAlignment="1" applyProtection="1">
      <alignment horizontal="left"/>
      <protection locked="0"/>
    </xf>
    <xf numFmtId="0" fontId="13" fillId="6" borderId="10" xfId="1" applyFont="1" applyFill="1" applyBorder="1" applyAlignment="1" applyProtection="1">
      <alignment horizontal="center" vertical="top" wrapText="1"/>
      <protection locked="0"/>
    </xf>
    <xf numFmtId="0" fontId="13" fillId="6" borderId="17" xfId="1" applyFont="1" applyFill="1" applyBorder="1" applyAlignment="1" applyProtection="1">
      <alignment horizontal="center" vertical="top" wrapText="1"/>
      <protection locked="0"/>
    </xf>
    <xf numFmtId="0" fontId="13" fillId="6" borderId="11" xfId="1" applyFont="1" applyFill="1" applyBorder="1" applyAlignment="1" applyProtection="1">
      <alignment horizontal="center" vertical="top" wrapText="1"/>
      <protection locked="0"/>
    </xf>
    <xf numFmtId="0" fontId="12" fillId="2" borderId="1" xfId="1" applyFont="1" applyFill="1" applyBorder="1" applyAlignment="1" applyProtection="1">
      <alignment horizontal="left" vertical="top" wrapText="1"/>
      <protection locked="0"/>
    </xf>
    <xf numFmtId="14"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2" borderId="1" xfId="1" applyNumberFormat="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2" fillId="2" borderId="10" xfId="1" applyFont="1" applyFill="1" applyBorder="1" applyAlignment="1" applyProtection="1">
      <alignment horizontal="left" vertical="top" wrapText="1"/>
      <protection locked="0"/>
    </xf>
    <xf numFmtId="0" fontId="12" fillId="2" borderId="17" xfId="1" applyFont="1" applyFill="1" applyBorder="1" applyAlignment="1" applyProtection="1">
      <alignment horizontal="left" vertical="top" wrapText="1"/>
      <protection locked="0"/>
    </xf>
    <xf numFmtId="0" fontId="12" fillId="2" borderId="11" xfId="1" applyFont="1" applyFill="1" applyBorder="1" applyAlignment="1" applyProtection="1">
      <alignment horizontal="left" vertical="top" wrapText="1"/>
      <protection locked="0"/>
    </xf>
    <xf numFmtId="0" fontId="13" fillId="0" borderId="31" xfId="1" applyFont="1" applyBorder="1" applyAlignment="1" applyProtection="1">
      <alignment horizontal="center" vertical="center" wrapText="1"/>
      <protection locked="0"/>
    </xf>
    <xf numFmtId="0" fontId="13" fillId="0" borderId="19" xfId="1" applyFont="1" applyBorder="1" applyAlignment="1" applyProtection="1">
      <alignment horizontal="center" vertical="center" wrapText="1"/>
      <protection locked="0"/>
    </xf>
    <xf numFmtId="0" fontId="13" fillId="0" borderId="18"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32"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21" fillId="0" borderId="1" xfId="7" applyBorder="1" applyAlignment="1" applyProtection="1">
      <alignment horizontal="left"/>
      <protection locked="0"/>
    </xf>
    <xf numFmtId="0" fontId="13" fillId="0" borderId="26" xfId="1" applyFont="1" applyBorder="1" applyAlignment="1" applyProtection="1">
      <alignment horizontal="center" vertical="center" wrapText="1"/>
      <protection locked="0"/>
    </xf>
    <xf numFmtId="0" fontId="13" fillId="0" borderId="27" xfId="1" applyFont="1" applyBorder="1" applyAlignment="1" applyProtection="1">
      <alignment horizontal="center" vertical="center" wrapText="1"/>
      <protection locked="0"/>
    </xf>
    <xf numFmtId="0" fontId="13" fillId="0" borderId="28"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0" fontId="13" fillId="0" borderId="30" xfId="1" applyFont="1" applyBorder="1" applyAlignment="1" applyProtection="1">
      <alignment horizontal="left" vertical="top" wrapText="1"/>
      <protection locked="0"/>
    </xf>
    <xf numFmtId="0" fontId="13" fillId="0" borderId="31"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2" fillId="0" borderId="8"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3" fillId="0" borderId="5" xfId="1" applyFont="1" applyBorder="1" applyAlignment="1" applyProtection="1">
      <alignment horizontal="center" vertical="center" wrapText="1"/>
      <protection locked="0"/>
    </xf>
    <xf numFmtId="0" fontId="13" fillId="0" borderId="7"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9" fontId="13" fillId="0" borderId="1" xfId="1" applyNumberFormat="1" applyFont="1" applyBorder="1" applyAlignment="1" applyProtection="1">
      <alignment horizontal="center" vertical="center" wrapText="1"/>
      <protection locked="0"/>
    </xf>
    <xf numFmtId="0" fontId="13" fillId="0" borderId="6" xfId="1" applyFont="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6" fillId="0" borderId="8" xfId="1" applyFont="1" applyBorder="1" applyAlignment="1" applyProtection="1">
      <alignment horizontal="left" vertical="top"/>
      <protection locked="0"/>
    </xf>
    <xf numFmtId="9" fontId="12" fillId="2" borderId="8"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0" fontId="12" fillId="0" borderId="6" xfId="1" applyFont="1" applyBorder="1" applyAlignment="1" applyProtection="1">
      <alignment horizontal="center" vertical="top"/>
      <protection locked="0"/>
    </xf>
    <xf numFmtId="1" fontId="12" fillId="0" borderId="10" xfId="0" applyNumberFormat="1" applyFont="1" applyBorder="1" applyAlignment="1" applyProtection="1">
      <alignment horizontal="center" vertical="center" wrapText="1"/>
      <protection locked="0"/>
    </xf>
    <xf numFmtId="1" fontId="12" fillId="0" borderId="11" xfId="0" applyNumberFormat="1" applyFont="1" applyBorder="1" applyAlignment="1" applyProtection="1">
      <alignment horizontal="center" vertical="center" wrapText="1"/>
      <protection locked="0"/>
    </xf>
    <xf numFmtId="1" fontId="7" fillId="0" borderId="10" xfId="0" applyNumberFormat="1" applyFont="1" applyBorder="1" applyAlignment="1" applyProtection="1">
      <alignment horizontal="center" vertical="center"/>
      <protection locked="0"/>
    </xf>
    <xf numFmtId="1" fontId="7" fillId="0" borderId="11" xfId="0" applyNumberFormat="1"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0" fontId="6" fillId="0" borderId="1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 fontId="8" fillId="4" borderId="10" xfId="1" applyNumberFormat="1" applyFont="1" applyFill="1" applyBorder="1" applyAlignment="1" applyProtection="1">
      <alignment horizontal="center" vertical="center" wrapText="1"/>
      <protection locked="0"/>
    </xf>
    <xf numFmtId="1" fontId="8" fillId="4" borderId="17" xfId="1" applyNumberFormat="1" applyFont="1" applyFill="1" applyBorder="1" applyAlignment="1" applyProtection="1">
      <alignment horizontal="center" vertical="center" wrapText="1"/>
      <protection locked="0"/>
    </xf>
    <xf numFmtId="1" fontId="8" fillId="4" borderId="11" xfId="1"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13" fillId="0" borderId="10" xfId="1" applyNumberFormat="1" applyFont="1" applyBorder="1" applyAlignment="1" applyProtection="1">
      <alignment horizontal="center" vertical="center" wrapText="1"/>
      <protection locked="0"/>
    </xf>
    <xf numFmtId="1" fontId="13" fillId="0" borderId="17" xfId="1" applyNumberFormat="1" applyFont="1" applyBorder="1" applyAlignment="1" applyProtection="1">
      <alignment horizontal="center" vertical="center" wrapText="1"/>
      <protection locked="0"/>
    </xf>
    <xf numFmtId="1" fontId="13" fillId="0" borderId="11" xfId="1" applyNumberFormat="1" applyFont="1" applyBorder="1" applyAlignment="1" applyProtection="1">
      <alignment horizontal="center" vertical="center" wrapText="1"/>
      <protection locked="0"/>
    </xf>
    <xf numFmtId="1" fontId="12" fillId="0" borderId="18"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20"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22" xfId="1" applyNumberFormat="1" applyFont="1" applyBorder="1" applyAlignment="1" applyProtection="1">
      <alignment horizontal="center" vertical="center" wrapText="1"/>
      <protection locked="0"/>
    </xf>
    <xf numFmtId="1" fontId="12" fillId="0" borderId="23" xfId="1" applyNumberFormat="1" applyFont="1" applyBorder="1" applyAlignment="1" applyProtection="1">
      <alignment horizontal="center" vertical="center" wrapText="1"/>
      <protection locked="0"/>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6" fillId="0" borderId="10" xfId="1" applyFont="1" applyBorder="1" applyAlignment="1" applyProtection="1">
      <alignment horizontal="left" vertical="top"/>
      <protection locked="0"/>
    </xf>
    <xf numFmtId="0" fontId="6" fillId="0" borderId="17" xfId="1" applyFont="1" applyBorder="1" applyAlignment="1" applyProtection="1">
      <alignment horizontal="left" vertical="top"/>
      <protection locked="0"/>
    </xf>
    <xf numFmtId="0" fontId="6" fillId="0" borderId="11" xfId="1" applyFont="1" applyBorder="1" applyAlignment="1" applyProtection="1">
      <alignment horizontal="left" vertical="top"/>
      <protection locked="0"/>
    </xf>
    <xf numFmtId="0" fontId="8" fillId="0" borderId="10" xfId="1" applyFont="1" applyBorder="1" applyAlignment="1" applyProtection="1">
      <alignment horizontal="left" vertical="top"/>
      <protection locked="0"/>
    </xf>
    <xf numFmtId="0" fontId="8" fillId="0" borderId="17" xfId="1" applyFont="1" applyBorder="1" applyAlignment="1" applyProtection="1">
      <alignment horizontal="left" vertical="top"/>
      <protection locked="0"/>
    </xf>
    <xf numFmtId="0" fontId="8" fillId="0" borderId="11" xfId="1" applyFont="1" applyBorder="1" applyAlignment="1" applyProtection="1">
      <alignment horizontal="left" vertical="top"/>
      <protection locked="0"/>
    </xf>
    <xf numFmtId="0" fontId="12" fillId="0" borderId="22"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3" xfId="1" applyFont="1" applyBorder="1" applyAlignment="1" applyProtection="1">
      <alignment horizontal="left" vertical="top"/>
      <protection locked="0"/>
    </xf>
    <xf numFmtId="1" fontId="6" fillId="0" borderId="3" xfId="0" applyNumberFormat="1" applyFont="1" applyBorder="1" applyAlignment="1" applyProtection="1">
      <alignment horizontal="center" vertical="center" wrapText="1"/>
      <protection locked="0"/>
    </xf>
    <xf numFmtId="1" fontId="6" fillId="0" borderId="4" xfId="0" applyNumberFormat="1" applyFont="1" applyBorder="1" applyAlignment="1" applyProtection="1">
      <alignment horizontal="center" vertical="center" wrapText="1"/>
      <protection locked="0"/>
    </xf>
    <xf numFmtId="1" fontId="8" fillId="0" borderId="10" xfId="0" applyNumberFormat="1" applyFont="1" applyBorder="1" applyAlignment="1" applyProtection="1">
      <alignment horizontal="center" vertical="top" wrapText="1"/>
      <protection locked="0"/>
    </xf>
    <xf numFmtId="1" fontId="8" fillId="0" borderId="1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6" fillId="0" borderId="25" xfId="0" applyNumberFormat="1" applyFont="1" applyBorder="1" applyAlignment="1" applyProtection="1">
      <alignment horizontal="center" vertical="center" wrapText="1"/>
      <protection locked="0"/>
    </xf>
    <xf numFmtId="1" fontId="8" fillId="0" borderId="10" xfId="0" applyNumberFormat="1" applyFont="1" applyBorder="1" applyAlignment="1" applyProtection="1">
      <alignment horizontal="center" vertical="center" wrapText="1"/>
      <protection locked="0"/>
    </xf>
    <xf numFmtId="1" fontId="8" fillId="0" borderId="17" xfId="0" applyNumberFormat="1" applyFont="1" applyBorder="1" applyAlignment="1" applyProtection="1">
      <alignment horizontal="center" vertical="center" wrapText="1"/>
      <protection locked="0"/>
    </xf>
    <xf numFmtId="1" fontId="8" fillId="0" borderId="1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13" fillId="0" borderId="1" xfId="1" applyNumberFormat="1" applyFont="1" applyBorder="1" applyAlignment="1" applyProtection="1">
      <alignment horizontal="center" vertical="center" wrapText="1"/>
      <protection locked="0"/>
    </xf>
    <xf numFmtId="2"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14"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vertical="top"/>
      <protection locked="0"/>
    </xf>
    <xf numFmtId="165" fontId="12" fillId="0" borderId="1" xfId="1" applyNumberFormat="1" applyFont="1" applyBorder="1" applyAlignment="1" applyProtection="1">
      <alignment horizontal="left" vertical="top"/>
      <protection locked="0"/>
    </xf>
    <xf numFmtId="0" fontId="6" fillId="2" borderId="1" xfId="1" applyFont="1" applyFill="1" applyBorder="1" applyAlignment="1" applyProtection="1">
      <alignment horizontal="left" vertical="top" wrapText="1"/>
      <protection locked="0"/>
    </xf>
    <xf numFmtId="0" fontId="7" fillId="0" borderId="1" xfId="1" applyFont="1" applyBorder="1" applyAlignment="1" applyProtection="1">
      <alignment horizontal="left" vertical="center" wrapText="1"/>
      <protection locked="0"/>
    </xf>
    <xf numFmtId="0" fontId="11" fillId="0" borderId="1"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0"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3" fillId="0" borderId="10"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3" fillId="0" borderId="19"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0" fontId="13" fillId="2" borderId="17" xfId="1" applyFont="1" applyFill="1" applyBorder="1" applyAlignment="1" applyProtection="1">
      <alignment horizontal="left" vertical="top" wrapText="1"/>
      <protection locked="0"/>
    </xf>
    <xf numFmtId="0" fontId="13" fillId="2" borderId="11" xfId="1" applyFont="1" applyFill="1" applyBorder="1" applyAlignment="1" applyProtection="1">
      <alignment horizontal="left" vertical="top" wrapText="1"/>
      <protection locked="0"/>
    </xf>
    <xf numFmtId="0" fontId="13" fillId="5" borderId="10" xfId="1" applyFont="1" applyFill="1" applyBorder="1" applyAlignment="1" applyProtection="1">
      <alignment horizontal="center" vertical="top" wrapText="1"/>
      <protection locked="0"/>
    </xf>
    <xf numFmtId="0" fontId="13" fillId="5" borderId="17" xfId="1" applyFont="1" applyFill="1" applyBorder="1" applyAlignment="1" applyProtection="1">
      <alignment horizontal="center" vertical="top" wrapText="1"/>
      <protection locked="0"/>
    </xf>
    <xf numFmtId="0" fontId="13" fillId="5" borderId="11" xfId="1" applyFont="1" applyFill="1" applyBorder="1" applyAlignment="1" applyProtection="1">
      <alignment horizontal="center" vertical="top" wrapText="1"/>
      <protection locked="0"/>
    </xf>
    <xf numFmtId="2" fontId="12" fillId="0" borderId="1" xfId="1" applyNumberFormat="1" applyFont="1" applyBorder="1" applyAlignment="1" applyProtection="1">
      <alignment horizontal="left" vertical="top" wrapText="1"/>
      <protection locked="0"/>
    </xf>
    <xf numFmtId="0" fontId="13" fillId="0" borderId="18"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0" fontId="13" fillId="0" borderId="0" xfId="1" applyFont="1" applyAlignment="1" applyProtection="1">
      <alignment horizontal="center" vertical="top" wrapText="1"/>
      <protection locked="0"/>
    </xf>
    <xf numFmtId="0" fontId="13" fillId="0" borderId="21" xfId="1" applyFont="1" applyBorder="1" applyAlignment="1" applyProtection="1">
      <alignment horizontal="center" vertical="top" wrapText="1"/>
      <protection locked="0"/>
    </xf>
    <xf numFmtId="0" fontId="13" fillId="0" borderId="22" xfId="1" applyFont="1" applyBorder="1" applyAlignment="1" applyProtection="1">
      <alignment horizontal="center" vertical="top" wrapText="1"/>
      <protection locked="0"/>
    </xf>
    <xf numFmtId="0" fontId="13" fillId="0" borderId="2" xfId="1" applyFont="1" applyBorder="1" applyAlignment="1" applyProtection="1">
      <alignment horizontal="center" vertical="top" wrapText="1"/>
      <protection locked="0"/>
    </xf>
    <xf numFmtId="0" fontId="13" fillId="0" borderId="23"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6" fillId="0" borderId="10" xfId="1" applyFont="1" applyBorder="1" applyAlignment="1" applyProtection="1">
      <alignment vertical="top" wrapText="1"/>
      <protection locked="0"/>
    </xf>
    <xf numFmtId="0" fontId="6" fillId="0" borderId="17" xfId="1" applyFont="1" applyBorder="1" applyAlignment="1" applyProtection="1">
      <alignment vertical="top" wrapText="1"/>
      <protection locked="0"/>
    </xf>
    <xf numFmtId="0" fontId="6" fillId="0" borderId="11" xfId="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10" xfId="1" applyFont="1" applyBorder="1" applyAlignment="1" applyProtection="1">
      <alignment vertical="top"/>
      <protection locked="0"/>
    </xf>
    <xf numFmtId="0" fontId="6" fillId="0" borderId="17" xfId="1" applyFont="1" applyBorder="1" applyAlignment="1" applyProtection="1">
      <alignment vertical="top"/>
      <protection locked="0"/>
    </xf>
    <xf numFmtId="0" fontId="6" fillId="0" borderId="11" xfId="1" applyFont="1" applyBorder="1" applyAlignment="1" applyProtection="1">
      <alignment vertical="top"/>
      <protection locked="0"/>
    </xf>
    <xf numFmtId="0" fontId="8" fillId="0" borderId="1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1" fontId="6" fillId="0" borderId="24"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0" fontId="9" fillId="0" borderId="1" xfId="5" applyFont="1" applyBorder="1" applyAlignment="1">
      <alignment horizontal="left"/>
    </xf>
    <xf numFmtId="0" fontId="9" fillId="0" borderId="1" xfId="0" applyFont="1" applyBorder="1" applyAlignment="1">
      <alignment horizontal="center"/>
    </xf>
    <xf numFmtId="0" fontId="0" fillId="3" borderId="1" xfId="0" applyFill="1" applyBorder="1" applyAlignment="1">
      <alignment horizontal="center" wrapText="1"/>
    </xf>
    <xf numFmtId="0" fontId="22" fillId="0" borderId="18" xfId="2" applyFont="1" applyBorder="1" applyAlignment="1" applyProtection="1">
      <alignment horizontal="left" vertical="top" wrapText="1"/>
      <protection locked="0"/>
    </xf>
    <xf numFmtId="0" fontId="22" fillId="0" borderId="24" xfId="2" applyFont="1" applyBorder="1" applyAlignment="1" applyProtection="1">
      <alignment horizontal="left" vertical="top" wrapText="1"/>
      <protection locked="0"/>
    </xf>
    <xf numFmtId="0" fontId="22" fillId="0" borderId="20" xfId="2" applyFont="1" applyBorder="1" applyAlignment="1" applyProtection="1">
      <alignment horizontal="left" vertical="top" wrapText="1"/>
      <protection locked="0"/>
    </xf>
    <xf numFmtId="0" fontId="22" fillId="0" borderId="0" xfId="2" applyFont="1" applyBorder="1" applyAlignment="1" applyProtection="1">
      <alignment horizontal="left" vertical="top" wrapText="1"/>
      <protection locked="0"/>
    </xf>
    <xf numFmtId="0" fontId="22" fillId="0" borderId="20" xfId="0" applyFont="1" applyBorder="1" applyAlignment="1">
      <alignment horizontal="left" vertical="top" wrapText="1"/>
    </xf>
    <xf numFmtId="0" fontId="22" fillId="0" borderId="0" xfId="0" applyFont="1" applyAlignment="1">
      <alignment horizontal="left" vertical="top" wrapText="1"/>
    </xf>
    <xf numFmtId="0" fontId="22" fillId="0" borderId="1" xfId="2" applyFont="1" applyBorder="1" applyAlignment="1" applyProtection="1">
      <alignment horizontal="left" vertical="top" wrapText="1"/>
      <protection locked="0"/>
    </xf>
    <xf numFmtId="0" fontId="22" fillId="0" borderId="0" xfId="0" applyFont="1" applyBorder="1" applyAlignment="1">
      <alignment horizontal="left" vertical="top" wrapText="1"/>
    </xf>
    <xf numFmtId="0" fontId="22" fillId="0" borderId="0" xfId="0" applyFont="1" applyAlignment="1">
      <alignment horizontal="left" vertical="top" wrapText="1"/>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1.png"/><Relationship Id="rId18" Type="http://schemas.openxmlformats.org/officeDocument/2006/relationships/image" Target="../media/image16.jpeg"/><Relationship Id="rId26" Type="http://schemas.openxmlformats.org/officeDocument/2006/relationships/image" Target="../media/image24.jpeg"/><Relationship Id="rId3" Type="http://schemas.microsoft.com/office/2007/relationships/hdphoto" Target="../media/hdphoto1.wdp"/><Relationship Id="rId21" Type="http://schemas.openxmlformats.org/officeDocument/2006/relationships/image" Target="../media/image19.jpeg"/><Relationship Id="rId34" Type="http://schemas.openxmlformats.org/officeDocument/2006/relationships/image" Target="../media/image32.jpeg"/><Relationship Id="rId7" Type="http://schemas.openxmlformats.org/officeDocument/2006/relationships/image" Target="../media/image5.jpeg"/><Relationship Id="rId12" Type="http://schemas.openxmlformats.org/officeDocument/2006/relationships/image" Target="../media/image10.png"/><Relationship Id="rId17" Type="http://schemas.openxmlformats.org/officeDocument/2006/relationships/image" Target="../media/image15.jpeg"/><Relationship Id="rId25" Type="http://schemas.openxmlformats.org/officeDocument/2006/relationships/image" Target="../media/image23.jpeg"/><Relationship Id="rId33" Type="http://schemas.openxmlformats.org/officeDocument/2006/relationships/image" Target="../media/image31.jpeg"/><Relationship Id="rId2" Type="http://schemas.openxmlformats.org/officeDocument/2006/relationships/image" Target="../media/image2.png"/><Relationship Id="rId16" Type="http://schemas.openxmlformats.org/officeDocument/2006/relationships/image" Target="../media/image14.jpeg"/><Relationship Id="rId20" Type="http://schemas.openxmlformats.org/officeDocument/2006/relationships/image" Target="../media/image18.jpeg"/><Relationship Id="rId29" Type="http://schemas.openxmlformats.org/officeDocument/2006/relationships/image" Target="../media/image27.jpe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png"/><Relationship Id="rId24" Type="http://schemas.openxmlformats.org/officeDocument/2006/relationships/image" Target="../media/image22.jpeg"/><Relationship Id="rId32" Type="http://schemas.openxmlformats.org/officeDocument/2006/relationships/image" Target="../media/image30.jpeg"/><Relationship Id="rId5" Type="http://schemas.microsoft.com/office/2007/relationships/hdphoto" Target="../media/hdphoto2.wdp"/><Relationship Id="rId15" Type="http://schemas.openxmlformats.org/officeDocument/2006/relationships/image" Target="../media/image13.jpeg"/><Relationship Id="rId23" Type="http://schemas.openxmlformats.org/officeDocument/2006/relationships/image" Target="../media/image21.jpeg"/><Relationship Id="rId28" Type="http://schemas.openxmlformats.org/officeDocument/2006/relationships/image" Target="../media/image26.jpeg"/><Relationship Id="rId10" Type="http://schemas.openxmlformats.org/officeDocument/2006/relationships/image" Target="../media/image8.jpeg"/><Relationship Id="rId19" Type="http://schemas.openxmlformats.org/officeDocument/2006/relationships/image" Target="../media/image17.jpeg"/><Relationship Id="rId31" Type="http://schemas.openxmlformats.org/officeDocument/2006/relationships/image" Target="../media/image29.jpeg"/><Relationship Id="rId4" Type="http://schemas.openxmlformats.org/officeDocument/2006/relationships/image" Target="../media/image3.png"/><Relationship Id="rId9" Type="http://schemas.openxmlformats.org/officeDocument/2006/relationships/image" Target="../media/image7.jpeg"/><Relationship Id="rId14" Type="http://schemas.openxmlformats.org/officeDocument/2006/relationships/image" Target="../media/image12.jpeg"/><Relationship Id="rId22" Type="http://schemas.openxmlformats.org/officeDocument/2006/relationships/image" Target="../media/image20.jpeg"/><Relationship Id="rId27" Type="http://schemas.openxmlformats.org/officeDocument/2006/relationships/image" Target="../media/image25.jpeg"/><Relationship Id="rId30" Type="http://schemas.openxmlformats.org/officeDocument/2006/relationships/image" Target="../media/image28.jpeg"/><Relationship Id="rId35" Type="http://schemas.openxmlformats.org/officeDocument/2006/relationships/image" Target="../media/image33.jpeg"/><Relationship Id="rId8" Type="http://schemas.openxmlformats.org/officeDocument/2006/relationships/image" Target="../media/image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twoCellAnchor editAs="oneCell">
    <xdr:from>
      <xdr:col>0</xdr:col>
      <xdr:colOff>592230</xdr:colOff>
      <xdr:row>1289</xdr:row>
      <xdr:rowOff>24465</xdr:rowOff>
    </xdr:from>
    <xdr:to>
      <xdr:col>7</xdr:col>
      <xdr:colOff>358588</xdr:colOff>
      <xdr:row>1307</xdr:row>
      <xdr:rowOff>24412</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92230" y="263160994"/>
          <a:ext cx="5335682" cy="3630655"/>
        </a:xfrm>
        <a:prstGeom prst="rect">
          <a:avLst/>
        </a:prstGeom>
        <a:ln>
          <a:solidFill>
            <a:schemeClr val="tx1"/>
          </a:solidFill>
        </a:ln>
      </xdr:spPr>
    </xdr:pic>
    <xdr:clientData/>
  </xdr:twoCellAnchor>
  <xdr:twoCellAnchor editAs="oneCell">
    <xdr:from>
      <xdr:col>1</xdr:col>
      <xdr:colOff>495522</xdr:colOff>
      <xdr:row>1244</xdr:row>
      <xdr:rowOff>123265</xdr:rowOff>
    </xdr:from>
    <xdr:to>
      <xdr:col>6</xdr:col>
      <xdr:colOff>340431</xdr:colOff>
      <xdr:row>1262</xdr:row>
      <xdr:rowOff>19082</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Effect>
                    <a14:brightnessContrast contrast="40000"/>
                  </a14:imgEffect>
                </a14:imgLayer>
              </a14:imgProps>
            </a:ext>
          </a:extLst>
        </a:blip>
        <a:stretch>
          <a:fillRect/>
        </a:stretch>
      </xdr:blipFill>
      <xdr:spPr>
        <a:xfrm>
          <a:off x="1257522" y="241968618"/>
          <a:ext cx="3867821" cy="3526523"/>
        </a:xfrm>
        <a:prstGeom prst="rect">
          <a:avLst/>
        </a:prstGeom>
        <a:ln w="9525">
          <a:solidFill>
            <a:schemeClr val="tx1"/>
          </a:solidFill>
        </a:ln>
      </xdr:spPr>
    </xdr:pic>
    <xdr:clientData/>
  </xdr:twoCellAnchor>
  <xdr:twoCellAnchor editAs="oneCell">
    <xdr:from>
      <xdr:col>0</xdr:col>
      <xdr:colOff>381000</xdr:colOff>
      <xdr:row>1263</xdr:row>
      <xdr:rowOff>8237</xdr:rowOff>
    </xdr:from>
    <xdr:to>
      <xdr:col>7</xdr:col>
      <xdr:colOff>528037</xdr:colOff>
      <xdr:row>1282</xdr:row>
      <xdr:rowOff>31268</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colorTemperature colorTemp="4700"/>
                  </a14:imgEffect>
                  <a14:imgEffect>
                    <a14:brightnessContrast contrast="40000"/>
                  </a14:imgEffect>
                </a14:imgLayer>
              </a14:imgProps>
            </a:ext>
          </a:extLst>
        </a:blip>
        <a:srcRect t="1170" r="4016"/>
        <a:stretch/>
      </xdr:blipFill>
      <xdr:spPr>
        <a:xfrm>
          <a:off x="381000" y="245686002"/>
          <a:ext cx="5716361" cy="3855445"/>
        </a:xfrm>
        <a:prstGeom prst="rect">
          <a:avLst/>
        </a:prstGeom>
        <a:ln w="9525">
          <a:solidFill>
            <a:schemeClr val="tx1"/>
          </a:solidFill>
        </a:ln>
      </xdr:spPr>
    </xdr:pic>
    <xdr:clientData/>
  </xdr:twoCellAnchor>
  <xdr:twoCellAnchor>
    <xdr:from>
      <xdr:col>2</xdr:col>
      <xdr:colOff>143743</xdr:colOff>
      <xdr:row>1266</xdr:row>
      <xdr:rowOff>12808</xdr:rowOff>
    </xdr:from>
    <xdr:to>
      <xdr:col>3</xdr:col>
      <xdr:colOff>327146</xdr:colOff>
      <xdr:row>1268</xdr:row>
      <xdr:rowOff>197548</xdr:rowOff>
    </xdr:to>
    <xdr:sp macro="" textlink="">
      <xdr:nvSpPr>
        <xdr:cNvPr id="45" name="Rectangle 44">
          <a:extLst>
            <a:ext uri="{FF2B5EF4-FFF2-40B4-BE49-F238E27FC236}">
              <a16:creationId xmlns:a16="http://schemas.microsoft.com/office/drawing/2014/main" id="{00000000-0008-0000-0000-00002D000000}"/>
            </a:ext>
          </a:extLst>
        </xdr:cNvPr>
        <xdr:cNvSpPr/>
      </xdr:nvSpPr>
      <xdr:spPr>
        <a:xfrm rot="385905">
          <a:off x="1645331" y="246295690"/>
          <a:ext cx="1035050" cy="588152"/>
        </a:xfrm>
        <a:prstGeom prst="rect">
          <a:avLst/>
        </a:prstGeom>
        <a:noFill/>
        <a:ln w="19050">
          <a:solidFill>
            <a:srgbClr val="0066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3</xdr:col>
      <xdr:colOff>754649</xdr:colOff>
      <xdr:row>1268</xdr:row>
      <xdr:rowOff>79087</xdr:rowOff>
    </xdr:from>
    <xdr:to>
      <xdr:col>4</xdr:col>
      <xdr:colOff>330380</xdr:colOff>
      <xdr:row>1273</xdr:row>
      <xdr:rowOff>75867</xdr:rowOff>
    </xdr:to>
    <xdr:sp macro="" textlink="">
      <xdr:nvSpPr>
        <xdr:cNvPr id="46" name="Rectangle 45">
          <a:extLst>
            <a:ext uri="{FF2B5EF4-FFF2-40B4-BE49-F238E27FC236}">
              <a16:creationId xmlns:a16="http://schemas.microsoft.com/office/drawing/2014/main" id="{00000000-0008-0000-0000-00002E000000}"/>
            </a:ext>
          </a:extLst>
        </xdr:cNvPr>
        <xdr:cNvSpPr/>
      </xdr:nvSpPr>
      <xdr:spPr>
        <a:xfrm rot="7634140">
          <a:off x="2824521" y="247048744"/>
          <a:ext cx="1005310" cy="438584"/>
        </a:xfrm>
        <a:prstGeom prst="rect">
          <a:avLst/>
        </a:prstGeom>
        <a:no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5</xdr:col>
      <xdr:colOff>524796</xdr:colOff>
      <xdr:row>1267</xdr:row>
      <xdr:rowOff>110864</xdr:rowOff>
    </xdr:from>
    <xdr:to>
      <xdr:col>6</xdr:col>
      <xdr:colOff>239668</xdr:colOff>
      <xdr:row>1269</xdr:row>
      <xdr:rowOff>190750</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a:xfrm rot="559916">
          <a:off x="4525296" y="246595452"/>
          <a:ext cx="499284" cy="483298"/>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2</xdr:col>
      <xdr:colOff>162287</xdr:colOff>
      <xdr:row>1264</xdr:row>
      <xdr:rowOff>81870</xdr:rowOff>
    </xdr:from>
    <xdr:to>
      <xdr:col>3</xdr:col>
      <xdr:colOff>578157</xdr:colOff>
      <xdr:row>1266</xdr:row>
      <xdr:rowOff>47791</xdr:rowOff>
    </xdr:to>
    <xdr:sp macro="" textlink="">
      <xdr:nvSpPr>
        <xdr:cNvPr id="48" name="TextBox 15">
          <a:extLst>
            <a:ext uri="{FF2B5EF4-FFF2-40B4-BE49-F238E27FC236}">
              <a16:creationId xmlns:a16="http://schemas.microsoft.com/office/drawing/2014/main" id="{00000000-0008-0000-0000-000030000000}"/>
            </a:ext>
          </a:extLst>
        </xdr:cNvPr>
        <xdr:cNvSpPr txBox="1"/>
      </xdr:nvSpPr>
      <xdr:spPr>
        <a:xfrm rot="404463">
          <a:off x="1663875" y="245961341"/>
          <a:ext cx="1267517" cy="369332"/>
        </a:xfrm>
        <a:prstGeom prst="rect">
          <a:avLst/>
        </a:prstGeom>
        <a:noFill/>
        <a:ln w="19050">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0066FF"/>
              </a:solidFill>
            </a:rPr>
            <a:t>Navkar Harmomy  (Building Type G)</a:t>
          </a:r>
          <a:endParaRPr lang="en-IN" sz="900" b="1">
            <a:solidFill>
              <a:srgbClr val="0066FF"/>
            </a:solidFill>
          </a:endParaRPr>
        </a:p>
      </xdr:txBody>
    </xdr:sp>
    <xdr:clientData/>
  </xdr:twoCellAnchor>
  <xdr:twoCellAnchor>
    <xdr:from>
      <xdr:col>5</xdr:col>
      <xdr:colOff>443702</xdr:colOff>
      <xdr:row>1269</xdr:row>
      <xdr:rowOff>173194</xdr:rowOff>
    </xdr:from>
    <xdr:to>
      <xdr:col>6</xdr:col>
      <xdr:colOff>158574</xdr:colOff>
      <xdr:row>1272</xdr:row>
      <xdr:rowOff>104290</xdr:rowOff>
    </xdr:to>
    <xdr:sp macro="" textlink="">
      <xdr:nvSpPr>
        <xdr:cNvPr id="49" name="Rectangle 48">
          <a:extLst>
            <a:ext uri="{FF2B5EF4-FFF2-40B4-BE49-F238E27FC236}">
              <a16:creationId xmlns:a16="http://schemas.microsoft.com/office/drawing/2014/main" id="{00000000-0008-0000-0000-000031000000}"/>
            </a:ext>
          </a:extLst>
        </xdr:cNvPr>
        <xdr:cNvSpPr/>
      </xdr:nvSpPr>
      <xdr:spPr>
        <a:xfrm rot="527617">
          <a:off x="4444202" y="247061194"/>
          <a:ext cx="499284" cy="536214"/>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5</xdr:col>
      <xdr:colOff>359160</xdr:colOff>
      <xdr:row>1272</xdr:row>
      <xdr:rowOff>88399</xdr:rowOff>
    </xdr:from>
    <xdr:to>
      <xdr:col>6</xdr:col>
      <xdr:colOff>64711</xdr:colOff>
      <xdr:row>1275</xdr:row>
      <xdr:rowOff>67144</xdr:rowOff>
    </xdr:to>
    <xdr:sp macro="" textlink="">
      <xdr:nvSpPr>
        <xdr:cNvPr id="50" name="Rectangle 49">
          <a:extLst>
            <a:ext uri="{FF2B5EF4-FFF2-40B4-BE49-F238E27FC236}">
              <a16:creationId xmlns:a16="http://schemas.microsoft.com/office/drawing/2014/main" id="{00000000-0008-0000-0000-000032000000}"/>
            </a:ext>
          </a:extLst>
        </xdr:cNvPr>
        <xdr:cNvSpPr/>
      </xdr:nvSpPr>
      <xdr:spPr>
        <a:xfrm rot="527617">
          <a:off x="4359660" y="247581517"/>
          <a:ext cx="489963" cy="583862"/>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6</xdr:col>
      <xdr:colOff>236512</xdr:colOff>
      <xdr:row>1267</xdr:row>
      <xdr:rowOff>87891</xdr:rowOff>
    </xdr:from>
    <xdr:to>
      <xdr:col>6</xdr:col>
      <xdr:colOff>467344</xdr:colOff>
      <xdr:row>1270</xdr:row>
      <xdr:rowOff>71113</xdr:rowOff>
    </xdr:to>
    <xdr:sp macro="" textlink="">
      <xdr:nvSpPr>
        <xdr:cNvPr id="51" name="TextBox 20">
          <a:extLst>
            <a:ext uri="{FF2B5EF4-FFF2-40B4-BE49-F238E27FC236}">
              <a16:creationId xmlns:a16="http://schemas.microsoft.com/office/drawing/2014/main" id="{00000000-0008-0000-0000-000033000000}"/>
            </a:ext>
          </a:extLst>
        </xdr:cNvPr>
        <xdr:cNvSpPr txBox="1"/>
      </xdr:nvSpPr>
      <xdr:spPr>
        <a:xfrm rot="17044654">
          <a:off x="4842670" y="246751233"/>
          <a:ext cx="588340" cy="230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C00000"/>
              </a:solidFill>
            </a:rPr>
            <a:t>Wing H3</a:t>
          </a:r>
          <a:endParaRPr lang="en-IN" sz="900" b="1">
            <a:solidFill>
              <a:srgbClr val="C00000"/>
            </a:solidFill>
          </a:endParaRPr>
        </a:p>
      </xdr:txBody>
    </xdr:sp>
    <xdr:clientData/>
  </xdr:twoCellAnchor>
  <xdr:twoCellAnchor>
    <xdr:from>
      <xdr:col>6</xdr:col>
      <xdr:colOff>141582</xdr:colOff>
      <xdr:row>1270</xdr:row>
      <xdr:rowOff>1709</xdr:rowOff>
    </xdr:from>
    <xdr:to>
      <xdr:col>6</xdr:col>
      <xdr:colOff>372414</xdr:colOff>
      <xdr:row>1272</xdr:row>
      <xdr:rowOff>186637</xdr:rowOff>
    </xdr:to>
    <xdr:sp macro="" textlink="">
      <xdr:nvSpPr>
        <xdr:cNvPr id="52" name="TextBox 21">
          <a:extLst>
            <a:ext uri="{FF2B5EF4-FFF2-40B4-BE49-F238E27FC236}">
              <a16:creationId xmlns:a16="http://schemas.microsoft.com/office/drawing/2014/main" id="{00000000-0008-0000-0000-000034000000}"/>
            </a:ext>
          </a:extLst>
        </xdr:cNvPr>
        <xdr:cNvSpPr txBox="1"/>
      </xdr:nvSpPr>
      <xdr:spPr>
        <a:xfrm rot="17050146">
          <a:off x="4747740" y="247270169"/>
          <a:ext cx="588340" cy="230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C00000"/>
              </a:solidFill>
            </a:rPr>
            <a:t>Wing H2</a:t>
          </a:r>
          <a:endParaRPr lang="en-IN" sz="900" b="1">
            <a:solidFill>
              <a:srgbClr val="C00000"/>
            </a:solidFill>
          </a:endParaRPr>
        </a:p>
      </xdr:txBody>
    </xdr:sp>
    <xdr:clientData/>
  </xdr:twoCellAnchor>
  <xdr:twoCellAnchor>
    <xdr:from>
      <xdr:col>6</xdr:col>
      <xdr:colOff>32518</xdr:colOff>
      <xdr:row>1273</xdr:row>
      <xdr:rowOff>1743</xdr:rowOff>
    </xdr:from>
    <xdr:to>
      <xdr:col>6</xdr:col>
      <xdr:colOff>263350</xdr:colOff>
      <xdr:row>1275</xdr:row>
      <xdr:rowOff>186672</xdr:rowOff>
    </xdr:to>
    <xdr:sp macro="" textlink="">
      <xdr:nvSpPr>
        <xdr:cNvPr id="53" name="TextBox 22">
          <a:extLst>
            <a:ext uri="{FF2B5EF4-FFF2-40B4-BE49-F238E27FC236}">
              <a16:creationId xmlns:a16="http://schemas.microsoft.com/office/drawing/2014/main" id="{00000000-0008-0000-0000-000035000000}"/>
            </a:ext>
          </a:extLst>
        </xdr:cNvPr>
        <xdr:cNvSpPr txBox="1"/>
      </xdr:nvSpPr>
      <xdr:spPr>
        <a:xfrm rot="16964774">
          <a:off x="4638676" y="247875321"/>
          <a:ext cx="588340" cy="230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C00000"/>
              </a:solidFill>
            </a:rPr>
            <a:t>Wing H1</a:t>
          </a:r>
          <a:endParaRPr lang="en-IN" sz="900" b="1">
            <a:solidFill>
              <a:srgbClr val="C00000"/>
            </a:solidFill>
          </a:endParaRPr>
        </a:p>
      </xdr:txBody>
    </xdr:sp>
    <xdr:clientData/>
  </xdr:twoCellAnchor>
  <xdr:twoCellAnchor>
    <xdr:from>
      <xdr:col>3</xdr:col>
      <xdr:colOff>457625</xdr:colOff>
      <xdr:row>1269</xdr:row>
      <xdr:rowOff>60221</xdr:rowOff>
    </xdr:from>
    <xdr:to>
      <xdr:col>3</xdr:col>
      <xdr:colOff>688457</xdr:colOff>
      <xdr:row>1272</xdr:row>
      <xdr:rowOff>43443</xdr:rowOff>
    </xdr:to>
    <xdr:sp macro="" textlink="">
      <xdr:nvSpPr>
        <xdr:cNvPr id="54" name="TextBox 23">
          <a:extLst>
            <a:ext uri="{FF2B5EF4-FFF2-40B4-BE49-F238E27FC236}">
              <a16:creationId xmlns:a16="http://schemas.microsoft.com/office/drawing/2014/main" id="{00000000-0008-0000-0000-000036000000}"/>
            </a:ext>
          </a:extLst>
        </xdr:cNvPr>
        <xdr:cNvSpPr txBox="1"/>
      </xdr:nvSpPr>
      <xdr:spPr>
        <a:xfrm rot="18466403">
          <a:off x="2632106" y="247126975"/>
          <a:ext cx="588340" cy="230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CC0099"/>
              </a:solidFill>
            </a:rPr>
            <a:t>Wing C3</a:t>
          </a:r>
          <a:endParaRPr lang="en-IN" sz="900" b="1">
            <a:solidFill>
              <a:srgbClr val="CC0099"/>
            </a:solidFill>
          </a:endParaRPr>
        </a:p>
      </xdr:txBody>
    </xdr:sp>
    <xdr:clientData/>
  </xdr:twoCellAnchor>
  <xdr:twoCellAnchor>
    <xdr:from>
      <xdr:col>3</xdr:col>
      <xdr:colOff>750449</xdr:colOff>
      <xdr:row>1267</xdr:row>
      <xdr:rowOff>76782</xdr:rowOff>
    </xdr:from>
    <xdr:to>
      <xdr:col>4</xdr:col>
      <xdr:colOff>118428</xdr:colOff>
      <xdr:row>1270</xdr:row>
      <xdr:rowOff>60004</xdr:rowOff>
    </xdr:to>
    <xdr:sp macro="" textlink="">
      <xdr:nvSpPr>
        <xdr:cNvPr id="55" name="TextBox 24">
          <a:extLst>
            <a:ext uri="{FF2B5EF4-FFF2-40B4-BE49-F238E27FC236}">
              <a16:creationId xmlns:a16="http://schemas.microsoft.com/office/drawing/2014/main" id="{00000000-0008-0000-0000-000037000000}"/>
            </a:ext>
          </a:extLst>
        </xdr:cNvPr>
        <xdr:cNvSpPr txBox="1"/>
      </xdr:nvSpPr>
      <xdr:spPr>
        <a:xfrm rot="18501398">
          <a:off x="2924930" y="246740124"/>
          <a:ext cx="588340" cy="230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CC0099"/>
              </a:solidFill>
            </a:rPr>
            <a:t>Wing C4</a:t>
          </a:r>
          <a:endParaRPr lang="en-IN" sz="900" b="1">
            <a:solidFill>
              <a:srgbClr val="CC0099"/>
            </a:solidFill>
          </a:endParaRPr>
        </a:p>
      </xdr:txBody>
    </xdr:sp>
    <xdr:clientData/>
  </xdr:twoCellAnchor>
  <xdr:twoCellAnchor>
    <xdr:from>
      <xdr:col>4</xdr:col>
      <xdr:colOff>241665</xdr:colOff>
      <xdr:row>1268</xdr:row>
      <xdr:rowOff>166488</xdr:rowOff>
    </xdr:from>
    <xdr:to>
      <xdr:col>4</xdr:col>
      <xdr:colOff>503275</xdr:colOff>
      <xdr:row>1274</xdr:row>
      <xdr:rowOff>88273</xdr:rowOff>
    </xdr:to>
    <xdr:sp macro="" textlink="">
      <xdr:nvSpPr>
        <xdr:cNvPr id="56" name="TextBox 25">
          <a:extLst>
            <a:ext uri="{FF2B5EF4-FFF2-40B4-BE49-F238E27FC236}">
              <a16:creationId xmlns:a16="http://schemas.microsoft.com/office/drawing/2014/main" id="{00000000-0008-0000-0000-000038000000}"/>
            </a:ext>
          </a:extLst>
        </xdr:cNvPr>
        <xdr:cNvSpPr txBox="1"/>
      </xdr:nvSpPr>
      <xdr:spPr>
        <a:xfrm rot="18375472">
          <a:off x="3022548" y="247287987"/>
          <a:ext cx="113202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solidFill>
                <a:srgbClr val="CC0099"/>
              </a:solidFill>
            </a:rPr>
            <a:t>Navkar Elite</a:t>
          </a:r>
        </a:p>
      </xdr:txBody>
    </xdr:sp>
    <xdr:clientData/>
  </xdr:twoCellAnchor>
  <xdr:twoCellAnchor>
    <xdr:from>
      <xdr:col>6</xdr:col>
      <xdr:colOff>319427</xdr:colOff>
      <xdr:row>1268</xdr:row>
      <xdr:rowOff>181220</xdr:rowOff>
    </xdr:from>
    <xdr:to>
      <xdr:col>6</xdr:col>
      <xdr:colOff>581037</xdr:colOff>
      <xdr:row>1274</xdr:row>
      <xdr:rowOff>103005</xdr:rowOff>
    </xdr:to>
    <xdr:sp macro="" textlink="">
      <xdr:nvSpPr>
        <xdr:cNvPr id="57" name="TextBox 26">
          <a:extLst>
            <a:ext uri="{FF2B5EF4-FFF2-40B4-BE49-F238E27FC236}">
              <a16:creationId xmlns:a16="http://schemas.microsoft.com/office/drawing/2014/main" id="{00000000-0008-0000-0000-000039000000}"/>
            </a:ext>
          </a:extLst>
        </xdr:cNvPr>
        <xdr:cNvSpPr txBox="1"/>
      </xdr:nvSpPr>
      <xdr:spPr>
        <a:xfrm rot="16821685">
          <a:off x="4669134" y="247302719"/>
          <a:ext cx="113202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solidFill>
                <a:srgbClr val="C00000"/>
              </a:solidFill>
            </a:rPr>
            <a:t>Navkar Empire</a:t>
          </a:r>
        </a:p>
      </xdr:txBody>
    </xdr:sp>
    <xdr:clientData/>
  </xdr:twoCellAnchor>
  <xdr:twoCellAnchor>
    <xdr:from>
      <xdr:col>4</xdr:col>
      <xdr:colOff>202329</xdr:colOff>
      <xdr:row>1266</xdr:row>
      <xdr:rowOff>65739</xdr:rowOff>
    </xdr:from>
    <xdr:to>
      <xdr:col>5</xdr:col>
      <xdr:colOff>199570</xdr:colOff>
      <xdr:row>1268</xdr:row>
      <xdr:rowOff>108095</xdr:rowOff>
    </xdr:to>
    <xdr:sp macro="" textlink="">
      <xdr:nvSpPr>
        <xdr:cNvPr id="58" name="Rectangle 57">
          <a:extLst>
            <a:ext uri="{FF2B5EF4-FFF2-40B4-BE49-F238E27FC236}">
              <a16:creationId xmlns:a16="http://schemas.microsoft.com/office/drawing/2014/main" id="{00000000-0008-0000-0000-00003A000000}"/>
            </a:ext>
          </a:extLst>
        </xdr:cNvPr>
        <xdr:cNvSpPr/>
      </xdr:nvSpPr>
      <xdr:spPr>
        <a:xfrm rot="1726571">
          <a:off x="3418417" y="246348621"/>
          <a:ext cx="781653" cy="445768"/>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4</xdr:col>
      <xdr:colOff>151254</xdr:colOff>
      <xdr:row>1264</xdr:row>
      <xdr:rowOff>149836</xdr:rowOff>
    </xdr:from>
    <xdr:to>
      <xdr:col>5</xdr:col>
      <xdr:colOff>634359</xdr:colOff>
      <xdr:row>1266</xdr:row>
      <xdr:rowOff>115757</xdr:rowOff>
    </xdr:to>
    <xdr:sp macro="" textlink="">
      <xdr:nvSpPr>
        <xdr:cNvPr id="59" name="TextBox 28">
          <a:extLst>
            <a:ext uri="{FF2B5EF4-FFF2-40B4-BE49-F238E27FC236}">
              <a16:creationId xmlns:a16="http://schemas.microsoft.com/office/drawing/2014/main" id="{00000000-0008-0000-0000-00003B000000}"/>
            </a:ext>
          </a:extLst>
        </xdr:cNvPr>
        <xdr:cNvSpPr txBox="1"/>
      </xdr:nvSpPr>
      <xdr:spPr>
        <a:xfrm rot="1788308">
          <a:off x="3367342" y="246029307"/>
          <a:ext cx="1267517" cy="369332"/>
        </a:xfrm>
        <a:prstGeom prst="rect">
          <a:avLst/>
        </a:prstGeom>
        <a:noFill/>
        <a:ln w="19050">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900" b="1"/>
            <a:t>Navkar Blossom (Building Type D) </a:t>
          </a:r>
          <a:endParaRPr lang="en-IN" sz="900" b="1"/>
        </a:p>
      </xdr:txBody>
    </xdr:sp>
    <xdr:clientData/>
  </xdr:twoCellAnchor>
  <xdr:twoCellAnchor editAs="oneCell">
    <xdr:from>
      <xdr:col>0</xdr:col>
      <xdr:colOff>414618</xdr:colOff>
      <xdr:row>1307</xdr:row>
      <xdr:rowOff>145677</xdr:rowOff>
    </xdr:from>
    <xdr:to>
      <xdr:col>7</xdr:col>
      <xdr:colOff>512669</xdr:colOff>
      <xdr:row>1330</xdr:row>
      <xdr:rowOff>173695</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6"/>
        <a:stretch>
          <a:fillRect/>
        </a:stretch>
      </xdr:blipFill>
      <xdr:spPr>
        <a:xfrm>
          <a:off x="414618" y="266912912"/>
          <a:ext cx="5667375" cy="4667250"/>
        </a:xfrm>
        <a:prstGeom prst="rect">
          <a:avLst/>
        </a:prstGeom>
        <a:ln>
          <a:solidFill>
            <a:schemeClr val="tx1"/>
          </a:solidFill>
        </a:ln>
      </xdr:spPr>
    </xdr:pic>
    <xdr:clientData/>
  </xdr:twoCellAnchor>
  <xdr:twoCellAnchor>
    <xdr:from>
      <xdr:col>2</xdr:col>
      <xdr:colOff>484833</xdr:colOff>
      <xdr:row>1313</xdr:row>
      <xdr:rowOff>130543</xdr:rowOff>
    </xdr:from>
    <xdr:to>
      <xdr:col>4</xdr:col>
      <xdr:colOff>295886</xdr:colOff>
      <xdr:row>1325</xdr:row>
      <xdr:rowOff>22775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rot="1707684">
          <a:off x="1986421" y="268108014"/>
          <a:ext cx="1525553" cy="231270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662126</xdr:colOff>
      <xdr:row>1269</xdr:row>
      <xdr:rowOff>49615</xdr:rowOff>
    </xdr:from>
    <xdr:to>
      <xdr:col>2</xdr:col>
      <xdr:colOff>235370</xdr:colOff>
      <xdr:row>1271</xdr:row>
      <xdr:rowOff>143743</xdr:rowOff>
    </xdr:to>
    <xdr:sp macro="" textlink="">
      <xdr:nvSpPr>
        <xdr:cNvPr id="41" name="Rectangle 40">
          <a:extLst>
            <a:ext uri="{FF2B5EF4-FFF2-40B4-BE49-F238E27FC236}">
              <a16:creationId xmlns:a16="http://schemas.microsoft.com/office/drawing/2014/main" id="{00000000-0008-0000-0000-000029000000}"/>
            </a:ext>
          </a:extLst>
        </xdr:cNvPr>
        <xdr:cNvSpPr/>
      </xdr:nvSpPr>
      <xdr:spPr>
        <a:xfrm rot="19937814">
          <a:off x="662126" y="259152027"/>
          <a:ext cx="1074832" cy="49754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noFill/>
          </a:endParaRPr>
        </a:p>
      </xdr:txBody>
    </xdr:sp>
    <xdr:clientData/>
  </xdr:twoCellAnchor>
  <xdr:twoCellAnchor>
    <xdr:from>
      <xdr:col>0</xdr:col>
      <xdr:colOff>496733</xdr:colOff>
      <xdr:row>1268</xdr:row>
      <xdr:rowOff>95152</xdr:rowOff>
    </xdr:from>
    <xdr:to>
      <xdr:col>1</xdr:col>
      <xdr:colOff>667341</xdr:colOff>
      <xdr:row>1269</xdr:row>
      <xdr:rowOff>126652</xdr:rowOff>
    </xdr:to>
    <xdr:sp macro="" textlink="">
      <xdr:nvSpPr>
        <xdr:cNvPr id="42" name="TextBox 24">
          <a:extLst>
            <a:ext uri="{FF2B5EF4-FFF2-40B4-BE49-F238E27FC236}">
              <a16:creationId xmlns:a16="http://schemas.microsoft.com/office/drawing/2014/main" id="{00000000-0008-0000-0000-00002A000000}"/>
            </a:ext>
          </a:extLst>
        </xdr:cNvPr>
        <xdr:cNvSpPr txBox="1"/>
      </xdr:nvSpPr>
      <xdr:spPr>
        <a:xfrm rot="19985929">
          <a:off x="496733" y="264262623"/>
          <a:ext cx="932608" cy="23320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chemeClr val="accent4">
                  <a:lumMod val="75000"/>
                </a:schemeClr>
              </a:solidFill>
            </a:rPr>
            <a:t>Wing R1</a:t>
          </a:r>
          <a:r>
            <a:rPr lang="en-US" sz="900" b="1" baseline="0">
              <a:solidFill>
                <a:schemeClr val="accent4">
                  <a:lumMod val="75000"/>
                </a:schemeClr>
              </a:solidFill>
            </a:rPr>
            <a:t> &amp; R2</a:t>
          </a:r>
          <a:endParaRPr lang="en-IN" sz="900" b="1">
            <a:solidFill>
              <a:schemeClr val="accent4">
                <a:lumMod val="75000"/>
              </a:schemeClr>
            </a:solidFill>
          </a:endParaRPr>
        </a:p>
      </xdr:txBody>
    </xdr:sp>
    <xdr:clientData/>
  </xdr:twoCellAnchor>
  <xdr:twoCellAnchor>
    <xdr:from>
      <xdr:col>8</xdr:col>
      <xdr:colOff>295275</xdr:colOff>
      <xdr:row>1153</xdr:row>
      <xdr:rowOff>0</xdr:rowOff>
    </xdr:from>
    <xdr:to>
      <xdr:col>8</xdr:col>
      <xdr:colOff>1413303</xdr:colOff>
      <xdr:row>1154</xdr:row>
      <xdr:rowOff>196228</xdr:rowOff>
    </xdr:to>
    <xdr:sp macro="" textlink="">
      <xdr:nvSpPr>
        <xdr:cNvPr id="92" name="TextBox 33">
          <a:extLst>
            <a:ext uri="{FF2B5EF4-FFF2-40B4-BE49-F238E27FC236}">
              <a16:creationId xmlns:a16="http://schemas.microsoft.com/office/drawing/2014/main" id="{00000000-0008-0000-0000-00005C000000}"/>
            </a:ext>
          </a:extLst>
        </xdr:cNvPr>
        <xdr:cNvSpPr txBox="1"/>
      </xdr:nvSpPr>
      <xdr:spPr>
        <a:xfrm>
          <a:off x="7515225" y="242042950"/>
          <a:ext cx="1118028" cy="393078"/>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100" b="1">
              <a:solidFill>
                <a:srgbClr val="000000"/>
              </a:solidFill>
            </a:rPr>
            <a:t>Navkar Elite  (Wing C3 &amp; C4) </a:t>
          </a:r>
        </a:p>
      </xdr:txBody>
    </xdr:sp>
    <xdr:clientData/>
  </xdr:twoCellAnchor>
  <xdr:twoCellAnchor>
    <xdr:from>
      <xdr:col>14</xdr:col>
      <xdr:colOff>109493</xdr:colOff>
      <xdr:row>1153</xdr:row>
      <xdr:rowOff>55906</xdr:rowOff>
    </xdr:from>
    <xdr:to>
      <xdr:col>15</xdr:col>
      <xdr:colOff>626990</xdr:colOff>
      <xdr:row>1155</xdr:row>
      <xdr:rowOff>89467</xdr:rowOff>
    </xdr:to>
    <xdr:sp macro="" textlink="">
      <xdr:nvSpPr>
        <xdr:cNvPr id="93" name="TextBox 69">
          <a:extLst>
            <a:ext uri="{FF2B5EF4-FFF2-40B4-BE49-F238E27FC236}">
              <a16:creationId xmlns:a16="http://schemas.microsoft.com/office/drawing/2014/main" id="{00000000-0008-0000-0000-00005D000000}"/>
            </a:ext>
          </a:extLst>
        </xdr:cNvPr>
        <xdr:cNvSpPr txBox="1"/>
      </xdr:nvSpPr>
      <xdr:spPr>
        <a:xfrm>
          <a:off x="12193543" y="242098856"/>
          <a:ext cx="1158847" cy="427261"/>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100" b="1"/>
            <a:t>Navkar Empire</a:t>
          </a:r>
        </a:p>
        <a:p>
          <a:pPr algn="ctr"/>
          <a:r>
            <a:rPr lang="en-US" sz="1100" b="1"/>
            <a:t>(Wing H1</a:t>
          </a:r>
          <a:r>
            <a:rPr lang="en-US" sz="1100" b="1" baseline="0"/>
            <a:t> &amp; H2</a:t>
          </a:r>
          <a:r>
            <a:rPr lang="en-US" sz="1100" b="1"/>
            <a:t>)</a:t>
          </a:r>
          <a:endParaRPr lang="en-IN" sz="1100" b="1"/>
        </a:p>
      </xdr:txBody>
    </xdr:sp>
    <xdr:clientData/>
  </xdr:twoCellAnchor>
  <xdr:twoCellAnchor>
    <xdr:from>
      <xdr:col>9</xdr:col>
      <xdr:colOff>744493</xdr:colOff>
      <xdr:row>1153</xdr:row>
      <xdr:rowOff>27331</xdr:rowOff>
    </xdr:from>
    <xdr:to>
      <xdr:col>11</xdr:col>
      <xdr:colOff>392040</xdr:colOff>
      <xdr:row>1155</xdr:row>
      <xdr:rowOff>60892</xdr:rowOff>
    </xdr:to>
    <xdr:sp macro="" textlink="">
      <xdr:nvSpPr>
        <xdr:cNvPr id="94" name="TextBox 69">
          <a:extLst>
            <a:ext uri="{FF2B5EF4-FFF2-40B4-BE49-F238E27FC236}">
              <a16:creationId xmlns:a16="http://schemas.microsoft.com/office/drawing/2014/main" id="{00000000-0008-0000-0000-00005E000000}"/>
            </a:ext>
          </a:extLst>
        </xdr:cNvPr>
        <xdr:cNvSpPr txBox="1"/>
      </xdr:nvSpPr>
      <xdr:spPr>
        <a:xfrm>
          <a:off x="9393193" y="242070281"/>
          <a:ext cx="1158847" cy="427261"/>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100" b="1"/>
            <a:t>Navkar Empire</a:t>
          </a:r>
        </a:p>
        <a:p>
          <a:pPr algn="ctr"/>
          <a:r>
            <a:rPr lang="en-US" sz="1100" b="1"/>
            <a:t>(Wing H1</a:t>
          </a:r>
          <a:r>
            <a:rPr lang="en-US" sz="1100" b="1" baseline="0"/>
            <a:t> &amp; H2</a:t>
          </a:r>
          <a:r>
            <a:rPr lang="en-US" sz="1100" b="1"/>
            <a:t>)</a:t>
          </a:r>
          <a:endParaRPr lang="en-IN" sz="1100" b="1"/>
        </a:p>
      </xdr:txBody>
    </xdr:sp>
    <xdr:clientData/>
  </xdr:twoCellAnchor>
  <xdr:twoCellAnchor>
    <xdr:from>
      <xdr:col>12</xdr:col>
      <xdr:colOff>88899</xdr:colOff>
      <xdr:row>1164</xdr:row>
      <xdr:rowOff>6350</xdr:rowOff>
    </xdr:from>
    <xdr:to>
      <xdr:col>14</xdr:col>
      <xdr:colOff>34924</xdr:colOff>
      <xdr:row>1166</xdr:row>
      <xdr:rowOff>43086</xdr:rowOff>
    </xdr:to>
    <xdr:sp macro="" textlink="">
      <xdr:nvSpPr>
        <xdr:cNvPr id="95" name="TextBox 66">
          <a:extLst>
            <a:ext uri="{FF2B5EF4-FFF2-40B4-BE49-F238E27FC236}">
              <a16:creationId xmlns:a16="http://schemas.microsoft.com/office/drawing/2014/main" id="{00000000-0008-0000-0000-00005F000000}"/>
            </a:ext>
          </a:extLst>
        </xdr:cNvPr>
        <xdr:cNvSpPr txBox="1"/>
      </xdr:nvSpPr>
      <xdr:spPr>
        <a:xfrm>
          <a:off x="10890249" y="244208300"/>
          <a:ext cx="1228725" cy="430436"/>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t>Navkar Blossom (Building Type D) </a:t>
          </a:r>
          <a:endParaRPr lang="en-IN" sz="1100" b="1"/>
        </a:p>
      </xdr:txBody>
    </xdr:sp>
    <xdr:clientData/>
  </xdr:twoCellAnchor>
  <xdr:twoCellAnchor>
    <xdr:from>
      <xdr:col>9</xdr:col>
      <xdr:colOff>660400</xdr:colOff>
      <xdr:row>1177</xdr:row>
      <xdr:rowOff>60325</xdr:rowOff>
    </xdr:from>
    <xdr:to>
      <xdr:col>12</xdr:col>
      <xdr:colOff>163555</xdr:colOff>
      <xdr:row>1179</xdr:row>
      <xdr:rowOff>93699</xdr:rowOff>
    </xdr:to>
    <xdr:sp macro="" textlink="">
      <xdr:nvSpPr>
        <xdr:cNvPr id="97" name="TextBox 68">
          <a:extLst>
            <a:ext uri="{FF2B5EF4-FFF2-40B4-BE49-F238E27FC236}">
              <a16:creationId xmlns:a16="http://schemas.microsoft.com/office/drawing/2014/main" id="{00000000-0008-0000-0000-000061000000}"/>
            </a:ext>
          </a:extLst>
        </xdr:cNvPr>
        <xdr:cNvSpPr txBox="1"/>
      </xdr:nvSpPr>
      <xdr:spPr>
        <a:xfrm>
          <a:off x="9309100" y="246821325"/>
          <a:ext cx="1655805" cy="427074"/>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100" b="1"/>
            <a:t>Navkar Empire</a:t>
          </a:r>
        </a:p>
        <a:p>
          <a:pPr algn="ctr"/>
          <a:r>
            <a:rPr lang="en-US" sz="1100" b="1"/>
            <a:t>(Wing H3)</a:t>
          </a:r>
          <a:endParaRPr lang="en-IN" sz="1100" b="1"/>
        </a:p>
      </xdr:txBody>
    </xdr:sp>
    <xdr:clientData/>
  </xdr:twoCellAnchor>
  <xdr:twoCellAnchor>
    <xdr:from>
      <xdr:col>12</xdr:col>
      <xdr:colOff>88899</xdr:colOff>
      <xdr:row>1207</xdr:row>
      <xdr:rowOff>6350</xdr:rowOff>
    </xdr:from>
    <xdr:to>
      <xdr:col>14</xdr:col>
      <xdr:colOff>34924</xdr:colOff>
      <xdr:row>1209</xdr:row>
      <xdr:rowOff>43086</xdr:rowOff>
    </xdr:to>
    <xdr:sp macro="" textlink="">
      <xdr:nvSpPr>
        <xdr:cNvPr id="99" name="TextBox 66">
          <a:extLst>
            <a:ext uri="{FF2B5EF4-FFF2-40B4-BE49-F238E27FC236}">
              <a16:creationId xmlns:a16="http://schemas.microsoft.com/office/drawing/2014/main" id="{00000000-0008-0000-0000-000063000000}"/>
            </a:ext>
          </a:extLst>
        </xdr:cNvPr>
        <xdr:cNvSpPr txBox="1"/>
      </xdr:nvSpPr>
      <xdr:spPr>
        <a:xfrm>
          <a:off x="10890249" y="244208300"/>
          <a:ext cx="1228725" cy="430436"/>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t>Navkar Blossom (Building Type D) </a:t>
          </a:r>
          <a:endParaRPr lang="en-IN" sz="1100" b="1"/>
        </a:p>
      </xdr:txBody>
    </xdr:sp>
    <xdr:clientData/>
  </xdr:twoCellAnchor>
  <xdr:twoCellAnchor>
    <xdr:from>
      <xdr:col>8</xdr:col>
      <xdr:colOff>1098897</xdr:colOff>
      <xdr:row>1207</xdr:row>
      <xdr:rowOff>8762</xdr:rowOff>
    </xdr:from>
    <xdr:to>
      <xdr:col>10</xdr:col>
      <xdr:colOff>38100</xdr:colOff>
      <xdr:row>1209</xdr:row>
      <xdr:rowOff>69850</xdr:rowOff>
    </xdr:to>
    <xdr:sp macro="" textlink="">
      <xdr:nvSpPr>
        <xdr:cNvPr id="100" name="TextBox 67">
          <a:extLst>
            <a:ext uri="{FF2B5EF4-FFF2-40B4-BE49-F238E27FC236}">
              <a16:creationId xmlns:a16="http://schemas.microsoft.com/office/drawing/2014/main" id="{00000000-0008-0000-0000-000064000000}"/>
            </a:ext>
          </a:extLst>
        </xdr:cNvPr>
        <xdr:cNvSpPr txBox="1"/>
      </xdr:nvSpPr>
      <xdr:spPr>
        <a:xfrm>
          <a:off x="8318847" y="244210712"/>
          <a:ext cx="1237903" cy="454788"/>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50" b="1">
              <a:solidFill>
                <a:srgbClr val="000000"/>
              </a:solidFill>
            </a:rPr>
            <a:t>Navkar Harmomy  (Building Type G)</a:t>
          </a:r>
          <a:endParaRPr lang="en-IN" sz="1050" b="1">
            <a:solidFill>
              <a:srgbClr val="000000"/>
            </a:solidFill>
          </a:endParaRPr>
        </a:p>
      </xdr:txBody>
    </xdr:sp>
    <xdr:clientData/>
  </xdr:twoCellAnchor>
  <xdr:twoCellAnchor>
    <xdr:from>
      <xdr:col>9</xdr:col>
      <xdr:colOff>660400</xdr:colOff>
      <xdr:row>1220</xdr:row>
      <xdr:rowOff>60325</xdr:rowOff>
    </xdr:from>
    <xdr:to>
      <xdr:col>12</xdr:col>
      <xdr:colOff>163555</xdr:colOff>
      <xdr:row>1222</xdr:row>
      <xdr:rowOff>93699</xdr:rowOff>
    </xdr:to>
    <xdr:sp macro="" textlink="">
      <xdr:nvSpPr>
        <xdr:cNvPr id="101" name="TextBox 68">
          <a:extLst>
            <a:ext uri="{FF2B5EF4-FFF2-40B4-BE49-F238E27FC236}">
              <a16:creationId xmlns:a16="http://schemas.microsoft.com/office/drawing/2014/main" id="{00000000-0008-0000-0000-000065000000}"/>
            </a:ext>
          </a:extLst>
        </xdr:cNvPr>
        <xdr:cNvSpPr txBox="1"/>
      </xdr:nvSpPr>
      <xdr:spPr>
        <a:xfrm>
          <a:off x="9309100" y="246821325"/>
          <a:ext cx="1655805" cy="427074"/>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100" b="1"/>
            <a:t>Navkar Empire</a:t>
          </a:r>
        </a:p>
        <a:p>
          <a:pPr algn="ctr"/>
          <a:r>
            <a:rPr lang="en-US" sz="1100" b="1"/>
            <a:t>(Wing H3)</a:t>
          </a:r>
          <a:endParaRPr lang="en-IN" sz="1100" b="1"/>
        </a:p>
      </xdr:txBody>
    </xdr:sp>
    <xdr:clientData/>
  </xdr:twoCellAnchor>
  <xdr:twoCellAnchor>
    <xdr:from>
      <xdr:col>8</xdr:col>
      <xdr:colOff>514350</xdr:colOff>
      <xdr:row>1219</xdr:row>
      <xdr:rowOff>187325</xdr:rowOff>
    </xdr:from>
    <xdr:to>
      <xdr:col>9</xdr:col>
      <xdr:colOff>741405</xdr:colOff>
      <xdr:row>1222</xdr:row>
      <xdr:rowOff>20674</xdr:rowOff>
    </xdr:to>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7400925" y="264506075"/>
          <a:ext cx="1589130" cy="433424"/>
        </a:xfrm>
        <a:prstGeom prst="rect">
          <a:avLst/>
        </a:prstGeom>
        <a:solidFill>
          <a:schemeClr val="bg1">
            <a:lumMod val="8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100" b="1"/>
            <a:t>Navkar Majestic</a:t>
          </a:r>
        </a:p>
        <a:p>
          <a:pPr algn="ctr"/>
          <a:r>
            <a:rPr lang="en-US" sz="1100" b="1"/>
            <a:t>(Wing R1 &amp;</a:t>
          </a:r>
          <a:r>
            <a:rPr lang="en-US" sz="1100" b="1" baseline="0"/>
            <a:t> R2</a:t>
          </a:r>
          <a:r>
            <a:rPr lang="en-US" sz="1100" b="1"/>
            <a:t>)</a:t>
          </a:r>
          <a:endParaRPr lang="en-IN" sz="1100" b="1"/>
        </a:p>
      </xdr:txBody>
    </xdr:sp>
    <xdr:clientData/>
  </xdr:twoCellAnchor>
  <xdr:twoCellAnchor>
    <xdr:from>
      <xdr:col>8</xdr:col>
      <xdr:colOff>1156606</xdr:colOff>
      <xdr:row>1202</xdr:row>
      <xdr:rowOff>97230</xdr:rowOff>
    </xdr:from>
    <xdr:to>
      <xdr:col>17</xdr:col>
      <xdr:colOff>327313</xdr:colOff>
      <xdr:row>1231</xdr:row>
      <xdr:rowOff>147700</xdr:rowOff>
    </xdr:to>
    <xdr:grpSp>
      <xdr:nvGrpSpPr>
        <xdr:cNvPr id="20" name="Group 19">
          <a:extLst>
            <a:ext uri="{FF2B5EF4-FFF2-40B4-BE49-F238E27FC236}">
              <a16:creationId xmlns:a16="http://schemas.microsoft.com/office/drawing/2014/main" id="{8A9F0579-3D38-4782-475E-889EA3D09B33}"/>
            </a:ext>
          </a:extLst>
        </xdr:cNvPr>
        <xdr:cNvGrpSpPr/>
      </xdr:nvGrpSpPr>
      <xdr:grpSpPr>
        <a:xfrm>
          <a:off x="8043181" y="263339655"/>
          <a:ext cx="5857257" cy="5841670"/>
          <a:chOff x="186046" y="254815768"/>
          <a:chExt cx="6614114" cy="5935683"/>
        </a:xfrm>
      </xdr:grpSpPr>
      <xdr:pic>
        <xdr:nvPicPr>
          <xdr:cNvPr id="15" name="Picture 14">
            <a:extLst>
              <a:ext uri="{FF2B5EF4-FFF2-40B4-BE49-F238E27FC236}">
                <a16:creationId xmlns:a16="http://schemas.microsoft.com/office/drawing/2014/main" id="{7229CECF-BF33-455B-96AB-0CF3F066F41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43640" y="258090389"/>
            <a:ext cx="2172691" cy="26610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D3178201-6B82-4661-88F5-01051E4F1AF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96340" y="258079504"/>
            <a:ext cx="2163783" cy="26610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a:extLst>
              <a:ext uri="{FF2B5EF4-FFF2-40B4-BE49-F238E27FC236}">
                <a16:creationId xmlns:a16="http://schemas.microsoft.com/office/drawing/2014/main" id="{DEB32F26-9231-1D52-A5D3-35E3FCC9E5F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046" y="254826444"/>
            <a:ext cx="4129231" cy="30865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a:extLst>
              <a:ext uri="{FF2B5EF4-FFF2-40B4-BE49-F238E27FC236}">
                <a16:creationId xmlns:a16="http://schemas.microsoft.com/office/drawing/2014/main" id="{BFDE49F2-C59B-BF48-13FA-FED91CA4859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469522" y="254815768"/>
            <a:ext cx="2330638" cy="30865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8</xdr:col>
      <xdr:colOff>622598</xdr:colOff>
      <xdr:row>113</xdr:row>
      <xdr:rowOff>181983</xdr:rowOff>
    </xdr:from>
    <xdr:to>
      <xdr:col>19</xdr:col>
      <xdr:colOff>463689</xdr:colOff>
      <xdr:row>132</xdr:row>
      <xdr:rowOff>102436</xdr:rowOff>
    </xdr:to>
    <xdr:pic>
      <xdr:nvPicPr>
        <xdr:cNvPr id="21" name="Picture 20">
          <a:extLst>
            <a:ext uri="{FF2B5EF4-FFF2-40B4-BE49-F238E27FC236}">
              <a16:creationId xmlns:a16="http://schemas.microsoft.com/office/drawing/2014/main" id="{FC94C160-4009-FB8A-071B-FBF542818AA6}"/>
            </a:ext>
          </a:extLst>
        </xdr:cNvPr>
        <xdr:cNvPicPr>
          <a:picLocks noChangeAspect="1"/>
        </xdr:cNvPicPr>
      </xdr:nvPicPr>
      <xdr:blipFill>
        <a:blip xmlns:r="http://schemas.openxmlformats.org/officeDocument/2006/relationships" r:embed="rId11"/>
        <a:stretch>
          <a:fillRect/>
        </a:stretch>
      </xdr:blipFill>
      <xdr:spPr>
        <a:xfrm>
          <a:off x="7525422" y="44803807"/>
          <a:ext cx="7752443" cy="4187092"/>
        </a:xfrm>
        <a:prstGeom prst="rect">
          <a:avLst/>
        </a:prstGeom>
      </xdr:spPr>
    </xdr:pic>
    <xdr:clientData/>
  </xdr:twoCellAnchor>
  <xdr:twoCellAnchor editAs="oneCell">
    <xdr:from>
      <xdr:col>9</xdr:col>
      <xdr:colOff>751625</xdr:colOff>
      <xdr:row>115</xdr:row>
      <xdr:rowOff>27566</xdr:rowOff>
    </xdr:from>
    <xdr:to>
      <xdr:col>23</xdr:col>
      <xdr:colOff>492342</xdr:colOff>
      <xdr:row>134</xdr:row>
      <xdr:rowOff>58760</xdr:rowOff>
    </xdr:to>
    <xdr:pic>
      <xdr:nvPicPr>
        <xdr:cNvPr id="24" name="Picture 23">
          <a:extLst>
            <a:ext uri="{FF2B5EF4-FFF2-40B4-BE49-F238E27FC236}">
              <a16:creationId xmlns:a16="http://schemas.microsoft.com/office/drawing/2014/main" id="{FE5CC321-17E3-496F-96C4-1E7066716B93}"/>
            </a:ext>
          </a:extLst>
        </xdr:cNvPr>
        <xdr:cNvPicPr>
          <a:picLocks noChangeAspect="1"/>
        </xdr:cNvPicPr>
      </xdr:nvPicPr>
      <xdr:blipFill>
        <a:blip xmlns:r="http://schemas.openxmlformats.org/officeDocument/2006/relationships" r:embed="rId12"/>
        <a:stretch>
          <a:fillRect/>
        </a:stretch>
      </xdr:blipFill>
      <xdr:spPr>
        <a:xfrm>
          <a:off x="8970339" y="45189673"/>
          <a:ext cx="8857503" cy="4520191"/>
        </a:xfrm>
        <a:prstGeom prst="rect">
          <a:avLst/>
        </a:prstGeom>
      </xdr:spPr>
    </xdr:pic>
    <xdr:clientData/>
  </xdr:twoCellAnchor>
  <xdr:twoCellAnchor editAs="oneCell">
    <xdr:from>
      <xdr:col>11</xdr:col>
      <xdr:colOff>289752</xdr:colOff>
      <xdr:row>133</xdr:row>
      <xdr:rowOff>390605</xdr:rowOff>
    </xdr:from>
    <xdr:to>
      <xdr:col>20</xdr:col>
      <xdr:colOff>570581</xdr:colOff>
      <xdr:row>149</xdr:row>
      <xdr:rowOff>91761</xdr:rowOff>
    </xdr:to>
    <xdr:pic>
      <xdr:nvPicPr>
        <xdr:cNvPr id="6" name="Picture 5"/>
        <xdr:cNvPicPr>
          <a:picLocks noChangeAspect="1"/>
        </xdr:cNvPicPr>
      </xdr:nvPicPr>
      <xdr:blipFill>
        <a:blip xmlns:r="http://schemas.openxmlformats.org/officeDocument/2006/relationships" r:embed="rId13"/>
        <a:stretch>
          <a:fillRect/>
        </a:stretch>
      </xdr:blipFill>
      <xdr:spPr>
        <a:xfrm>
          <a:off x="9964431" y="49879784"/>
          <a:ext cx="6063864" cy="3678444"/>
        </a:xfrm>
        <a:prstGeom prst="rect">
          <a:avLst/>
        </a:prstGeom>
      </xdr:spPr>
    </xdr:pic>
    <xdr:clientData/>
  </xdr:twoCellAnchor>
  <xdr:twoCellAnchor>
    <xdr:from>
      <xdr:col>8</xdr:col>
      <xdr:colOff>1238251</xdr:colOff>
      <xdr:row>1157</xdr:row>
      <xdr:rowOff>176650</xdr:rowOff>
    </xdr:from>
    <xdr:to>
      <xdr:col>18</xdr:col>
      <xdr:colOff>389267</xdr:colOff>
      <xdr:row>1197</xdr:row>
      <xdr:rowOff>186432</xdr:rowOff>
    </xdr:to>
    <xdr:grpSp>
      <xdr:nvGrpSpPr>
        <xdr:cNvPr id="11" name="Group 10"/>
        <xdr:cNvGrpSpPr/>
      </xdr:nvGrpSpPr>
      <xdr:grpSpPr>
        <a:xfrm>
          <a:off x="8124826" y="254427475"/>
          <a:ext cx="6456691" cy="8001257"/>
          <a:chOff x="217715" y="256508007"/>
          <a:chExt cx="6498873" cy="8160461"/>
        </a:xfrm>
      </xdr:grpSpPr>
      <xdr:grpSp>
        <xdr:nvGrpSpPr>
          <xdr:cNvPr id="5" name="Group 4">
            <a:extLst>
              <a:ext uri="{FF2B5EF4-FFF2-40B4-BE49-F238E27FC236}">
                <a16:creationId xmlns:a16="http://schemas.microsoft.com/office/drawing/2014/main" id="{A88AA63C-F9FD-3E21-3CF7-32E41B00B187}"/>
              </a:ext>
            </a:extLst>
          </xdr:cNvPr>
          <xdr:cNvGrpSpPr/>
        </xdr:nvGrpSpPr>
        <xdr:grpSpPr>
          <a:xfrm>
            <a:off x="459178" y="256508007"/>
            <a:ext cx="6257410" cy="8160461"/>
            <a:chOff x="102866" y="-16256"/>
            <a:chExt cx="6209352" cy="7381879"/>
          </a:xfrm>
        </xdr:grpSpPr>
        <xdr:pic>
          <xdr:nvPicPr>
            <xdr:cNvPr id="7" name="Picture 6">
              <a:extLst>
                <a:ext uri="{FF2B5EF4-FFF2-40B4-BE49-F238E27FC236}">
                  <a16:creationId xmlns:a16="http://schemas.microsoft.com/office/drawing/2014/main" id="{0F04B1A8-F3E9-EDB4-1726-AB1F70B424C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55487" y="-16256"/>
              <a:ext cx="2145595" cy="28634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B6B8C646-E398-252E-EA88-DEC7B8CA85E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16318" y="2950986"/>
              <a:ext cx="1617574" cy="21587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AFCAC715-9876-C753-73C3-A3FC06950254}"/>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2866" y="5205623"/>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2ED62504-C7FD-A23F-806F-E49CA54A577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15930" y="-14022"/>
              <a:ext cx="2145595" cy="28634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D894ECE2-7A36-024B-4D70-4001B8E9910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436530" y="2937933"/>
              <a:ext cx="2875688" cy="21587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E218B76C-6267-DBA2-602D-B2399DF4BD91}"/>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104090" y="5204351"/>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76" name="Picture 75" descr="https://vsjcllp.vsjadon.com/upload/insp-236703-931.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17715" y="259787573"/>
            <a:ext cx="1763725" cy="23868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489857</xdr:colOff>
      <xdr:row>1159</xdr:row>
      <xdr:rowOff>176893</xdr:rowOff>
    </xdr:from>
    <xdr:to>
      <xdr:col>7</xdr:col>
      <xdr:colOff>1030941</xdr:colOff>
      <xdr:row>1199</xdr:row>
      <xdr:rowOff>100853</xdr:rowOff>
    </xdr:to>
    <xdr:grpSp>
      <xdr:nvGrpSpPr>
        <xdr:cNvPr id="77" name="Group 76"/>
        <xdr:cNvGrpSpPr/>
      </xdr:nvGrpSpPr>
      <xdr:grpSpPr>
        <a:xfrm>
          <a:off x="489857" y="254827768"/>
          <a:ext cx="6094159" cy="7915435"/>
          <a:chOff x="650529" y="692422"/>
          <a:chExt cx="5583624" cy="7526508"/>
        </a:xfrm>
      </xdr:grpSpPr>
      <xdr:pic>
        <xdr:nvPicPr>
          <xdr:cNvPr id="86" name="Picture 85" descr="https://vsjcllp.vsjadon.com/upload/insp-246849-844.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50529" y="692422"/>
            <a:ext cx="2717516" cy="36271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7" name="Picture 86" descr="https://vsjcllp.vsjadon.com/upload/insp-246849-851.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516637" y="692422"/>
            <a:ext cx="2717516" cy="36271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8" name="Picture 87" descr="https://vsjcllp.vsjadon.com/upload/insp-246849-861.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521811" y="443286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9" name="Picture 88" descr="https://vsjcllp.vsjadon.com/upload/insp-246849-862.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184636" y="6693963"/>
            <a:ext cx="1133388" cy="15127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0" name="Picture 89" descr="https://vsjcllp.vsjadon.com/upload/insp-246849-877.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592837" y="6706171"/>
            <a:ext cx="2015144" cy="15127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1" name="Picture 90" descr="https://vsjcllp.vsjadon.com/upload/insp-246849-922.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383480" y="6706171"/>
            <a:ext cx="1133388" cy="15127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6" name="Picture 95" descr="https://vsjcllp.vsjadon.com/upload/insp-246849-1022.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828952" y="442868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8" name="Picture 97" descr="https://vsjcllp.vsjadon.com/upload/insp-246849-880.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195332" y="4428687"/>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571107</xdr:colOff>
      <xdr:row>1202</xdr:row>
      <xdr:rowOff>150770</xdr:rowOff>
    </xdr:from>
    <xdr:to>
      <xdr:col>7</xdr:col>
      <xdr:colOff>476250</xdr:colOff>
      <xdr:row>1242</xdr:row>
      <xdr:rowOff>176892</xdr:rowOff>
    </xdr:to>
    <xdr:grpSp>
      <xdr:nvGrpSpPr>
        <xdr:cNvPr id="78" name="Group 77"/>
        <xdr:cNvGrpSpPr/>
      </xdr:nvGrpSpPr>
      <xdr:grpSpPr>
        <a:xfrm>
          <a:off x="571107" y="263393195"/>
          <a:ext cx="5458218" cy="6017347"/>
          <a:chOff x="7535351" y="2571300"/>
          <a:chExt cx="5132149" cy="6220522"/>
        </a:xfrm>
      </xdr:grpSpPr>
      <xdr:pic>
        <xdr:nvPicPr>
          <xdr:cNvPr id="79" name="Picture 78" descr="https://vsjcllp.vsjadon.com/upload/insp-246849-1525.jpg"/>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0243771" y="7131961"/>
            <a:ext cx="1243600" cy="16598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https://vsjcllp.vsjadon.com/upload/insp-246849-845.jpg"/>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7783102" y="25713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46849-847.jpg"/>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1049187" y="482890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2" name="Picture 81" descr="https://vsjcllp.vsjadon.com/upload/insp-246849-849.jpg"/>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535351" y="482052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3" name="Picture 82" descr="https://vsjcllp.vsjadon.com/upload/insp-246849-940.jpg"/>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9534320" y="2599548"/>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4" name="Picture 83" descr="https://vsjcllp.vsjadon.com/upload/insp-246849-883.jpg"/>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8879991" y="7131961"/>
            <a:ext cx="1243600" cy="16598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5" name="Picture 84" descr="https://vsjcllp.vsjadon.com/upload/insp-246849-928.jpg"/>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9301120" y="482052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6</xdr:col>
      <xdr:colOff>2325</xdr:colOff>
      <xdr:row>27</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5" y="1714500"/>
          <a:ext cx="6403125" cy="3600000"/>
        </a:xfrm>
        <a:prstGeom prst="rect">
          <a:avLst/>
        </a:prstGeom>
        <a:ln>
          <a:solidFill>
            <a:schemeClr val="tx1"/>
          </a:solidFill>
        </a:ln>
      </xdr:spPr>
    </xdr:pic>
    <xdr:clientData/>
  </xdr:twoCellAnchor>
  <xdr:twoCellAnchor editAs="oneCell">
    <xdr:from>
      <xdr:col>1</xdr:col>
      <xdr:colOff>0</xdr:colOff>
      <xdr:row>29</xdr:row>
      <xdr:rowOff>19465</xdr:rowOff>
    </xdr:from>
    <xdr:to>
      <xdr:col>6</xdr:col>
      <xdr:colOff>2325</xdr:colOff>
      <xdr:row>47</xdr:row>
      <xdr:rowOff>190465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5543965"/>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2NtASKCFpw9b3cf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89"/>
  <sheetViews>
    <sheetView tabSelected="1" view="pageBreakPreview" topLeftCell="A79" zoomScaleNormal="50" zoomScaleSheetLayoutView="100" zoomScalePageLayoutView="55" workbookViewId="0">
      <selection activeCell="L99" sqref="L99"/>
    </sheetView>
  </sheetViews>
  <sheetFormatPr defaultColWidth="9.28515625" defaultRowHeight="15.75" x14ac:dyDescent="0.25"/>
  <cols>
    <col min="1" max="1" width="11.42578125" style="18" customWidth="1"/>
    <col min="2" max="2" width="11.28515625" style="18" customWidth="1"/>
    <col min="3" max="4" width="12.7109375" style="18" customWidth="1"/>
    <col min="5" max="7" width="11.7109375" style="18" customWidth="1"/>
    <col min="8" max="8" width="20" style="18" customWidth="1"/>
    <col min="9" max="9" width="20.42578125" style="8" customWidth="1"/>
    <col min="10" max="10" width="12.42578125" style="8" bestFit="1" customWidth="1"/>
    <col min="11" max="12" width="9.28515625" style="8"/>
    <col min="13" max="13" width="11.7109375" style="8" bestFit="1" customWidth="1"/>
    <col min="14" max="252" width="9.28515625" style="8"/>
    <col min="253" max="253" width="8.7109375" style="8" customWidth="1"/>
    <col min="254" max="254" width="9.7109375" style="8" customWidth="1"/>
    <col min="255" max="255" width="14.42578125" style="8" customWidth="1"/>
    <col min="256" max="256" width="7.28515625" style="8" customWidth="1"/>
    <col min="257" max="257" width="5.5703125" style="8" customWidth="1"/>
    <col min="258" max="258" width="9" style="8" customWidth="1"/>
    <col min="259" max="260" width="9.7109375" style="8" customWidth="1"/>
    <col min="261" max="261" width="11.28515625" style="8" customWidth="1"/>
    <col min="262" max="262" width="2.7109375" style="8" customWidth="1"/>
    <col min="263" max="263" width="3.5703125" style="8" customWidth="1"/>
    <col min="264" max="508" width="9.28515625" style="8"/>
    <col min="509" max="509" width="8.7109375" style="8" customWidth="1"/>
    <col min="510" max="510" width="9.7109375" style="8" customWidth="1"/>
    <col min="511" max="511" width="14.42578125" style="8" customWidth="1"/>
    <col min="512" max="512" width="7.28515625" style="8" customWidth="1"/>
    <col min="513" max="513" width="5.5703125" style="8" customWidth="1"/>
    <col min="514" max="514" width="9" style="8" customWidth="1"/>
    <col min="515" max="516" width="9.7109375" style="8" customWidth="1"/>
    <col min="517" max="517" width="11.28515625" style="8" customWidth="1"/>
    <col min="518" max="518" width="2.7109375" style="8" customWidth="1"/>
    <col min="519" max="519" width="3.5703125" style="8" customWidth="1"/>
    <col min="520" max="764" width="9.28515625" style="8"/>
    <col min="765" max="765" width="8.7109375" style="8" customWidth="1"/>
    <col min="766" max="766" width="9.7109375" style="8" customWidth="1"/>
    <col min="767" max="767" width="14.42578125" style="8" customWidth="1"/>
    <col min="768" max="768" width="7.28515625" style="8" customWidth="1"/>
    <col min="769" max="769" width="5.5703125" style="8" customWidth="1"/>
    <col min="770" max="770" width="9" style="8" customWidth="1"/>
    <col min="771" max="772" width="9.7109375" style="8" customWidth="1"/>
    <col min="773" max="773" width="11.28515625" style="8" customWidth="1"/>
    <col min="774" max="774" width="2.7109375" style="8" customWidth="1"/>
    <col min="775" max="775" width="3.5703125" style="8" customWidth="1"/>
    <col min="776" max="1020" width="9.28515625" style="8"/>
    <col min="1021" max="1021" width="8.7109375" style="8" customWidth="1"/>
    <col min="1022" max="1022" width="9.7109375" style="8" customWidth="1"/>
    <col min="1023" max="1023" width="14.42578125" style="8" customWidth="1"/>
    <col min="1024" max="1024" width="7.28515625" style="8" customWidth="1"/>
    <col min="1025" max="1025" width="5.5703125" style="8" customWidth="1"/>
    <col min="1026" max="1026" width="9" style="8" customWidth="1"/>
    <col min="1027" max="1028" width="9.7109375" style="8" customWidth="1"/>
    <col min="1029" max="1029" width="11.28515625" style="8" customWidth="1"/>
    <col min="1030" max="1030" width="2.7109375" style="8" customWidth="1"/>
    <col min="1031" max="1031" width="3.5703125" style="8" customWidth="1"/>
    <col min="1032" max="1276" width="9.28515625" style="8"/>
    <col min="1277" max="1277" width="8.7109375" style="8" customWidth="1"/>
    <col min="1278" max="1278" width="9.7109375" style="8" customWidth="1"/>
    <col min="1279" max="1279" width="14.42578125" style="8" customWidth="1"/>
    <col min="1280" max="1280" width="7.28515625" style="8" customWidth="1"/>
    <col min="1281" max="1281" width="5.5703125" style="8" customWidth="1"/>
    <col min="1282" max="1282" width="9" style="8" customWidth="1"/>
    <col min="1283" max="1284" width="9.7109375" style="8" customWidth="1"/>
    <col min="1285" max="1285" width="11.28515625" style="8" customWidth="1"/>
    <col min="1286" max="1286" width="2.7109375" style="8" customWidth="1"/>
    <col min="1287" max="1287" width="3.5703125" style="8" customWidth="1"/>
    <col min="1288" max="1532" width="9.28515625" style="8"/>
    <col min="1533" max="1533" width="8.7109375" style="8" customWidth="1"/>
    <col min="1534" max="1534" width="9.7109375" style="8" customWidth="1"/>
    <col min="1535" max="1535" width="14.42578125" style="8" customWidth="1"/>
    <col min="1536" max="1536" width="7.28515625" style="8" customWidth="1"/>
    <col min="1537" max="1537" width="5.5703125" style="8" customWidth="1"/>
    <col min="1538" max="1538" width="9" style="8" customWidth="1"/>
    <col min="1539" max="1540" width="9.7109375" style="8" customWidth="1"/>
    <col min="1541" max="1541" width="11.28515625" style="8" customWidth="1"/>
    <col min="1542" max="1542" width="2.7109375" style="8" customWidth="1"/>
    <col min="1543" max="1543" width="3.5703125" style="8" customWidth="1"/>
    <col min="1544" max="1788" width="9.28515625" style="8"/>
    <col min="1789" max="1789" width="8.7109375" style="8" customWidth="1"/>
    <col min="1790" max="1790" width="9.7109375" style="8" customWidth="1"/>
    <col min="1791" max="1791" width="14.42578125" style="8" customWidth="1"/>
    <col min="1792" max="1792" width="7.28515625" style="8" customWidth="1"/>
    <col min="1793" max="1793" width="5.5703125" style="8" customWidth="1"/>
    <col min="1794" max="1794" width="9" style="8" customWidth="1"/>
    <col min="1795" max="1796" width="9.7109375" style="8" customWidth="1"/>
    <col min="1797" max="1797" width="11.28515625" style="8" customWidth="1"/>
    <col min="1798" max="1798" width="2.7109375" style="8" customWidth="1"/>
    <col min="1799" max="1799" width="3.5703125" style="8" customWidth="1"/>
    <col min="1800" max="2044" width="9.28515625" style="8"/>
    <col min="2045" max="2045" width="8.7109375" style="8" customWidth="1"/>
    <col min="2046" max="2046" width="9.7109375" style="8" customWidth="1"/>
    <col min="2047" max="2047" width="14.42578125" style="8" customWidth="1"/>
    <col min="2048" max="2048" width="7.28515625" style="8" customWidth="1"/>
    <col min="2049" max="2049" width="5.5703125" style="8" customWidth="1"/>
    <col min="2050" max="2050" width="9" style="8" customWidth="1"/>
    <col min="2051" max="2052" width="9.7109375" style="8" customWidth="1"/>
    <col min="2053" max="2053" width="11.28515625" style="8" customWidth="1"/>
    <col min="2054" max="2054" width="2.7109375" style="8" customWidth="1"/>
    <col min="2055" max="2055" width="3.5703125" style="8" customWidth="1"/>
    <col min="2056" max="2300" width="9.28515625" style="8"/>
    <col min="2301" max="2301" width="8.7109375" style="8" customWidth="1"/>
    <col min="2302" max="2302" width="9.7109375" style="8" customWidth="1"/>
    <col min="2303" max="2303" width="14.42578125" style="8" customWidth="1"/>
    <col min="2304" max="2304" width="7.28515625" style="8" customWidth="1"/>
    <col min="2305" max="2305" width="5.5703125" style="8" customWidth="1"/>
    <col min="2306" max="2306" width="9" style="8" customWidth="1"/>
    <col min="2307" max="2308" width="9.7109375" style="8" customWidth="1"/>
    <col min="2309" max="2309" width="11.28515625" style="8" customWidth="1"/>
    <col min="2310" max="2310" width="2.7109375" style="8" customWidth="1"/>
    <col min="2311" max="2311" width="3.5703125" style="8" customWidth="1"/>
    <col min="2312" max="2556" width="9.28515625" style="8"/>
    <col min="2557" max="2557" width="8.7109375" style="8" customWidth="1"/>
    <col min="2558" max="2558" width="9.7109375" style="8" customWidth="1"/>
    <col min="2559" max="2559" width="14.42578125" style="8" customWidth="1"/>
    <col min="2560" max="2560" width="7.28515625" style="8" customWidth="1"/>
    <col min="2561" max="2561" width="5.5703125" style="8" customWidth="1"/>
    <col min="2562" max="2562" width="9" style="8" customWidth="1"/>
    <col min="2563" max="2564" width="9.7109375" style="8" customWidth="1"/>
    <col min="2565" max="2565" width="11.28515625" style="8" customWidth="1"/>
    <col min="2566" max="2566" width="2.7109375" style="8" customWidth="1"/>
    <col min="2567" max="2567" width="3.5703125" style="8" customWidth="1"/>
    <col min="2568" max="2812" width="9.28515625" style="8"/>
    <col min="2813" max="2813" width="8.7109375" style="8" customWidth="1"/>
    <col min="2814" max="2814" width="9.7109375" style="8" customWidth="1"/>
    <col min="2815" max="2815" width="14.42578125" style="8" customWidth="1"/>
    <col min="2816" max="2816" width="7.28515625" style="8" customWidth="1"/>
    <col min="2817" max="2817" width="5.5703125" style="8" customWidth="1"/>
    <col min="2818" max="2818" width="9" style="8" customWidth="1"/>
    <col min="2819" max="2820" width="9.7109375" style="8" customWidth="1"/>
    <col min="2821" max="2821" width="11.28515625" style="8" customWidth="1"/>
    <col min="2822" max="2822" width="2.7109375" style="8" customWidth="1"/>
    <col min="2823" max="2823" width="3.5703125" style="8" customWidth="1"/>
    <col min="2824" max="3068" width="9.28515625" style="8"/>
    <col min="3069" max="3069" width="8.7109375" style="8" customWidth="1"/>
    <col min="3070" max="3070" width="9.7109375" style="8" customWidth="1"/>
    <col min="3071" max="3071" width="14.42578125" style="8" customWidth="1"/>
    <col min="3072" max="3072" width="7.28515625" style="8" customWidth="1"/>
    <col min="3073" max="3073" width="5.5703125" style="8" customWidth="1"/>
    <col min="3074" max="3074" width="9" style="8" customWidth="1"/>
    <col min="3075" max="3076" width="9.7109375" style="8" customWidth="1"/>
    <col min="3077" max="3077" width="11.28515625" style="8" customWidth="1"/>
    <col min="3078" max="3078" width="2.7109375" style="8" customWidth="1"/>
    <col min="3079" max="3079" width="3.5703125" style="8" customWidth="1"/>
    <col min="3080" max="3324" width="9.28515625" style="8"/>
    <col min="3325" max="3325" width="8.7109375" style="8" customWidth="1"/>
    <col min="3326" max="3326" width="9.7109375" style="8" customWidth="1"/>
    <col min="3327" max="3327" width="14.42578125" style="8" customWidth="1"/>
    <col min="3328" max="3328" width="7.28515625" style="8" customWidth="1"/>
    <col min="3329" max="3329" width="5.5703125" style="8" customWidth="1"/>
    <col min="3330" max="3330" width="9" style="8" customWidth="1"/>
    <col min="3331" max="3332" width="9.7109375" style="8" customWidth="1"/>
    <col min="3333" max="3333" width="11.28515625" style="8" customWidth="1"/>
    <col min="3334" max="3334" width="2.7109375" style="8" customWidth="1"/>
    <col min="3335" max="3335" width="3.5703125" style="8" customWidth="1"/>
    <col min="3336" max="3580" width="9.28515625" style="8"/>
    <col min="3581" max="3581" width="8.7109375" style="8" customWidth="1"/>
    <col min="3582" max="3582" width="9.7109375" style="8" customWidth="1"/>
    <col min="3583" max="3583" width="14.42578125" style="8" customWidth="1"/>
    <col min="3584" max="3584" width="7.28515625" style="8" customWidth="1"/>
    <col min="3585" max="3585" width="5.5703125" style="8" customWidth="1"/>
    <col min="3586" max="3586" width="9" style="8" customWidth="1"/>
    <col min="3587" max="3588" width="9.7109375" style="8" customWidth="1"/>
    <col min="3589" max="3589" width="11.28515625" style="8" customWidth="1"/>
    <col min="3590" max="3590" width="2.7109375" style="8" customWidth="1"/>
    <col min="3591" max="3591" width="3.5703125" style="8" customWidth="1"/>
    <col min="3592" max="3836" width="9.28515625" style="8"/>
    <col min="3837" max="3837" width="8.7109375" style="8" customWidth="1"/>
    <col min="3838" max="3838" width="9.7109375" style="8" customWidth="1"/>
    <col min="3839" max="3839" width="14.42578125" style="8" customWidth="1"/>
    <col min="3840" max="3840" width="7.28515625" style="8" customWidth="1"/>
    <col min="3841" max="3841" width="5.5703125" style="8" customWidth="1"/>
    <col min="3842" max="3842" width="9" style="8" customWidth="1"/>
    <col min="3843" max="3844" width="9.7109375" style="8" customWidth="1"/>
    <col min="3845" max="3845" width="11.28515625" style="8" customWidth="1"/>
    <col min="3846" max="3846" width="2.7109375" style="8" customWidth="1"/>
    <col min="3847" max="3847" width="3.5703125" style="8" customWidth="1"/>
    <col min="3848" max="4092" width="9.28515625" style="8"/>
    <col min="4093" max="4093" width="8.7109375" style="8" customWidth="1"/>
    <col min="4094" max="4094" width="9.7109375" style="8" customWidth="1"/>
    <col min="4095" max="4095" width="14.42578125" style="8" customWidth="1"/>
    <col min="4096" max="4096" width="7.28515625" style="8" customWidth="1"/>
    <col min="4097" max="4097" width="5.5703125" style="8" customWidth="1"/>
    <col min="4098" max="4098" width="9" style="8" customWidth="1"/>
    <col min="4099" max="4100" width="9.7109375" style="8" customWidth="1"/>
    <col min="4101" max="4101" width="11.28515625" style="8" customWidth="1"/>
    <col min="4102" max="4102" width="2.7109375" style="8" customWidth="1"/>
    <col min="4103" max="4103" width="3.5703125" style="8" customWidth="1"/>
    <col min="4104" max="4348" width="9.28515625" style="8"/>
    <col min="4349" max="4349" width="8.7109375" style="8" customWidth="1"/>
    <col min="4350" max="4350" width="9.7109375" style="8" customWidth="1"/>
    <col min="4351" max="4351" width="14.42578125" style="8" customWidth="1"/>
    <col min="4352" max="4352" width="7.28515625" style="8" customWidth="1"/>
    <col min="4353" max="4353" width="5.5703125" style="8" customWidth="1"/>
    <col min="4354" max="4354" width="9" style="8" customWidth="1"/>
    <col min="4355" max="4356" width="9.7109375" style="8" customWidth="1"/>
    <col min="4357" max="4357" width="11.28515625" style="8" customWidth="1"/>
    <col min="4358" max="4358" width="2.7109375" style="8" customWidth="1"/>
    <col min="4359" max="4359" width="3.5703125" style="8" customWidth="1"/>
    <col min="4360" max="4604" width="9.28515625" style="8"/>
    <col min="4605" max="4605" width="8.7109375" style="8" customWidth="1"/>
    <col min="4606" max="4606" width="9.7109375" style="8" customWidth="1"/>
    <col min="4607" max="4607" width="14.42578125" style="8" customWidth="1"/>
    <col min="4608" max="4608" width="7.28515625" style="8" customWidth="1"/>
    <col min="4609" max="4609" width="5.5703125" style="8" customWidth="1"/>
    <col min="4610" max="4610" width="9" style="8" customWidth="1"/>
    <col min="4611" max="4612" width="9.7109375" style="8" customWidth="1"/>
    <col min="4613" max="4613" width="11.28515625" style="8" customWidth="1"/>
    <col min="4614" max="4614" width="2.7109375" style="8" customWidth="1"/>
    <col min="4615" max="4615" width="3.5703125" style="8" customWidth="1"/>
    <col min="4616" max="4860" width="9.28515625" style="8"/>
    <col min="4861" max="4861" width="8.7109375" style="8" customWidth="1"/>
    <col min="4862" max="4862" width="9.7109375" style="8" customWidth="1"/>
    <col min="4863" max="4863" width="14.42578125" style="8" customWidth="1"/>
    <col min="4864" max="4864" width="7.28515625" style="8" customWidth="1"/>
    <col min="4865" max="4865" width="5.5703125" style="8" customWidth="1"/>
    <col min="4866" max="4866" width="9" style="8" customWidth="1"/>
    <col min="4867" max="4868" width="9.7109375" style="8" customWidth="1"/>
    <col min="4869" max="4869" width="11.28515625" style="8" customWidth="1"/>
    <col min="4870" max="4870" width="2.7109375" style="8" customWidth="1"/>
    <col min="4871" max="4871" width="3.5703125" style="8" customWidth="1"/>
    <col min="4872" max="5116" width="9.28515625" style="8"/>
    <col min="5117" max="5117" width="8.7109375" style="8" customWidth="1"/>
    <col min="5118" max="5118" width="9.7109375" style="8" customWidth="1"/>
    <col min="5119" max="5119" width="14.42578125" style="8" customWidth="1"/>
    <col min="5120" max="5120" width="7.28515625" style="8" customWidth="1"/>
    <col min="5121" max="5121" width="5.5703125" style="8" customWidth="1"/>
    <col min="5122" max="5122" width="9" style="8" customWidth="1"/>
    <col min="5123" max="5124" width="9.7109375" style="8" customWidth="1"/>
    <col min="5125" max="5125" width="11.28515625" style="8" customWidth="1"/>
    <col min="5126" max="5126" width="2.7109375" style="8" customWidth="1"/>
    <col min="5127" max="5127" width="3.5703125" style="8" customWidth="1"/>
    <col min="5128" max="5372" width="9.28515625" style="8"/>
    <col min="5373" max="5373" width="8.7109375" style="8" customWidth="1"/>
    <col min="5374" max="5374" width="9.7109375" style="8" customWidth="1"/>
    <col min="5375" max="5375" width="14.42578125" style="8" customWidth="1"/>
    <col min="5376" max="5376" width="7.28515625" style="8" customWidth="1"/>
    <col min="5377" max="5377" width="5.5703125" style="8" customWidth="1"/>
    <col min="5378" max="5378" width="9" style="8" customWidth="1"/>
    <col min="5379" max="5380" width="9.7109375" style="8" customWidth="1"/>
    <col min="5381" max="5381" width="11.28515625" style="8" customWidth="1"/>
    <col min="5382" max="5382" width="2.7109375" style="8" customWidth="1"/>
    <col min="5383" max="5383" width="3.5703125" style="8" customWidth="1"/>
    <col min="5384" max="5628" width="9.28515625" style="8"/>
    <col min="5629" max="5629" width="8.7109375" style="8" customWidth="1"/>
    <col min="5630" max="5630" width="9.7109375" style="8" customWidth="1"/>
    <col min="5631" max="5631" width="14.42578125" style="8" customWidth="1"/>
    <col min="5632" max="5632" width="7.28515625" style="8" customWidth="1"/>
    <col min="5633" max="5633" width="5.5703125" style="8" customWidth="1"/>
    <col min="5634" max="5634" width="9" style="8" customWidth="1"/>
    <col min="5635" max="5636" width="9.7109375" style="8" customWidth="1"/>
    <col min="5637" max="5637" width="11.28515625" style="8" customWidth="1"/>
    <col min="5638" max="5638" width="2.7109375" style="8" customWidth="1"/>
    <col min="5639" max="5639" width="3.5703125" style="8" customWidth="1"/>
    <col min="5640" max="5884" width="9.28515625" style="8"/>
    <col min="5885" max="5885" width="8.7109375" style="8" customWidth="1"/>
    <col min="5886" max="5886" width="9.7109375" style="8" customWidth="1"/>
    <col min="5887" max="5887" width="14.42578125" style="8" customWidth="1"/>
    <col min="5888" max="5888" width="7.28515625" style="8" customWidth="1"/>
    <col min="5889" max="5889" width="5.5703125" style="8" customWidth="1"/>
    <col min="5890" max="5890" width="9" style="8" customWidth="1"/>
    <col min="5891" max="5892" width="9.7109375" style="8" customWidth="1"/>
    <col min="5893" max="5893" width="11.28515625" style="8" customWidth="1"/>
    <col min="5894" max="5894" width="2.7109375" style="8" customWidth="1"/>
    <col min="5895" max="5895" width="3.5703125" style="8" customWidth="1"/>
    <col min="5896" max="6140" width="9.28515625" style="8"/>
    <col min="6141" max="6141" width="8.7109375" style="8" customWidth="1"/>
    <col min="6142" max="6142" width="9.7109375" style="8" customWidth="1"/>
    <col min="6143" max="6143" width="14.42578125" style="8" customWidth="1"/>
    <col min="6144" max="6144" width="7.28515625" style="8" customWidth="1"/>
    <col min="6145" max="6145" width="5.5703125" style="8" customWidth="1"/>
    <col min="6146" max="6146" width="9" style="8" customWidth="1"/>
    <col min="6147" max="6148" width="9.7109375" style="8" customWidth="1"/>
    <col min="6149" max="6149" width="11.28515625" style="8" customWidth="1"/>
    <col min="6150" max="6150" width="2.7109375" style="8" customWidth="1"/>
    <col min="6151" max="6151" width="3.5703125" style="8" customWidth="1"/>
    <col min="6152" max="6396" width="9.28515625" style="8"/>
    <col min="6397" max="6397" width="8.7109375" style="8" customWidth="1"/>
    <col min="6398" max="6398" width="9.7109375" style="8" customWidth="1"/>
    <col min="6399" max="6399" width="14.42578125" style="8" customWidth="1"/>
    <col min="6400" max="6400" width="7.28515625" style="8" customWidth="1"/>
    <col min="6401" max="6401" width="5.5703125" style="8" customWidth="1"/>
    <col min="6402" max="6402" width="9" style="8" customWidth="1"/>
    <col min="6403" max="6404" width="9.7109375" style="8" customWidth="1"/>
    <col min="6405" max="6405" width="11.28515625" style="8" customWidth="1"/>
    <col min="6406" max="6406" width="2.7109375" style="8" customWidth="1"/>
    <col min="6407" max="6407" width="3.5703125" style="8" customWidth="1"/>
    <col min="6408" max="6652" width="9.28515625" style="8"/>
    <col min="6653" max="6653" width="8.7109375" style="8" customWidth="1"/>
    <col min="6654" max="6654" width="9.7109375" style="8" customWidth="1"/>
    <col min="6655" max="6655" width="14.42578125" style="8" customWidth="1"/>
    <col min="6656" max="6656" width="7.28515625" style="8" customWidth="1"/>
    <col min="6657" max="6657" width="5.5703125" style="8" customWidth="1"/>
    <col min="6658" max="6658" width="9" style="8" customWidth="1"/>
    <col min="6659" max="6660" width="9.7109375" style="8" customWidth="1"/>
    <col min="6661" max="6661" width="11.28515625" style="8" customWidth="1"/>
    <col min="6662" max="6662" width="2.7109375" style="8" customWidth="1"/>
    <col min="6663" max="6663" width="3.5703125" style="8" customWidth="1"/>
    <col min="6664" max="6908" width="9.28515625" style="8"/>
    <col min="6909" max="6909" width="8.7109375" style="8" customWidth="1"/>
    <col min="6910" max="6910" width="9.7109375" style="8" customWidth="1"/>
    <col min="6911" max="6911" width="14.42578125" style="8" customWidth="1"/>
    <col min="6912" max="6912" width="7.28515625" style="8" customWidth="1"/>
    <col min="6913" max="6913" width="5.5703125" style="8" customWidth="1"/>
    <col min="6914" max="6914" width="9" style="8" customWidth="1"/>
    <col min="6915" max="6916" width="9.7109375" style="8" customWidth="1"/>
    <col min="6917" max="6917" width="11.28515625" style="8" customWidth="1"/>
    <col min="6918" max="6918" width="2.7109375" style="8" customWidth="1"/>
    <col min="6919" max="6919" width="3.5703125" style="8" customWidth="1"/>
    <col min="6920" max="7164" width="9.28515625" style="8"/>
    <col min="7165" max="7165" width="8.7109375" style="8" customWidth="1"/>
    <col min="7166" max="7166" width="9.7109375" style="8" customWidth="1"/>
    <col min="7167" max="7167" width="14.42578125" style="8" customWidth="1"/>
    <col min="7168" max="7168" width="7.28515625" style="8" customWidth="1"/>
    <col min="7169" max="7169" width="5.5703125" style="8" customWidth="1"/>
    <col min="7170" max="7170" width="9" style="8" customWidth="1"/>
    <col min="7171" max="7172" width="9.7109375" style="8" customWidth="1"/>
    <col min="7173" max="7173" width="11.28515625" style="8" customWidth="1"/>
    <col min="7174" max="7174" width="2.7109375" style="8" customWidth="1"/>
    <col min="7175" max="7175" width="3.5703125" style="8" customWidth="1"/>
    <col min="7176" max="7420" width="9.28515625" style="8"/>
    <col min="7421" max="7421" width="8.7109375" style="8" customWidth="1"/>
    <col min="7422" max="7422" width="9.7109375" style="8" customWidth="1"/>
    <col min="7423" max="7423" width="14.42578125" style="8" customWidth="1"/>
    <col min="7424" max="7424" width="7.28515625" style="8" customWidth="1"/>
    <col min="7425" max="7425" width="5.5703125" style="8" customWidth="1"/>
    <col min="7426" max="7426" width="9" style="8" customWidth="1"/>
    <col min="7427" max="7428" width="9.7109375" style="8" customWidth="1"/>
    <col min="7429" max="7429" width="11.28515625" style="8" customWidth="1"/>
    <col min="7430" max="7430" width="2.7109375" style="8" customWidth="1"/>
    <col min="7431" max="7431" width="3.5703125" style="8" customWidth="1"/>
    <col min="7432" max="7676" width="9.28515625" style="8"/>
    <col min="7677" max="7677" width="8.7109375" style="8" customWidth="1"/>
    <col min="7678" max="7678" width="9.7109375" style="8" customWidth="1"/>
    <col min="7679" max="7679" width="14.42578125" style="8" customWidth="1"/>
    <col min="7680" max="7680" width="7.28515625" style="8" customWidth="1"/>
    <col min="7681" max="7681" width="5.5703125" style="8" customWidth="1"/>
    <col min="7682" max="7682" width="9" style="8" customWidth="1"/>
    <col min="7683" max="7684" width="9.7109375" style="8" customWidth="1"/>
    <col min="7685" max="7685" width="11.28515625" style="8" customWidth="1"/>
    <col min="7686" max="7686" width="2.7109375" style="8" customWidth="1"/>
    <col min="7687" max="7687" width="3.5703125" style="8" customWidth="1"/>
    <col min="7688" max="7932" width="9.28515625" style="8"/>
    <col min="7933" max="7933" width="8.7109375" style="8" customWidth="1"/>
    <col min="7934" max="7934" width="9.7109375" style="8" customWidth="1"/>
    <col min="7935" max="7935" width="14.42578125" style="8" customWidth="1"/>
    <col min="7936" max="7936" width="7.28515625" style="8" customWidth="1"/>
    <col min="7937" max="7937" width="5.5703125" style="8" customWidth="1"/>
    <col min="7938" max="7938" width="9" style="8" customWidth="1"/>
    <col min="7939" max="7940" width="9.7109375" style="8" customWidth="1"/>
    <col min="7941" max="7941" width="11.28515625" style="8" customWidth="1"/>
    <col min="7942" max="7942" width="2.7109375" style="8" customWidth="1"/>
    <col min="7943" max="7943" width="3.5703125" style="8" customWidth="1"/>
    <col min="7944" max="8188" width="9.28515625" style="8"/>
    <col min="8189" max="8189" width="8.7109375" style="8" customWidth="1"/>
    <col min="8190" max="8190" width="9.7109375" style="8" customWidth="1"/>
    <col min="8191" max="8191" width="14.42578125" style="8" customWidth="1"/>
    <col min="8192" max="8192" width="7.28515625" style="8" customWidth="1"/>
    <col min="8193" max="8193" width="5.5703125" style="8" customWidth="1"/>
    <col min="8194" max="8194" width="9" style="8" customWidth="1"/>
    <col min="8195" max="8196" width="9.7109375" style="8" customWidth="1"/>
    <col min="8197" max="8197" width="11.28515625" style="8" customWidth="1"/>
    <col min="8198" max="8198" width="2.7109375" style="8" customWidth="1"/>
    <col min="8199" max="8199" width="3.5703125" style="8" customWidth="1"/>
    <col min="8200" max="8444" width="9.28515625" style="8"/>
    <col min="8445" max="8445" width="8.7109375" style="8" customWidth="1"/>
    <col min="8446" max="8446" width="9.7109375" style="8" customWidth="1"/>
    <col min="8447" max="8447" width="14.42578125" style="8" customWidth="1"/>
    <col min="8448" max="8448" width="7.28515625" style="8" customWidth="1"/>
    <col min="8449" max="8449" width="5.5703125" style="8" customWidth="1"/>
    <col min="8450" max="8450" width="9" style="8" customWidth="1"/>
    <col min="8451" max="8452" width="9.7109375" style="8" customWidth="1"/>
    <col min="8453" max="8453" width="11.28515625" style="8" customWidth="1"/>
    <col min="8454" max="8454" width="2.7109375" style="8" customWidth="1"/>
    <col min="8455" max="8455" width="3.5703125" style="8" customWidth="1"/>
    <col min="8456" max="8700" width="9.28515625" style="8"/>
    <col min="8701" max="8701" width="8.7109375" style="8" customWidth="1"/>
    <col min="8702" max="8702" width="9.7109375" style="8" customWidth="1"/>
    <col min="8703" max="8703" width="14.42578125" style="8" customWidth="1"/>
    <col min="8704" max="8704" width="7.28515625" style="8" customWidth="1"/>
    <col min="8705" max="8705" width="5.5703125" style="8" customWidth="1"/>
    <col min="8706" max="8706" width="9" style="8" customWidth="1"/>
    <col min="8707" max="8708" width="9.7109375" style="8" customWidth="1"/>
    <col min="8709" max="8709" width="11.28515625" style="8" customWidth="1"/>
    <col min="8710" max="8710" width="2.7109375" style="8" customWidth="1"/>
    <col min="8711" max="8711" width="3.5703125" style="8" customWidth="1"/>
    <col min="8712" max="8956" width="9.28515625" style="8"/>
    <col min="8957" max="8957" width="8.7109375" style="8" customWidth="1"/>
    <col min="8958" max="8958" width="9.7109375" style="8" customWidth="1"/>
    <col min="8959" max="8959" width="14.42578125" style="8" customWidth="1"/>
    <col min="8960" max="8960" width="7.28515625" style="8" customWidth="1"/>
    <col min="8961" max="8961" width="5.5703125" style="8" customWidth="1"/>
    <col min="8962" max="8962" width="9" style="8" customWidth="1"/>
    <col min="8963" max="8964" width="9.7109375" style="8" customWidth="1"/>
    <col min="8965" max="8965" width="11.28515625" style="8" customWidth="1"/>
    <col min="8966" max="8966" width="2.7109375" style="8" customWidth="1"/>
    <col min="8967" max="8967" width="3.5703125" style="8" customWidth="1"/>
    <col min="8968" max="9212" width="9.28515625" style="8"/>
    <col min="9213" max="9213" width="8.7109375" style="8" customWidth="1"/>
    <col min="9214" max="9214" width="9.7109375" style="8" customWidth="1"/>
    <col min="9215" max="9215" width="14.42578125" style="8" customWidth="1"/>
    <col min="9216" max="9216" width="7.28515625" style="8" customWidth="1"/>
    <col min="9217" max="9217" width="5.5703125" style="8" customWidth="1"/>
    <col min="9218" max="9218" width="9" style="8" customWidth="1"/>
    <col min="9219" max="9220" width="9.7109375" style="8" customWidth="1"/>
    <col min="9221" max="9221" width="11.28515625" style="8" customWidth="1"/>
    <col min="9222" max="9222" width="2.7109375" style="8" customWidth="1"/>
    <col min="9223" max="9223" width="3.5703125" style="8" customWidth="1"/>
    <col min="9224" max="9468" width="9.28515625" style="8"/>
    <col min="9469" max="9469" width="8.7109375" style="8" customWidth="1"/>
    <col min="9470" max="9470" width="9.7109375" style="8" customWidth="1"/>
    <col min="9471" max="9471" width="14.42578125" style="8" customWidth="1"/>
    <col min="9472" max="9472" width="7.28515625" style="8" customWidth="1"/>
    <col min="9473" max="9473" width="5.5703125" style="8" customWidth="1"/>
    <col min="9474" max="9474" width="9" style="8" customWidth="1"/>
    <col min="9475" max="9476" width="9.7109375" style="8" customWidth="1"/>
    <col min="9477" max="9477" width="11.28515625" style="8" customWidth="1"/>
    <col min="9478" max="9478" width="2.7109375" style="8" customWidth="1"/>
    <col min="9479" max="9479" width="3.5703125" style="8" customWidth="1"/>
    <col min="9480" max="9724" width="9.28515625" style="8"/>
    <col min="9725" max="9725" width="8.7109375" style="8" customWidth="1"/>
    <col min="9726" max="9726" width="9.7109375" style="8" customWidth="1"/>
    <col min="9727" max="9727" width="14.42578125" style="8" customWidth="1"/>
    <col min="9728" max="9728" width="7.28515625" style="8" customWidth="1"/>
    <col min="9729" max="9729" width="5.5703125" style="8" customWidth="1"/>
    <col min="9730" max="9730" width="9" style="8" customWidth="1"/>
    <col min="9731" max="9732" width="9.7109375" style="8" customWidth="1"/>
    <col min="9733" max="9733" width="11.28515625" style="8" customWidth="1"/>
    <col min="9734" max="9734" width="2.7109375" style="8" customWidth="1"/>
    <col min="9735" max="9735" width="3.5703125" style="8" customWidth="1"/>
    <col min="9736" max="9980" width="9.28515625" style="8"/>
    <col min="9981" max="9981" width="8.7109375" style="8" customWidth="1"/>
    <col min="9982" max="9982" width="9.7109375" style="8" customWidth="1"/>
    <col min="9983" max="9983" width="14.42578125" style="8" customWidth="1"/>
    <col min="9984" max="9984" width="7.28515625" style="8" customWidth="1"/>
    <col min="9985" max="9985" width="5.5703125" style="8" customWidth="1"/>
    <col min="9986" max="9986" width="9" style="8" customWidth="1"/>
    <col min="9987" max="9988" width="9.7109375" style="8" customWidth="1"/>
    <col min="9989" max="9989" width="11.28515625" style="8" customWidth="1"/>
    <col min="9990" max="9990" width="2.7109375" style="8" customWidth="1"/>
    <col min="9991" max="9991" width="3.5703125" style="8" customWidth="1"/>
    <col min="9992" max="10236" width="9.28515625" style="8"/>
    <col min="10237" max="10237" width="8.7109375" style="8" customWidth="1"/>
    <col min="10238" max="10238" width="9.7109375" style="8" customWidth="1"/>
    <col min="10239" max="10239" width="14.42578125" style="8" customWidth="1"/>
    <col min="10240" max="10240" width="7.28515625" style="8" customWidth="1"/>
    <col min="10241" max="10241" width="5.5703125" style="8" customWidth="1"/>
    <col min="10242" max="10242" width="9" style="8" customWidth="1"/>
    <col min="10243" max="10244" width="9.7109375" style="8" customWidth="1"/>
    <col min="10245" max="10245" width="11.28515625" style="8" customWidth="1"/>
    <col min="10246" max="10246" width="2.7109375" style="8" customWidth="1"/>
    <col min="10247" max="10247" width="3.5703125" style="8" customWidth="1"/>
    <col min="10248" max="10492" width="9.28515625" style="8"/>
    <col min="10493" max="10493" width="8.7109375" style="8" customWidth="1"/>
    <col min="10494" max="10494" width="9.7109375" style="8" customWidth="1"/>
    <col min="10495" max="10495" width="14.42578125" style="8" customWidth="1"/>
    <col min="10496" max="10496" width="7.28515625" style="8" customWidth="1"/>
    <col min="10497" max="10497" width="5.5703125" style="8" customWidth="1"/>
    <col min="10498" max="10498" width="9" style="8" customWidth="1"/>
    <col min="10499" max="10500" width="9.7109375" style="8" customWidth="1"/>
    <col min="10501" max="10501" width="11.28515625" style="8" customWidth="1"/>
    <col min="10502" max="10502" width="2.7109375" style="8" customWidth="1"/>
    <col min="10503" max="10503" width="3.5703125" style="8" customWidth="1"/>
    <col min="10504" max="10748" width="9.28515625" style="8"/>
    <col min="10749" max="10749" width="8.7109375" style="8" customWidth="1"/>
    <col min="10750" max="10750" width="9.7109375" style="8" customWidth="1"/>
    <col min="10751" max="10751" width="14.42578125" style="8" customWidth="1"/>
    <col min="10752" max="10752" width="7.28515625" style="8" customWidth="1"/>
    <col min="10753" max="10753" width="5.5703125" style="8" customWidth="1"/>
    <col min="10754" max="10754" width="9" style="8" customWidth="1"/>
    <col min="10755" max="10756" width="9.7109375" style="8" customWidth="1"/>
    <col min="10757" max="10757" width="11.28515625" style="8" customWidth="1"/>
    <col min="10758" max="10758" width="2.7109375" style="8" customWidth="1"/>
    <col min="10759" max="10759" width="3.5703125" style="8" customWidth="1"/>
    <col min="10760" max="11004" width="9.28515625" style="8"/>
    <col min="11005" max="11005" width="8.7109375" style="8" customWidth="1"/>
    <col min="11006" max="11006" width="9.7109375" style="8" customWidth="1"/>
    <col min="11007" max="11007" width="14.42578125" style="8" customWidth="1"/>
    <col min="11008" max="11008" width="7.28515625" style="8" customWidth="1"/>
    <col min="11009" max="11009" width="5.5703125" style="8" customWidth="1"/>
    <col min="11010" max="11010" width="9" style="8" customWidth="1"/>
    <col min="11011" max="11012" width="9.7109375" style="8" customWidth="1"/>
    <col min="11013" max="11013" width="11.28515625" style="8" customWidth="1"/>
    <col min="11014" max="11014" width="2.7109375" style="8" customWidth="1"/>
    <col min="11015" max="11015" width="3.5703125" style="8" customWidth="1"/>
    <col min="11016" max="11260" width="9.28515625" style="8"/>
    <col min="11261" max="11261" width="8.7109375" style="8" customWidth="1"/>
    <col min="11262" max="11262" width="9.7109375" style="8" customWidth="1"/>
    <col min="11263" max="11263" width="14.42578125" style="8" customWidth="1"/>
    <col min="11264" max="11264" width="7.28515625" style="8" customWidth="1"/>
    <col min="11265" max="11265" width="5.5703125" style="8" customWidth="1"/>
    <col min="11266" max="11266" width="9" style="8" customWidth="1"/>
    <col min="11267" max="11268" width="9.7109375" style="8" customWidth="1"/>
    <col min="11269" max="11269" width="11.28515625" style="8" customWidth="1"/>
    <col min="11270" max="11270" width="2.7109375" style="8" customWidth="1"/>
    <col min="11271" max="11271" width="3.5703125" style="8" customWidth="1"/>
    <col min="11272" max="11516" width="9.28515625" style="8"/>
    <col min="11517" max="11517" width="8.7109375" style="8" customWidth="1"/>
    <col min="11518" max="11518" width="9.7109375" style="8" customWidth="1"/>
    <col min="11519" max="11519" width="14.42578125" style="8" customWidth="1"/>
    <col min="11520" max="11520" width="7.28515625" style="8" customWidth="1"/>
    <col min="11521" max="11521" width="5.5703125" style="8" customWidth="1"/>
    <col min="11522" max="11522" width="9" style="8" customWidth="1"/>
    <col min="11523" max="11524" width="9.7109375" style="8" customWidth="1"/>
    <col min="11525" max="11525" width="11.28515625" style="8" customWidth="1"/>
    <col min="11526" max="11526" width="2.7109375" style="8" customWidth="1"/>
    <col min="11527" max="11527" width="3.5703125" style="8" customWidth="1"/>
    <col min="11528" max="11772" width="9.28515625" style="8"/>
    <col min="11773" max="11773" width="8.7109375" style="8" customWidth="1"/>
    <col min="11774" max="11774" width="9.7109375" style="8" customWidth="1"/>
    <col min="11775" max="11775" width="14.42578125" style="8" customWidth="1"/>
    <col min="11776" max="11776" width="7.28515625" style="8" customWidth="1"/>
    <col min="11777" max="11777" width="5.5703125" style="8" customWidth="1"/>
    <col min="11778" max="11778" width="9" style="8" customWidth="1"/>
    <col min="11779" max="11780" width="9.7109375" style="8" customWidth="1"/>
    <col min="11781" max="11781" width="11.28515625" style="8" customWidth="1"/>
    <col min="11782" max="11782" width="2.7109375" style="8" customWidth="1"/>
    <col min="11783" max="11783" width="3.5703125" style="8" customWidth="1"/>
    <col min="11784" max="12028" width="9.28515625" style="8"/>
    <col min="12029" max="12029" width="8.7109375" style="8" customWidth="1"/>
    <col min="12030" max="12030" width="9.7109375" style="8" customWidth="1"/>
    <col min="12031" max="12031" width="14.42578125" style="8" customWidth="1"/>
    <col min="12032" max="12032" width="7.28515625" style="8" customWidth="1"/>
    <col min="12033" max="12033" width="5.5703125" style="8" customWidth="1"/>
    <col min="12034" max="12034" width="9" style="8" customWidth="1"/>
    <col min="12035" max="12036" width="9.7109375" style="8" customWidth="1"/>
    <col min="12037" max="12037" width="11.28515625" style="8" customWidth="1"/>
    <col min="12038" max="12038" width="2.7109375" style="8" customWidth="1"/>
    <col min="12039" max="12039" width="3.5703125" style="8" customWidth="1"/>
    <col min="12040" max="12284" width="9.28515625" style="8"/>
    <col min="12285" max="12285" width="8.7109375" style="8" customWidth="1"/>
    <col min="12286" max="12286" width="9.7109375" style="8" customWidth="1"/>
    <col min="12287" max="12287" width="14.42578125" style="8" customWidth="1"/>
    <col min="12288" max="12288" width="7.28515625" style="8" customWidth="1"/>
    <col min="12289" max="12289" width="5.5703125" style="8" customWidth="1"/>
    <col min="12290" max="12290" width="9" style="8" customWidth="1"/>
    <col min="12291" max="12292" width="9.7109375" style="8" customWidth="1"/>
    <col min="12293" max="12293" width="11.28515625" style="8" customWidth="1"/>
    <col min="12294" max="12294" width="2.7109375" style="8" customWidth="1"/>
    <col min="12295" max="12295" width="3.5703125" style="8" customWidth="1"/>
    <col min="12296" max="12540" width="9.28515625" style="8"/>
    <col min="12541" max="12541" width="8.7109375" style="8" customWidth="1"/>
    <col min="12542" max="12542" width="9.7109375" style="8" customWidth="1"/>
    <col min="12543" max="12543" width="14.42578125" style="8" customWidth="1"/>
    <col min="12544" max="12544" width="7.28515625" style="8" customWidth="1"/>
    <col min="12545" max="12545" width="5.5703125" style="8" customWidth="1"/>
    <col min="12546" max="12546" width="9" style="8" customWidth="1"/>
    <col min="12547" max="12548" width="9.7109375" style="8" customWidth="1"/>
    <col min="12549" max="12549" width="11.28515625" style="8" customWidth="1"/>
    <col min="12550" max="12550" width="2.7109375" style="8" customWidth="1"/>
    <col min="12551" max="12551" width="3.5703125" style="8" customWidth="1"/>
    <col min="12552" max="12796" width="9.28515625" style="8"/>
    <col min="12797" max="12797" width="8.7109375" style="8" customWidth="1"/>
    <col min="12798" max="12798" width="9.7109375" style="8" customWidth="1"/>
    <col min="12799" max="12799" width="14.42578125" style="8" customWidth="1"/>
    <col min="12800" max="12800" width="7.28515625" style="8" customWidth="1"/>
    <col min="12801" max="12801" width="5.5703125" style="8" customWidth="1"/>
    <col min="12802" max="12802" width="9" style="8" customWidth="1"/>
    <col min="12803" max="12804" width="9.7109375" style="8" customWidth="1"/>
    <col min="12805" max="12805" width="11.28515625" style="8" customWidth="1"/>
    <col min="12806" max="12806" width="2.7109375" style="8" customWidth="1"/>
    <col min="12807" max="12807" width="3.5703125" style="8" customWidth="1"/>
    <col min="12808" max="13052" width="9.28515625" style="8"/>
    <col min="13053" max="13053" width="8.7109375" style="8" customWidth="1"/>
    <col min="13054" max="13054" width="9.7109375" style="8" customWidth="1"/>
    <col min="13055" max="13055" width="14.42578125" style="8" customWidth="1"/>
    <col min="13056" max="13056" width="7.28515625" style="8" customWidth="1"/>
    <col min="13057" max="13057" width="5.5703125" style="8" customWidth="1"/>
    <col min="13058" max="13058" width="9" style="8" customWidth="1"/>
    <col min="13059" max="13060" width="9.7109375" style="8" customWidth="1"/>
    <col min="13061" max="13061" width="11.28515625" style="8" customWidth="1"/>
    <col min="13062" max="13062" width="2.7109375" style="8" customWidth="1"/>
    <col min="13063" max="13063" width="3.5703125" style="8" customWidth="1"/>
    <col min="13064" max="13308" width="9.28515625" style="8"/>
    <col min="13309" max="13309" width="8.7109375" style="8" customWidth="1"/>
    <col min="13310" max="13310" width="9.7109375" style="8" customWidth="1"/>
    <col min="13311" max="13311" width="14.42578125" style="8" customWidth="1"/>
    <col min="13312" max="13312" width="7.28515625" style="8" customWidth="1"/>
    <col min="13313" max="13313" width="5.5703125" style="8" customWidth="1"/>
    <col min="13314" max="13314" width="9" style="8" customWidth="1"/>
    <col min="13315" max="13316" width="9.7109375" style="8" customWidth="1"/>
    <col min="13317" max="13317" width="11.28515625" style="8" customWidth="1"/>
    <col min="13318" max="13318" width="2.7109375" style="8" customWidth="1"/>
    <col min="13319" max="13319" width="3.5703125" style="8" customWidth="1"/>
    <col min="13320" max="13564" width="9.28515625" style="8"/>
    <col min="13565" max="13565" width="8.7109375" style="8" customWidth="1"/>
    <col min="13566" max="13566" width="9.7109375" style="8" customWidth="1"/>
    <col min="13567" max="13567" width="14.42578125" style="8" customWidth="1"/>
    <col min="13568" max="13568" width="7.28515625" style="8" customWidth="1"/>
    <col min="13569" max="13569" width="5.5703125" style="8" customWidth="1"/>
    <col min="13570" max="13570" width="9" style="8" customWidth="1"/>
    <col min="13571" max="13572" width="9.7109375" style="8" customWidth="1"/>
    <col min="13573" max="13573" width="11.28515625" style="8" customWidth="1"/>
    <col min="13574" max="13574" width="2.7109375" style="8" customWidth="1"/>
    <col min="13575" max="13575" width="3.5703125" style="8" customWidth="1"/>
    <col min="13576" max="13820" width="9.28515625" style="8"/>
    <col min="13821" max="13821" width="8.7109375" style="8" customWidth="1"/>
    <col min="13822" max="13822" width="9.7109375" style="8" customWidth="1"/>
    <col min="13823" max="13823" width="14.42578125" style="8" customWidth="1"/>
    <col min="13824" max="13824" width="7.28515625" style="8" customWidth="1"/>
    <col min="13825" max="13825" width="5.5703125" style="8" customWidth="1"/>
    <col min="13826" max="13826" width="9" style="8" customWidth="1"/>
    <col min="13827" max="13828" width="9.7109375" style="8" customWidth="1"/>
    <col min="13829" max="13829" width="11.28515625" style="8" customWidth="1"/>
    <col min="13830" max="13830" width="2.7109375" style="8" customWidth="1"/>
    <col min="13831" max="13831" width="3.5703125" style="8" customWidth="1"/>
    <col min="13832" max="14076" width="9.28515625" style="8"/>
    <col min="14077" max="14077" width="8.7109375" style="8" customWidth="1"/>
    <col min="14078" max="14078" width="9.7109375" style="8" customWidth="1"/>
    <col min="14079" max="14079" width="14.42578125" style="8" customWidth="1"/>
    <col min="14080" max="14080" width="7.28515625" style="8" customWidth="1"/>
    <col min="14081" max="14081" width="5.5703125" style="8" customWidth="1"/>
    <col min="14082" max="14082" width="9" style="8" customWidth="1"/>
    <col min="14083" max="14084" width="9.7109375" style="8" customWidth="1"/>
    <col min="14085" max="14085" width="11.28515625" style="8" customWidth="1"/>
    <col min="14086" max="14086" width="2.7109375" style="8" customWidth="1"/>
    <col min="14087" max="14087" width="3.5703125" style="8" customWidth="1"/>
    <col min="14088" max="14332" width="9.28515625" style="8"/>
    <col min="14333" max="14333" width="8.7109375" style="8" customWidth="1"/>
    <col min="14334" max="14334" width="9.7109375" style="8" customWidth="1"/>
    <col min="14335" max="14335" width="14.42578125" style="8" customWidth="1"/>
    <col min="14336" max="14336" width="7.28515625" style="8" customWidth="1"/>
    <col min="14337" max="14337" width="5.5703125" style="8" customWidth="1"/>
    <col min="14338" max="14338" width="9" style="8" customWidth="1"/>
    <col min="14339" max="14340" width="9.7109375" style="8" customWidth="1"/>
    <col min="14341" max="14341" width="11.28515625" style="8" customWidth="1"/>
    <col min="14342" max="14342" width="2.7109375" style="8" customWidth="1"/>
    <col min="14343" max="14343" width="3.5703125" style="8" customWidth="1"/>
    <col min="14344" max="14588" width="9.28515625" style="8"/>
    <col min="14589" max="14589" width="8.7109375" style="8" customWidth="1"/>
    <col min="14590" max="14590" width="9.7109375" style="8" customWidth="1"/>
    <col min="14591" max="14591" width="14.42578125" style="8" customWidth="1"/>
    <col min="14592" max="14592" width="7.28515625" style="8" customWidth="1"/>
    <col min="14593" max="14593" width="5.5703125" style="8" customWidth="1"/>
    <col min="14594" max="14594" width="9" style="8" customWidth="1"/>
    <col min="14595" max="14596" width="9.7109375" style="8" customWidth="1"/>
    <col min="14597" max="14597" width="11.28515625" style="8" customWidth="1"/>
    <col min="14598" max="14598" width="2.7109375" style="8" customWidth="1"/>
    <col min="14599" max="14599" width="3.5703125" style="8" customWidth="1"/>
    <col min="14600" max="14844" width="9.28515625" style="8"/>
    <col min="14845" max="14845" width="8.7109375" style="8" customWidth="1"/>
    <col min="14846" max="14846" width="9.7109375" style="8" customWidth="1"/>
    <col min="14847" max="14847" width="14.42578125" style="8" customWidth="1"/>
    <col min="14848" max="14848" width="7.28515625" style="8" customWidth="1"/>
    <col min="14849" max="14849" width="5.5703125" style="8" customWidth="1"/>
    <col min="14850" max="14850" width="9" style="8" customWidth="1"/>
    <col min="14851" max="14852" width="9.7109375" style="8" customWidth="1"/>
    <col min="14853" max="14853" width="11.28515625" style="8" customWidth="1"/>
    <col min="14854" max="14854" width="2.7109375" style="8" customWidth="1"/>
    <col min="14855" max="14855" width="3.5703125" style="8" customWidth="1"/>
    <col min="14856" max="15100" width="9.28515625" style="8"/>
    <col min="15101" max="15101" width="8.7109375" style="8" customWidth="1"/>
    <col min="15102" max="15102" width="9.7109375" style="8" customWidth="1"/>
    <col min="15103" max="15103" width="14.42578125" style="8" customWidth="1"/>
    <col min="15104" max="15104" width="7.28515625" style="8" customWidth="1"/>
    <col min="15105" max="15105" width="5.5703125" style="8" customWidth="1"/>
    <col min="15106" max="15106" width="9" style="8" customWidth="1"/>
    <col min="15107" max="15108" width="9.7109375" style="8" customWidth="1"/>
    <col min="15109" max="15109" width="11.28515625" style="8" customWidth="1"/>
    <col min="15110" max="15110" width="2.7109375" style="8" customWidth="1"/>
    <col min="15111" max="15111" width="3.5703125" style="8" customWidth="1"/>
    <col min="15112" max="15356" width="9.28515625" style="8"/>
    <col min="15357" max="15357" width="8.7109375" style="8" customWidth="1"/>
    <col min="15358" max="15358" width="9.7109375" style="8" customWidth="1"/>
    <col min="15359" max="15359" width="14.42578125" style="8" customWidth="1"/>
    <col min="15360" max="15360" width="7.28515625" style="8" customWidth="1"/>
    <col min="15361" max="15361" width="5.5703125" style="8" customWidth="1"/>
    <col min="15362" max="15362" width="9" style="8" customWidth="1"/>
    <col min="15363" max="15364" width="9.7109375" style="8" customWidth="1"/>
    <col min="15365" max="15365" width="11.28515625" style="8" customWidth="1"/>
    <col min="15366" max="15366" width="2.7109375" style="8" customWidth="1"/>
    <col min="15367" max="15367" width="3.5703125" style="8" customWidth="1"/>
    <col min="15368" max="15612" width="9.28515625" style="8"/>
    <col min="15613" max="15613" width="8.7109375" style="8" customWidth="1"/>
    <col min="15614" max="15614" width="9.7109375" style="8" customWidth="1"/>
    <col min="15615" max="15615" width="14.42578125" style="8" customWidth="1"/>
    <col min="15616" max="15616" width="7.28515625" style="8" customWidth="1"/>
    <col min="15617" max="15617" width="5.5703125" style="8" customWidth="1"/>
    <col min="15618" max="15618" width="9" style="8" customWidth="1"/>
    <col min="15619" max="15620" width="9.7109375" style="8" customWidth="1"/>
    <col min="15621" max="15621" width="11.28515625" style="8" customWidth="1"/>
    <col min="15622" max="15622" width="2.7109375" style="8" customWidth="1"/>
    <col min="15623" max="15623" width="3.5703125" style="8" customWidth="1"/>
    <col min="15624" max="15868" width="9.28515625" style="8"/>
    <col min="15869" max="15869" width="8.7109375" style="8" customWidth="1"/>
    <col min="15870" max="15870" width="9.7109375" style="8" customWidth="1"/>
    <col min="15871" max="15871" width="14.42578125" style="8" customWidth="1"/>
    <col min="15872" max="15872" width="7.28515625" style="8" customWidth="1"/>
    <col min="15873" max="15873" width="5.5703125" style="8" customWidth="1"/>
    <col min="15874" max="15874" width="9" style="8" customWidth="1"/>
    <col min="15875" max="15876" width="9.7109375" style="8" customWidth="1"/>
    <col min="15877" max="15877" width="11.28515625" style="8" customWidth="1"/>
    <col min="15878" max="15878" width="2.7109375" style="8" customWidth="1"/>
    <col min="15879" max="15879" width="3.5703125" style="8" customWidth="1"/>
    <col min="15880" max="16124" width="9.28515625" style="8"/>
    <col min="16125" max="16125" width="8.7109375" style="8" customWidth="1"/>
    <col min="16126" max="16126" width="9.7109375" style="8" customWidth="1"/>
    <col min="16127" max="16127" width="14.42578125" style="8" customWidth="1"/>
    <col min="16128" max="16128" width="7.28515625" style="8" customWidth="1"/>
    <col min="16129" max="16129" width="5.5703125" style="8" customWidth="1"/>
    <col min="16130" max="16130" width="9" style="8" customWidth="1"/>
    <col min="16131" max="16132" width="9.7109375" style="8" customWidth="1"/>
    <col min="16133" max="16133" width="11.28515625" style="8" customWidth="1"/>
    <col min="16134" max="16134" width="2.7109375" style="8" customWidth="1"/>
    <col min="16135" max="16135" width="3.5703125" style="8" customWidth="1"/>
    <col min="16136" max="16384" width="9.28515625" style="8"/>
  </cols>
  <sheetData>
    <row r="1" spans="1:8" ht="46.5" customHeight="1" x14ac:dyDescent="0.25">
      <c r="A1" s="249" t="s">
        <v>368</v>
      </c>
      <c r="B1" s="249"/>
      <c r="C1" s="249"/>
      <c r="D1" s="249"/>
      <c r="E1" s="249"/>
      <c r="F1" s="249"/>
      <c r="G1" s="249"/>
      <c r="H1" s="249"/>
    </row>
    <row r="2" spans="1:8" ht="16.5" customHeight="1" x14ac:dyDescent="0.25">
      <c r="A2" s="236" t="s">
        <v>0</v>
      </c>
      <c r="B2" s="236"/>
      <c r="C2" s="236"/>
      <c r="D2" s="236"/>
      <c r="E2" s="236"/>
      <c r="F2" s="236"/>
      <c r="G2" s="236"/>
      <c r="H2" s="236"/>
    </row>
    <row r="3" spans="1:8" x14ac:dyDescent="0.25">
      <c r="A3" s="240" t="s">
        <v>1</v>
      </c>
      <c r="B3" s="240"/>
      <c r="C3" s="240"/>
      <c r="D3" s="240"/>
      <c r="E3" s="250" t="str">
        <f ca="1">TEXT(TODAY(),"DD/MM/YYYY")</f>
        <v>19/09/2025</v>
      </c>
      <c r="F3" s="250"/>
      <c r="G3" s="250"/>
      <c r="H3" s="250"/>
    </row>
    <row r="4" spans="1:8" ht="15" customHeight="1" x14ac:dyDescent="0.25">
      <c r="A4" s="240" t="s">
        <v>2</v>
      </c>
      <c r="B4" s="240"/>
      <c r="C4" s="240"/>
      <c r="D4" s="240"/>
      <c r="E4" s="251" t="s">
        <v>148</v>
      </c>
      <c r="F4" s="251"/>
      <c r="G4" s="251"/>
      <c r="H4" s="251"/>
    </row>
    <row r="5" spans="1:8" x14ac:dyDescent="0.25">
      <c r="A5" s="240" t="s">
        <v>3</v>
      </c>
      <c r="B5" s="240"/>
      <c r="C5" s="240"/>
      <c r="D5" s="240"/>
      <c r="E5" s="252">
        <v>45910</v>
      </c>
      <c r="F5" s="252"/>
      <c r="G5" s="252"/>
      <c r="H5" s="252"/>
    </row>
    <row r="6" spans="1:8" ht="16.5" customHeight="1" x14ac:dyDescent="0.25">
      <c r="A6" s="240" t="s">
        <v>4</v>
      </c>
      <c r="B6" s="240"/>
      <c r="C6" s="240"/>
      <c r="D6" s="240"/>
      <c r="E6" s="177" t="s">
        <v>149</v>
      </c>
      <c r="F6" s="177"/>
      <c r="G6" s="177"/>
      <c r="H6" s="177"/>
    </row>
    <row r="7" spans="1:8" ht="15" customHeight="1" x14ac:dyDescent="0.25">
      <c r="A7" s="240" t="s">
        <v>5</v>
      </c>
      <c r="B7" s="240"/>
      <c r="C7" s="240"/>
      <c r="D7" s="240"/>
      <c r="E7" s="177" t="str">
        <f>E6</f>
        <v>M/s. Navkar Estate &amp; Homes Pvt. Ltd.</v>
      </c>
      <c r="F7" s="177"/>
      <c r="G7" s="177"/>
      <c r="H7" s="177"/>
    </row>
    <row r="8" spans="1:8" x14ac:dyDescent="0.25">
      <c r="A8" s="240" t="s">
        <v>6</v>
      </c>
      <c r="B8" s="240"/>
      <c r="C8" s="240"/>
      <c r="D8" s="240"/>
      <c r="E8" s="167" t="s">
        <v>150</v>
      </c>
      <c r="F8" s="167"/>
      <c r="G8" s="167"/>
      <c r="H8" s="167"/>
    </row>
    <row r="9" spans="1:8" x14ac:dyDescent="0.25">
      <c r="A9" s="240" t="s">
        <v>382</v>
      </c>
      <c r="B9" s="240"/>
      <c r="C9" s="240"/>
      <c r="D9" s="240"/>
      <c r="E9" s="240" t="s">
        <v>289</v>
      </c>
      <c r="F9" s="240"/>
      <c r="G9" s="240"/>
      <c r="H9" s="240"/>
    </row>
    <row r="10" spans="1:8" x14ac:dyDescent="0.25">
      <c r="A10" s="240" t="s">
        <v>381</v>
      </c>
      <c r="B10" s="240"/>
      <c r="C10" s="240"/>
      <c r="D10" s="240"/>
      <c r="E10" s="240" t="s">
        <v>369</v>
      </c>
      <c r="F10" s="240"/>
      <c r="G10" s="240"/>
      <c r="H10" s="240"/>
    </row>
    <row r="11" spans="1:8" ht="268.5" customHeight="1" x14ac:dyDescent="0.25">
      <c r="A11" s="239" t="s">
        <v>7</v>
      </c>
      <c r="B11" s="239"/>
      <c r="C11" s="239"/>
      <c r="D11" s="239"/>
      <c r="E11" s="155" t="s">
        <v>340</v>
      </c>
      <c r="F11" s="239"/>
      <c r="G11" s="239"/>
      <c r="H11" s="239"/>
    </row>
    <row r="12" spans="1:8" s="11" customFormat="1" x14ac:dyDescent="0.25">
      <c r="A12" s="239" t="s">
        <v>8</v>
      </c>
      <c r="B12" s="239"/>
      <c r="C12" s="239"/>
      <c r="D12" s="239"/>
      <c r="E12" s="155" t="s">
        <v>232</v>
      </c>
      <c r="F12" s="155"/>
      <c r="G12" s="155"/>
      <c r="H12" s="155"/>
    </row>
    <row r="13" spans="1:8" ht="245.25" customHeight="1" x14ac:dyDescent="0.25">
      <c r="A13" s="48" t="s">
        <v>9</v>
      </c>
      <c r="B13" s="254" t="s">
        <v>379</v>
      </c>
      <c r="C13" s="255"/>
      <c r="D13" s="255"/>
      <c r="E13" s="255"/>
      <c r="F13" s="255"/>
      <c r="G13" s="255"/>
      <c r="H13" s="256"/>
    </row>
    <row r="14" spans="1:8" ht="48.75" customHeight="1" x14ac:dyDescent="0.25">
      <c r="A14" s="177" t="s">
        <v>10</v>
      </c>
      <c r="B14" s="177"/>
      <c r="C14" s="177" t="str">
        <f>CONCATENATE((IF(OR(E8="",E8="NA"),"",E8)),", ",(IF(OR(A15="",A15="NA"),"",A15)),".",(IF(OR(C15="",C15="NA"),"",C15)),", ",(IF(OR(C16="",C16="NA"),"",C16)),", ",(IF(OR(G16="",G16="NA"),"",G16)),", ",(IF(OR(C17="",C17="NA"),"",C17)),", ",(IF(OR(C18="",C18="NA"),"",C18)),", ",(IF(OR(G17="",G17="NA"),"",G17)),".")</f>
        <v>Navkar City Phase I &amp; Phase II, Survey No.332, H No. 1, 3, 4, 7 &amp; 8, S No. 333, H. No. 1 &amp; 2, S No. 332, H. No. 2 &amp; 6A, S No. 335, H. No. 2, S No. 336, H. No. 2, Don Bosco Rd, Juchandra, Naigaon, Vasai, Palghar.</v>
      </c>
      <c r="D14" s="177"/>
      <c r="E14" s="177"/>
      <c r="F14" s="177"/>
      <c r="G14" s="177"/>
      <c r="H14" s="177"/>
    </row>
    <row r="15" spans="1:8" ht="32.65" customHeight="1" x14ac:dyDescent="0.25">
      <c r="A15" s="155" t="s">
        <v>160</v>
      </c>
      <c r="B15" s="155"/>
      <c r="C15" s="155" t="s">
        <v>151</v>
      </c>
      <c r="D15" s="155"/>
      <c r="E15" s="155"/>
      <c r="F15" s="155"/>
      <c r="G15" s="155"/>
      <c r="H15" s="155"/>
    </row>
    <row r="16" spans="1:8" ht="15.75" customHeight="1" x14ac:dyDescent="0.25">
      <c r="A16" s="177" t="s">
        <v>11</v>
      </c>
      <c r="B16" s="177"/>
      <c r="C16" s="239" t="s">
        <v>158</v>
      </c>
      <c r="D16" s="239"/>
      <c r="E16" s="177" t="s">
        <v>106</v>
      </c>
      <c r="F16" s="177"/>
      <c r="G16" s="155" t="s">
        <v>152</v>
      </c>
      <c r="H16" s="155"/>
    </row>
    <row r="17" spans="1:8" x14ac:dyDescent="0.25">
      <c r="A17" s="240" t="s">
        <v>13</v>
      </c>
      <c r="B17" s="240"/>
      <c r="C17" s="155" t="s">
        <v>153</v>
      </c>
      <c r="D17" s="155"/>
      <c r="E17" s="177" t="s">
        <v>12</v>
      </c>
      <c r="F17" s="177"/>
      <c r="G17" s="253" t="s">
        <v>155</v>
      </c>
      <c r="H17" s="253"/>
    </row>
    <row r="18" spans="1:8" x14ac:dyDescent="0.25">
      <c r="A18" s="240" t="s">
        <v>107</v>
      </c>
      <c r="B18" s="240"/>
      <c r="C18" s="155" t="s">
        <v>154</v>
      </c>
      <c r="D18" s="155"/>
      <c r="E18" s="177" t="s">
        <v>14</v>
      </c>
      <c r="F18" s="177"/>
      <c r="G18" s="155">
        <v>401208</v>
      </c>
      <c r="H18" s="155"/>
    </row>
    <row r="19" spans="1:8" ht="32.25" customHeight="1" x14ac:dyDescent="0.25">
      <c r="A19" s="240" t="s">
        <v>15</v>
      </c>
      <c r="B19" s="240"/>
      <c r="C19" s="247" t="s">
        <v>157</v>
      </c>
      <c r="D19" s="247"/>
      <c r="E19" s="177" t="s">
        <v>16</v>
      </c>
      <c r="F19" s="177"/>
      <c r="G19" s="155" t="s">
        <v>159</v>
      </c>
      <c r="H19" s="155"/>
    </row>
    <row r="20" spans="1:8" ht="15" customHeight="1" x14ac:dyDescent="0.25">
      <c r="A20" s="177" t="s">
        <v>111</v>
      </c>
      <c r="B20" s="177"/>
      <c r="C20" s="177"/>
      <c r="D20" s="177"/>
      <c r="E20" s="239" t="s">
        <v>17</v>
      </c>
      <c r="F20" s="239"/>
      <c r="G20" s="239"/>
      <c r="H20" s="239"/>
    </row>
    <row r="21" spans="1:8" ht="18.75" customHeight="1" x14ac:dyDescent="0.25">
      <c r="A21" s="177"/>
      <c r="B21" s="177"/>
      <c r="C21" s="177"/>
      <c r="D21" s="177"/>
      <c r="E21" s="239"/>
      <c r="F21" s="239"/>
      <c r="G21" s="239"/>
      <c r="H21" s="239"/>
    </row>
    <row r="22" spans="1:8" ht="15" customHeight="1" x14ac:dyDescent="0.25">
      <c r="A22" s="177" t="s">
        <v>18</v>
      </c>
      <c r="B22" s="177"/>
      <c r="C22" s="177"/>
      <c r="D22" s="177"/>
      <c r="E22" s="155" t="s">
        <v>19</v>
      </c>
      <c r="F22" s="155"/>
      <c r="G22" s="155"/>
      <c r="H22" s="155"/>
    </row>
    <row r="23" spans="1:8" ht="15" customHeight="1" x14ac:dyDescent="0.25">
      <c r="A23" s="240" t="s">
        <v>20</v>
      </c>
      <c r="B23" s="240"/>
      <c r="C23" s="240"/>
      <c r="D23" s="240"/>
      <c r="E23" s="155" t="s">
        <v>161</v>
      </c>
      <c r="F23" s="155"/>
      <c r="G23" s="155"/>
      <c r="H23" s="155"/>
    </row>
    <row r="24" spans="1:8" x14ac:dyDescent="0.25">
      <c r="A24" s="240" t="s">
        <v>21</v>
      </c>
      <c r="B24" s="240"/>
      <c r="C24" s="240"/>
      <c r="D24" s="240"/>
      <c r="E24" s="155" t="s">
        <v>22</v>
      </c>
      <c r="F24" s="155"/>
      <c r="G24" s="155"/>
      <c r="H24" s="155"/>
    </row>
    <row r="25" spans="1:8" x14ac:dyDescent="0.25">
      <c r="A25" s="240" t="s">
        <v>23</v>
      </c>
      <c r="B25" s="240"/>
      <c r="C25" s="240"/>
      <c r="D25" s="240"/>
      <c r="E25" s="155" t="s">
        <v>162</v>
      </c>
      <c r="F25" s="155"/>
      <c r="G25" s="155"/>
      <c r="H25" s="155"/>
    </row>
    <row r="26" spans="1:8" x14ac:dyDescent="0.25">
      <c r="A26" s="240" t="s">
        <v>24</v>
      </c>
      <c r="B26" s="240"/>
      <c r="C26" s="240"/>
      <c r="D26" s="240"/>
      <c r="E26" s="155" t="s">
        <v>25</v>
      </c>
      <c r="F26" s="155"/>
      <c r="G26" s="155"/>
      <c r="H26" s="155"/>
    </row>
    <row r="27" spans="1:8" x14ac:dyDescent="0.25">
      <c r="A27" s="240" t="s">
        <v>119</v>
      </c>
      <c r="B27" s="240"/>
      <c r="C27" s="240"/>
      <c r="D27" s="240"/>
      <c r="E27" s="155" t="s">
        <v>120</v>
      </c>
      <c r="F27" s="155"/>
      <c r="G27" s="155"/>
      <c r="H27" s="155"/>
    </row>
    <row r="28" spans="1:8" ht="15" customHeight="1" x14ac:dyDescent="0.25">
      <c r="A28" s="177" t="s">
        <v>34</v>
      </c>
      <c r="B28" s="177"/>
      <c r="C28" s="177"/>
      <c r="D28" s="177"/>
      <c r="E28" s="248" t="s">
        <v>115</v>
      </c>
      <c r="F28" s="248"/>
      <c r="G28" s="248"/>
      <c r="H28" s="248"/>
    </row>
    <row r="29" spans="1:8" x14ac:dyDescent="0.25">
      <c r="A29" s="177" t="s">
        <v>132</v>
      </c>
      <c r="B29" s="177"/>
      <c r="C29" s="177"/>
      <c r="D29" s="177"/>
      <c r="E29" s="177" t="s">
        <v>35</v>
      </c>
      <c r="F29" s="177"/>
      <c r="G29" s="177"/>
      <c r="H29" s="177"/>
    </row>
    <row r="30" spans="1:8" s="12" customFormat="1" x14ac:dyDescent="0.25">
      <c r="A30" s="243" t="s">
        <v>133</v>
      </c>
      <c r="B30" s="243"/>
      <c r="C30" s="241" t="s">
        <v>30</v>
      </c>
      <c r="D30" s="241"/>
      <c r="E30" s="241"/>
      <c r="F30" s="241" t="s">
        <v>32</v>
      </c>
      <c r="G30" s="241"/>
      <c r="H30" s="241"/>
    </row>
    <row r="31" spans="1:8" s="12" customFormat="1" x14ac:dyDescent="0.25">
      <c r="A31" s="242" t="s">
        <v>26</v>
      </c>
      <c r="B31" s="242" t="s">
        <v>31</v>
      </c>
      <c r="C31" s="107" t="s">
        <v>11</v>
      </c>
      <c r="D31" s="107"/>
      <c r="E31" s="107"/>
      <c r="F31" s="107" t="s">
        <v>334</v>
      </c>
      <c r="G31" s="107"/>
      <c r="H31" s="107"/>
    </row>
    <row r="32" spans="1:8" x14ac:dyDescent="0.25">
      <c r="A32" s="242" t="s">
        <v>27</v>
      </c>
      <c r="B32" s="242" t="s">
        <v>31</v>
      </c>
      <c r="C32" s="107" t="s">
        <v>156</v>
      </c>
      <c r="D32" s="107"/>
      <c r="E32" s="107"/>
      <c r="F32" s="107" t="s">
        <v>156</v>
      </c>
      <c r="G32" s="107"/>
      <c r="H32" s="107"/>
    </row>
    <row r="33" spans="1:13" s="12" customFormat="1" x14ac:dyDescent="0.25">
      <c r="A33" s="242" t="s">
        <v>29</v>
      </c>
      <c r="B33" s="242" t="s">
        <v>31</v>
      </c>
      <c r="C33" s="107" t="s">
        <v>156</v>
      </c>
      <c r="D33" s="107"/>
      <c r="E33" s="107"/>
      <c r="F33" s="107" t="s">
        <v>156</v>
      </c>
      <c r="G33" s="107"/>
      <c r="H33" s="107"/>
    </row>
    <row r="34" spans="1:13" x14ac:dyDescent="0.25">
      <c r="A34" s="242" t="s">
        <v>28</v>
      </c>
      <c r="B34" s="242" t="s">
        <v>31</v>
      </c>
      <c r="C34" s="107" t="s">
        <v>11</v>
      </c>
      <c r="D34" s="107"/>
      <c r="E34" s="107"/>
      <c r="F34" s="107" t="s">
        <v>333</v>
      </c>
      <c r="G34" s="107"/>
      <c r="H34" s="107"/>
    </row>
    <row r="35" spans="1:13" x14ac:dyDescent="0.25">
      <c r="A35" s="240" t="s">
        <v>33</v>
      </c>
      <c r="B35" s="240"/>
      <c r="C35" s="240"/>
      <c r="D35" s="240"/>
      <c r="E35" s="240"/>
      <c r="F35" s="240"/>
      <c r="G35" s="240"/>
      <c r="H35" s="240"/>
    </row>
    <row r="36" spans="1:13" ht="15.75" customHeight="1" x14ac:dyDescent="0.25">
      <c r="A36" s="167" t="s">
        <v>342</v>
      </c>
      <c r="B36" s="167"/>
      <c r="C36" s="149" t="s">
        <v>343</v>
      </c>
      <c r="D36" s="149"/>
      <c r="E36" s="149"/>
      <c r="F36" s="149"/>
      <c r="G36" s="149"/>
      <c r="H36" s="149"/>
    </row>
    <row r="37" spans="1:13" ht="15.75" customHeight="1" x14ac:dyDescent="0.25">
      <c r="A37" s="167" t="s">
        <v>317</v>
      </c>
      <c r="B37" s="167"/>
      <c r="C37" s="168" t="s">
        <v>318</v>
      </c>
      <c r="D37" s="149"/>
      <c r="E37" s="149"/>
      <c r="F37" s="149"/>
      <c r="G37" s="149"/>
      <c r="H37" s="149"/>
    </row>
    <row r="38" spans="1:13" x14ac:dyDescent="0.25">
      <c r="A38" s="167" t="s">
        <v>36</v>
      </c>
      <c r="B38" s="167"/>
      <c r="C38" s="167"/>
      <c r="D38" s="167"/>
      <c r="E38" s="167"/>
      <c r="F38" s="167"/>
      <c r="G38" s="167"/>
      <c r="H38" s="167"/>
    </row>
    <row r="39" spans="1:13" x14ac:dyDescent="0.25">
      <c r="A39" s="240" t="s">
        <v>37</v>
      </c>
      <c r="B39" s="240"/>
      <c r="C39" s="240"/>
      <c r="D39" s="240"/>
      <c r="E39" s="270">
        <v>30049.360000000001</v>
      </c>
      <c r="F39" s="270"/>
      <c r="G39" s="270"/>
      <c r="H39" s="270"/>
    </row>
    <row r="40" spans="1:13" x14ac:dyDescent="0.25">
      <c r="A40" s="240" t="s">
        <v>38</v>
      </c>
      <c r="B40" s="240"/>
      <c r="C40" s="240"/>
      <c r="D40" s="240"/>
      <c r="E40" s="246">
        <v>1</v>
      </c>
      <c r="F40" s="246"/>
      <c r="G40" s="246"/>
      <c r="H40" s="246"/>
    </row>
    <row r="41" spans="1:13" x14ac:dyDescent="0.25">
      <c r="A41" s="240" t="s">
        <v>39</v>
      </c>
      <c r="B41" s="240"/>
      <c r="C41" s="240"/>
      <c r="D41" s="240"/>
      <c r="E41" s="246">
        <f>E43/E39-E40</f>
        <v>1.7939869601216132</v>
      </c>
      <c r="F41" s="246"/>
      <c r="G41" s="246"/>
      <c r="H41" s="246"/>
    </row>
    <row r="42" spans="1:13" x14ac:dyDescent="0.25">
      <c r="A42" s="240" t="s">
        <v>40</v>
      </c>
      <c r="B42" s="240"/>
      <c r="C42" s="240"/>
      <c r="D42" s="240"/>
      <c r="E42" s="246">
        <f>E40+E41</f>
        <v>2.7939869601216132</v>
      </c>
      <c r="F42" s="246"/>
      <c r="G42" s="246"/>
      <c r="H42" s="246"/>
    </row>
    <row r="43" spans="1:13" x14ac:dyDescent="0.25">
      <c r="A43" s="240" t="s">
        <v>131</v>
      </c>
      <c r="B43" s="240"/>
      <c r="C43" s="240"/>
      <c r="D43" s="240"/>
      <c r="E43" s="238">
        <v>83957.52</v>
      </c>
      <c r="F43" s="238"/>
      <c r="G43" s="238"/>
      <c r="H43" s="238"/>
    </row>
    <row r="44" spans="1:13" x14ac:dyDescent="0.25">
      <c r="A44" s="239" t="s">
        <v>41</v>
      </c>
      <c r="B44" s="239"/>
      <c r="C44" s="239"/>
      <c r="D44" s="239"/>
      <c r="E44" s="239" t="s">
        <v>363</v>
      </c>
      <c r="F44" s="239"/>
      <c r="G44" s="239"/>
      <c r="H44" s="239"/>
    </row>
    <row r="45" spans="1:13" x14ac:dyDescent="0.25">
      <c r="A45" s="167" t="s">
        <v>42</v>
      </c>
      <c r="B45" s="167"/>
      <c r="C45" s="167"/>
      <c r="D45" s="167"/>
      <c r="E45" s="167"/>
      <c r="F45" s="167"/>
      <c r="G45" s="167"/>
      <c r="H45" s="167"/>
    </row>
    <row r="46" spans="1:13" x14ac:dyDescent="0.25">
      <c r="A46" s="155" t="s">
        <v>43</v>
      </c>
      <c r="B46" s="155"/>
      <c r="C46" s="153" t="s">
        <v>348</v>
      </c>
      <c r="D46" s="153"/>
      <c r="E46" s="153"/>
      <c r="F46" s="28" t="s">
        <v>44</v>
      </c>
      <c r="G46" s="154">
        <v>44347</v>
      </c>
      <c r="H46" s="155"/>
    </row>
    <row r="47" spans="1:13" x14ac:dyDescent="0.25">
      <c r="A47" s="239" t="s">
        <v>45</v>
      </c>
      <c r="B47" s="239"/>
      <c r="C47" s="153" t="str">
        <f>C46</f>
        <v>VVCMC/AMEND/BP/VP0093/13/2021</v>
      </c>
      <c r="D47" s="153"/>
      <c r="E47" s="153"/>
      <c r="F47" s="28" t="s">
        <v>44</v>
      </c>
      <c r="G47" s="154">
        <v>44347</v>
      </c>
      <c r="H47" s="155"/>
      <c r="K47" s="153" t="s">
        <v>330</v>
      </c>
      <c r="L47" s="153"/>
      <c r="M47" s="153"/>
    </row>
    <row r="48" spans="1:13" s="11" customFormat="1" x14ac:dyDescent="0.25">
      <c r="A48" s="155" t="s">
        <v>46</v>
      </c>
      <c r="B48" s="155"/>
      <c r="C48" s="153" t="s">
        <v>348</v>
      </c>
      <c r="D48" s="153"/>
      <c r="E48" s="153"/>
      <c r="F48" s="14" t="s">
        <v>44</v>
      </c>
      <c r="G48" s="157">
        <v>44091</v>
      </c>
      <c r="H48" s="158"/>
    </row>
    <row r="49" spans="1:8" s="11" customFormat="1" ht="192.75" customHeight="1" x14ac:dyDescent="0.25">
      <c r="A49" s="155"/>
      <c r="B49" s="155"/>
      <c r="C49" s="159" t="s">
        <v>346</v>
      </c>
      <c r="D49" s="160"/>
      <c r="E49" s="160"/>
      <c r="F49" s="160"/>
      <c r="G49" s="160"/>
      <c r="H49" s="161"/>
    </row>
    <row r="50" spans="1:8" ht="15.75" customHeight="1" x14ac:dyDescent="0.25">
      <c r="A50" s="164" t="s">
        <v>47</v>
      </c>
      <c r="B50" s="261"/>
      <c r="C50" s="259" t="s">
        <v>255</v>
      </c>
      <c r="D50" s="260"/>
      <c r="E50" s="260" t="s">
        <v>48</v>
      </c>
      <c r="F50" s="31" t="s">
        <v>44</v>
      </c>
      <c r="G50" s="257" t="s">
        <v>254</v>
      </c>
      <c r="H50" s="258"/>
    </row>
    <row r="51" spans="1:8" ht="192.75" customHeight="1" x14ac:dyDescent="0.25">
      <c r="A51" s="262"/>
      <c r="B51" s="263"/>
      <c r="C51" s="264" t="s">
        <v>284</v>
      </c>
      <c r="D51" s="265"/>
      <c r="E51" s="265"/>
      <c r="F51" s="265"/>
      <c r="G51" s="265"/>
      <c r="H51" s="266"/>
    </row>
    <row r="52" spans="1:8" s="62" customFormat="1" ht="15.75" customHeight="1" x14ac:dyDescent="0.25">
      <c r="A52" s="267" t="s">
        <v>314</v>
      </c>
      <c r="B52" s="268"/>
      <c r="C52" s="268"/>
      <c r="D52" s="268"/>
      <c r="E52" s="268"/>
      <c r="F52" s="268"/>
      <c r="G52" s="268"/>
      <c r="H52" s="269"/>
    </row>
    <row r="53" spans="1:8" s="62" customFormat="1" ht="29.25" customHeight="1" x14ac:dyDescent="0.25">
      <c r="A53" s="111" t="s">
        <v>43</v>
      </c>
      <c r="B53" s="111"/>
      <c r="C53" s="153" t="s">
        <v>291</v>
      </c>
      <c r="D53" s="153"/>
      <c r="E53" s="153"/>
      <c r="F53" s="28" t="s">
        <v>44</v>
      </c>
      <c r="G53" s="154">
        <v>44566</v>
      </c>
      <c r="H53" s="155"/>
    </row>
    <row r="54" spans="1:8" ht="30" customHeight="1" x14ac:dyDescent="0.25">
      <c r="A54" s="156" t="s">
        <v>45</v>
      </c>
      <c r="B54" s="156"/>
      <c r="C54" s="153" t="str">
        <f>C53</f>
        <v>VVCMC/TP/CC/VP/0093/530/2021-22</v>
      </c>
      <c r="D54" s="153"/>
      <c r="E54" s="153"/>
      <c r="F54" s="28" t="s">
        <v>44</v>
      </c>
      <c r="G54" s="154">
        <f>G53</f>
        <v>44566</v>
      </c>
      <c r="H54" s="154"/>
    </row>
    <row r="55" spans="1:8" s="11" customFormat="1" x14ac:dyDescent="0.25">
      <c r="A55" s="155" t="s">
        <v>46</v>
      </c>
      <c r="B55" s="155"/>
      <c r="C55" s="153" t="str">
        <f>C54</f>
        <v>VVCMC/TP/CC/VP/0093/530/2021-22</v>
      </c>
      <c r="D55" s="153"/>
      <c r="E55" s="153"/>
      <c r="F55" s="14" t="s">
        <v>44</v>
      </c>
      <c r="G55" s="157">
        <v>44566</v>
      </c>
      <c r="H55" s="158"/>
    </row>
    <row r="56" spans="1:8" s="11" customFormat="1" ht="113.25" customHeight="1" x14ac:dyDescent="0.25">
      <c r="A56" s="155"/>
      <c r="B56" s="155"/>
      <c r="C56" s="153" t="s">
        <v>319</v>
      </c>
      <c r="D56" s="153"/>
      <c r="E56" s="153"/>
      <c r="F56" s="153"/>
      <c r="G56" s="153"/>
      <c r="H56" s="153"/>
    </row>
    <row r="57" spans="1:8" s="62" customFormat="1" ht="15.75" customHeight="1" x14ac:dyDescent="0.25">
      <c r="A57" s="150" t="s">
        <v>344</v>
      </c>
      <c r="B57" s="151"/>
      <c r="C57" s="151"/>
      <c r="D57" s="151"/>
      <c r="E57" s="151"/>
      <c r="F57" s="151"/>
      <c r="G57" s="151"/>
      <c r="H57" s="152"/>
    </row>
    <row r="58" spans="1:8" s="62" customFormat="1" ht="29.25" customHeight="1" x14ac:dyDescent="0.25">
      <c r="A58" s="111" t="s">
        <v>43</v>
      </c>
      <c r="B58" s="111"/>
      <c r="C58" s="153" t="s">
        <v>345</v>
      </c>
      <c r="D58" s="153"/>
      <c r="E58" s="153"/>
      <c r="F58" s="28" t="s">
        <v>44</v>
      </c>
      <c r="G58" s="154">
        <v>45239</v>
      </c>
      <c r="H58" s="155"/>
    </row>
    <row r="59" spans="1:8" ht="30" customHeight="1" x14ac:dyDescent="0.25">
      <c r="A59" s="156" t="s">
        <v>45</v>
      </c>
      <c r="B59" s="156"/>
      <c r="C59" s="153" t="str">
        <f>C58</f>
        <v>VVCMC/TP/AMEND/VP-0093/159/ 2023-24</v>
      </c>
      <c r="D59" s="153"/>
      <c r="E59" s="153"/>
      <c r="F59" s="28" t="s">
        <v>44</v>
      </c>
      <c r="G59" s="154">
        <f>G58</f>
        <v>45239</v>
      </c>
      <c r="H59" s="154"/>
    </row>
    <row r="60" spans="1:8" s="11" customFormat="1" x14ac:dyDescent="0.25">
      <c r="A60" s="155" t="s">
        <v>347</v>
      </c>
      <c r="B60" s="155"/>
      <c r="C60" s="153" t="s">
        <v>330</v>
      </c>
      <c r="D60" s="153"/>
      <c r="E60" s="153"/>
      <c r="F60" s="14" t="s">
        <v>44</v>
      </c>
      <c r="G60" s="157">
        <v>45239</v>
      </c>
      <c r="H60" s="158"/>
    </row>
    <row r="61" spans="1:8" s="11" customFormat="1" ht="33.75" customHeight="1" x14ac:dyDescent="0.25">
      <c r="A61" s="155"/>
      <c r="B61" s="155"/>
      <c r="C61" s="159" t="s">
        <v>349</v>
      </c>
      <c r="D61" s="160"/>
      <c r="E61" s="160"/>
      <c r="F61" s="160"/>
      <c r="G61" s="160"/>
      <c r="H61" s="161"/>
    </row>
    <row r="62" spans="1:8" x14ac:dyDescent="0.25">
      <c r="A62" s="245" t="s">
        <v>50</v>
      </c>
      <c r="B62" s="245"/>
      <c r="C62" s="245"/>
      <c r="D62" s="245"/>
      <c r="E62" s="245"/>
      <c r="F62" s="245"/>
      <c r="G62" s="245"/>
      <c r="H62" s="245"/>
    </row>
    <row r="63" spans="1:8" x14ac:dyDescent="0.25">
      <c r="A63" s="177" t="s">
        <v>130</v>
      </c>
      <c r="B63" s="177"/>
      <c r="C63" s="177"/>
      <c r="D63" s="240">
        <f>E43</f>
        <v>83957.52</v>
      </c>
      <c r="E63" s="240"/>
      <c r="F63" s="240"/>
      <c r="G63" s="240"/>
      <c r="H63" s="240"/>
    </row>
    <row r="64" spans="1:8" s="11" customFormat="1" ht="33.75" customHeight="1" x14ac:dyDescent="0.25">
      <c r="A64" s="155" t="s">
        <v>51</v>
      </c>
      <c r="B64" s="239"/>
      <c r="C64" s="239"/>
      <c r="D64" s="155" t="s">
        <v>339</v>
      </c>
      <c r="E64" s="239"/>
      <c r="F64" s="239"/>
      <c r="G64" s="239"/>
      <c r="H64" s="239"/>
    </row>
    <row r="65" spans="1:11" ht="297.75" customHeight="1" x14ac:dyDescent="0.25">
      <c r="A65" s="155" t="s">
        <v>52</v>
      </c>
      <c r="B65" s="239"/>
      <c r="C65" s="239"/>
      <c r="D65" s="155" t="s">
        <v>341</v>
      </c>
      <c r="E65" s="239"/>
      <c r="F65" s="239"/>
      <c r="G65" s="239"/>
      <c r="H65" s="239"/>
    </row>
    <row r="66" spans="1:11" ht="282" customHeight="1" x14ac:dyDescent="0.25">
      <c r="A66" s="155" t="s">
        <v>128</v>
      </c>
      <c r="B66" s="239"/>
      <c r="C66" s="239"/>
      <c r="D66" s="155" t="s">
        <v>380</v>
      </c>
      <c r="E66" s="239"/>
      <c r="F66" s="239"/>
      <c r="G66" s="239"/>
      <c r="H66" s="239"/>
    </row>
    <row r="67" spans="1:11" ht="71.25" customHeight="1" x14ac:dyDescent="0.25">
      <c r="A67" s="240" t="s">
        <v>49</v>
      </c>
      <c r="B67" s="240"/>
      <c r="C67" s="240"/>
      <c r="D67" s="244" t="s">
        <v>331</v>
      </c>
      <c r="E67" s="177"/>
      <c r="F67" s="177"/>
      <c r="G67" s="177"/>
      <c r="H67" s="177"/>
    </row>
    <row r="68" spans="1:11" ht="15.75" customHeight="1" x14ac:dyDescent="0.25">
      <c r="A68" s="240" t="s">
        <v>125</v>
      </c>
      <c r="B68" s="240"/>
      <c r="C68" s="240"/>
      <c r="D68" s="177" t="s">
        <v>126</v>
      </c>
      <c r="E68" s="177"/>
      <c r="F68" s="177"/>
      <c r="G68" s="177"/>
      <c r="H68" s="177"/>
    </row>
    <row r="69" spans="1:11" ht="15.75" customHeight="1" x14ac:dyDescent="0.25">
      <c r="A69" s="240" t="s">
        <v>127</v>
      </c>
      <c r="B69" s="240"/>
      <c r="C69" s="240"/>
      <c r="D69" s="177" t="s">
        <v>25</v>
      </c>
      <c r="E69" s="177"/>
      <c r="F69" s="177"/>
      <c r="G69" s="177"/>
      <c r="H69" s="177"/>
      <c r="J69" s="20"/>
      <c r="K69" s="20"/>
    </row>
    <row r="70" spans="1:11" ht="15.75" customHeight="1" thickBot="1" x14ac:dyDescent="0.3">
      <c r="A70" s="187" t="s">
        <v>124</v>
      </c>
      <c r="B70" s="187"/>
      <c r="C70" s="187"/>
      <c r="D70" s="176" t="s">
        <v>234</v>
      </c>
      <c r="E70" s="176"/>
      <c r="F70" s="176"/>
      <c r="G70" s="176"/>
      <c r="H70" s="176"/>
      <c r="J70" s="20"/>
      <c r="K70" s="20"/>
    </row>
    <row r="71" spans="1:11" customFormat="1" ht="64.5" customHeight="1" x14ac:dyDescent="0.25">
      <c r="A71" s="112" t="s">
        <v>282</v>
      </c>
      <c r="B71" s="113"/>
      <c r="C71" s="114" t="s">
        <v>306</v>
      </c>
      <c r="D71" s="114"/>
      <c r="E71" s="114"/>
      <c r="F71" s="114"/>
      <c r="G71" s="114"/>
      <c r="H71" s="115"/>
      <c r="I71" s="52" t="str">
        <f ca="1">(IF(E191&gt;99%,"All work completed. Please provide OC.",IF(E191&gt;89.8%,"Plinth, RCC, Brick, Plaster, Flooring, Painting work Completed. Finishing work is in process.",IF(E191&lt;94%,(IF(C191=0,"Work not yet Started.",IF(D191=25%,"Piling work in process",IF(D191=50%,"Excavation work in process",IF(D191=100%,"Excavation work Completed. ","0")))&amp;(IF(C192=0%,"",IF(C192=J193,"Footing work is process",IF(C192=J194,"Footing work Completed",IF(C192=J195,"1st Basement Completed",IF(C192=J196,"1st &amp; 2nd Basement Completed",IF(C192=J197,"1st to 3rd Basement Completed",IF(C192=J198,"1st to 4th Basement Completed",IF(C192=J199,"Plinth work is process",IF(C192=J200,"Plinth work completed","0")))))))))))&amp;(IF(C193=(D72+F72+H72),", RCC Slab",IF(C193&gt;0,", RCC upto "&amp;C193&amp;" Slab",""))&amp;(IF(C194=H72,", Brickwork",IF(C194&gt;0,", Brickwork upto "&amp;C194&amp;" Floor",""))&amp;(IF(C195=H72,", Internal Plaster",IF(C195&gt;0,", Internal Plaster upto "&amp;C195&amp;" Floor",""))&amp;(IF(C196=H72,", External Plaster",IF(C196&gt;0,", External Plaster upto "&amp;C196&amp;" Floor",""))&amp;(IF(C197=H72,", Flooring",IF(C197&gt;0,", Flooring upto "&amp;C197&amp;" Floor",""))&amp;(IF(C198=H72,", Painting",IF(C198&gt;0,", Painting upto "&amp;C198&amp;" Floor",""))&amp;(IF(C199&gt;0,", Finishing upto "&amp;C199&amp;" Floor","")&amp;(IF(C193&gt;0.5," Completed",""))))))))))))))</f>
        <v>All work completed. Please provide OC.</v>
      </c>
      <c r="J71" s="23"/>
    </row>
    <row r="72" spans="1:11" customFormat="1" x14ac:dyDescent="0.25">
      <c r="A72" s="22" t="s">
        <v>103</v>
      </c>
      <c r="B72" s="51">
        <v>0</v>
      </c>
      <c r="C72" s="51" t="s">
        <v>105</v>
      </c>
      <c r="D72" s="51">
        <v>1</v>
      </c>
      <c r="E72" s="51" t="s">
        <v>104</v>
      </c>
      <c r="F72" s="51">
        <v>0</v>
      </c>
      <c r="G72" s="51" t="s">
        <v>118</v>
      </c>
      <c r="H72" s="33">
        <f ca="1">--TRIM(RIGHT(SUBSTITUTE(LEFT(C71,_xlfn.AGGREGATE(16,6,FIND({0,1,2,3,4,5,6,7,8,9},C71,ROW(INDIRECT("1:"&amp;LEN(C71)))),1))," ",REPT(" ",LEN(C71))),LEN(C71)))</f>
        <v>14</v>
      </c>
      <c r="I72" s="20"/>
      <c r="J72" s="24"/>
    </row>
    <row r="73" spans="1:11" customFormat="1" ht="15.75" customHeight="1" x14ac:dyDescent="0.25">
      <c r="A73" s="116" t="s">
        <v>129</v>
      </c>
      <c r="B73" s="117"/>
      <c r="C73" s="111" t="s">
        <v>283</v>
      </c>
      <c r="D73" s="111"/>
      <c r="E73" s="111"/>
      <c r="F73" s="111"/>
      <c r="G73" s="111"/>
      <c r="H73" s="118"/>
      <c r="I73" s="20" t="s">
        <v>146</v>
      </c>
      <c r="J73" s="24"/>
    </row>
    <row r="74" spans="1:11" s="70" customFormat="1" ht="15.75" customHeight="1" x14ac:dyDescent="0.25">
      <c r="A74" s="179" t="s">
        <v>123</v>
      </c>
      <c r="B74" s="110"/>
      <c r="C74" s="182">
        <v>1</v>
      </c>
      <c r="D74" s="110"/>
      <c r="E74" s="110" t="s">
        <v>122</v>
      </c>
      <c r="F74" s="110"/>
      <c r="G74" s="182">
        <v>1</v>
      </c>
      <c r="H74" s="183"/>
      <c r="I74" s="68"/>
      <c r="J74" s="69"/>
    </row>
    <row r="75" spans="1:11" s="70" customFormat="1" ht="15.75" customHeight="1" thickBot="1" x14ac:dyDescent="0.3">
      <c r="A75" s="180"/>
      <c r="B75" s="181"/>
      <c r="C75" s="181"/>
      <c r="D75" s="181"/>
      <c r="E75" s="181"/>
      <c r="F75" s="181"/>
      <c r="G75" s="181"/>
      <c r="H75" s="184"/>
      <c r="I75" s="68"/>
      <c r="J75" s="69"/>
    </row>
    <row r="76" spans="1:11" customFormat="1" ht="50.25" customHeight="1" x14ac:dyDescent="0.25">
      <c r="A76" s="169" t="s">
        <v>281</v>
      </c>
      <c r="B76" s="170"/>
      <c r="C76" s="171" t="s">
        <v>328</v>
      </c>
      <c r="D76" s="172"/>
      <c r="E76" s="172"/>
      <c r="F76" s="172"/>
      <c r="G76" s="172"/>
      <c r="H76" s="173"/>
      <c r="I76" s="52" t="str">
        <f ca="1">(IF(E82&gt;99%,"All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","0")))&amp;(IF(C83=0%,"",IF(C83=J84,"Footing work is process",IF(C83=J85,"Footing work Completed",IF(C83=J86,"1st Basement Completed",IF(C83=J87,"1st &amp; 2nd Basement Completed",IF(C83=J88,"1st to 3rd Basement Completed",IF(C83=J89,"1st to 4th Basement Completed",IF(C83=J90,"Plinth work is process",IF(C83=J91,"Plinth work completed","0")))))))))))&amp;(IF(C84=(D77+F77+H77),", RCC Slab",IF(C84&gt;0,", RCC upto "&amp;C84&amp;" Slab",""))&amp;(IF(C85=H77,", Brickwork",IF(C85&gt;0,", Brickwork upto "&amp;C85&amp;" Floor",""))&amp;(IF(C86=H77,", Internal Plaster",IF(C86&gt;0,", Internal Plaster upto "&amp;C86&amp;" Floor",""))&amp;(IF(C87=H77,", External Plaster",IF(C87&gt;0,", External Plaster upto "&amp;C87&amp;" Floor",""))&amp;(IF(C88=H77,", Flooring",IF(C88&gt;0,", Flooring upto "&amp;C88&amp;" Floor",""))&amp;(IF(C89=H77,", Painting",IF(C89&gt;0,", Painting upto "&amp;C89&amp;" Floor",""))&amp;(IF(C90&gt;0,", Finishing upto "&amp;C90&amp;" Floor","")&amp;(IF(C84&gt;0.5," Completed",""))))))))))))))</f>
        <v>All work completed. Please provide OC.</v>
      </c>
      <c r="J76" s="23"/>
    </row>
    <row r="77" spans="1:11" customFormat="1" x14ac:dyDescent="0.25">
      <c r="A77" s="22" t="s">
        <v>103</v>
      </c>
      <c r="B77" s="51">
        <v>0</v>
      </c>
      <c r="C77" s="51" t="s">
        <v>105</v>
      </c>
      <c r="D77" s="51">
        <v>1</v>
      </c>
      <c r="E77" s="51" t="s">
        <v>104</v>
      </c>
      <c r="F77" s="51">
        <v>0</v>
      </c>
      <c r="G77" s="51" t="s">
        <v>118</v>
      </c>
      <c r="H77" s="33">
        <f ca="1">--TRIM(RIGHT(SUBSTITUTE(LEFT(C76,_xlfn.AGGREGATE(16,6,FIND({0,1,2,3,4,5,6,7,8,9},C76,ROW(INDIRECT("1:"&amp;LEN(C76)))),1))," ",REPT(" ",LEN(C76))),LEN(C76)))</f>
        <v>14</v>
      </c>
      <c r="I77" s="20"/>
      <c r="J77" s="24"/>
    </row>
    <row r="78" spans="1:11" customFormat="1" x14ac:dyDescent="0.25">
      <c r="A78" s="174" t="s">
        <v>129</v>
      </c>
      <c r="B78" s="175"/>
      <c r="C78" s="111" t="s">
        <v>283</v>
      </c>
      <c r="D78" s="111"/>
      <c r="E78" s="111"/>
      <c r="F78" s="111"/>
      <c r="G78" s="111"/>
      <c r="H78" s="118"/>
      <c r="I78" s="20" t="s">
        <v>146</v>
      </c>
      <c r="J78" s="24"/>
    </row>
    <row r="79" spans="1:11" customFormat="1" x14ac:dyDescent="0.25">
      <c r="A79" s="179" t="s">
        <v>123</v>
      </c>
      <c r="B79" s="110"/>
      <c r="C79" s="182">
        <v>1</v>
      </c>
      <c r="D79" s="110"/>
      <c r="E79" s="110" t="s">
        <v>122</v>
      </c>
      <c r="F79" s="110"/>
      <c r="G79" s="182">
        <v>1</v>
      </c>
      <c r="H79" s="183"/>
      <c r="I79" s="20"/>
      <c r="J79" s="24"/>
    </row>
    <row r="80" spans="1:11" customFormat="1" ht="16.5" thickBot="1" x14ac:dyDescent="0.3">
      <c r="A80" s="180"/>
      <c r="B80" s="181"/>
      <c r="C80" s="181"/>
      <c r="D80" s="181"/>
      <c r="E80" s="181"/>
      <c r="F80" s="181"/>
      <c r="G80" s="181"/>
      <c r="H80" s="184"/>
      <c r="I80" s="20"/>
      <c r="J80" s="24"/>
    </row>
    <row r="81" spans="1:14" customFormat="1" ht="31.5" hidden="1" x14ac:dyDescent="0.25">
      <c r="A81" s="99" t="s">
        <v>53</v>
      </c>
      <c r="B81" s="100"/>
      <c r="C81" s="34" t="s">
        <v>264</v>
      </c>
      <c r="D81" s="34" t="s">
        <v>121</v>
      </c>
      <c r="E81" s="100" t="s">
        <v>123</v>
      </c>
      <c r="F81" s="100"/>
      <c r="G81" s="100" t="s">
        <v>122</v>
      </c>
      <c r="H81" s="101"/>
      <c r="I81" s="53" t="s">
        <v>265</v>
      </c>
      <c r="J81" s="25">
        <f ca="1">H77*25%</f>
        <v>3.5</v>
      </c>
    </row>
    <row r="82" spans="1:14" customFormat="1" hidden="1" x14ac:dyDescent="0.25">
      <c r="A82" s="99" t="s">
        <v>266</v>
      </c>
      <c r="B82" s="100"/>
      <c r="C82" s="35">
        <f ca="1">J83</f>
        <v>14</v>
      </c>
      <c r="D82" s="49">
        <f ca="1">((100/H77)*C82)/100</f>
        <v>1</v>
      </c>
      <c r="E82" s="102">
        <f ca="1">(((C83/H77*10)+(40/(D77+F77+H77)*C84)+(7.5/(H77)*C85)+(7.5/(H77)*C86)+(10/H77*C87)+(10/H77*C88)+(5/H77*C89)+(5/H77*C90)+(5/H77*C91))/100)</f>
        <v>1</v>
      </c>
      <c r="F82" s="102"/>
      <c r="G82" s="102">
        <f ca="1">((((C82/H77)*20)+((C83/H77)*25)+(30/(H77+F77+D77)*C84)+(5/H77*C85)+(5/H77*C86)+(5/H77*C87)+(5/H77*C88)+(0/H77*C89)+(0/H77*C90)+(5/H77*C91))/100)</f>
        <v>1</v>
      </c>
      <c r="H82" s="104"/>
      <c r="I82" s="53" t="s">
        <v>140</v>
      </c>
      <c r="J82" s="54">
        <f ca="1">H77*50%</f>
        <v>7</v>
      </c>
    </row>
    <row r="83" spans="1:14" customFormat="1" hidden="1" x14ac:dyDescent="0.25">
      <c r="A83" s="99" t="s">
        <v>54</v>
      </c>
      <c r="B83" s="100"/>
      <c r="C83" s="36">
        <f ca="1">J91</f>
        <v>14</v>
      </c>
      <c r="D83" s="49">
        <f ca="1">((100/H77)*C83)/100</f>
        <v>1</v>
      </c>
      <c r="E83" s="102"/>
      <c r="F83" s="102"/>
      <c r="G83" s="102"/>
      <c r="H83" s="104"/>
      <c r="I83" s="53" t="s">
        <v>141</v>
      </c>
      <c r="J83" s="54">
        <f ca="1">H77</f>
        <v>14</v>
      </c>
    </row>
    <row r="84" spans="1:14" customFormat="1" hidden="1" x14ac:dyDescent="0.25">
      <c r="A84" s="99" t="s">
        <v>267</v>
      </c>
      <c r="B84" s="100"/>
      <c r="C84" s="36">
        <v>15</v>
      </c>
      <c r="D84" s="49">
        <f ca="1">((100/(D77+F77+H77))*C84)/100</f>
        <v>1</v>
      </c>
      <c r="E84" s="102"/>
      <c r="F84" s="102"/>
      <c r="G84" s="102"/>
      <c r="H84" s="104"/>
      <c r="I84" s="53" t="s">
        <v>142</v>
      </c>
      <c r="J84" s="55">
        <f ca="1">(IF(B77&gt;1,(H77/(B77+2)),H77/4))</f>
        <v>3.5</v>
      </c>
      <c r="L84" s="56"/>
    </row>
    <row r="85" spans="1:14" customFormat="1" ht="15.75" hidden="1" customHeight="1" x14ac:dyDescent="0.25">
      <c r="A85" s="99" t="s">
        <v>268</v>
      </c>
      <c r="B85" s="100" t="s">
        <v>269</v>
      </c>
      <c r="C85" s="35">
        <v>14</v>
      </c>
      <c r="D85" s="49">
        <f ca="1">((100/H77)*C85)/100</f>
        <v>1</v>
      </c>
      <c r="E85" s="102"/>
      <c r="F85" s="102"/>
      <c r="G85" s="102"/>
      <c r="H85" s="104"/>
      <c r="I85" s="53" t="s">
        <v>143</v>
      </c>
      <c r="J85" s="55">
        <f ca="1">(IF(B77&gt;1,(H77/(B77+2)+J84),H77/4+J84))</f>
        <v>7</v>
      </c>
      <c r="L85" s="56"/>
    </row>
    <row r="86" spans="1:14" customFormat="1" ht="15.75" hidden="1" customHeight="1" x14ac:dyDescent="0.25">
      <c r="A86" s="99" t="s">
        <v>270</v>
      </c>
      <c r="B86" s="100" t="s">
        <v>269</v>
      </c>
      <c r="C86" s="35">
        <v>14</v>
      </c>
      <c r="D86" s="49">
        <f ca="1">((100/H77)*C86)/100</f>
        <v>1</v>
      </c>
      <c r="E86" s="102"/>
      <c r="F86" s="102"/>
      <c r="G86" s="102"/>
      <c r="H86" s="104"/>
      <c r="I86" s="53" t="s">
        <v>271</v>
      </c>
      <c r="J86" s="55">
        <f>(IF(B77&gt;1,(H77/(B77+2)+J85),0))</f>
        <v>0</v>
      </c>
      <c r="L86" s="57"/>
      <c r="N86" s="56"/>
    </row>
    <row r="87" spans="1:14" customFormat="1" ht="15.75" hidden="1" customHeight="1" x14ac:dyDescent="0.25">
      <c r="A87" s="106" t="s">
        <v>272</v>
      </c>
      <c r="B87" s="107" t="s">
        <v>273</v>
      </c>
      <c r="C87" s="35">
        <v>14</v>
      </c>
      <c r="D87" s="49">
        <f ca="1">((100/(H77))*C87)/100</f>
        <v>1</v>
      </c>
      <c r="E87" s="102"/>
      <c r="F87" s="102"/>
      <c r="G87" s="102"/>
      <c r="H87" s="104"/>
      <c r="I87" s="53" t="s">
        <v>274</v>
      </c>
      <c r="J87" s="55">
        <f>(IF(B77&gt;2,(H77/(B77+2)+J86),0))</f>
        <v>0</v>
      </c>
      <c r="K87" s="58"/>
      <c r="L87" s="57"/>
    </row>
    <row r="88" spans="1:14" customFormat="1" ht="15.75" hidden="1" customHeight="1" x14ac:dyDescent="0.25">
      <c r="A88" s="99" t="s">
        <v>275</v>
      </c>
      <c r="B88" s="100" t="s">
        <v>275</v>
      </c>
      <c r="C88" s="35">
        <v>14</v>
      </c>
      <c r="D88" s="49">
        <f ca="1">((100/H77)*C88)/100</f>
        <v>1</v>
      </c>
      <c r="E88" s="102"/>
      <c r="F88" s="102"/>
      <c r="G88" s="102"/>
      <c r="H88" s="104"/>
      <c r="I88" s="53" t="s">
        <v>276</v>
      </c>
      <c r="J88" s="59">
        <f>(IF(B77&gt;3,(H77/(B77+2)+J87),0))</f>
        <v>0</v>
      </c>
      <c r="K88" s="58"/>
      <c r="L88" s="57"/>
    </row>
    <row r="89" spans="1:14" customFormat="1" ht="15.75" hidden="1" customHeight="1" x14ac:dyDescent="0.25">
      <c r="A89" s="99" t="s">
        <v>277</v>
      </c>
      <c r="B89" s="100"/>
      <c r="C89" s="35">
        <v>14</v>
      </c>
      <c r="D89" s="49">
        <f ca="1">((100/H77)*C89)/100</f>
        <v>1</v>
      </c>
      <c r="E89" s="102"/>
      <c r="F89" s="102"/>
      <c r="G89" s="102"/>
      <c r="H89" s="104"/>
      <c r="I89" s="53" t="s">
        <v>278</v>
      </c>
      <c r="J89" s="55">
        <f>(IF(B77&gt;4,(H77/(B77+2)+J88),0))</f>
        <v>0</v>
      </c>
      <c r="K89" s="56"/>
      <c r="L89" s="57"/>
    </row>
    <row r="90" spans="1:14" customFormat="1" ht="15.75" hidden="1" customHeight="1" x14ac:dyDescent="0.25">
      <c r="A90" s="99" t="s">
        <v>279</v>
      </c>
      <c r="B90" s="100" t="s">
        <v>279</v>
      </c>
      <c r="C90" s="35">
        <v>14</v>
      </c>
      <c r="D90" s="49">
        <f ca="1">((100/(H77))*C90)/100</f>
        <v>1</v>
      </c>
      <c r="E90" s="102"/>
      <c r="F90" s="102"/>
      <c r="G90" s="102"/>
      <c r="H90" s="104"/>
      <c r="I90" s="53" t="s">
        <v>144</v>
      </c>
      <c r="J90" s="55">
        <f ca="1">(IF(B77=1,(H77/(B77+3)+J85),IF(B77=0,(H77/4+J85),IF(B77&gt;1,0))))</f>
        <v>10.5</v>
      </c>
      <c r="K90" s="58"/>
      <c r="L90" s="57"/>
    </row>
    <row r="91" spans="1:14" customFormat="1" ht="16.5" hidden="1" thickBot="1" x14ac:dyDescent="0.3">
      <c r="A91" s="185" t="s">
        <v>280</v>
      </c>
      <c r="B91" s="186"/>
      <c r="C91" s="35">
        <v>14</v>
      </c>
      <c r="D91" s="50">
        <f ca="1">((100/(H77))*C91)/100</f>
        <v>1</v>
      </c>
      <c r="E91" s="188"/>
      <c r="F91" s="188"/>
      <c r="G91" s="188"/>
      <c r="H91" s="189"/>
      <c r="I91" s="60" t="s">
        <v>145</v>
      </c>
      <c r="J91" s="61">
        <f ca="1">(IF(B77&gt;1.5,(H77/(B77+2)+J85+MAX(0,J86-J85)+MAX(0,J87-J86)+MAX(0,J88-J87)+MAX(0,J89-J88)+MAX(0,J90-J89)),IF(B77=1,(H77/(B77+3)+J90),IF(B77=0,H77/4+J90))))</f>
        <v>14</v>
      </c>
      <c r="K91" s="58"/>
      <c r="L91" s="57"/>
    </row>
    <row r="92" spans="1:14" customFormat="1" ht="30.75" customHeight="1" x14ac:dyDescent="0.25">
      <c r="A92" s="169" t="s">
        <v>281</v>
      </c>
      <c r="B92" s="170"/>
      <c r="C92" s="171" t="s">
        <v>327</v>
      </c>
      <c r="D92" s="172"/>
      <c r="E92" s="172"/>
      <c r="F92" s="172"/>
      <c r="G92" s="172"/>
      <c r="H92" s="173"/>
      <c r="I92" s="52" t="str">
        <f ca="1">(IF(E96&gt;99%,"All work completed. Please provide OC.",IF(E96&gt;89.8%,"Plinth, RCC, Brick, Plaster, Flooring, Painting work Completed. Finishing work is in process.",IF(E96&lt;94%,(IF(C96=0,"Work not yet Started.",IF(D96=25%,"Piling work in process",IF(D96=50%,"Excavation work in process",IF(D96=100%,"Excavation work Completed. ","0")))&amp;(IF(C97=0%,"",IF(C97=J98,"Footing work is process",IF(C97=J99,"Footing work Completed",IF(C97=J100,"1st Basement Completed",IF(C97=J101,"1st &amp; 2nd Basement Completed",IF(C97=J102,"1st to 3rd Basement Completed",IF(C97=J103,"1st to 4th Basement Completed",IF(C97=J104,"Plinth work is process",IF(C97=J105,"Plinth work completed","0")))))))))))&amp;(IF(C98=(D93+F93+H93),", RCC Slab",IF(C98&gt;0,", RCC upto "&amp;C98&amp;" Slab",""))&amp;(IF(C99=H93,", Brickwork",IF(C99&gt;0,", Brickwork upto "&amp;C99&amp;" Floor",""))&amp;(IF(C100=H93,", Internal Plaster",IF(C100&gt;0,", Internal Plaster upto "&amp;C100&amp;" Floor",""))&amp;(IF(C101=H93,", External Plaster",IF(C101&gt;0,", External Plaster upto "&amp;C101&amp;" Floor",""))&amp;(IF(C102=H93,", Flooring",IF(C102&gt;0,", Flooring upto "&amp;C102&amp;" Floor",""))&amp;(IF(C103=H93,", Painting",IF(C103&gt;0,", Painting upto "&amp;C103&amp;" Floor",""))&amp;(IF(C104&gt;0,", Finishing upto "&amp;C104&amp;" Floor","")&amp;(IF(C98&gt;0.5," Completed",""))))))))))))))</f>
        <v>Excavation work Completed. Plinth work completed, RCC Slab, Brickwork, Internal Plaster, External Plaster, Flooring upto 20 Floor, Painting upto 18 Floor, Finishing upto 5 Floor Completed</v>
      </c>
      <c r="J92" s="23"/>
    </row>
    <row r="93" spans="1:14" customFormat="1" x14ac:dyDescent="0.25">
      <c r="A93" s="22" t="s">
        <v>103</v>
      </c>
      <c r="B93" s="51">
        <v>0</v>
      </c>
      <c r="C93" s="51" t="s">
        <v>105</v>
      </c>
      <c r="D93" s="51">
        <v>1</v>
      </c>
      <c r="E93" s="51" t="s">
        <v>104</v>
      </c>
      <c r="F93" s="51">
        <v>0</v>
      </c>
      <c r="G93" s="51" t="s">
        <v>118</v>
      </c>
      <c r="H93" s="33">
        <f ca="1">--TRIM(RIGHT(SUBSTITUTE(LEFT(C92,_xlfn.AGGREGATE(16,6,FIND({0,1,2,3,4,5,6,7,8,9},C92,ROW(INDIRECT("1:"&amp;LEN(C92)))),1))," ",REPT(" ",LEN(C92))),LEN(C92)))</f>
        <v>23</v>
      </c>
      <c r="I93" s="20"/>
      <c r="J93" s="24"/>
    </row>
    <row r="94" spans="1:14" customFormat="1" ht="36" customHeight="1" x14ac:dyDescent="0.25">
      <c r="A94" s="174" t="s">
        <v>129</v>
      </c>
      <c r="B94" s="175"/>
      <c r="C94" s="164" t="str">
        <f ca="1">I92</f>
        <v>Excavation work Completed. Plinth work completed, RCC Slab, Brickwork, Internal Plaster, External Plaster, Flooring upto 20 Floor, Painting upto 18 Floor, Finishing upto 5 Floor Completed</v>
      </c>
      <c r="D94" s="165"/>
      <c r="E94" s="165"/>
      <c r="F94" s="165"/>
      <c r="G94" s="165"/>
      <c r="H94" s="166"/>
      <c r="I94" s="20" t="s">
        <v>146</v>
      </c>
      <c r="J94" s="24"/>
    </row>
    <row r="95" spans="1:14" customFormat="1" x14ac:dyDescent="0.25">
      <c r="A95" s="99" t="s">
        <v>53</v>
      </c>
      <c r="B95" s="100"/>
      <c r="C95" s="34" t="s">
        <v>264</v>
      </c>
      <c r="D95" s="88" t="s">
        <v>121</v>
      </c>
      <c r="E95" s="100" t="s">
        <v>123</v>
      </c>
      <c r="F95" s="100"/>
      <c r="G95" s="100" t="s">
        <v>122</v>
      </c>
      <c r="H95" s="101"/>
      <c r="I95" s="53" t="s">
        <v>265</v>
      </c>
      <c r="J95" s="25">
        <f ca="1">H93*25%</f>
        <v>5.75</v>
      </c>
    </row>
    <row r="96" spans="1:14" customFormat="1" x14ac:dyDescent="0.25">
      <c r="A96" s="99" t="s">
        <v>266</v>
      </c>
      <c r="B96" s="100"/>
      <c r="C96" s="35">
        <v>23</v>
      </c>
      <c r="D96" s="49">
        <f ca="1">((100/H93)*C96)/100</f>
        <v>1</v>
      </c>
      <c r="E96" s="102">
        <f ca="1">(((C97/H93*10)+(40/(D93+F93+H93)*C98)+(7.5/(H93)*C99)+(7.5/(H93)*C100)+(10/H93*C101)+(10/H93*C102)+(5/H93*C103)+(5/H93*C104)+(5/H93*C105))/100)</f>
        <v>0.88695652173913042</v>
      </c>
      <c r="F96" s="102"/>
      <c r="G96" s="102">
        <f ca="1">((((C96/H93)*20)+((C97/H93)*25)+(30/(H93+F93+D93)*C98)+(5/H93*C99)+(5/H93*C100)+(5/H93*C101)+(5/H93*C102)+(0/H93*C103)+(0/H93*C104)+(5/H93*C105))/100)</f>
        <v>0.94347826086956521</v>
      </c>
      <c r="H96" s="104"/>
      <c r="I96" s="53" t="s">
        <v>140</v>
      </c>
      <c r="J96" s="54">
        <f ca="1">H93*50%</f>
        <v>11.5</v>
      </c>
    </row>
    <row r="97" spans="1:14" customFormat="1" x14ac:dyDescent="0.25">
      <c r="A97" s="99" t="s">
        <v>54</v>
      </c>
      <c r="B97" s="100"/>
      <c r="C97" s="36">
        <f ca="1">J105</f>
        <v>23</v>
      </c>
      <c r="D97" s="49">
        <f ca="1">((100/H93)*C97)/100</f>
        <v>1</v>
      </c>
      <c r="E97" s="102"/>
      <c r="F97" s="102"/>
      <c r="G97" s="102"/>
      <c r="H97" s="104"/>
      <c r="I97" s="53" t="s">
        <v>141</v>
      </c>
      <c r="J97" s="54">
        <f ca="1">H93</f>
        <v>23</v>
      </c>
    </row>
    <row r="98" spans="1:14" customFormat="1" x14ac:dyDescent="0.25">
      <c r="A98" s="99" t="s">
        <v>267</v>
      </c>
      <c r="B98" s="100"/>
      <c r="C98" s="36">
        <v>24</v>
      </c>
      <c r="D98" s="49">
        <f ca="1">((100/(D93+F93+H93))*C98)/100</f>
        <v>1</v>
      </c>
      <c r="E98" s="102"/>
      <c r="F98" s="102"/>
      <c r="G98" s="102"/>
      <c r="H98" s="104"/>
      <c r="I98" s="53" t="s">
        <v>142</v>
      </c>
      <c r="J98" s="55">
        <f ca="1">(IF(B93&gt;1,(H93/(B93+2)),H93/4))</f>
        <v>5.75</v>
      </c>
      <c r="L98" s="56"/>
    </row>
    <row r="99" spans="1:14" customFormat="1" ht="15.75" customHeight="1" x14ac:dyDescent="0.25">
      <c r="A99" s="99" t="s">
        <v>268</v>
      </c>
      <c r="B99" s="100" t="s">
        <v>269</v>
      </c>
      <c r="C99" s="36">
        <v>23</v>
      </c>
      <c r="D99" s="49">
        <f ca="1">((100/H93)*C99)/100</f>
        <v>1</v>
      </c>
      <c r="E99" s="102"/>
      <c r="F99" s="102"/>
      <c r="G99" s="102"/>
      <c r="H99" s="104"/>
      <c r="I99" s="53" t="s">
        <v>143</v>
      </c>
      <c r="J99" s="55">
        <f ca="1">(IF(B93&gt;1,(H93/(B93+2)+J98),H93/4+J98))</f>
        <v>11.5</v>
      </c>
      <c r="L99" s="56"/>
    </row>
    <row r="100" spans="1:14" customFormat="1" ht="15.75" customHeight="1" x14ac:dyDescent="0.25">
      <c r="A100" s="99" t="s">
        <v>270</v>
      </c>
      <c r="B100" s="100" t="s">
        <v>269</v>
      </c>
      <c r="C100" s="36">
        <v>23</v>
      </c>
      <c r="D100" s="49">
        <f ca="1">((100/H93)*C100)/100</f>
        <v>1</v>
      </c>
      <c r="E100" s="102"/>
      <c r="F100" s="102"/>
      <c r="G100" s="102"/>
      <c r="H100" s="104"/>
      <c r="I100" s="53" t="s">
        <v>271</v>
      </c>
      <c r="J100" s="55">
        <f>(IF(B93&gt;1,(H93/(B93+2)+J99),0))</f>
        <v>0</v>
      </c>
      <c r="L100" s="57"/>
      <c r="N100" s="56"/>
    </row>
    <row r="101" spans="1:14" customFormat="1" ht="15.75" customHeight="1" x14ac:dyDescent="0.25">
      <c r="A101" s="106" t="s">
        <v>272</v>
      </c>
      <c r="B101" s="107" t="s">
        <v>273</v>
      </c>
      <c r="C101" s="36">
        <v>23</v>
      </c>
      <c r="D101" s="49">
        <f ca="1">((100/(H93))*C101)/100</f>
        <v>1</v>
      </c>
      <c r="E101" s="102"/>
      <c r="F101" s="102"/>
      <c r="G101" s="102"/>
      <c r="H101" s="104"/>
      <c r="I101" s="53" t="s">
        <v>274</v>
      </c>
      <c r="J101" s="55">
        <f>(IF(B93&gt;2,(H93/(B93+2)+J100),0))</f>
        <v>0</v>
      </c>
      <c r="K101" s="58"/>
      <c r="L101" s="57"/>
    </row>
    <row r="102" spans="1:14" customFormat="1" ht="15.75" customHeight="1" x14ac:dyDescent="0.25">
      <c r="A102" s="99" t="s">
        <v>275</v>
      </c>
      <c r="B102" s="100" t="s">
        <v>275</v>
      </c>
      <c r="C102" s="35">
        <v>20</v>
      </c>
      <c r="D102" s="49">
        <f ca="1">((100/H93)*C102)/100</f>
        <v>0.86956521739130432</v>
      </c>
      <c r="E102" s="102"/>
      <c r="F102" s="102"/>
      <c r="G102" s="102"/>
      <c r="H102" s="104"/>
      <c r="I102" s="53" t="s">
        <v>276</v>
      </c>
      <c r="J102" s="59">
        <f>(IF(B93&gt;3,(H93/(B93+2)+J101),0))</f>
        <v>0</v>
      </c>
      <c r="K102" s="58"/>
      <c r="L102" s="57"/>
    </row>
    <row r="103" spans="1:14" customFormat="1" ht="15.75" customHeight="1" x14ac:dyDescent="0.25">
      <c r="A103" s="99" t="s">
        <v>277</v>
      </c>
      <c r="B103" s="100"/>
      <c r="C103" s="35">
        <v>18</v>
      </c>
      <c r="D103" s="49">
        <f ca="1">((100/H93)*C103)/100</f>
        <v>0.78260869565217395</v>
      </c>
      <c r="E103" s="102"/>
      <c r="F103" s="102"/>
      <c r="G103" s="102"/>
      <c r="H103" s="104"/>
      <c r="I103" s="53" t="s">
        <v>278</v>
      </c>
      <c r="J103" s="55">
        <f>(IF(B93&gt;4,(H93/(B93+2)+J102),0))</f>
        <v>0</v>
      </c>
      <c r="K103" s="56"/>
      <c r="L103" s="57"/>
    </row>
    <row r="104" spans="1:14" customFormat="1" ht="15.75" customHeight="1" x14ac:dyDescent="0.25">
      <c r="A104" s="99" t="s">
        <v>279</v>
      </c>
      <c r="B104" s="100" t="s">
        <v>279</v>
      </c>
      <c r="C104" s="35">
        <v>5</v>
      </c>
      <c r="D104" s="49">
        <f ca="1">((100/(H93))*C104)/100</f>
        <v>0.21739130434782608</v>
      </c>
      <c r="E104" s="102"/>
      <c r="F104" s="102"/>
      <c r="G104" s="102"/>
      <c r="H104" s="104"/>
      <c r="I104" s="53" t="s">
        <v>144</v>
      </c>
      <c r="J104" s="55">
        <f ca="1">(IF(B93=1,(H93/(B93+3)+J99),IF(B93=0,(H93/4+J99),IF(B93&gt;1,0))))</f>
        <v>17.25</v>
      </c>
      <c r="K104" s="58"/>
      <c r="L104" s="57"/>
    </row>
    <row r="105" spans="1:14" customFormat="1" ht="16.5" thickBot="1" x14ac:dyDescent="0.3">
      <c r="A105" s="108" t="s">
        <v>280</v>
      </c>
      <c r="B105" s="109"/>
      <c r="C105" s="64">
        <v>0</v>
      </c>
      <c r="D105" s="65">
        <f ca="1">((100/(H93))*C105)/100</f>
        <v>0</v>
      </c>
      <c r="E105" s="103"/>
      <c r="F105" s="103"/>
      <c r="G105" s="103"/>
      <c r="H105" s="105"/>
      <c r="I105" s="60" t="s">
        <v>145</v>
      </c>
      <c r="J105" s="61">
        <f ca="1">(IF(B93&gt;1.5,(H93/(B93+2)+J99+MAX(0,J100-J99)+MAX(0,J101-J100)+MAX(0,J102-J101)+MAX(0,J103-J102)+MAX(0,J104-J103)),IF(B93=1,(H93/(B93+3)+J104),IF(B93=0,H93/4+J104))))</f>
        <v>23</v>
      </c>
      <c r="K105" s="58"/>
      <c r="L105" s="57"/>
    </row>
    <row r="106" spans="1:14" customFormat="1" ht="30.75" customHeight="1" x14ac:dyDescent="0.25">
      <c r="A106" s="169" t="s">
        <v>281</v>
      </c>
      <c r="B106" s="170"/>
      <c r="C106" s="171" t="s">
        <v>326</v>
      </c>
      <c r="D106" s="172"/>
      <c r="E106" s="172"/>
      <c r="F106" s="172"/>
      <c r="G106" s="172"/>
      <c r="H106" s="173"/>
      <c r="I106" s="52" t="str">
        <f ca="1">(IF(E110&gt;99%,"All work completed. Please provide OC.",IF(E110&gt;89.8%,"Plinth, RCC, Brick, Plaster, Flooring, Painting work Completed. Finishing work is in process.",IF(E110&lt;94%,(IF(C110=0,"Work not yet Started.",IF(D110=25%,"Piling work in process",IF(D110=50%,"Excavation work in process",IF(D110=100%,"Excavation work Completed. ","0")))&amp;(IF(C111=0%,"",IF(C111=J112,"Footing work is process",IF(C111=J113,"Footing work Completed",IF(C111=J114,"1st Basement Completed",IF(C111=J115,"1st &amp; 2nd Basement Completed",IF(C111=J116,"1st to 3rd Basement Completed",IF(C111=J117,"1st to 4th Basement Completed",IF(C111=J118,"Plinth work is process",IF(C111=J119,"Plinth work completed","0")))))))))))&amp;(IF(C112=(D107+F107+H107),", RCC Slab",IF(C112&gt;0,", RCC upto "&amp;C112&amp;" Slab",""))&amp;(IF(C113=H107,", Brickwork",IF(C113&gt;0,", Brickwork upto "&amp;C113&amp;" Floor",""))&amp;(IF(C114=H107,", Internal Plaster",IF(C114&gt;0,", Internal Plaster upto "&amp;C114&amp;" Floor",""))&amp;(IF(C115=H107,", External Plaster",IF(C115&gt;0,", External Plaster upto "&amp;C115&amp;" Floor",""))&amp;(IF(C116=H107,", Flooring",IF(C116&gt;0,", Flooring upto "&amp;C116&amp;" Floor",""))&amp;(IF(C117=H107,", Painting",IF(C117&gt;0,", Painting upto "&amp;C117&amp;" Floor",""))&amp;(IF(C118&gt;0,", Finishing upto "&amp;C118&amp;" Floor","")&amp;(IF(C112&gt;0.5," Completed",""))))))))))))))</f>
        <v>Excavation work Completed. Plinth work completed, RCC Slab, Brickwork, Internal Plaster, External Plaster, Flooring upto 20 Floor, Painting upto 18 Floor, Finishing upto 3 Floor Completed</v>
      </c>
      <c r="J106" s="23"/>
    </row>
    <row r="107" spans="1:14" customFormat="1" x14ac:dyDescent="0.25">
      <c r="A107" s="22" t="s">
        <v>103</v>
      </c>
      <c r="B107" s="51">
        <v>0</v>
      </c>
      <c r="C107" s="51" t="s">
        <v>105</v>
      </c>
      <c r="D107" s="51">
        <v>1</v>
      </c>
      <c r="E107" s="51" t="s">
        <v>104</v>
      </c>
      <c r="F107" s="51">
        <v>0</v>
      </c>
      <c r="G107" s="51" t="s">
        <v>118</v>
      </c>
      <c r="H107" s="33">
        <f ca="1">--TRIM(RIGHT(SUBSTITUTE(LEFT(C106,_xlfn.AGGREGATE(16,6,FIND({0,1,2,3,4,5,6,7,8,9},C106,ROW(INDIRECT("1:"&amp;LEN(C106)))),1))," ",REPT(" ",LEN(C106))),LEN(C106)))</f>
        <v>23</v>
      </c>
      <c r="I107" s="20"/>
      <c r="J107" s="24"/>
    </row>
    <row r="108" spans="1:14" customFormat="1" ht="48.75" customHeight="1" x14ac:dyDescent="0.25">
      <c r="A108" s="174" t="s">
        <v>129</v>
      </c>
      <c r="B108" s="175"/>
      <c r="C108" s="164" t="str">
        <f ca="1">I106</f>
        <v>Excavation work Completed. Plinth work completed, RCC Slab, Brickwork, Internal Plaster, External Plaster, Flooring upto 20 Floor, Painting upto 18 Floor, Finishing upto 3 Floor Completed</v>
      </c>
      <c r="D108" s="165"/>
      <c r="E108" s="165"/>
      <c r="F108" s="165"/>
      <c r="G108" s="165"/>
      <c r="H108" s="166"/>
      <c r="I108" s="20" t="s">
        <v>146</v>
      </c>
      <c r="J108" s="24"/>
    </row>
    <row r="109" spans="1:14" customFormat="1" x14ac:dyDescent="0.25">
      <c r="A109" s="106" t="s">
        <v>53</v>
      </c>
      <c r="B109" s="107"/>
      <c r="C109" s="88" t="s">
        <v>264</v>
      </c>
      <c r="D109" s="88" t="s">
        <v>121</v>
      </c>
      <c r="E109" s="107" t="s">
        <v>123</v>
      </c>
      <c r="F109" s="107"/>
      <c r="G109" s="107" t="s">
        <v>122</v>
      </c>
      <c r="H109" s="190"/>
      <c r="I109" s="90" t="s">
        <v>265</v>
      </c>
      <c r="J109" s="25">
        <f ca="1">H107*25%</f>
        <v>5.75</v>
      </c>
    </row>
    <row r="110" spans="1:14" customFormat="1" x14ac:dyDescent="0.25">
      <c r="A110" s="100" t="s">
        <v>266</v>
      </c>
      <c r="B110" s="100"/>
      <c r="C110" s="35">
        <v>23</v>
      </c>
      <c r="D110" s="49">
        <f ca="1">((100/H107)*C110)/100</f>
        <v>1</v>
      </c>
      <c r="E110" s="102">
        <f ca="1">(((C111/H107*10)+(40/(D107+F107+H107)*C112)+(7.5/(H107)*C113)+(7.5/(H107)*C114)+(10/H107*C115)+(10/H107*C116)+(5/H107*C117)+(5/H107*C118)+(5/H107*C119))/100)</f>
        <v>0.88260869565217404</v>
      </c>
      <c r="F110" s="102"/>
      <c r="G110" s="102">
        <f ca="1">((((C110/H107)*20)+((C111/H107)*25)+(30/(H107+F107+D107)*C112)+(5/H107*C113)+(5/H107*C114)+(5/H107*C115)+(5/H107*C116)+(0/H107*C117)+(0/H107*C118)+(5/H107*C119))/100)</f>
        <v>0.94347826086956521</v>
      </c>
      <c r="H110" s="102"/>
      <c r="I110" s="53" t="s">
        <v>140</v>
      </c>
      <c r="J110" s="54">
        <f ca="1">H107*50%</f>
        <v>11.5</v>
      </c>
    </row>
    <row r="111" spans="1:14" customFormat="1" x14ac:dyDescent="0.25">
      <c r="A111" s="100" t="s">
        <v>54</v>
      </c>
      <c r="B111" s="100"/>
      <c r="C111" s="36">
        <f ca="1">J119</f>
        <v>23</v>
      </c>
      <c r="D111" s="49">
        <f ca="1">((100/H107)*C111)/100</f>
        <v>1</v>
      </c>
      <c r="E111" s="102"/>
      <c r="F111" s="102"/>
      <c r="G111" s="102"/>
      <c r="H111" s="102"/>
      <c r="I111" s="53" t="s">
        <v>141</v>
      </c>
      <c r="J111" s="54">
        <f ca="1">H107</f>
        <v>23</v>
      </c>
    </row>
    <row r="112" spans="1:14" customFormat="1" x14ac:dyDescent="0.25">
      <c r="A112" s="100" t="s">
        <v>267</v>
      </c>
      <c r="B112" s="100"/>
      <c r="C112" s="36">
        <v>24</v>
      </c>
      <c r="D112" s="49">
        <f ca="1">((100/(D107+F107+H107))*C112)/100</f>
        <v>1</v>
      </c>
      <c r="E112" s="102"/>
      <c r="F112" s="102"/>
      <c r="G112" s="102"/>
      <c r="H112" s="102"/>
      <c r="I112" s="53" t="s">
        <v>142</v>
      </c>
      <c r="J112" s="55">
        <f ca="1">(IF(B107&gt;1,(H107/(B107+2)),H107/4))</f>
        <v>5.75</v>
      </c>
      <c r="L112" s="56"/>
    </row>
    <row r="113" spans="1:14" customFormat="1" ht="15.75" customHeight="1" x14ac:dyDescent="0.25">
      <c r="A113" s="100" t="s">
        <v>268</v>
      </c>
      <c r="B113" s="100" t="s">
        <v>269</v>
      </c>
      <c r="C113" s="36">
        <f>C112-1</f>
        <v>23</v>
      </c>
      <c r="D113" s="49">
        <f ca="1">((100/H107)*C113)/100</f>
        <v>1</v>
      </c>
      <c r="E113" s="102"/>
      <c r="F113" s="102"/>
      <c r="G113" s="102"/>
      <c r="H113" s="102"/>
      <c r="I113" s="53" t="s">
        <v>143</v>
      </c>
      <c r="J113" s="55">
        <f ca="1">(IF(B107&gt;1,(H107/(B107+2)+J112),H107/4+J112))</f>
        <v>11.5</v>
      </c>
      <c r="L113" s="56"/>
    </row>
    <row r="114" spans="1:14" customFormat="1" ht="15.75" customHeight="1" x14ac:dyDescent="0.25">
      <c r="A114" s="100" t="s">
        <v>270</v>
      </c>
      <c r="B114" s="100" t="s">
        <v>269</v>
      </c>
      <c r="C114" s="36">
        <v>23</v>
      </c>
      <c r="D114" s="49">
        <f ca="1">((100/H107)*C114)/100</f>
        <v>1</v>
      </c>
      <c r="E114" s="102"/>
      <c r="F114" s="102"/>
      <c r="G114" s="102"/>
      <c r="H114" s="102"/>
      <c r="I114" s="53" t="s">
        <v>271</v>
      </c>
      <c r="J114" s="55">
        <f>(IF(B107&gt;1,(H107/(B107+2)+J113),0))</f>
        <v>0</v>
      </c>
      <c r="L114" s="57"/>
      <c r="N114" s="56"/>
    </row>
    <row r="115" spans="1:14" customFormat="1" ht="15.75" customHeight="1" x14ac:dyDescent="0.25">
      <c r="A115" s="107" t="s">
        <v>272</v>
      </c>
      <c r="B115" s="107" t="s">
        <v>273</v>
      </c>
      <c r="C115" s="36">
        <v>23</v>
      </c>
      <c r="D115" s="49">
        <f ca="1">((100/(H107))*C115)/100</f>
        <v>1</v>
      </c>
      <c r="E115" s="102"/>
      <c r="F115" s="102"/>
      <c r="G115" s="102"/>
      <c r="H115" s="102"/>
      <c r="I115" s="53" t="s">
        <v>274</v>
      </c>
      <c r="J115" s="55">
        <f>(IF(B107&gt;2,(H107/(B107+2)+J114),0))</f>
        <v>0</v>
      </c>
      <c r="K115" s="58"/>
      <c r="L115" s="57"/>
    </row>
    <row r="116" spans="1:14" customFormat="1" ht="15.75" customHeight="1" x14ac:dyDescent="0.25">
      <c r="A116" s="100" t="s">
        <v>275</v>
      </c>
      <c r="B116" s="100" t="s">
        <v>275</v>
      </c>
      <c r="C116" s="35">
        <v>20</v>
      </c>
      <c r="D116" s="49">
        <f ca="1">((100/H107)*C116)/100</f>
        <v>0.86956521739130432</v>
      </c>
      <c r="E116" s="102"/>
      <c r="F116" s="102"/>
      <c r="G116" s="102"/>
      <c r="H116" s="102"/>
      <c r="I116" s="53" t="s">
        <v>276</v>
      </c>
      <c r="J116" s="59">
        <f>(IF(B107&gt;3,(H107/(B107+2)+J115),0))</f>
        <v>0</v>
      </c>
      <c r="K116" s="58"/>
      <c r="L116" s="57"/>
    </row>
    <row r="117" spans="1:14" customFormat="1" ht="15.75" customHeight="1" x14ac:dyDescent="0.25">
      <c r="A117" s="100" t="s">
        <v>277</v>
      </c>
      <c r="B117" s="100"/>
      <c r="C117" s="35">
        <v>18</v>
      </c>
      <c r="D117" s="49">
        <f ca="1">((100/H107)*C117)/100</f>
        <v>0.78260869565217395</v>
      </c>
      <c r="E117" s="102"/>
      <c r="F117" s="102"/>
      <c r="G117" s="102"/>
      <c r="H117" s="102"/>
      <c r="I117" s="53" t="s">
        <v>278</v>
      </c>
      <c r="J117" s="55">
        <f>(IF(B107&gt;4,(H107/(B107+2)+J116),0))</f>
        <v>0</v>
      </c>
      <c r="K117" s="56"/>
      <c r="L117" s="57"/>
    </row>
    <row r="118" spans="1:14" customFormat="1" ht="15.75" customHeight="1" x14ac:dyDescent="0.25">
      <c r="A118" s="100" t="s">
        <v>279</v>
      </c>
      <c r="B118" s="100" t="s">
        <v>279</v>
      </c>
      <c r="C118" s="35">
        <v>3</v>
      </c>
      <c r="D118" s="49">
        <f ca="1">((100/(H107))*C118)/100</f>
        <v>0.13043478260869565</v>
      </c>
      <c r="E118" s="102"/>
      <c r="F118" s="102"/>
      <c r="G118" s="102"/>
      <c r="H118" s="102"/>
      <c r="I118" s="53" t="s">
        <v>144</v>
      </c>
      <c r="J118" s="55">
        <f ca="1">(IF(B107=1,(H107/(B107+3)+J113),IF(B107=0,(H107/4+J113),IF(B107&gt;1,0))))</f>
        <v>17.25</v>
      </c>
      <c r="K118" s="58"/>
      <c r="L118" s="57"/>
    </row>
    <row r="119" spans="1:14" customFormat="1" ht="16.5" thickBot="1" x14ac:dyDescent="0.3">
      <c r="A119" s="100" t="s">
        <v>280</v>
      </c>
      <c r="B119" s="100"/>
      <c r="C119" s="35">
        <v>0</v>
      </c>
      <c r="D119" s="49">
        <f ca="1">((100/(H107))*C119)/100</f>
        <v>0</v>
      </c>
      <c r="E119" s="102"/>
      <c r="F119" s="102"/>
      <c r="G119" s="102"/>
      <c r="H119" s="102"/>
      <c r="I119" s="60" t="s">
        <v>145</v>
      </c>
      <c r="J119" s="61">
        <f ca="1">(IF(B107&gt;1.5,(H107/(B107+2)+J113+MAX(0,J114-J113)+MAX(0,J115-J114)+MAX(0,J116-J115)+MAX(0,J117-J116)+MAX(0,J118-J117)),IF(B107=1,(H107/(B107+3)+J118),IF(B107=0,H107/4+J118))))</f>
        <v>23</v>
      </c>
      <c r="K119" s="58"/>
      <c r="L119" s="57"/>
    </row>
    <row r="120" spans="1:14" customFormat="1" ht="32.25" customHeight="1" x14ac:dyDescent="0.25">
      <c r="A120" s="110" t="s">
        <v>281</v>
      </c>
      <c r="B120" s="110"/>
      <c r="C120" s="111" t="s">
        <v>378</v>
      </c>
      <c r="D120" s="111"/>
      <c r="E120" s="111"/>
      <c r="F120" s="111"/>
      <c r="G120" s="111"/>
      <c r="H120" s="111"/>
      <c r="I120" s="52" t="str">
        <f ca="1">(IF(E124&gt;99%,"All work completed. Please provide OC.",IF(E124&gt;89.8%,"Plinth, RCC, Brick, Plaster, Flooring, Painting work Completed. Finishing work is in process.",IF(E124&lt;94%,(IF(C124=0,"Work not yet Started.",IF(D124=25%,"Piling work in process",IF(D124=50%,"Excavation work in process",IF(D124=100%,"Excavation work Completed. ","0")))&amp;(IF(C125=0%,"",IF(C125=J126,"Footing work is process",IF(C125=J127,"Footing work Completed",IF(C125=J128,"1st Basement Completed",IF(C125=J129,"1st &amp; 2nd Basement Completed",IF(C125=J130,"1st to 3rd Basement Completed",IF(C125=J131,"1st to 4th Basement Completed",IF(C125=J132,"Plinth work is process",IF(C125=J133,"Plinth work completed","0")))))))))))&amp;(IF(C126=(D121+F121+H121),", RCC Slab",IF(C126&gt;0,", RCC upto "&amp;C126&amp;" Slab",""))&amp;(IF(C127=H121,", Brickwork",IF(C127&gt;0,", Brickwork upto "&amp;C127&amp;" Floor",""))&amp;(IF(C128=H121,", Internal Plaster",IF(C128&gt;0,", Internal Plaster upto "&amp;C128&amp;" Floor",""))&amp;(IF(C129=H121,", External Plaster",IF(C129&gt;0,", External Plaster upto "&amp;C129&amp;" Floor",""))&amp;(IF(C130=H121,", Flooring",IF(C130&gt;0,", Flooring upto "&amp;C130&amp;" Floor",""))&amp;(IF(C131=H121,", Painting",IF(C131&gt;0,", Painting upto "&amp;C131&amp;" Floor",""))&amp;(IF(C132&gt;0,", Finishing upto "&amp;C132&amp;" Floor","")&amp;(IF(C126&gt;0.5," Completed",""))))))))))))))</f>
        <v>Excavation work Completed. Plinth work completed, RCC Slab, Brickwork, Internal Plaster upto 22.95 Floor, External Plaster upto 20.25 Floor Completed</v>
      </c>
      <c r="J120" s="23"/>
    </row>
    <row r="121" spans="1:14" customFormat="1" x14ac:dyDescent="0.25">
      <c r="A121" s="84" t="s">
        <v>103</v>
      </c>
      <c r="B121" s="84">
        <v>0</v>
      </c>
      <c r="C121" s="84" t="s">
        <v>105</v>
      </c>
      <c r="D121" s="84">
        <v>1</v>
      </c>
      <c r="E121" s="84" t="s">
        <v>104</v>
      </c>
      <c r="F121" s="84">
        <v>0</v>
      </c>
      <c r="G121" s="84" t="s">
        <v>118</v>
      </c>
      <c r="H121" s="84">
        <f ca="1">--TRIM(RIGHT(SUBSTITUTE(LEFT(C120,_xlfn.AGGREGATE(16,6,FIND({0,1,2,3,4,5,6,7,8,9},C120,ROW(INDIRECT("1:"&amp;LEN(C120)))),1))," ",REPT(" ",LEN(C120))),LEN(C120)))</f>
        <v>27</v>
      </c>
      <c r="I121" s="20"/>
      <c r="J121" s="24"/>
    </row>
    <row r="122" spans="1:14" customFormat="1" ht="32.25" customHeight="1" x14ac:dyDescent="0.25">
      <c r="A122" s="162" t="s">
        <v>129</v>
      </c>
      <c r="B122" s="163"/>
      <c r="C122" s="164" t="str">
        <f ca="1">I120</f>
        <v>Excavation work Completed. Plinth work completed, RCC Slab, Brickwork, Internal Plaster upto 22.95 Floor, External Plaster upto 20.25 Floor Completed</v>
      </c>
      <c r="D122" s="165"/>
      <c r="E122" s="165"/>
      <c r="F122" s="165"/>
      <c r="G122" s="165"/>
      <c r="H122" s="166"/>
      <c r="I122" s="20" t="s">
        <v>146</v>
      </c>
      <c r="J122" s="24"/>
    </row>
    <row r="123" spans="1:14" customFormat="1" ht="15.75" customHeight="1" x14ac:dyDescent="0.25">
      <c r="A123" s="99" t="s">
        <v>53</v>
      </c>
      <c r="B123" s="100"/>
      <c r="C123" s="85" t="s">
        <v>264</v>
      </c>
      <c r="D123" s="88" t="s">
        <v>121</v>
      </c>
      <c r="E123" s="100" t="s">
        <v>123</v>
      </c>
      <c r="F123" s="100"/>
      <c r="G123" s="100" t="s">
        <v>122</v>
      </c>
      <c r="H123" s="101"/>
      <c r="I123" s="53" t="s">
        <v>265</v>
      </c>
      <c r="J123" s="25">
        <f ca="1">H121*25%</f>
        <v>6.75</v>
      </c>
    </row>
    <row r="124" spans="1:14" customFormat="1" x14ac:dyDescent="0.25">
      <c r="A124" s="99" t="s">
        <v>266</v>
      </c>
      <c r="B124" s="100"/>
      <c r="C124" s="35">
        <f ca="1">J125</f>
        <v>27</v>
      </c>
      <c r="D124" s="96">
        <f ca="1">((100/H121)*C124)/100</f>
        <v>1</v>
      </c>
      <c r="E124" s="102">
        <f ca="1">(((C125/H121*10)+(40/(D121+F121+H121)*C126)+(7.5/(H121)*C127)+(7.5/(H121)*C128)+(10/H121*C129)+(10/H121*C130)+(5/H121*C131)+(5/H121*C132)+(5/H121*C133))/100)</f>
        <v>0.71375</v>
      </c>
      <c r="F124" s="102"/>
      <c r="G124" s="102">
        <f ca="1">((((C124/H121)*20)+((C125/H121)*25)+(30/(H121+F121+D121)*C126)+(5/H121*C127)+(5/H121*C128)+(5/H121*C129)+(5/H121*C130)+(0/H121*C131)+(0/H121*C132)+(5/H121*C133))/100)</f>
        <v>0.88</v>
      </c>
      <c r="H124" s="104"/>
      <c r="I124" s="53" t="s">
        <v>140</v>
      </c>
      <c r="J124" s="54">
        <f ca="1">H121*50%</f>
        <v>13.5</v>
      </c>
    </row>
    <row r="125" spans="1:14" customFormat="1" x14ac:dyDescent="0.25">
      <c r="A125" s="99" t="s">
        <v>54</v>
      </c>
      <c r="B125" s="100"/>
      <c r="C125" s="36">
        <f ca="1">J133</f>
        <v>27</v>
      </c>
      <c r="D125" s="96">
        <f ca="1">((100/H121)*C125)/100</f>
        <v>1</v>
      </c>
      <c r="E125" s="102"/>
      <c r="F125" s="102"/>
      <c r="G125" s="102"/>
      <c r="H125" s="104"/>
      <c r="I125" s="53" t="s">
        <v>141</v>
      </c>
      <c r="J125" s="54">
        <f ca="1">H121</f>
        <v>27</v>
      </c>
    </row>
    <row r="126" spans="1:14" customFormat="1" x14ac:dyDescent="0.25">
      <c r="A126" s="99" t="s">
        <v>267</v>
      </c>
      <c r="B126" s="100"/>
      <c r="C126" s="36">
        <v>28</v>
      </c>
      <c r="D126" s="96">
        <f ca="1">((100/(D121+F121+H121))*C126)/100</f>
        <v>1</v>
      </c>
      <c r="E126" s="102"/>
      <c r="F126" s="102"/>
      <c r="G126" s="102"/>
      <c r="H126" s="104"/>
      <c r="I126" s="53" t="s">
        <v>142</v>
      </c>
      <c r="J126" s="55">
        <f ca="1">(IF(B121&gt;1,(H121/(B121+2)),H121/4))</f>
        <v>6.75</v>
      </c>
      <c r="L126" s="56"/>
    </row>
    <row r="127" spans="1:14" customFormat="1" ht="15.75" customHeight="1" x14ac:dyDescent="0.25">
      <c r="A127" s="99" t="s">
        <v>268</v>
      </c>
      <c r="B127" s="100" t="s">
        <v>269</v>
      </c>
      <c r="C127" s="36">
        <f>C126-1</f>
        <v>27</v>
      </c>
      <c r="D127" s="96">
        <f ca="1">((100/H121)*C127)/100</f>
        <v>1</v>
      </c>
      <c r="E127" s="102"/>
      <c r="F127" s="102"/>
      <c r="G127" s="102"/>
      <c r="H127" s="104"/>
      <c r="I127" s="53" t="s">
        <v>143</v>
      </c>
      <c r="J127" s="55">
        <f ca="1">(IF(B121&gt;1,(H121/(B121+2)+J126),H121/4+J126))</f>
        <v>13.5</v>
      </c>
      <c r="L127" s="56"/>
    </row>
    <row r="128" spans="1:14" customFormat="1" ht="15.75" customHeight="1" x14ac:dyDescent="0.25">
      <c r="A128" s="99" t="s">
        <v>270</v>
      </c>
      <c r="B128" s="100" t="s">
        <v>269</v>
      </c>
      <c r="C128" s="36">
        <f>C127*0.85</f>
        <v>22.95</v>
      </c>
      <c r="D128" s="96">
        <f ca="1">((100/H121)*C128)/100</f>
        <v>0.85</v>
      </c>
      <c r="E128" s="102"/>
      <c r="F128" s="102"/>
      <c r="G128" s="102"/>
      <c r="H128" s="104"/>
      <c r="I128" s="53" t="s">
        <v>271</v>
      </c>
      <c r="J128" s="55">
        <f>(IF(B121&gt;1,(H121/(B121+2)+J127),0))</f>
        <v>0</v>
      </c>
      <c r="L128" s="57"/>
      <c r="N128" s="56"/>
    </row>
    <row r="129" spans="1:14" customFormat="1" ht="15.75" customHeight="1" x14ac:dyDescent="0.25">
      <c r="A129" s="106" t="s">
        <v>272</v>
      </c>
      <c r="B129" s="107" t="s">
        <v>273</v>
      </c>
      <c r="C129" s="36">
        <f>C127*0.75</f>
        <v>20.25</v>
      </c>
      <c r="D129" s="96">
        <f ca="1">((100/(H121))*C129)/100</f>
        <v>0.75</v>
      </c>
      <c r="E129" s="102"/>
      <c r="F129" s="102"/>
      <c r="G129" s="102"/>
      <c r="H129" s="104"/>
      <c r="I129" s="53" t="s">
        <v>274</v>
      </c>
      <c r="J129" s="55">
        <f>(IF(B121&gt;2,(H121/(B121+2)+J128),0))</f>
        <v>0</v>
      </c>
      <c r="K129" s="58"/>
      <c r="L129" s="57"/>
    </row>
    <row r="130" spans="1:14" customFormat="1" ht="15.75" customHeight="1" x14ac:dyDescent="0.25">
      <c r="A130" s="99" t="s">
        <v>275</v>
      </c>
      <c r="B130" s="100" t="s">
        <v>275</v>
      </c>
      <c r="C130" s="35">
        <v>0</v>
      </c>
      <c r="D130" s="96">
        <f ca="1">((100/H121)*C130)/100</f>
        <v>0</v>
      </c>
      <c r="E130" s="102"/>
      <c r="F130" s="102"/>
      <c r="G130" s="102"/>
      <c r="H130" s="104"/>
      <c r="I130" s="53" t="s">
        <v>276</v>
      </c>
      <c r="J130" s="59">
        <f>(IF(B121&gt;3,(H121/(B121+2)+J129),0))</f>
        <v>0</v>
      </c>
      <c r="K130" s="58"/>
      <c r="L130" s="57"/>
    </row>
    <row r="131" spans="1:14" customFormat="1" ht="15.75" customHeight="1" x14ac:dyDescent="0.25">
      <c r="A131" s="99" t="s">
        <v>277</v>
      </c>
      <c r="B131" s="100"/>
      <c r="C131" s="35">
        <v>0</v>
      </c>
      <c r="D131" s="96">
        <f ca="1">((100/H121)*C131)/100</f>
        <v>0</v>
      </c>
      <c r="E131" s="102"/>
      <c r="F131" s="102"/>
      <c r="G131" s="102"/>
      <c r="H131" s="104"/>
      <c r="I131" s="53" t="s">
        <v>278</v>
      </c>
      <c r="J131" s="55">
        <f>(IF(B121&gt;4,(H121/(B121+2)+J130),0))</f>
        <v>0</v>
      </c>
      <c r="K131" s="56"/>
      <c r="L131" s="57"/>
    </row>
    <row r="132" spans="1:14" customFormat="1" ht="15.75" customHeight="1" x14ac:dyDescent="0.25">
      <c r="A132" s="99" t="s">
        <v>279</v>
      </c>
      <c r="B132" s="100" t="s">
        <v>279</v>
      </c>
      <c r="C132" s="35">
        <v>0</v>
      </c>
      <c r="D132" s="96">
        <f ca="1">((100/(H121))*C132)/100</f>
        <v>0</v>
      </c>
      <c r="E132" s="102"/>
      <c r="F132" s="102"/>
      <c r="G132" s="102"/>
      <c r="H132" s="104"/>
      <c r="I132" s="53" t="s">
        <v>144</v>
      </c>
      <c r="J132" s="55">
        <f ca="1">(IF(B121=1,(H121/(B121+3)+J127),IF(B121=0,(H121/4+J127),IF(B121&gt;1,0))))</f>
        <v>20.25</v>
      </c>
      <c r="K132" s="58"/>
      <c r="L132" s="57"/>
    </row>
    <row r="133" spans="1:14" customFormat="1" ht="16.5" thickBot="1" x14ac:dyDescent="0.3">
      <c r="A133" s="108" t="s">
        <v>280</v>
      </c>
      <c r="B133" s="109"/>
      <c r="C133" s="64">
        <v>0</v>
      </c>
      <c r="D133" s="97">
        <f ca="1">((100/(H121))*C133)/100</f>
        <v>0</v>
      </c>
      <c r="E133" s="103"/>
      <c r="F133" s="103"/>
      <c r="G133" s="103"/>
      <c r="H133" s="105"/>
      <c r="I133" s="60" t="s">
        <v>145</v>
      </c>
      <c r="J133" s="61">
        <f ca="1">(IF(B121&gt;1.5,(H121/(B121+2)+J127+MAX(0,J128-J127)+MAX(0,J129-J128)+MAX(0,J130-J129)+MAX(0,J131-J130)+MAX(0,J132-J131)),IF(B121=1,(H121/(B121+3)+J132),IF(B121=0,H121/4+J132))))</f>
        <v>27</v>
      </c>
      <c r="K133" s="58"/>
      <c r="L133" s="57"/>
    </row>
    <row r="134" spans="1:14" customFormat="1" ht="32.25" customHeight="1" x14ac:dyDescent="0.25">
      <c r="A134" s="110" t="s">
        <v>281</v>
      </c>
      <c r="B134" s="110"/>
      <c r="C134" s="111" t="s">
        <v>372</v>
      </c>
      <c r="D134" s="111"/>
      <c r="E134" s="111"/>
      <c r="F134" s="111"/>
      <c r="G134" s="111"/>
      <c r="H134" s="111"/>
      <c r="I134" s="52" t="str">
        <f ca="1">(IF(E138&gt;99%,"All work completed. Please provide OC.",IF(E138&gt;89.8%,"Plinth, RCC, Brick, Plaster, Flooring, Painting work Completed. Finishing work is in process.",IF(E138&lt;94%,(IF(C138=0,"Work not yet Started.",IF(D138=25%,"Piling work in process",IF(D138=50%,"Excavation work in process",IF(D138=100%,"Excavation work Completed. ","0")))&amp;(IF(C139=0%,"",IF(C139=J140,"Footing work is process",IF(C139=J141,"Footing work Completed",IF(C139=J142,"1st Basement Completed",IF(C139=J143,"1st &amp; 2nd Basement Completed",IF(C139=J144,"1st to 3rd Basement Completed",IF(C139=J145,"1st to 4th Basement Completed",IF(C139=J146,"Plinth work is process",IF(C139=J147,"Plinth work completed","0")))))))))))&amp;(IF(C140=(D135+F135+H135),", RCC Slab",IF(C140&gt;0,", RCC upto "&amp;C140&amp;" Slab",""))&amp;(IF(C141=H135,", Brickwork",IF(C141&gt;0,", Brickwork upto "&amp;C141&amp;" Floor",""))&amp;(IF(C142=H135,", Internal Plaster",IF(C142&gt;0,", Internal Plaster upto "&amp;C142&amp;" Floor",""))&amp;(IF(C143=H135,", External Plaster",IF(C143&gt;0,", External Plaster upto "&amp;C143&amp;" Floor",""))&amp;(IF(C144=H135,", Flooring",IF(C144&gt;0,", Flooring upto "&amp;C144&amp;" Floor",""))&amp;(IF(C145=H135,", Painting",IF(C145&gt;0,", Painting upto "&amp;C145&amp;" Floor",""))&amp;(IF(C146&gt;0,", Finishing upto "&amp;C146&amp;" Floor","")&amp;(IF(C140&gt;0.5," Completed",""))))))))))))))</f>
        <v>Excavation work Completed. Plinth work completed, RCC upto 5 Slab, Brickwork upto 4 Floor Completed</v>
      </c>
      <c r="J134" s="23"/>
    </row>
    <row r="135" spans="1:14" customFormat="1" x14ac:dyDescent="0.25">
      <c r="A135" s="98" t="s">
        <v>103</v>
      </c>
      <c r="B135" s="98">
        <v>0</v>
      </c>
      <c r="C135" s="98" t="s">
        <v>105</v>
      </c>
      <c r="D135" s="98">
        <v>1</v>
      </c>
      <c r="E135" s="98" t="s">
        <v>104</v>
      </c>
      <c r="F135" s="98">
        <v>0</v>
      </c>
      <c r="G135" s="98" t="s">
        <v>118</v>
      </c>
      <c r="H135" s="98">
        <f ca="1">--TRIM(RIGHT(SUBSTITUTE(LEFT(C134,_xlfn.AGGREGATE(16,6,FIND({0,1,2,3,4,5,6,7,8,9},C134,ROW(INDIRECT("1:"&amp;LEN(C134)))),1))," ",REPT(" ",LEN(C134))),LEN(C134)))</f>
        <v>23</v>
      </c>
      <c r="I135" s="20"/>
      <c r="J135" s="24"/>
    </row>
    <row r="136" spans="1:14" customFormat="1" ht="35.25" customHeight="1" x14ac:dyDescent="0.25">
      <c r="A136" s="162" t="s">
        <v>129</v>
      </c>
      <c r="B136" s="163"/>
      <c r="C136" s="164" t="str">
        <f ca="1">I134</f>
        <v>Excavation work Completed. Plinth work completed, RCC upto 5 Slab, Brickwork upto 4 Floor Completed</v>
      </c>
      <c r="D136" s="165"/>
      <c r="E136" s="165"/>
      <c r="F136" s="165"/>
      <c r="G136" s="165"/>
      <c r="H136" s="166"/>
      <c r="I136" s="20" t="s">
        <v>146</v>
      </c>
      <c r="J136" s="24"/>
      <c r="K136" s="82" t="s">
        <v>373</v>
      </c>
      <c r="L136" s="8"/>
    </row>
    <row r="137" spans="1:14" customFormat="1" ht="15.75" customHeight="1" x14ac:dyDescent="0.25">
      <c r="A137" s="99" t="s">
        <v>53</v>
      </c>
      <c r="B137" s="100"/>
      <c r="C137" s="95" t="s">
        <v>264</v>
      </c>
      <c r="D137" s="95" t="s">
        <v>121</v>
      </c>
      <c r="E137" s="100" t="s">
        <v>123</v>
      </c>
      <c r="F137" s="100"/>
      <c r="G137" s="100" t="s">
        <v>122</v>
      </c>
      <c r="H137" s="101"/>
      <c r="I137" s="53" t="s">
        <v>265</v>
      </c>
      <c r="J137" s="25">
        <f ca="1">H135*25%</f>
        <v>5.75</v>
      </c>
      <c r="K137" s="82" t="s">
        <v>374</v>
      </c>
      <c r="L137" s="8"/>
    </row>
    <row r="138" spans="1:14" customFormat="1" x14ac:dyDescent="0.25">
      <c r="A138" s="99" t="s">
        <v>266</v>
      </c>
      <c r="B138" s="100"/>
      <c r="C138" s="35">
        <f ca="1">J139</f>
        <v>23</v>
      </c>
      <c r="D138" s="96">
        <f ca="1">((100/H135)*C138)/100</f>
        <v>1</v>
      </c>
      <c r="E138" s="102">
        <f ca="1">(((C139/H135*10)+(40/(D135+F135+H135)*C140)+(7.5/(H135)*C141)+(7.5/(H135)*C142)+(10/H135*C143)+(10/H135*C144)+(5/H135*C145)+(5/H135*C146)+(5/H135*C147))/100)</f>
        <v>0.19637681159420292</v>
      </c>
      <c r="F138" s="102"/>
      <c r="G138" s="102">
        <f ca="1">((((C138/H135)*20)+((C139/H135)*25)+(30/(H135+F135+D135)*C140)+(5/H135*C141)+(5/H135*C142)+(5/H135*C143)+(5/H135*C144)+(0/H135*C145)+(0/H135*C146)+(5/H135*C147))/100)</f>
        <v>0.52119565217391306</v>
      </c>
      <c r="H138" s="104"/>
      <c r="I138" s="53" t="s">
        <v>140</v>
      </c>
      <c r="J138" s="54">
        <f ca="1">H135*50%</f>
        <v>11.5</v>
      </c>
    </row>
    <row r="139" spans="1:14" customFormat="1" x14ac:dyDescent="0.25">
      <c r="A139" s="99" t="s">
        <v>54</v>
      </c>
      <c r="B139" s="100"/>
      <c r="C139" s="36">
        <f ca="1">J147</f>
        <v>23</v>
      </c>
      <c r="D139" s="96">
        <f ca="1">((100/H135)*C139)/100</f>
        <v>1</v>
      </c>
      <c r="E139" s="102"/>
      <c r="F139" s="102"/>
      <c r="G139" s="102"/>
      <c r="H139" s="104"/>
      <c r="I139" s="53" t="s">
        <v>141</v>
      </c>
      <c r="J139" s="54">
        <f ca="1">H135</f>
        <v>23</v>
      </c>
    </row>
    <row r="140" spans="1:14" customFormat="1" x14ac:dyDescent="0.25">
      <c r="A140" s="99" t="s">
        <v>267</v>
      </c>
      <c r="B140" s="100"/>
      <c r="C140" s="36">
        <f>D135+4</f>
        <v>5</v>
      </c>
      <c r="D140" s="96">
        <f ca="1">((100/(D135+F135+H135))*C140)/100</f>
        <v>0.20833333333333337</v>
      </c>
      <c r="E140" s="102"/>
      <c r="F140" s="102"/>
      <c r="G140" s="102"/>
      <c r="H140" s="104"/>
      <c r="I140" s="53" t="s">
        <v>142</v>
      </c>
      <c r="J140" s="55">
        <f ca="1">(IF(B135&gt;1,(H135/(B135+2)),H135/4))</f>
        <v>5.75</v>
      </c>
      <c r="L140" s="56"/>
    </row>
    <row r="141" spans="1:14" customFormat="1" ht="15.75" customHeight="1" x14ac:dyDescent="0.25">
      <c r="A141" s="99" t="s">
        <v>268</v>
      </c>
      <c r="B141" s="100" t="s">
        <v>269</v>
      </c>
      <c r="C141" s="36">
        <f>C140-D135</f>
        <v>4</v>
      </c>
      <c r="D141" s="96">
        <f ca="1">((100/H135)*C141)/100</f>
        <v>0.17391304347826086</v>
      </c>
      <c r="E141" s="102"/>
      <c r="F141" s="102"/>
      <c r="G141" s="102"/>
      <c r="H141" s="104"/>
      <c r="I141" s="53" t="s">
        <v>143</v>
      </c>
      <c r="J141" s="55">
        <f ca="1">(IF(B135&gt;1,(H135/(B135+2)+J140),H135/4+J140))</f>
        <v>11.5</v>
      </c>
      <c r="L141" s="56"/>
    </row>
    <row r="142" spans="1:14" customFormat="1" ht="15.75" customHeight="1" x14ac:dyDescent="0.25">
      <c r="A142" s="99" t="s">
        <v>270</v>
      </c>
      <c r="B142" s="100" t="s">
        <v>269</v>
      </c>
      <c r="C142" s="36">
        <v>0</v>
      </c>
      <c r="D142" s="96">
        <f ca="1">((100/H135)*C142)/100</f>
        <v>0</v>
      </c>
      <c r="E142" s="102"/>
      <c r="F142" s="102"/>
      <c r="G142" s="102"/>
      <c r="H142" s="104"/>
      <c r="I142" s="53" t="s">
        <v>271</v>
      </c>
      <c r="J142" s="55">
        <f>(IF(B135&gt;1,(H135/(B135+2)+J141),0))</f>
        <v>0</v>
      </c>
      <c r="L142" s="57"/>
      <c r="N142" s="56"/>
    </row>
    <row r="143" spans="1:14" customFormat="1" ht="15.75" customHeight="1" x14ac:dyDescent="0.25">
      <c r="A143" s="106" t="s">
        <v>272</v>
      </c>
      <c r="B143" s="107" t="s">
        <v>273</v>
      </c>
      <c r="C143" s="36">
        <v>0</v>
      </c>
      <c r="D143" s="96">
        <f ca="1">((100/(H135))*C143)/100</f>
        <v>0</v>
      </c>
      <c r="E143" s="102"/>
      <c r="F143" s="102"/>
      <c r="G143" s="102"/>
      <c r="H143" s="104"/>
      <c r="I143" s="53" t="s">
        <v>274</v>
      </c>
      <c r="J143" s="55">
        <f>(IF(B135&gt;2,(H135/(B135+2)+J142),0))</f>
        <v>0</v>
      </c>
      <c r="K143" s="58"/>
      <c r="L143" s="57"/>
    </row>
    <row r="144" spans="1:14" customFormat="1" ht="15.75" customHeight="1" x14ac:dyDescent="0.25">
      <c r="A144" s="99" t="s">
        <v>275</v>
      </c>
      <c r="B144" s="100" t="s">
        <v>275</v>
      </c>
      <c r="C144" s="35">
        <v>0</v>
      </c>
      <c r="D144" s="96">
        <f ca="1">((100/H135)*C144)/100</f>
        <v>0</v>
      </c>
      <c r="E144" s="102"/>
      <c r="F144" s="102"/>
      <c r="G144" s="102"/>
      <c r="H144" s="104"/>
      <c r="I144" s="53" t="s">
        <v>276</v>
      </c>
      <c r="J144" s="59">
        <f>(IF(B135&gt;3,(H135/(B135+2)+J143),0))</f>
        <v>0</v>
      </c>
      <c r="K144" s="58"/>
      <c r="L144" s="57"/>
    </row>
    <row r="145" spans="1:14" customFormat="1" ht="15.75" customHeight="1" x14ac:dyDescent="0.25">
      <c r="A145" s="99" t="s">
        <v>277</v>
      </c>
      <c r="B145" s="100"/>
      <c r="C145" s="35">
        <v>0</v>
      </c>
      <c r="D145" s="96">
        <f ca="1">((100/H135)*C145)/100</f>
        <v>0</v>
      </c>
      <c r="E145" s="102"/>
      <c r="F145" s="102"/>
      <c r="G145" s="102"/>
      <c r="H145" s="104"/>
      <c r="I145" s="53" t="s">
        <v>278</v>
      </c>
      <c r="J145" s="55">
        <f>(IF(B135&gt;4,(H135/(B135+2)+J144),0))</f>
        <v>0</v>
      </c>
      <c r="K145" s="56"/>
      <c r="L145" s="57"/>
    </row>
    <row r="146" spans="1:14" customFormat="1" ht="15.75" customHeight="1" x14ac:dyDescent="0.25">
      <c r="A146" s="99" t="s">
        <v>279</v>
      </c>
      <c r="B146" s="100" t="s">
        <v>279</v>
      </c>
      <c r="C146" s="35">
        <v>0</v>
      </c>
      <c r="D146" s="96">
        <f ca="1">((100/(H135))*C146)/100</f>
        <v>0</v>
      </c>
      <c r="E146" s="102"/>
      <c r="F146" s="102"/>
      <c r="G146" s="102"/>
      <c r="H146" s="104"/>
      <c r="I146" s="53" t="s">
        <v>144</v>
      </c>
      <c r="J146" s="55">
        <f ca="1">(IF(B135=1,(H135/(B135+3)+J141),IF(B135=0,(H135/4+J141),IF(B135&gt;1,0))))</f>
        <v>17.25</v>
      </c>
      <c r="K146" s="58"/>
      <c r="L146" s="57"/>
    </row>
    <row r="147" spans="1:14" customFormat="1" ht="16.5" thickBot="1" x14ac:dyDescent="0.3">
      <c r="A147" s="108" t="s">
        <v>280</v>
      </c>
      <c r="B147" s="109"/>
      <c r="C147" s="64">
        <v>0</v>
      </c>
      <c r="D147" s="97">
        <f ca="1">((100/(H135))*C147)/100</f>
        <v>0</v>
      </c>
      <c r="E147" s="103"/>
      <c r="F147" s="103"/>
      <c r="G147" s="103"/>
      <c r="H147" s="105"/>
      <c r="I147" s="60" t="s">
        <v>145</v>
      </c>
      <c r="J147" s="61">
        <f ca="1">(IF(B135&gt;1.5,(H135/(B135+2)+J141+MAX(0,J142-J141)+MAX(0,J143-J142)+MAX(0,J144-J143)+MAX(0,J145-J144)+MAX(0,J146-J145)),IF(B135=1,(H135/(B135+3)+J146),IF(B135=0,H135/4+J146))))</f>
        <v>23</v>
      </c>
      <c r="K147" s="58"/>
      <c r="L147" s="57"/>
    </row>
    <row r="148" spans="1:14" customFormat="1" ht="36" customHeight="1" x14ac:dyDescent="0.25">
      <c r="A148" s="169" t="s">
        <v>281</v>
      </c>
      <c r="B148" s="170"/>
      <c r="C148" s="171" t="s">
        <v>325</v>
      </c>
      <c r="D148" s="172"/>
      <c r="E148" s="172"/>
      <c r="F148" s="172"/>
      <c r="G148" s="172"/>
      <c r="H148" s="173"/>
      <c r="I148" s="52" t="str">
        <f ca="1">(IF(E152&gt;99%,"All work completed. Please provide OC.",IF(E152&gt;89.8%,"Plinth, RCC, Brick, Plaster, Flooring, Painting work Completed. Finishing work is in process.",IF(E152&lt;94%,(IF(C152=0,"Work not yet Started.",IF(D152=25%,"Piling work in process",IF(D152=50%,"Excavation work in process",IF(D152=100%,"Excavation work Completed. ","0")))&amp;(IF(C153=0%,"",IF(C153=J154,"Footing work is process",IF(C153=J155,"Footing work Completed",IF(C153=J156,"1st Basement Completed",IF(C153=J157,"1st &amp; 2nd Basement Completed",IF(C153=J158,"1st to 3rd Basement Completed",IF(C153=J159,"1st to 4th Basement Completed",IF(C153=J160,"Plinth work is process",IF(C153=J161,"Plinth work completed","0")))))))))))&amp;(IF(C154=(D149+F149+H149),", RCC Slab",IF(C154&gt;0,", RCC upto "&amp;C154&amp;" Slab",""))&amp;(IF(C155=H149,", Brickwork",IF(C155&gt;0,", Brickwork upto "&amp;C155&amp;" Floor",""))&amp;(IF(C156=H149,", Internal Plaster",IF(C156&gt;0,", Internal Plaster upto "&amp;C156&amp;" Floor",""))&amp;(IF(C157=H149,", External Plaster",IF(C157&gt;0,", External Plaster upto "&amp;C157&amp;" Floor",""))&amp;(IF(C158=H149,", Flooring",IF(C158&gt;0,", Flooring upto "&amp;C158&amp;" Floor",""))&amp;(IF(C159=H149,", Painting",IF(C159&gt;0,", Painting upto "&amp;C159&amp;" Floor",""))&amp;(IF(C160&gt;0,", Finishing upto "&amp;C160&amp;" Floor","")&amp;(IF(C154&gt;0.5," Completed",""))))))))))))))</f>
        <v>Excavation work Completed. Plinth work completed, RCC upto 5 Slab, Brickwork upto 4 Floor Completed</v>
      </c>
      <c r="J148" s="23"/>
    </row>
    <row r="149" spans="1:14" customFormat="1" x14ac:dyDescent="0.25">
      <c r="A149" s="22" t="s">
        <v>103</v>
      </c>
      <c r="B149" s="51">
        <v>0</v>
      </c>
      <c r="C149" s="51" t="s">
        <v>105</v>
      </c>
      <c r="D149" s="51">
        <v>1</v>
      </c>
      <c r="E149" s="51" t="s">
        <v>104</v>
      </c>
      <c r="F149" s="51">
        <v>0</v>
      </c>
      <c r="G149" s="51" t="s">
        <v>118</v>
      </c>
      <c r="H149" s="33">
        <f ca="1">--TRIM(RIGHT(SUBSTITUTE(LEFT(C148,_xlfn.AGGREGATE(16,6,FIND({0,1,2,3,4,5,6,7,8,9},C148,ROW(INDIRECT("1:"&amp;LEN(C148)))),1))," ",REPT(" ",LEN(C148))),LEN(C148)))</f>
        <v>23</v>
      </c>
      <c r="I149" s="20"/>
      <c r="J149" s="24"/>
    </row>
    <row r="150" spans="1:14" customFormat="1" ht="37.5" customHeight="1" x14ac:dyDescent="0.25">
      <c r="A150" s="162" t="s">
        <v>129</v>
      </c>
      <c r="B150" s="163"/>
      <c r="C150" s="164" t="str">
        <f ca="1">I148</f>
        <v>Excavation work Completed. Plinth work completed, RCC upto 5 Slab, Brickwork upto 4 Floor Completed</v>
      </c>
      <c r="D150" s="165"/>
      <c r="E150" s="165"/>
      <c r="F150" s="165"/>
      <c r="G150" s="165"/>
      <c r="H150" s="166"/>
      <c r="I150" s="20" t="s">
        <v>146</v>
      </c>
      <c r="J150" s="24"/>
      <c r="L150" s="81"/>
    </row>
    <row r="151" spans="1:14" customFormat="1" ht="15.75" customHeight="1" x14ac:dyDescent="0.25">
      <c r="A151" s="99" t="s">
        <v>53</v>
      </c>
      <c r="B151" s="100"/>
      <c r="C151" s="34" t="s">
        <v>264</v>
      </c>
      <c r="D151" s="34" t="s">
        <v>121</v>
      </c>
      <c r="E151" s="100" t="s">
        <v>123</v>
      </c>
      <c r="F151" s="100"/>
      <c r="G151" s="100" t="s">
        <v>122</v>
      </c>
      <c r="H151" s="101"/>
      <c r="I151" s="53" t="s">
        <v>265</v>
      </c>
      <c r="J151" s="25">
        <f ca="1">H149*25%</f>
        <v>5.75</v>
      </c>
    </row>
    <row r="152" spans="1:14" customFormat="1" x14ac:dyDescent="0.25">
      <c r="A152" s="99" t="s">
        <v>266</v>
      </c>
      <c r="B152" s="100"/>
      <c r="C152" s="35">
        <f ca="1">J153</f>
        <v>23</v>
      </c>
      <c r="D152" s="49">
        <f ca="1">((100/H149)*C152)/100</f>
        <v>1</v>
      </c>
      <c r="E152" s="102">
        <f ca="1">(((C153/H149*10)+(40/(D149+F149+H149)*C154)+(7.5/(H149)*C155)+(7.5/(H149)*C156)+(10/H149*C157)+(10/H149*C158)+(5/H149*C159)+(5/H149*C160)+(5/H149*C161))/100)</f>
        <v>0.19637681159420292</v>
      </c>
      <c r="F152" s="102"/>
      <c r="G152" s="102">
        <f ca="1">((((C152/H149)*20)+((C153/H149)*25)+(30/(H149+F149+D149)*C154)+(5/H149*C155)+(5/H149*C156)+(5/H149*C157)+(5/H149*C158)+(0/H149*C159)+(0/H149*C160)+(5/H149*C161))/100)</f>
        <v>0.52119565217391306</v>
      </c>
      <c r="H152" s="104"/>
      <c r="I152" s="53" t="s">
        <v>140</v>
      </c>
      <c r="J152" s="54">
        <f ca="1">H149*50%</f>
        <v>11.5</v>
      </c>
    </row>
    <row r="153" spans="1:14" customFormat="1" x14ac:dyDescent="0.25">
      <c r="A153" s="99" t="s">
        <v>54</v>
      </c>
      <c r="B153" s="100"/>
      <c r="C153" s="36">
        <f ca="1">J161</f>
        <v>23</v>
      </c>
      <c r="D153" s="49">
        <f ca="1">((100/H149)*C153)/100</f>
        <v>1</v>
      </c>
      <c r="E153" s="102"/>
      <c r="F153" s="102"/>
      <c r="G153" s="102"/>
      <c r="H153" s="104"/>
      <c r="I153" s="53" t="s">
        <v>141</v>
      </c>
      <c r="J153" s="54">
        <f ca="1">H149</f>
        <v>23</v>
      </c>
    </row>
    <row r="154" spans="1:14" customFormat="1" x14ac:dyDescent="0.25">
      <c r="A154" s="99" t="s">
        <v>267</v>
      </c>
      <c r="B154" s="100"/>
      <c r="C154" s="36">
        <f>D149+4</f>
        <v>5</v>
      </c>
      <c r="D154" s="49">
        <f ca="1">((100/(D149+F149+H149))*C154)/100</f>
        <v>0.20833333333333337</v>
      </c>
      <c r="E154" s="102"/>
      <c r="F154" s="102"/>
      <c r="G154" s="102"/>
      <c r="H154" s="104"/>
      <c r="I154" s="53" t="s">
        <v>142</v>
      </c>
      <c r="J154" s="55">
        <f ca="1">(IF(B149&gt;1,(H149/(B149+2)),H149/4))</f>
        <v>5.75</v>
      </c>
      <c r="L154" s="56"/>
    </row>
    <row r="155" spans="1:14" customFormat="1" ht="15.75" customHeight="1" x14ac:dyDescent="0.25">
      <c r="A155" s="99" t="s">
        <v>268</v>
      </c>
      <c r="B155" s="100" t="s">
        <v>269</v>
      </c>
      <c r="C155" s="36">
        <f>C154-1</f>
        <v>4</v>
      </c>
      <c r="D155" s="49">
        <f ca="1">((100/H149)*C155)/100</f>
        <v>0.17391304347826086</v>
      </c>
      <c r="E155" s="102"/>
      <c r="F155" s="102"/>
      <c r="G155" s="102"/>
      <c r="H155" s="104"/>
      <c r="I155" s="53" t="s">
        <v>143</v>
      </c>
      <c r="J155" s="55">
        <f ca="1">(IF(B149&gt;1,(H149/(B149+2)+J154),H149/4+J154))</f>
        <v>11.5</v>
      </c>
      <c r="L155" s="56"/>
    </row>
    <row r="156" spans="1:14" customFormat="1" ht="15.75" customHeight="1" x14ac:dyDescent="0.25">
      <c r="A156" s="99" t="s">
        <v>270</v>
      </c>
      <c r="B156" s="100" t="s">
        <v>269</v>
      </c>
      <c r="C156" s="35">
        <v>0</v>
      </c>
      <c r="D156" s="49">
        <f ca="1">((100/H149)*C156)/100</f>
        <v>0</v>
      </c>
      <c r="E156" s="102"/>
      <c r="F156" s="102"/>
      <c r="G156" s="102"/>
      <c r="H156" s="104"/>
      <c r="I156" s="53" t="s">
        <v>271</v>
      </c>
      <c r="J156" s="55">
        <f>(IF(B149&gt;1,(H149/(B149+2)+J155),0))</f>
        <v>0</v>
      </c>
      <c r="L156" s="57"/>
      <c r="N156" s="56"/>
    </row>
    <row r="157" spans="1:14" customFormat="1" ht="15.75" customHeight="1" x14ac:dyDescent="0.25">
      <c r="A157" s="106" t="s">
        <v>272</v>
      </c>
      <c r="B157" s="107" t="s">
        <v>273</v>
      </c>
      <c r="C157" s="35">
        <v>0</v>
      </c>
      <c r="D157" s="49">
        <f ca="1">((100/(H149))*C157)/100</f>
        <v>0</v>
      </c>
      <c r="E157" s="102"/>
      <c r="F157" s="102"/>
      <c r="G157" s="102"/>
      <c r="H157" s="104"/>
      <c r="I157" s="53" t="s">
        <v>274</v>
      </c>
      <c r="J157" s="55">
        <f>(IF(B149&gt;2,(H149/(B149+2)+J156),0))</f>
        <v>0</v>
      </c>
      <c r="K157" s="58"/>
      <c r="L157" s="57"/>
    </row>
    <row r="158" spans="1:14" customFormat="1" ht="15.75" customHeight="1" x14ac:dyDescent="0.25">
      <c r="A158" s="99" t="s">
        <v>275</v>
      </c>
      <c r="B158" s="100" t="s">
        <v>275</v>
      </c>
      <c r="C158" s="35">
        <v>0</v>
      </c>
      <c r="D158" s="49">
        <f ca="1">((100/H149)*C158)/100</f>
        <v>0</v>
      </c>
      <c r="E158" s="102"/>
      <c r="F158" s="102"/>
      <c r="G158" s="102"/>
      <c r="H158" s="104"/>
      <c r="I158" s="53" t="s">
        <v>276</v>
      </c>
      <c r="J158" s="59">
        <f>(IF(B149&gt;3,(H149/(B149+2)+J157),0))</f>
        <v>0</v>
      </c>
      <c r="K158" s="58"/>
      <c r="L158" s="57"/>
    </row>
    <row r="159" spans="1:14" customFormat="1" ht="15.75" customHeight="1" x14ac:dyDescent="0.25">
      <c r="A159" s="99" t="s">
        <v>277</v>
      </c>
      <c r="B159" s="100"/>
      <c r="C159" s="35">
        <v>0</v>
      </c>
      <c r="D159" s="49">
        <f ca="1">((100/H149)*C159)/100</f>
        <v>0</v>
      </c>
      <c r="E159" s="102"/>
      <c r="F159" s="102"/>
      <c r="G159" s="102"/>
      <c r="H159" s="104"/>
      <c r="I159" s="53" t="s">
        <v>278</v>
      </c>
      <c r="J159" s="55">
        <f>(IF(B149&gt;4,(H149/(B149+2)+J158),0))</f>
        <v>0</v>
      </c>
      <c r="K159" s="56"/>
      <c r="L159" s="57"/>
    </row>
    <row r="160" spans="1:14" customFormat="1" ht="15.75" customHeight="1" x14ac:dyDescent="0.25">
      <c r="A160" s="99" t="s">
        <v>279</v>
      </c>
      <c r="B160" s="100" t="s">
        <v>279</v>
      </c>
      <c r="C160" s="35">
        <v>0</v>
      </c>
      <c r="D160" s="49">
        <f ca="1">((100/(H149))*C160)/100</f>
        <v>0</v>
      </c>
      <c r="E160" s="102"/>
      <c r="F160" s="102"/>
      <c r="G160" s="102"/>
      <c r="H160" s="104"/>
      <c r="I160" s="53" t="s">
        <v>144</v>
      </c>
      <c r="J160" s="55">
        <f ca="1">(IF(B149=1,(H149/(B149+3)+J155),IF(B149=0,(H149/4+J155),IF(B149&gt;1,0))))</f>
        <v>17.25</v>
      </c>
      <c r="K160" s="58"/>
      <c r="L160" s="57"/>
    </row>
    <row r="161" spans="1:14" customFormat="1" ht="16.5" thickBot="1" x14ac:dyDescent="0.3">
      <c r="A161" s="108" t="s">
        <v>280</v>
      </c>
      <c r="B161" s="109"/>
      <c r="C161" s="64">
        <v>0</v>
      </c>
      <c r="D161" s="65">
        <f ca="1">((100/(H149))*C161)/100</f>
        <v>0</v>
      </c>
      <c r="E161" s="103"/>
      <c r="F161" s="103"/>
      <c r="G161" s="103"/>
      <c r="H161" s="105"/>
      <c r="I161" s="60" t="s">
        <v>145</v>
      </c>
      <c r="J161" s="61">
        <f ca="1">(IF(B149&gt;1.5,(H149/(B149+2)+J155+MAX(0,J156-J155)+MAX(0,J157-J156)+MAX(0,J158-J157)+MAX(0,J159-J158)+MAX(0,J160-J159)),IF(B149=1,(H149/(B149+3)+J160),IF(B149=0,H149/4+J160))))</f>
        <v>23</v>
      </c>
      <c r="K161" s="58"/>
      <c r="L161" s="57"/>
    </row>
    <row r="162" spans="1:14" customFormat="1" ht="36" customHeight="1" x14ac:dyDescent="0.25">
      <c r="A162" s="169" t="s">
        <v>281</v>
      </c>
      <c r="B162" s="170"/>
      <c r="C162" s="171" t="s">
        <v>324</v>
      </c>
      <c r="D162" s="172"/>
      <c r="E162" s="172"/>
      <c r="F162" s="172"/>
      <c r="G162" s="172"/>
      <c r="H162" s="173"/>
      <c r="I162" s="52" t="str">
        <f ca="1">(IF(E166&gt;99%,"All work completed. Please provide OC.",IF(E166&gt;89.8%,"Plinth, RCC, Brick, Plaster, Flooring, Painting work Completed. Finishing work is in process.",IF(E166&lt;94%,(IF(C166=0,"Work not yet Started.",IF(D166=25%,"Piling work in process",IF(D166=50%,"Excavation work in process",IF(D166=100%,"Excavation work Completed. ","0")))&amp;(IF(C167=0%,"",IF(C167=J168,"Footing work is process",IF(C167=J169,"Footing work Completed",IF(C167=J170,"1st Basement Completed",IF(C167=J171,"1st &amp; 2nd Basement Completed",IF(C167=J172,"1st to 3rd Basement Completed",IF(C167=J173,"1st to 4th Basement Completed",IF(C167=J174,"Plinth work is process",IF(C167=J175,"Plinth work completed","0")))))))))))&amp;(IF(C168=(D163+F163+H163),", RCC Slab",IF(C168&gt;0,", RCC upto "&amp;C168&amp;" Slab",""))&amp;(IF(C169=H163,", Brickwork",IF(C169&gt;0,", Brickwork upto "&amp;C169&amp;" Floor",""))&amp;(IF(C170=H163,", Internal Plaster",IF(C170&gt;0,", Internal Plaster upto "&amp;C170&amp;" Floor",""))&amp;(IF(C171=H163,", External Plaster",IF(C171&gt;0,", External Plaster upto "&amp;C171&amp;" Floor",""))&amp;(IF(C172=H163,", Flooring",IF(C172&gt;0,", Flooring upto "&amp;C172&amp;" Floor",""))&amp;(IF(C173=H163,", Painting",IF(C173&gt;0,", Painting upto "&amp;C173&amp;" Floor",""))&amp;(IF(C174&gt;0,", Finishing upto "&amp;C174&amp;" Floor","")&amp;(IF(C168&gt;0.5," Completed",""))))))))))))))</f>
        <v>Excavation work Completed. Plinth work completed, RCC upto 3 Slab, Brickwork upto 2 Floor Completed</v>
      </c>
      <c r="J162" s="23"/>
    </row>
    <row r="163" spans="1:14" customFormat="1" x14ac:dyDescent="0.25">
      <c r="A163" s="22" t="s">
        <v>103</v>
      </c>
      <c r="B163" s="51">
        <v>0</v>
      </c>
      <c r="C163" s="51" t="s">
        <v>105</v>
      </c>
      <c r="D163" s="51">
        <v>1</v>
      </c>
      <c r="E163" s="51" t="s">
        <v>104</v>
      </c>
      <c r="F163" s="51">
        <v>0</v>
      </c>
      <c r="G163" s="51" t="s">
        <v>118</v>
      </c>
      <c r="H163" s="33">
        <f ca="1">--TRIM(RIGHT(SUBSTITUTE(LEFT(C162,_xlfn.AGGREGATE(16,6,FIND({0,1,2,3,4,5,6,7,8,9},C162,ROW(INDIRECT("1:"&amp;LEN(C162)))),1))," ",REPT(" ",LEN(C162))),LEN(C162)))</f>
        <v>23</v>
      </c>
      <c r="I163" s="20"/>
      <c r="J163" s="24"/>
    </row>
    <row r="164" spans="1:14" customFormat="1" ht="32.25" customHeight="1" x14ac:dyDescent="0.25">
      <c r="A164" s="162" t="s">
        <v>129</v>
      </c>
      <c r="B164" s="163"/>
      <c r="C164" s="164" t="str">
        <f ca="1">I162</f>
        <v>Excavation work Completed. Plinth work completed, RCC upto 3 Slab, Brickwork upto 2 Floor Completed</v>
      </c>
      <c r="D164" s="165"/>
      <c r="E164" s="165"/>
      <c r="F164" s="165"/>
      <c r="G164" s="165"/>
      <c r="H164" s="166"/>
      <c r="I164" s="20" t="s">
        <v>146</v>
      </c>
      <c r="J164" s="24"/>
    </row>
    <row r="165" spans="1:14" customFormat="1" ht="15.75" customHeight="1" x14ac:dyDescent="0.25">
      <c r="A165" s="99" t="s">
        <v>53</v>
      </c>
      <c r="B165" s="100"/>
      <c r="C165" s="34" t="s">
        <v>264</v>
      </c>
      <c r="D165" s="34" t="s">
        <v>121</v>
      </c>
      <c r="E165" s="100" t="s">
        <v>123</v>
      </c>
      <c r="F165" s="100"/>
      <c r="G165" s="100" t="s">
        <v>122</v>
      </c>
      <c r="H165" s="101"/>
      <c r="I165" s="53" t="s">
        <v>265</v>
      </c>
      <c r="J165" s="25">
        <f ca="1">H163*25%</f>
        <v>5.75</v>
      </c>
    </row>
    <row r="166" spans="1:14" customFormat="1" x14ac:dyDescent="0.25">
      <c r="A166" s="99" t="s">
        <v>266</v>
      </c>
      <c r="B166" s="100"/>
      <c r="C166" s="35">
        <f ca="1">J167</f>
        <v>23</v>
      </c>
      <c r="D166" s="49">
        <f ca="1">((100/H163)*C166)/100</f>
        <v>1</v>
      </c>
      <c r="E166" s="102">
        <f ca="1">(((C167/H163*10)+(40/(D163+F163+H163)*C168)+(7.5/(H163)*C169)+(7.5/(H163)*C170)+(10/H163*C171)+(10/H163*C172)+(5/H163*C173)+(5/H163*C174)+(5/H163*C175))/100)</f>
        <v>0.15652173913043479</v>
      </c>
      <c r="F166" s="102"/>
      <c r="G166" s="102">
        <f ca="1">((((C166/H163)*20)+((C167/H163)*25)+(30/(H163+F163+D163)*C168)+(5/H163*C169)+(5/H163*C170)+(5/H163*C171)+(5/H163*C172)+(0/H163*C173)+(0/H163*C174)+(5/H163*C175))/100)</f>
        <v>0.49184782608695649</v>
      </c>
      <c r="H166" s="104"/>
      <c r="I166" s="53" t="s">
        <v>140</v>
      </c>
      <c r="J166" s="54">
        <f ca="1">H163*50%</f>
        <v>11.5</v>
      </c>
    </row>
    <row r="167" spans="1:14" customFormat="1" x14ac:dyDescent="0.25">
      <c r="A167" s="99" t="s">
        <v>54</v>
      </c>
      <c r="B167" s="100"/>
      <c r="C167" s="36">
        <f ca="1">J175</f>
        <v>23</v>
      </c>
      <c r="D167" s="49">
        <f ca="1">((100/H163)*C167)/100</f>
        <v>1</v>
      </c>
      <c r="E167" s="102"/>
      <c r="F167" s="102"/>
      <c r="G167" s="102"/>
      <c r="H167" s="104"/>
      <c r="I167" s="53" t="s">
        <v>141</v>
      </c>
      <c r="J167" s="54">
        <f ca="1">H163</f>
        <v>23</v>
      </c>
    </row>
    <row r="168" spans="1:14" customFormat="1" x14ac:dyDescent="0.25">
      <c r="A168" s="99" t="s">
        <v>267</v>
      </c>
      <c r="B168" s="100"/>
      <c r="C168" s="36">
        <v>3</v>
      </c>
      <c r="D168" s="49">
        <f ca="1">((100/(D163+F163+H163))*C168)/100</f>
        <v>0.125</v>
      </c>
      <c r="E168" s="102"/>
      <c r="F168" s="102"/>
      <c r="G168" s="102"/>
      <c r="H168" s="104"/>
      <c r="I168" s="53" t="s">
        <v>142</v>
      </c>
      <c r="J168" s="55">
        <f ca="1">(IF(B163&gt;1,(H163/(B163+2)),H163/4))</f>
        <v>5.75</v>
      </c>
      <c r="L168" s="56"/>
    </row>
    <row r="169" spans="1:14" customFormat="1" ht="15.75" customHeight="1" x14ac:dyDescent="0.25">
      <c r="A169" s="99" t="s">
        <v>268</v>
      </c>
      <c r="B169" s="100" t="s">
        <v>269</v>
      </c>
      <c r="C169" s="35">
        <v>2</v>
      </c>
      <c r="D169" s="49">
        <f ca="1">((100/H163)*C169)/100</f>
        <v>8.6956521739130432E-2</v>
      </c>
      <c r="E169" s="102"/>
      <c r="F169" s="102"/>
      <c r="G169" s="102"/>
      <c r="H169" s="104"/>
      <c r="I169" s="53" t="s">
        <v>143</v>
      </c>
      <c r="J169" s="55">
        <f ca="1">(IF(B163&gt;1,(H163/(B163+2)+J168),H163/4+J168))</f>
        <v>11.5</v>
      </c>
      <c r="L169" s="56"/>
    </row>
    <row r="170" spans="1:14" customFormat="1" ht="15.75" customHeight="1" x14ac:dyDescent="0.25">
      <c r="A170" s="99" t="s">
        <v>270</v>
      </c>
      <c r="B170" s="100" t="s">
        <v>269</v>
      </c>
      <c r="C170" s="35">
        <v>0</v>
      </c>
      <c r="D170" s="49">
        <f ca="1">((100/H163)*C170)/100</f>
        <v>0</v>
      </c>
      <c r="E170" s="102"/>
      <c r="F170" s="102"/>
      <c r="G170" s="102"/>
      <c r="H170" s="104"/>
      <c r="I170" s="53" t="s">
        <v>271</v>
      </c>
      <c r="J170" s="55">
        <f>(IF(B163&gt;1,(H163/(B163+2)+J169),0))</f>
        <v>0</v>
      </c>
      <c r="L170" s="57"/>
      <c r="N170" s="56"/>
    </row>
    <row r="171" spans="1:14" customFormat="1" ht="15.75" customHeight="1" x14ac:dyDescent="0.25">
      <c r="A171" s="106" t="s">
        <v>272</v>
      </c>
      <c r="B171" s="107" t="s">
        <v>273</v>
      </c>
      <c r="C171" s="35">
        <v>0</v>
      </c>
      <c r="D171" s="49">
        <f ca="1">((100/(H163))*C171)/100</f>
        <v>0</v>
      </c>
      <c r="E171" s="102"/>
      <c r="F171" s="102"/>
      <c r="G171" s="102"/>
      <c r="H171" s="104"/>
      <c r="I171" s="53" t="s">
        <v>274</v>
      </c>
      <c r="J171" s="55">
        <f>(IF(B163&gt;2,(H163/(B163+2)+J170),0))</f>
        <v>0</v>
      </c>
      <c r="K171" s="58"/>
      <c r="L171" s="57"/>
    </row>
    <row r="172" spans="1:14" customFormat="1" ht="15.75" customHeight="1" x14ac:dyDescent="0.25">
      <c r="A172" s="99" t="s">
        <v>275</v>
      </c>
      <c r="B172" s="100" t="s">
        <v>275</v>
      </c>
      <c r="C172" s="35">
        <v>0</v>
      </c>
      <c r="D172" s="49">
        <f ca="1">((100/H163)*C172)/100</f>
        <v>0</v>
      </c>
      <c r="E172" s="102"/>
      <c r="F172" s="102"/>
      <c r="G172" s="102"/>
      <c r="H172" s="104"/>
      <c r="I172" s="53" t="s">
        <v>276</v>
      </c>
      <c r="J172" s="59">
        <f>(IF(B163&gt;3,(H163/(B163+2)+J171),0))</f>
        <v>0</v>
      </c>
      <c r="K172" s="58"/>
      <c r="L172" s="57"/>
    </row>
    <row r="173" spans="1:14" customFormat="1" ht="15.75" customHeight="1" x14ac:dyDescent="0.25">
      <c r="A173" s="99" t="s">
        <v>277</v>
      </c>
      <c r="B173" s="100"/>
      <c r="C173" s="35">
        <v>0</v>
      </c>
      <c r="D173" s="49">
        <f ca="1">((100/H163)*C173)/100</f>
        <v>0</v>
      </c>
      <c r="E173" s="102"/>
      <c r="F173" s="102"/>
      <c r="G173" s="102"/>
      <c r="H173" s="104"/>
      <c r="I173" s="53" t="s">
        <v>278</v>
      </c>
      <c r="J173" s="55">
        <f>(IF(B163&gt;4,(H163/(B163+2)+J172),0))</f>
        <v>0</v>
      </c>
      <c r="K173" s="56"/>
      <c r="L173" s="57"/>
    </row>
    <row r="174" spans="1:14" customFormat="1" ht="15.75" customHeight="1" x14ac:dyDescent="0.25">
      <c r="A174" s="99" t="s">
        <v>279</v>
      </c>
      <c r="B174" s="100" t="s">
        <v>279</v>
      </c>
      <c r="C174" s="35">
        <v>0</v>
      </c>
      <c r="D174" s="49">
        <f ca="1">((100/(H163))*C174)/100</f>
        <v>0</v>
      </c>
      <c r="E174" s="102"/>
      <c r="F174" s="102"/>
      <c r="G174" s="102"/>
      <c r="H174" s="104"/>
      <c r="I174" s="53" t="s">
        <v>144</v>
      </c>
      <c r="J174" s="55">
        <f ca="1">(IF(B163=1,(H163/(B163+3)+J169),IF(B163=0,(H163/4+J169),IF(B163&gt;1,0))))</f>
        <v>17.25</v>
      </c>
      <c r="K174" s="58"/>
      <c r="L174" s="57"/>
    </row>
    <row r="175" spans="1:14" customFormat="1" ht="16.5" thickBot="1" x14ac:dyDescent="0.3">
      <c r="A175" s="108" t="s">
        <v>280</v>
      </c>
      <c r="B175" s="109"/>
      <c r="C175" s="64">
        <v>0</v>
      </c>
      <c r="D175" s="65">
        <f ca="1">((100/(H163))*C175)/100</f>
        <v>0</v>
      </c>
      <c r="E175" s="103"/>
      <c r="F175" s="103"/>
      <c r="G175" s="103"/>
      <c r="H175" s="105"/>
      <c r="I175" s="60" t="s">
        <v>145</v>
      </c>
      <c r="J175" s="61">
        <f ca="1">(IF(B163&gt;1.5,(H163/(B163+2)+J169+MAX(0,J170-J169)+MAX(0,J171-J170)+MAX(0,J172-J171)+MAX(0,J173-J172)+MAX(0,J174-J173)),IF(B163=1,(H163/(B163+3)+J174),IF(B163=0,H163/4+J174))))</f>
        <v>23</v>
      </c>
      <c r="K175" s="58"/>
      <c r="L175" s="57"/>
    </row>
    <row r="176" spans="1:14" customFormat="1" ht="34.5" customHeight="1" x14ac:dyDescent="0.25">
      <c r="A176" s="112" t="s">
        <v>332</v>
      </c>
      <c r="B176" s="113"/>
      <c r="C176" s="114" t="s">
        <v>371</v>
      </c>
      <c r="D176" s="114"/>
      <c r="E176" s="114"/>
      <c r="F176" s="114"/>
      <c r="G176" s="114"/>
      <c r="H176" s="115"/>
      <c r="I176" s="52" t="str">
        <f ca="1">(IF(E180&gt;99%,"All work completed. Please provide OC.",IF(E180&gt;89.8%,"Plinth, RCC, Brick, Plaster, Flooring, Painting work Completed. Finishing work is in process.",IF(E180&lt;94%,(IF(C180=0,"Work not yet Started.",IF(D180=25%,"Piling work in process",IF(D180=50%,"Excavation work in process",IF(D180=100%,"Excavation work Completed. ","0")))&amp;(IF(C181=0%,"",IF(C181=J182,"Footing work is process",IF(C181=J183,"Footing work Completed",IF(C181=J184,"1st Basement Completed",IF(C181=J185,"1st &amp; 2nd Basement Completed",IF(C181=J186,"1st to 3rd Basement Completed",IF(C181=J187,"1st to 4th Basement Completed",IF(C181=J188,"Plinth work is process",IF(C181=J189,"Plinth work completed","0")))))))))))&amp;(IF(C182=(D177+F177+H177),", RCC Slab",IF(C182&gt;0,", RCC upto "&amp;C182&amp;" Slab",""))&amp;(IF(C183=H177,", Brickwork",IF(C183&gt;0,", Brickwork upto "&amp;C183&amp;" Floor",""))&amp;(IF(C184=H177,", Internal Plaster",IF(C184&gt;0,", Internal Plaster upto "&amp;C184&amp;" Floor",""))&amp;(IF(C185=H177,", External Plaster",IF(C185&gt;0,", External Plaster upto "&amp;C185&amp;" Floor",""))&amp;(IF(C186=H177,", Flooring",IF(C186&gt;0,", Flooring upto "&amp;C186&amp;" Floor",""))&amp;(IF(C187=H177,", Painting",IF(C187&gt;0,", Painting upto "&amp;C187&amp;" Floor",""))&amp;(IF(C188&gt;0,", Finishing upto "&amp;C188&amp;" Floor","")&amp;(IF(C182&gt;0.5," Completed",""))))))))))))))</f>
        <v>Excavation work Completed. Plinth work completed, RCC upto 7 Slab, Brickwork upto 6 Floor, Internal Plaster upto 4.5 Floor, External Plaster upto 3.3 Floor Completed</v>
      </c>
      <c r="J176" s="23"/>
    </row>
    <row r="177" spans="1:14" customFormat="1" x14ac:dyDescent="0.25">
      <c r="A177" s="22" t="s">
        <v>103</v>
      </c>
      <c r="B177" s="51">
        <v>0</v>
      </c>
      <c r="C177" s="51" t="s">
        <v>105</v>
      </c>
      <c r="D177" s="51">
        <v>1</v>
      </c>
      <c r="E177" s="51" t="s">
        <v>104</v>
      </c>
      <c r="F177" s="51">
        <v>0</v>
      </c>
      <c r="G177" s="51" t="s">
        <v>118</v>
      </c>
      <c r="H177" s="33">
        <f ca="1">--TRIM(RIGHT(SUBSTITUTE(LEFT(C176,_xlfn.AGGREGATE(16,6,FIND({0,1,2,3,4,5,6,7,8,9},C176,ROW(INDIRECT("1:"&amp;LEN(C176)))),1))," ",REPT(" ",LEN(C176))),LEN(C176)))</f>
        <v>23</v>
      </c>
      <c r="I177" s="20"/>
      <c r="J177" s="24"/>
    </row>
    <row r="178" spans="1:14" customFormat="1" ht="34.5" customHeight="1" x14ac:dyDescent="0.25">
      <c r="A178" s="116" t="s">
        <v>129</v>
      </c>
      <c r="B178" s="117"/>
      <c r="C178" s="111" t="str">
        <f ca="1">I176</f>
        <v>Excavation work Completed. Plinth work completed, RCC upto 7 Slab, Brickwork upto 6 Floor, Internal Plaster upto 4.5 Floor, External Plaster upto 3.3 Floor Completed</v>
      </c>
      <c r="D178" s="111"/>
      <c r="E178" s="111"/>
      <c r="F178" s="111"/>
      <c r="G178" s="111"/>
      <c r="H178" s="118"/>
      <c r="I178" s="20" t="s">
        <v>146</v>
      </c>
      <c r="J178" s="24"/>
    </row>
    <row r="179" spans="1:14" customFormat="1" x14ac:dyDescent="0.25">
      <c r="A179" s="119" t="s">
        <v>53</v>
      </c>
      <c r="B179" s="120"/>
      <c r="C179" s="66" t="s">
        <v>264</v>
      </c>
      <c r="D179" s="67" t="s">
        <v>121</v>
      </c>
      <c r="E179" s="120" t="s">
        <v>123</v>
      </c>
      <c r="F179" s="120"/>
      <c r="G179" s="120" t="s">
        <v>122</v>
      </c>
      <c r="H179" s="121"/>
      <c r="I179" s="53" t="s">
        <v>265</v>
      </c>
      <c r="J179" s="25">
        <f ca="1">H177*25%</f>
        <v>5.75</v>
      </c>
    </row>
    <row r="180" spans="1:14" customFormat="1" x14ac:dyDescent="0.25">
      <c r="A180" s="100" t="s">
        <v>266</v>
      </c>
      <c r="B180" s="100"/>
      <c r="C180" s="36">
        <f ca="1">J189</f>
        <v>23</v>
      </c>
      <c r="D180" s="49">
        <f ca="1">((100/H177)*C180)/100</f>
        <v>1</v>
      </c>
      <c r="E180" s="102">
        <f ca="1">(((C181/H177*10)+(40/(D177+F177+H177)*C182)+(7.5/(H177)*C183)+(7.5/(H177)*C184)+(10/H177*C185)+(10/H177*C186)+(5/H177*C187)+(5/H177*C188)+(5/H177*C189))/100)</f>
        <v>0.26525362318840584</v>
      </c>
      <c r="F180" s="102"/>
      <c r="G180" s="102">
        <f ca="1">((((C180/H177)*20)+((C181/H177)*25)+(30/(H177+F177+D177)*C182)+(5/H177*C183)+(5/H177*C184)+(5/H177*C185)+(5/H177*C186)+(0/H177*C187)+(0/H177*C188)+(5/H177*C189))/100)</f>
        <v>0.5675</v>
      </c>
      <c r="H180" s="102"/>
      <c r="I180" s="53" t="s">
        <v>140</v>
      </c>
      <c r="J180" s="54">
        <f ca="1">H177*50%</f>
        <v>11.5</v>
      </c>
    </row>
    <row r="181" spans="1:14" customFormat="1" x14ac:dyDescent="0.25">
      <c r="A181" s="100" t="s">
        <v>54</v>
      </c>
      <c r="B181" s="100"/>
      <c r="C181" s="36">
        <f ca="1">J189</f>
        <v>23</v>
      </c>
      <c r="D181" s="49">
        <f ca="1">((100/H177)*C181)/100</f>
        <v>1</v>
      </c>
      <c r="E181" s="102"/>
      <c r="F181" s="102"/>
      <c r="G181" s="102"/>
      <c r="H181" s="102"/>
      <c r="I181" s="53" t="s">
        <v>141</v>
      </c>
      <c r="J181" s="54">
        <f ca="1">H177</f>
        <v>23</v>
      </c>
    </row>
    <row r="182" spans="1:14" customFormat="1" x14ac:dyDescent="0.25">
      <c r="A182" s="100" t="s">
        <v>267</v>
      </c>
      <c r="B182" s="100"/>
      <c r="C182" s="36">
        <f>D177+6</f>
        <v>7</v>
      </c>
      <c r="D182" s="49">
        <f ca="1">((100/(D177+F177+H177))*C182)/100</f>
        <v>0.29166666666666669</v>
      </c>
      <c r="E182" s="102"/>
      <c r="F182" s="102"/>
      <c r="G182" s="102"/>
      <c r="H182" s="102"/>
      <c r="I182" s="53" t="s">
        <v>142</v>
      </c>
      <c r="J182" s="55">
        <f ca="1">(IF(B177&gt;1,(H177/(B177+2)),H177/4))</f>
        <v>5.75</v>
      </c>
      <c r="L182" s="56"/>
    </row>
    <row r="183" spans="1:14" customFormat="1" ht="15.75" customHeight="1" x14ac:dyDescent="0.25">
      <c r="A183" s="100" t="s">
        <v>268</v>
      </c>
      <c r="B183" s="100" t="s">
        <v>269</v>
      </c>
      <c r="C183" s="36">
        <f>C182-1</f>
        <v>6</v>
      </c>
      <c r="D183" s="49">
        <f ca="1">((100/H177)*C183)/100</f>
        <v>0.2608695652173913</v>
      </c>
      <c r="E183" s="102"/>
      <c r="F183" s="102"/>
      <c r="G183" s="102"/>
      <c r="H183" s="102"/>
      <c r="I183" s="53" t="s">
        <v>143</v>
      </c>
      <c r="J183" s="55">
        <f ca="1">(IF(B177&gt;1,(H177/(B177+2)+J182),H177/4+J182))</f>
        <v>11.5</v>
      </c>
      <c r="L183" s="56"/>
    </row>
    <row r="184" spans="1:14" customFormat="1" ht="15.75" customHeight="1" x14ac:dyDescent="0.25">
      <c r="A184" s="100" t="s">
        <v>270</v>
      </c>
      <c r="B184" s="100" t="s">
        <v>269</v>
      </c>
      <c r="C184" s="36">
        <f>C183*0.75</f>
        <v>4.5</v>
      </c>
      <c r="D184" s="49">
        <f ca="1">((100/H177)*C184)/100</f>
        <v>0.19565217391304349</v>
      </c>
      <c r="E184" s="102"/>
      <c r="F184" s="102"/>
      <c r="G184" s="102"/>
      <c r="H184" s="102"/>
      <c r="I184" s="53" t="s">
        <v>271</v>
      </c>
      <c r="J184" s="55">
        <f>(IF(B177&gt;1,(H177/(B177+2)+J183),0))</f>
        <v>0</v>
      </c>
      <c r="L184" s="57"/>
      <c r="N184" s="56"/>
    </row>
    <row r="185" spans="1:14" customFormat="1" ht="15.75" customHeight="1" x14ac:dyDescent="0.25">
      <c r="A185" s="107" t="s">
        <v>272</v>
      </c>
      <c r="B185" s="107" t="s">
        <v>273</v>
      </c>
      <c r="C185" s="36">
        <f>C183*0.55</f>
        <v>3.3000000000000003</v>
      </c>
      <c r="D185" s="49">
        <f ca="1">((100/(H177))*C185)/100</f>
        <v>0.14347826086956522</v>
      </c>
      <c r="E185" s="102"/>
      <c r="F185" s="102"/>
      <c r="G185" s="102"/>
      <c r="H185" s="102"/>
      <c r="I185" s="53" t="s">
        <v>274</v>
      </c>
      <c r="J185" s="55">
        <f>(IF(B177&gt;2,(H177/(B177+2)+J184),0))</f>
        <v>0</v>
      </c>
      <c r="K185" s="58"/>
      <c r="L185" s="57"/>
    </row>
    <row r="186" spans="1:14" customFormat="1" ht="15.75" customHeight="1" x14ac:dyDescent="0.25">
      <c r="A186" s="100" t="s">
        <v>275</v>
      </c>
      <c r="B186" s="100" t="s">
        <v>275</v>
      </c>
      <c r="C186" s="35">
        <v>0</v>
      </c>
      <c r="D186" s="49">
        <f ca="1">((100/H177)*C186)/100</f>
        <v>0</v>
      </c>
      <c r="E186" s="102"/>
      <c r="F186" s="102"/>
      <c r="G186" s="102"/>
      <c r="H186" s="102"/>
      <c r="I186" s="53" t="s">
        <v>276</v>
      </c>
      <c r="J186" s="59">
        <f>(IF(B177&gt;3,(H177/(B177+2)+J185),0))</f>
        <v>0</v>
      </c>
      <c r="K186" s="58"/>
      <c r="L186" s="57"/>
    </row>
    <row r="187" spans="1:14" customFormat="1" ht="15.75" customHeight="1" x14ac:dyDescent="0.25">
      <c r="A187" s="100" t="s">
        <v>277</v>
      </c>
      <c r="B187" s="100"/>
      <c r="C187" s="35">
        <v>0</v>
      </c>
      <c r="D187" s="49">
        <f ca="1">((100/H177)*C187)/100</f>
        <v>0</v>
      </c>
      <c r="E187" s="102"/>
      <c r="F187" s="102"/>
      <c r="G187" s="102"/>
      <c r="H187" s="102"/>
      <c r="I187" s="53" t="s">
        <v>278</v>
      </c>
      <c r="J187" s="55">
        <f>(IF(B177&gt;4,(H177/(B177+2)+J186),0))</f>
        <v>0</v>
      </c>
      <c r="K187" s="56"/>
      <c r="L187" s="57"/>
    </row>
    <row r="188" spans="1:14" customFormat="1" ht="15.75" customHeight="1" x14ac:dyDescent="0.25">
      <c r="A188" s="100" t="s">
        <v>279</v>
      </c>
      <c r="B188" s="100" t="s">
        <v>279</v>
      </c>
      <c r="C188" s="35">
        <v>0</v>
      </c>
      <c r="D188" s="49">
        <f ca="1">((100/(H177))*C188)/100</f>
        <v>0</v>
      </c>
      <c r="E188" s="102"/>
      <c r="F188" s="102"/>
      <c r="G188" s="102"/>
      <c r="H188" s="102"/>
      <c r="I188" s="53" t="s">
        <v>144</v>
      </c>
      <c r="J188" s="55">
        <f ca="1">(IF(B177=1,(H177/(B177+3)+J183),IF(B177=0,(H177/4+J183),IF(B177&gt;1,0))))</f>
        <v>17.25</v>
      </c>
      <c r="K188" s="58"/>
      <c r="L188" s="57"/>
    </row>
    <row r="189" spans="1:14" customFormat="1" ht="16.5" thickBot="1" x14ac:dyDescent="0.3">
      <c r="A189" s="100" t="s">
        <v>280</v>
      </c>
      <c r="B189" s="100"/>
      <c r="C189" s="35">
        <v>0</v>
      </c>
      <c r="D189" s="49">
        <f ca="1">((100/(H177))*C189)/100</f>
        <v>0</v>
      </c>
      <c r="E189" s="102"/>
      <c r="F189" s="102"/>
      <c r="G189" s="102"/>
      <c r="H189" s="102"/>
      <c r="I189" s="60" t="s">
        <v>145</v>
      </c>
      <c r="J189" s="61">
        <f ca="1">(IF(B177&gt;1.5,(H177/(B177+2)+J183+MAX(0,J184-J183)+MAX(0,J185-J184)+MAX(0,J186-J185)+MAX(0,J187-J186)+MAX(0,J188-J187)),IF(B177=1,(H177/(B177+3)+J188),IF(B177=0,H177/4+J188))))</f>
        <v>23</v>
      </c>
      <c r="K189" s="58"/>
      <c r="L189" s="57"/>
    </row>
    <row r="190" spans="1:14" customFormat="1" ht="16.5" hidden="1" thickBot="1" x14ac:dyDescent="0.3">
      <c r="A190" s="100" t="s">
        <v>53</v>
      </c>
      <c r="B190" s="100"/>
      <c r="C190" s="34" t="s">
        <v>264</v>
      </c>
      <c r="D190" s="83" t="s">
        <v>121</v>
      </c>
      <c r="E190" s="100" t="s">
        <v>123</v>
      </c>
      <c r="F190" s="100"/>
      <c r="G190" s="100" t="s">
        <v>122</v>
      </c>
      <c r="H190" s="100"/>
      <c r="I190" s="53" t="s">
        <v>265</v>
      </c>
      <c r="J190" s="25">
        <f ca="1">H72*25%</f>
        <v>3.5</v>
      </c>
    </row>
    <row r="191" spans="1:14" customFormat="1" ht="16.5" hidden="1" thickBot="1" x14ac:dyDescent="0.3">
      <c r="A191" s="100" t="s">
        <v>266</v>
      </c>
      <c r="B191" s="100"/>
      <c r="C191" s="35">
        <f ca="1">J192</f>
        <v>14</v>
      </c>
      <c r="D191" s="49">
        <f ca="1">((100/H72)*C191)/100</f>
        <v>1</v>
      </c>
      <c r="E191" s="102">
        <f ca="1">(((C192/H72*10)+(40/(D72+F72+H72)*C193)+(7.5/(H72)*C194)+(7.5/(H72)*C195)+(10/H72*C196)+(10/H72*C197)+(5/H72*C198)+(5/H72*C199)+(5/H72*C200))/100)</f>
        <v>1</v>
      </c>
      <c r="F191" s="102"/>
      <c r="G191" s="102">
        <f ca="1">((((C191/H72)*20)+((C192/H72)*25)+(30/(H72+F72+D72)*C193)+(5/H72*C194)+(5/H72*C195)+(5/H72*C196)+(5/H72*C197)+(0/H72*C198)+(0/H72*C199)+(5/H72*C200))/100)</f>
        <v>1</v>
      </c>
      <c r="H191" s="102"/>
      <c r="I191" s="53" t="s">
        <v>140</v>
      </c>
      <c r="J191" s="54">
        <f ca="1">H72*50%</f>
        <v>7</v>
      </c>
    </row>
    <row r="192" spans="1:14" customFormat="1" ht="16.5" hidden="1" thickBot="1" x14ac:dyDescent="0.3">
      <c r="A192" s="100" t="s">
        <v>54</v>
      </c>
      <c r="B192" s="100"/>
      <c r="C192" s="36">
        <f ca="1">J200</f>
        <v>14</v>
      </c>
      <c r="D192" s="49">
        <f ca="1">((100/H72)*C192)/100</f>
        <v>1</v>
      </c>
      <c r="E192" s="102"/>
      <c r="F192" s="102"/>
      <c r="G192" s="102"/>
      <c r="H192" s="102"/>
      <c r="I192" s="53" t="s">
        <v>141</v>
      </c>
      <c r="J192" s="54">
        <f ca="1">H72</f>
        <v>14</v>
      </c>
    </row>
    <row r="193" spans="1:14" customFormat="1" ht="16.5" hidden="1" thickBot="1" x14ac:dyDescent="0.3">
      <c r="A193" s="100" t="s">
        <v>267</v>
      </c>
      <c r="B193" s="100"/>
      <c r="C193" s="36">
        <v>15</v>
      </c>
      <c r="D193" s="49">
        <f ca="1">((100/(D72+F72+H72))*C193)/100</f>
        <v>1</v>
      </c>
      <c r="E193" s="102"/>
      <c r="F193" s="102"/>
      <c r="G193" s="102"/>
      <c r="H193" s="102"/>
      <c r="I193" s="53" t="s">
        <v>142</v>
      </c>
      <c r="J193" s="55">
        <f ca="1">(IF(B72&gt;1,(H72/(B72+2)),H72/4))</f>
        <v>3.5</v>
      </c>
      <c r="L193" s="56"/>
    </row>
    <row r="194" spans="1:14" customFormat="1" ht="15.75" hidden="1" customHeight="1" x14ac:dyDescent="0.25">
      <c r="A194" s="100" t="s">
        <v>268</v>
      </c>
      <c r="B194" s="100" t="s">
        <v>269</v>
      </c>
      <c r="C194" s="35">
        <v>14</v>
      </c>
      <c r="D194" s="49">
        <f ca="1">((100/H72)*C194)/100</f>
        <v>1</v>
      </c>
      <c r="E194" s="102"/>
      <c r="F194" s="102"/>
      <c r="G194" s="102"/>
      <c r="H194" s="102"/>
      <c r="I194" s="53" t="s">
        <v>143</v>
      </c>
      <c r="J194" s="55">
        <f ca="1">(IF(B72&gt;1,(H72/(B72+2)+J193),H72/4+J193))</f>
        <v>7</v>
      </c>
      <c r="L194" s="56"/>
    </row>
    <row r="195" spans="1:14" customFormat="1" ht="15.75" hidden="1" customHeight="1" x14ac:dyDescent="0.25">
      <c r="A195" s="100" t="s">
        <v>270</v>
      </c>
      <c r="B195" s="100" t="s">
        <v>269</v>
      </c>
      <c r="C195" s="35">
        <v>14</v>
      </c>
      <c r="D195" s="49">
        <f ca="1">((100/H72)*C195)/100</f>
        <v>1</v>
      </c>
      <c r="E195" s="102"/>
      <c r="F195" s="102"/>
      <c r="G195" s="102"/>
      <c r="H195" s="102"/>
      <c r="I195" s="53" t="s">
        <v>271</v>
      </c>
      <c r="J195" s="55">
        <f>(IF(B72&gt;1,(H72/(B72+2)+J194),0))</f>
        <v>0</v>
      </c>
      <c r="L195" s="57"/>
      <c r="N195" s="56"/>
    </row>
    <row r="196" spans="1:14" customFormat="1" ht="15.75" hidden="1" customHeight="1" x14ac:dyDescent="0.25">
      <c r="A196" s="107" t="s">
        <v>272</v>
      </c>
      <c r="B196" s="107" t="s">
        <v>273</v>
      </c>
      <c r="C196" s="35">
        <v>14</v>
      </c>
      <c r="D196" s="49">
        <f ca="1">((100/(H72))*C196)/100</f>
        <v>1</v>
      </c>
      <c r="E196" s="102"/>
      <c r="F196" s="102"/>
      <c r="G196" s="102"/>
      <c r="H196" s="102"/>
      <c r="I196" s="53" t="s">
        <v>274</v>
      </c>
      <c r="J196" s="55">
        <f>(IF(B72&gt;2,(H72/(B72+2)+J195),0))</f>
        <v>0</v>
      </c>
      <c r="K196" s="58"/>
      <c r="L196" s="57"/>
    </row>
    <row r="197" spans="1:14" customFormat="1" ht="15.75" hidden="1" customHeight="1" x14ac:dyDescent="0.25">
      <c r="A197" s="100" t="s">
        <v>275</v>
      </c>
      <c r="B197" s="100" t="s">
        <v>275</v>
      </c>
      <c r="C197" s="35">
        <v>14</v>
      </c>
      <c r="D197" s="49">
        <f ca="1">((100/H72)*C197)/100</f>
        <v>1</v>
      </c>
      <c r="E197" s="102"/>
      <c r="F197" s="102"/>
      <c r="G197" s="102"/>
      <c r="H197" s="102"/>
      <c r="I197" s="53" t="s">
        <v>276</v>
      </c>
      <c r="J197" s="59">
        <f>(IF(B72&gt;3,(H72/(B72+2)+J196),0))</f>
        <v>0</v>
      </c>
      <c r="K197" s="58"/>
      <c r="L197" s="57"/>
    </row>
    <row r="198" spans="1:14" customFormat="1" ht="15.75" hidden="1" customHeight="1" x14ac:dyDescent="0.25">
      <c r="A198" s="100" t="s">
        <v>277</v>
      </c>
      <c r="B198" s="100"/>
      <c r="C198" s="35">
        <v>14</v>
      </c>
      <c r="D198" s="49">
        <f ca="1">((100/H72)*C198)/100</f>
        <v>1</v>
      </c>
      <c r="E198" s="102"/>
      <c r="F198" s="102"/>
      <c r="G198" s="102"/>
      <c r="H198" s="102"/>
      <c r="I198" s="53" t="s">
        <v>278</v>
      </c>
      <c r="J198" s="55">
        <f>(IF(B72&gt;4,(H72/(B72+2)+J197),0))</f>
        <v>0</v>
      </c>
      <c r="K198" s="56"/>
      <c r="L198" s="57"/>
    </row>
    <row r="199" spans="1:14" customFormat="1" ht="15.75" hidden="1" customHeight="1" x14ac:dyDescent="0.25">
      <c r="A199" s="100" t="s">
        <v>279</v>
      </c>
      <c r="B199" s="100" t="s">
        <v>279</v>
      </c>
      <c r="C199" s="35">
        <v>14</v>
      </c>
      <c r="D199" s="49">
        <f ca="1">((100/(H72))*C199)/100</f>
        <v>1</v>
      </c>
      <c r="E199" s="102"/>
      <c r="F199" s="102"/>
      <c r="G199" s="102"/>
      <c r="H199" s="102"/>
      <c r="I199" s="53" t="s">
        <v>144</v>
      </c>
      <c r="J199" s="55">
        <f ca="1">(IF(B72=1,(H72/(B72+3)+J194),IF(B72=0,(H72/4+J194),IF(B72&gt;1,0))))</f>
        <v>10.5</v>
      </c>
      <c r="K199" s="58"/>
      <c r="L199" s="57"/>
    </row>
    <row r="200" spans="1:14" customFormat="1" ht="16.5" hidden="1" thickBot="1" x14ac:dyDescent="0.3">
      <c r="A200" s="100" t="s">
        <v>280</v>
      </c>
      <c r="B200" s="100"/>
      <c r="C200" s="35">
        <v>14</v>
      </c>
      <c r="D200" s="49">
        <f ca="1">((100/(H72))*C200)/100</f>
        <v>1</v>
      </c>
      <c r="E200" s="102"/>
      <c r="F200" s="102"/>
      <c r="G200" s="102"/>
      <c r="H200" s="102"/>
      <c r="I200" s="60" t="s">
        <v>145</v>
      </c>
      <c r="J200" s="61">
        <f ca="1">(IF(B72&gt;1.5,(H72/(B72+2)+J194+MAX(0,J195-J194)+MAX(0,J196-J195)+MAX(0,J197-J196)+MAX(0,J198-J197)+MAX(0,J199-J198)),IF(B72=1,(H72/(B72+3)+J199),IF(B72=0,H72/4+J199))))</f>
        <v>14</v>
      </c>
      <c r="K200" s="58"/>
      <c r="L200" s="57"/>
    </row>
    <row r="201" spans="1:14" customFormat="1" ht="34.5" customHeight="1" x14ac:dyDescent="0.25">
      <c r="A201" s="110" t="s">
        <v>332</v>
      </c>
      <c r="B201" s="110"/>
      <c r="C201" s="111" t="s">
        <v>370</v>
      </c>
      <c r="D201" s="111"/>
      <c r="E201" s="111"/>
      <c r="F201" s="111"/>
      <c r="G201" s="111"/>
      <c r="H201" s="111"/>
      <c r="I201" s="91" t="str">
        <f ca="1">(IF(E205&gt;99%,"All work completed. Please provide OC.",IF(E205&gt;89.8%,"Plinth, RCC, Brick, Plaster, Flooring, Painting work Completed. Finishing work is in process.",IF(E205&lt;94%,(IF(C205=0,"Work not yet Started.",IF(D205=25%,"Piling work in process",IF(D205=50%,"Excavation work in process",IF(D205=100%,"Excavation work Completed. ","0")))&amp;(IF(C206=0%,"",IF(C206=J207,"Footing work is process",IF(C206=J208,"Footing work Completed",IF(C206=J209,"1st Basement Completed",IF(C206=J210,"1st &amp; 2nd Basement Completed",IF(C206=J211,"1st to 3rd Basement Completed",IF(C206=J212,"1st to 4th Basement Completed",IF(C206=J213,"Plinth work is process",IF(C206=J214,"Plinth work completed","0")))))))))))&amp;(IF(C207=(D202+F202+H202),", RCC Slab",IF(C207&gt;0,", RCC upto "&amp;C207&amp;" Slab",""))&amp;(IF(C208=H202,", Brickwork",IF(C208&gt;0,", Brickwork upto "&amp;C208&amp;" Floor",""))&amp;(IF(C209=H202,", Internal Plaster",IF(C209&gt;0,", Internal Plaster upto "&amp;C209&amp;" Floor",""))&amp;(IF(C210=H202,", External Plaster",IF(C210&gt;0,", External Plaster upto "&amp;C210&amp;" Floor",""))&amp;(IF(C211=H202,", Flooring",IF(C211&gt;0,", Flooring upto "&amp;C211&amp;" Floor",""))&amp;(IF(C212=H202,", Painting",IF(C212&gt;0,", Painting upto "&amp;C212&amp;" Floor",""))&amp;(IF(C213&gt;0,", Finishing upto "&amp;C213&amp;" Floor","")&amp;(IF(C207&gt;0.5," Completed",""))))))))))))))</f>
        <v>Excavation work Completed. Footing work Completed</v>
      </c>
      <c r="J201" s="23"/>
    </row>
    <row r="202" spans="1:14" customFormat="1" x14ac:dyDescent="0.25">
      <c r="A202" s="88" t="s">
        <v>103</v>
      </c>
      <c r="B202" s="88">
        <v>0</v>
      </c>
      <c r="C202" s="88" t="s">
        <v>105</v>
      </c>
      <c r="D202" s="88">
        <v>1</v>
      </c>
      <c r="E202" s="88" t="s">
        <v>104</v>
      </c>
      <c r="F202" s="88">
        <v>0</v>
      </c>
      <c r="G202" s="88" t="s">
        <v>118</v>
      </c>
      <c r="H202" s="88">
        <f ca="1">--TRIM(RIGHT(SUBSTITUTE(LEFT(C201,_xlfn.AGGREGATE(16,6,FIND({0,1,2,3,4,5,6,7,8,9},C201,ROW(INDIRECT("1:"&amp;LEN(C201)))),1))," ",REPT(" ",LEN(C201))),LEN(C201)))</f>
        <v>23</v>
      </c>
      <c r="I202" s="92"/>
      <c r="J202" s="24"/>
    </row>
    <row r="203" spans="1:14" customFormat="1" ht="15.75" customHeight="1" x14ac:dyDescent="0.25">
      <c r="A203" s="117" t="s">
        <v>129</v>
      </c>
      <c r="B203" s="117"/>
      <c r="C203" s="111" t="str">
        <f ca="1">I201</f>
        <v>Excavation work Completed. Footing work Completed</v>
      </c>
      <c r="D203" s="111"/>
      <c r="E203" s="111"/>
      <c r="F203" s="111"/>
      <c r="G203" s="111"/>
      <c r="H203" s="111"/>
      <c r="I203" s="92" t="s">
        <v>146</v>
      </c>
      <c r="J203" s="24"/>
      <c r="K203" s="82" t="s">
        <v>375</v>
      </c>
      <c r="L203" s="8"/>
    </row>
    <row r="204" spans="1:14" customFormat="1" x14ac:dyDescent="0.25">
      <c r="A204" s="100" t="s">
        <v>53</v>
      </c>
      <c r="B204" s="100"/>
      <c r="C204" s="86" t="s">
        <v>264</v>
      </c>
      <c r="D204" s="89" t="s">
        <v>121</v>
      </c>
      <c r="E204" s="100" t="s">
        <v>123</v>
      </c>
      <c r="F204" s="100"/>
      <c r="G204" s="100" t="s">
        <v>122</v>
      </c>
      <c r="H204" s="100"/>
      <c r="I204" s="93" t="s">
        <v>265</v>
      </c>
      <c r="J204" s="25">
        <f ca="1">H202*25%</f>
        <v>5.75</v>
      </c>
    </row>
    <row r="205" spans="1:14" customFormat="1" x14ac:dyDescent="0.25">
      <c r="A205" s="100" t="s">
        <v>266</v>
      </c>
      <c r="B205" s="100"/>
      <c r="C205" s="36">
        <f ca="1">J214</f>
        <v>23</v>
      </c>
      <c r="D205" s="87">
        <f ca="1">((100/H202)*C205)/100</f>
        <v>1</v>
      </c>
      <c r="E205" s="102">
        <f ca="1">(((C206/H202*10)+(40/(D202+F202+H202)*C207)+(7.5/(H202)*C208)+(7.5/(H202)*C209)+(10/H202*C210)+(10/H202*C211)+(5/H202*C212)+(5/H202*C213)+(5/H202*C214))/100)</f>
        <v>0.05</v>
      </c>
      <c r="F205" s="102"/>
      <c r="G205" s="102">
        <f ca="1">((((C205/H202)*20)+((C206/H202)*25)+(30/(H202+F202+D202)*C207)+(5/H202*C208)+(5/H202*C209)+(5/H202*C210)+(5/H202*C211)+(0/H202*C212)+(0/H202*C213)+(5/H202*C214))/100)</f>
        <v>0.32500000000000001</v>
      </c>
      <c r="H205" s="102"/>
      <c r="I205" s="93" t="s">
        <v>140</v>
      </c>
      <c r="J205" s="54">
        <f ca="1">H202*50%</f>
        <v>11.5</v>
      </c>
    </row>
    <row r="206" spans="1:14" customFormat="1" x14ac:dyDescent="0.25">
      <c r="A206" s="100" t="s">
        <v>54</v>
      </c>
      <c r="B206" s="100"/>
      <c r="C206" s="36">
        <f ca="1">J208</f>
        <v>11.5</v>
      </c>
      <c r="D206" s="87">
        <f ca="1">((100/H202)*C206)/100</f>
        <v>0.5</v>
      </c>
      <c r="E206" s="102"/>
      <c r="F206" s="102"/>
      <c r="G206" s="102"/>
      <c r="H206" s="102"/>
      <c r="I206" s="93" t="s">
        <v>141</v>
      </c>
      <c r="J206" s="54">
        <f ca="1">H202</f>
        <v>23</v>
      </c>
    </row>
    <row r="207" spans="1:14" customFormat="1" x14ac:dyDescent="0.25">
      <c r="A207" s="100" t="s">
        <v>267</v>
      </c>
      <c r="B207" s="100"/>
      <c r="C207" s="36">
        <v>0</v>
      </c>
      <c r="D207" s="87">
        <f ca="1">((100/(D202+F202+H202))*C207)/100</f>
        <v>0</v>
      </c>
      <c r="E207" s="102"/>
      <c r="F207" s="102"/>
      <c r="G207" s="102"/>
      <c r="H207" s="102"/>
      <c r="I207" s="93" t="s">
        <v>142</v>
      </c>
      <c r="J207" s="55">
        <f ca="1">(IF(B202&gt;1,(H202/(B202+2)),H202/4))</f>
        <v>5.75</v>
      </c>
      <c r="L207" s="56"/>
    </row>
    <row r="208" spans="1:14" customFormat="1" ht="15.75" customHeight="1" x14ac:dyDescent="0.25">
      <c r="A208" s="100" t="s">
        <v>268</v>
      </c>
      <c r="B208" s="100" t="s">
        <v>269</v>
      </c>
      <c r="C208" s="35">
        <v>0</v>
      </c>
      <c r="D208" s="87">
        <f ca="1">((100/H202)*C208)/100</f>
        <v>0</v>
      </c>
      <c r="E208" s="102"/>
      <c r="F208" s="102"/>
      <c r="G208" s="102"/>
      <c r="H208" s="102"/>
      <c r="I208" s="93" t="s">
        <v>143</v>
      </c>
      <c r="J208" s="55">
        <f ca="1">(IF(B202&gt;1,(H202/(B202+2)+J207),H202/4+J207))</f>
        <v>11.5</v>
      </c>
      <c r="L208" s="56"/>
    </row>
    <row r="209" spans="1:15" customFormat="1" ht="15.75" customHeight="1" x14ac:dyDescent="0.25">
      <c r="A209" s="100" t="s">
        <v>270</v>
      </c>
      <c r="B209" s="100" t="s">
        <v>269</v>
      </c>
      <c r="C209" s="35">
        <v>0</v>
      </c>
      <c r="D209" s="87">
        <f ca="1">((100/H202)*C209)/100</f>
        <v>0</v>
      </c>
      <c r="E209" s="102"/>
      <c r="F209" s="102"/>
      <c r="G209" s="102"/>
      <c r="H209" s="102"/>
      <c r="I209" s="93" t="s">
        <v>271</v>
      </c>
      <c r="J209" s="55">
        <f>(IF(B202&gt;1,(H202/(B202+2)+J208),0))</f>
        <v>0</v>
      </c>
      <c r="L209" s="57"/>
      <c r="N209" s="56"/>
    </row>
    <row r="210" spans="1:15" customFormat="1" ht="15.75" customHeight="1" x14ac:dyDescent="0.25">
      <c r="A210" s="107" t="s">
        <v>272</v>
      </c>
      <c r="B210" s="107" t="s">
        <v>273</v>
      </c>
      <c r="C210" s="35">
        <v>0</v>
      </c>
      <c r="D210" s="87">
        <f ca="1">((100/(H202))*C210)/100</f>
        <v>0</v>
      </c>
      <c r="E210" s="102"/>
      <c r="F210" s="102"/>
      <c r="G210" s="102"/>
      <c r="H210" s="102"/>
      <c r="I210" s="93" t="s">
        <v>274</v>
      </c>
      <c r="J210" s="55">
        <f>(IF(B202&gt;2,(H202/(B202+2)+J209),0))</f>
        <v>0</v>
      </c>
      <c r="K210" s="58"/>
      <c r="L210" s="57"/>
    </row>
    <row r="211" spans="1:15" customFormat="1" ht="15.75" customHeight="1" x14ac:dyDescent="0.25">
      <c r="A211" s="100" t="s">
        <v>275</v>
      </c>
      <c r="B211" s="100" t="s">
        <v>275</v>
      </c>
      <c r="C211" s="35">
        <v>0</v>
      </c>
      <c r="D211" s="87">
        <f ca="1">((100/H202)*C211)/100</f>
        <v>0</v>
      </c>
      <c r="E211" s="102"/>
      <c r="F211" s="102"/>
      <c r="G211" s="102"/>
      <c r="H211" s="102"/>
      <c r="I211" s="93" t="s">
        <v>276</v>
      </c>
      <c r="J211" s="59">
        <f>(IF(B202&gt;3,(H202/(B202+2)+J210),0))</f>
        <v>0</v>
      </c>
      <c r="K211" s="58"/>
      <c r="L211" s="57"/>
    </row>
    <row r="212" spans="1:15" customFormat="1" ht="15.75" customHeight="1" x14ac:dyDescent="0.25">
      <c r="A212" s="100" t="s">
        <v>277</v>
      </c>
      <c r="B212" s="100"/>
      <c r="C212" s="35">
        <v>0</v>
      </c>
      <c r="D212" s="87">
        <f ca="1">((100/H202)*C212)/100</f>
        <v>0</v>
      </c>
      <c r="E212" s="102"/>
      <c r="F212" s="102"/>
      <c r="G212" s="102"/>
      <c r="H212" s="102"/>
      <c r="I212" s="93" t="s">
        <v>278</v>
      </c>
      <c r="J212" s="55">
        <f>(IF(B202&gt;4,(H202/(B202+2)+J211),0))</f>
        <v>0</v>
      </c>
      <c r="K212" s="56"/>
      <c r="L212" s="57"/>
    </row>
    <row r="213" spans="1:15" customFormat="1" ht="15.75" customHeight="1" x14ac:dyDescent="0.25">
      <c r="A213" s="100" t="s">
        <v>279</v>
      </c>
      <c r="B213" s="100" t="s">
        <v>279</v>
      </c>
      <c r="C213" s="35">
        <v>0</v>
      </c>
      <c r="D213" s="87">
        <f ca="1">((100/(H202))*C213)/100</f>
        <v>0</v>
      </c>
      <c r="E213" s="102"/>
      <c r="F213" s="102"/>
      <c r="G213" s="102"/>
      <c r="H213" s="102"/>
      <c r="I213" s="93" t="s">
        <v>144</v>
      </c>
      <c r="J213" s="55">
        <f ca="1">(IF(B202=1,(H202/(B202+3)+J208),IF(B202=0,(H202/4+J208),IF(B202&gt;1,0))))</f>
        <v>17.25</v>
      </c>
      <c r="K213" s="58"/>
      <c r="L213" s="57"/>
    </row>
    <row r="214" spans="1:15" customFormat="1" ht="16.5" thickBot="1" x14ac:dyDescent="0.3">
      <c r="A214" s="100" t="s">
        <v>280</v>
      </c>
      <c r="B214" s="100"/>
      <c r="C214" s="35">
        <v>0</v>
      </c>
      <c r="D214" s="87">
        <f ca="1">((100/(H202))*C214)/100</f>
        <v>0</v>
      </c>
      <c r="E214" s="102"/>
      <c r="F214" s="102"/>
      <c r="G214" s="102"/>
      <c r="H214" s="102"/>
      <c r="I214" s="94" t="s">
        <v>145</v>
      </c>
      <c r="J214" s="61">
        <f ca="1">(IF(B202&gt;1.5,(H202/(B202+2)+J208+MAX(0,J209-J208)+MAX(0,J210-J209)+MAX(0,J211-J210)+MAX(0,J212-J211)+MAX(0,J213-J212)),IF(B202=1,(H202/(B202+3)+J213),IF(B202=0,H202/4+J213))))</f>
        <v>23</v>
      </c>
      <c r="K214" s="58"/>
      <c r="L214" s="57"/>
    </row>
    <row r="215" spans="1:15" x14ac:dyDescent="0.25">
      <c r="A215" s="222" t="s">
        <v>231</v>
      </c>
      <c r="B215" s="223"/>
      <c r="C215" s="223"/>
      <c r="D215" s="223"/>
      <c r="E215" s="223"/>
      <c r="F215" s="223"/>
      <c r="G215" s="223"/>
      <c r="H215" s="224"/>
    </row>
    <row r="216" spans="1:15" x14ac:dyDescent="0.25">
      <c r="A216" s="216" t="s">
        <v>55</v>
      </c>
      <c r="B216" s="217"/>
      <c r="C216" s="217"/>
      <c r="D216" s="217"/>
      <c r="E216" s="217"/>
      <c r="F216" s="217"/>
      <c r="G216" s="217"/>
      <c r="H216" s="218"/>
    </row>
    <row r="217" spans="1:15" ht="15" customHeight="1" x14ac:dyDescent="0.25">
      <c r="A217" s="156" t="s">
        <v>108</v>
      </c>
      <c r="B217" s="156"/>
      <c r="C217" s="111" t="s">
        <v>109</v>
      </c>
      <c r="D217" s="111"/>
      <c r="E217" s="111"/>
      <c r="F217" s="111"/>
      <c r="G217" s="111"/>
      <c r="H217" s="111"/>
    </row>
    <row r="218" spans="1:15" x14ac:dyDescent="0.25">
      <c r="A218" s="219" t="s">
        <v>56</v>
      </c>
      <c r="B218" s="220"/>
      <c r="C218" s="220"/>
      <c r="D218" s="220"/>
      <c r="E218" s="220"/>
      <c r="F218" s="220"/>
      <c r="G218" s="220"/>
      <c r="H218" s="221"/>
      <c r="I218" s="214" t="s">
        <v>290</v>
      </c>
      <c r="J218" s="215"/>
      <c r="K218" s="215"/>
      <c r="L218" s="215"/>
      <c r="M218" s="215"/>
      <c r="N218" s="215"/>
      <c r="O218" s="215"/>
    </row>
    <row r="219" spans="1:15" s="62" customFormat="1" ht="32.25" customHeight="1" x14ac:dyDescent="0.25">
      <c r="A219" s="289" t="s">
        <v>316</v>
      </c>
      <c r="B219" s="290"/>
      <c r="C219" s="290"/>
      <c r="D219" s="290"/>
      <c r="E219" s="291"/>
      <c r="F219" s="260">
        <v>6900</v>
      </c>
      <c r="G219" s="260"/>
      <c r="H219" s="260"/>
      <c r="I219" s="62" t="s">
        <v>364</v>
      </c>
      <c r="J219" s="77">
        <v>45461</v>
      </c>
      <c r="K219" s="62" t="s">
        <v>365</v>
      </c>
    </row>
    <row r="220" spans="1:15" ht="15.75" customHeight="1" x14ac:dyDescent="0.25">
      <c r="A220" s="216" t="s">
        <v>116</v>
      </c>
      <c r="B220" s="217"/>
      <c r="C220" s="217"/>
      <c r="D220" s="217"/>
      <c r="E220" s="218"/>
      <c r="F220" s="158">
        <v>7500</v>
      </c>
      <c r="G220" s="158"/>
      <c r="H220" s="158"/>
      <c r="I220" s="214" t="s">
        <v>288</v>
      </c>
      <c r="J220" s="215"/>
      <c r="K220" s="215"/>
      <c r="L220" s="215"/>
      <c r="M220" s="215"/>
      <c r="N220" s="215"/>
      <c r="O220" s="215"/>
    </row>
    <row r="221" spans="1:15" x14ac:dyDescent="0.25">
      <c r="A221" s="216" t="s">
        <v>117</v>
      </c>
      <c r="B221" s="217"/>
      <c r="C221" s="217"/>
      <c r="D221" s="217"/>
      <c r="E221" s="218"/>
      <c r="F221" s="158">
        <v>6000</v>
      </c>
      <c r="G221" s="158"/>
      <c r="H221" s="158"/>
    </row>
    <row r="222" spans="1:15" s="13" customFormat="1" ht="15.75" customHeight="1" x14ac:dyDescent="0.25">
      <c r="A222" s="216" t="s">
        <v>134</v>
      </c>
      <c r="B222" s="217"/>
      <c r="C222" s="217"/>
      <c r="D222" s="217"/>
      <c r="E222" s="218"/>
      <c r="F222" s="158">
        <v>155000</v>
      </c>
      <c r="G222" s="158"/>
      <c r="H222" s="158"/>
    </row>
    <row r="223" spans="1:15" s="13" customFormat="1" ht="15.75" hidden="1" customHeight="1" x14ac:dyDescent="0.25">
      <c r="A223" s="216" t="s">
        <v>286</v>
      </c>
      <c r="B223" s="217"/>
      <c r="C223" s="217"/>
      <c r="D223" s="217"/>
      <c r="E223" s="218"/>
      <c r="F223" s="158" t="s">
        <v>287</v>
      </c>
      <c r="G223" s="158"/>
      <c r="H223" s="158"/>
    </row>
    <row r="224" spans="1:15" s="13" customFormat="1" ht="15.75" hidden="1" customHeight="1" x14ac:dyDescent="0.25">
      <c r="A224" s="216" t="s">
        <v>135</v>
      </c>
      <c r="B224" s="217"/>
      <c r="C224" s="217"/>
      <c r="D224" s="217"/>
      <c r="E224" s="218"/>
      <c r="F224" s="158" t="s">
        <v>285</v>
      </c>
      <c r="G224" s="158"/>
      <c r="H224" s="158"/>
    </row>
    <row r="225" spans="1:11" s="13" customFormat="1" ht="15.75" hidden="1" customHeight="1" x14ac:dyDescent="0.25">
      <c r="A225" s="216" t="s">
        <v>136</v>
      </c>
      <c r="B225" s="217"/>
      <c r="C225" s="217"/>
      <c r="D225" s="217"/>
      <c r="E225" s="218"/>
      <c r="F225" s="158" t="s">
        <v>31</v>
      </c>
      <c r="G225" s="158"/>
      <c r="H225" s="158"/>
    </row>
    <row r="226" spans="1:11" s="13" customFormat="1" ht="15.75" hidden="1" customHeight="1" x14ac:dyDescent="0.25">
      <c r="A226" s="216" t="s">
        <v>137</v>
      </c>
      <c r="B226" s="217"/>
      <c r="C226" s="217"/>
      <c r="D226" s="217"/>
      <c r="E226" s="218"/>
      <c r="F226" s="158" t="s">
        <v>31</v>
      </c>
      <c r="G226" s="158"/>
      <c r="H226" s="158"/>
    </row>
    <row r="227" spans="1:11" s="13" customFormat="1" ht="15.75" hidden="1" customHeight="1" x14ac:dyDescent="0.25">
      <c r="A227" s="216" t="s">
        <v>138</v>
      </c>
      <c r="B227" s="217"/>
      <c r="C227" s="217"/>
      <c r="D227" s="217"/>
      <c r="E227" s="218"/>
      <c r="F227" s="158" t="s">
        <v>31</v>
      </c>
      <c r="G227" s="158"/>
      <c r="H227" s="158"/>
    </row>
    <row r="228" spans="1:11" s="13" customFormat="1" ht="15.75" hidden="1" customHeight="1" x14ac:dyDescent="0.25">
      <c r="A228" s="216" t="s">
        <v>139</v>
      </c>
      <c r="B228" s="217"/>
      <c r="C228" s="217"/>
      <c r="D228" s="217"/>
      <c r="E228" s="218"/>
      <c r="F228" s="158" t="s">
        <v>31</v>
      </c>
      <c r="G228" s="158"/>
      <c r="H228" s="158"/>
    </row>
    <row r="229" spans="1:11" ht="15.75" hidden="1" customHeight="1" x14ac:dyDescent="0.25">
      <c r="A229" s="216" t="s">
        <v>57</v>
      </c>
      <c r="B229" s="217"/>
      <c r="C229" s="217"/>
      <c r="D229" s="217"/>
      <c r="E229" s="218"/>
      <c r="F229" s="153" t="s">
        <v>233</v>
      </c>
      <c r="G229" s="153"/>
      <c r="H229" s="153"/>
    </row>
    <row r="230" spans="1:11" s="9" customFormat="1" x14ac:dyDescent="0.25">
      <c r="A230" s="219" t="s">
        <v>58</v>
      </c>
      <c r="B230" s="220"/>
      <c r="C230" s="220"/>
      <c r="D230" s="220"/>
      <c r="E230" s="221"/>
      <c r="F230" s="158">
        <f>F219*0.8</f>
        <v>5520</v>
      </c>
      <c r="G230" s="158"/>
      <c r="H230" s="158"/>
      <c r="K230" s="9" t="s">
        <v>366</v>
      </c>
    </row>
    <row r="231" spans="1:11" s="1" customFormat="1" ht="15.75" customHeight="1" x14ac:dyDescent="0.25">
      <c r="A231" s="280" t="s">
        <v>222</v>
      </c>
      <c r="B231" s="280"/>
      <c r="C231" s="280"/>
      <c r="D231" s="280"/>
      <c r="E231" s="280"/>
      <c r="F231" s="280"/>
      <c r="G231" s="280"/>
      <c r="H231" s="280"/>
    </row>
    <row r="232" spans="1:11" s="1" customFormat="1" ht="15.75" customHeight="1" x14ac:dyDescent="0.25">
      <c r="A232" s="204" t="s">
        <v>59</v>
      </c>
      <c r="B232" s="204"/>
      <c r="C232" s="229" t="s">
        <v>113</v>
      </c>
      <c r="D232" s="229"/>
      <c r="E232" s="230" t="s">
        <v>60</v>
      </c>
      <c r="F232" s="230"/>
      <c r="G232" s="204" t="s">
        <v>61</v>
      </c>
      <c r="H232" s="204"/>
    </row>
    <row r="233" spans="1:11" s="1" customFormat="1" x14ac:dyDescent="0.25">
      <c r="A233" s="178" t="s">
        <v>252</v>
      </c>
      <c r="B233" s="79" t="s">
        <v>214</v>
      </c>
      <c r="C233" s="148">
        <v>8</v>
      </c>
      <c r="D233" s="148"/>
      <c r="E233" s="147">
        <f>SUM(D285:D292)</f>
        <v>1406.3165999999999</v>
      </c>
      <c r="F233" s="147"/>
      <c r="G233" s="147">
        <f>SUM(F285:F292)</f>
        <v>2250.1065600000002</v>
      </c>
      <c r="H233" s="147"/>
      <c r="J233" s="63" t="e">
        <f>C233:D235+C236:D237+C240:D241</f>
        <v>#VALUE!</v>
      </c>
    </row>
    <row r="234" spans="1:11" s="1" customFormat="1" x14ac:dyDescent="0.25">
      <c r="A234" s="178"/>
      <c r="B234" s="79" t="s">
        <v>215</v>
      </c>
      <c r="C234" s="148">
        <v>8</v>
      </c>
      <c r="D234" s="148"/>
      <c r="E234" s="147">
        <f>SUM(D325:D332)</f>
        <v>1406.8547999999998</v>
      </c>
      <c r="F234" s="147"/>
      <c r="G234" s="147">
        <f>SUM(F325:F332)</f>
        <v>2250.9676800000002</v>
      </c>
      <c r="H234" s="147"/>
    </row>
    <row r="235" spans="1:11" s="1" customFormat="1" ht="16.5" customHeight="1" x14ac:dyDescent="0.25">
      <c r="A235" s="178"/>
      <c r="B235" s="79" t="s">
        <v>216</v>
      </c>
      <c r="C235" s="148">
        <v>8</v>
      </c>
      <c r="D235" s="148"/>
      <c r="E235" s="147">
        <f>SUM(D366:D373)</f>
        <v>1435.8099599999996</v>
      </c>
      <c r="F235" s="147"/>
      <c r="G235" s="147">
        <f>SUM(F366:F373)</f>
        <v>2297.2959360000004</v>
      </c>
      <c r="H235" s="147"/>
    </row>
    <row r="236" spans="1:11" s="1" customFormat="1" x14ac:dyDescent="0.25">
      <c r="A236" s="178" t="s">
        <v>219</v>
      </c>
      <c r="B236" s="79" t="s">
        <v>217</v>
      </c>
      <c r="C236" s="148">
        <f>COUNT(D407:D412)</f>
        <v>6</v>
      </c>
      <c r="D236" s="148"/>
      <c r="E236" s="147">
        <f>SUM(D407:D412)</f>
        <v>1042.4933999999998</v>
      </c>
      <c r="F236" s="147"/>
      <c r="G236" s="147">
        <f>SUM(F407:F412)</f>
        <v>1667.9894399999998</v>
      </c>
      <c r="H236" s="147"/>
    </row>
    <row r="237" spans="1:11" s="1" customFormat="1" x14ac:dyDescent="0.25">
      <c r="A237" s="178"/>
      <c r="B237" s="79" t="s">
        <v>218</v>
      </c>
      <c r="C237" s="148">
        <f>COUNT(D453:D458)</f>
        <v>6</v>
      </c>
      <c r="D237" s="148"/>
      <c r="E237" s="147">
        <f>SUM(D453:D458)</f>
        <v>1042.17048</v>
      </c>
      <c r="F237" s="147"/>
      <c r="G237" s="147">
        <f>SUM(F453:F458)</f>
        <v>1667.4727680000001</v>
      </c>
      <c r="H237" s="147"/>
    </row>
    <row r="238" spans="1:11" s="1" customFormat="1" x14ac:dyDescent="0.25">
      <c r="A238" s="225" t="s">
        <v>220</v>
      </c>
      <c r="B238" s="29" t="s">
        <v>217</v>
      </c>
      <c r="C238" s="148">
        <f>COUNT(D414:D418)</f>
        <v>5</v>
      </c>
      <c r="D238" s="148"/>
      <c r="E238" s="147">
        <f>SUM(D414:D418)</f>
        <v>896.31827999999996</v>
      </c>
      <c r="F238" s="147"/>
      <c r="G238" s="147">
        <f>SUM(F414:F418)</f>
        <v>1434.1092480000002</v>
      </c>
      <c r="H238" s="147"/>
    </row>
    <row r="239" spans="1:11" s="1" customFormat="1" x14ac:dyDescent="0.25">
      <c r="A239" s="226"/>
      <c r="B239" s="29" t="s">
        <v>218</v>
      </c>
      <c r="C239" s="148">
        <f>COUNT(D460:D465)</f>
        <v>6</v>
      </c>
      <c r="D239" s="148"/>
      <c r="E239" s="147">
        <f>SUM(D460:D465)</f>
        <v>1002.77424</v>
      </c>
      <c r="F239" s="147"/>
      <c r="G239" s="147">
        <f>SUM(F460:F465)</f>
        <v>1604.4387840000002</v>
      </c>
      <c r="H239" s="147"/>
    </row>
    <row r="240" spans="1:11" s="1" customFormat="1" ht="15.75" customHeight="1" x14ac:dyDescent="0.25">
      <c r="A240" s="178" t="s">
        <v>296</v>
      </c>
      <c r="B240" s="178"/>
      <c r="C240" s="147">
        <f>COUNT(D554:D563)</f>
        <v>10</v>
      </c>
      <c r="D240" s="148"/>
      <c r="E240" s="147">
        <f>SUM(D554:D563)</f>
        <v>1911.6863999999996</v>
      </c>
      <c r="F240" s="147"/>
      <c r="G240" s="147">
        <f>SUM(F554:F563)</f>
        <v>3058.6982399999997</v>
      </c>
      <c r="H240" s="147"/>
      <c r="J240" s="1">
        <f>11+11</f>
        <v>22</v>
      </c>
    </row>
    <row r="241" spans="1:10" s="1" customFormat="1" ht="15.75" customHeight="1" x14ac:dyDescent="0.25">
      <c r="A241" s="178" t="s">
        <v>297</v>
      </c>
      <c r="B241" s="178"/>
      <c r="C241" s="147">
        <f>COUNT(D587:D595)</f>
        <v>9</v>
      </c>
      <c r="D241" s="148"/>
      <c r="E241" s="147">
        <f>SUM(D587:D595)</f>
        <v>1641.3915959999997</v>
      </c>
      <c r="F241" s="147"/>
      <c r="G241" s="147">
        <f>SUM(F587:F595)</f>
        <v>2626.2265536</v>
      </c>
      <c r="H241" s="147"/>
    </row>
    <row r="242" spans="1:10" s="1" customFormat="1" ht="15.75" customHeight="1" x14ac:dyDescent="0.25">
      <c r="A242" s="178" t="s">
        <v>304</v>
      </c>
      <c r="B242" s="178"/>
      <c r="C242" s="147">
        <f>COUNT(D636:D647)</f>
        <v>12</v>
      </c>
      <c r="D242" s="148"/>
      <c r="E242" s="147">
        <f>SUM(D636:D647)</f>
        <v>3114.2942999999996</v>
      </c>
      <c r="F242" s="147"/>
      <c r="G242" s="147">
        <f>SUM(F636:F647)</f>
        <v>4982.8708799999995</v>
      </c>
      <c r="H242" s="147"/>
    </row>
    <row r="243" spans="1:10" s="1" customFormat="1" ht="15.75" customHeight="1" x14ac:dyDescent="0.25">
      <c r="A243" s="178" t="s">
        <v>305</v>
      </c>
      <c r="B243" s="178"/>
      <c r="C243" s="147">
        <f>COUNT(D649:D659)</f>
        <v>11</v>
      </c>
      <c r="D243" s="148"/>
      <c r="E243" s="147">
        <f>SUM(D649:D659)</f>
        <v>2517.1743167999994</v>
      </c>
      <c r="F243" s="147"/>
      <c r="G243" s="147">
        <f>SUM(F649:F659)</f>
        <v>4027.4789068800001</v>
      </c>
      <c r="H243" s="147"/>
    </row>
    <row r="244" spans="1:10" s="1" customFormat="1" ht="15.75" customHeight="1" x14ac:dyDescent="0.25">
      <c r="A244" s="292" t="s">
        <v>311</v>
      </c>
      <c r="B244" s="292"/>
      <c r="C244" s="147">
        <f>COUNT(D721:D735)</f>
        <v>15</v>
      </c>
      <c r="D244" s="148"/>
      <c r="E244" s="147">
        <f>SUM(D721:D735)</f>
        <v>3486.4703639999998</v>
      </c>
      <c r="F244" s="147"/>
      <c r="G244" s="147">
        <f>SUM(F721:F735)</f>
        <v>5578.3525823999998</v>
      </c>
      <c r="H244" s="147"/>
    </row>
    <row r="245" spans="1:10" s="1" customFormat="1" ht="15.75" customHeight="1" x14ac:dyDescent="0.25">
      <c r="A245" s="292" t="s">
        <v>312</v>
      </c>
      <c r="B245" s="292"/>
      <c r="C245" s="147">
        <f>COUNT(D737:D750)</f>
        <v>14</v>
      </c>
      <c r="D245" s="148"/>
      <c r="E245" s="147">
        <f>SUM(D737:D750)</f>
        <v>2658.5250119999992</v>
      </c>
      <c r="F245" s="147"/>
      <c r="G245" s="147">
        <f>SUM(F737:F750)</f>
        <v>4253.6400192000001</v>
      </c>
      <c r="H245" s="147"/>
    </row>
    <row r="246" spans="1:10" s="30" customFormat="1" ht="16.5" customHeight="1" x14ac:dyDescent="0.25">
      <c r="A246" s="233" t="s">
        <v>221</v>
      </c>
      <c r="B246" s="235"/>
      <c r="C246" s="229">
        <f>SUM(C233:C245)</f>
        <v>118</v>
      </c>
      <c r="D246" s="229"/>
      <c r="E246" s="231">
        <f>SUM(E233:E245)</f>
        <v>23562.279748799996</v>
      </c>
      <c r="F246" s="231"/>
      <c r="G246" s="231">
        <f>SUM(G233:G245)</f>
        <v>37699.647598080002</v>
      </c>
      <c r="H246" s="231"/>
      <c r="J246" s="73">
        <f>SUM(E246,E249,E267,E277)</f>
        <v>1071244.2743496001</v>
      </c>
    </row>
    <row r="247" spans="1:10" s="1" customFormat="1" ht="15.75" customHeight="1" x14ac:dyDescent="0.25">
      <c r="A247" s="233" t="s">
        <v>223</v>
      </c>
      <c r="B247" s="234"/>
      <c r="C247" s="234"/>
      <c r="D247" s="234"/>
      <c r="E247" s="234"/>
      <c r="F247" s="234"/>
      <c r="G247" s="234"/>
      <c r="H247" s="235"/>
    </row>
    <row r="248" spans="1:10" s="1" customFormat="1" ht="15.75" customHeight="1" x14ac:dyDescent="0.25">
      <c r="A248" s="227" t="s">
        <v>59</v>
      </c>
      <c r="B248" s="228"/>
      <c r="C248" s="229" t="s">
        <v>113</v>
      </c>
      <c r="D248" s="229"/>
      <c r="E248" s="230" t="s">
        <v>60</v>
      </c>
      <c r="F248" s="230"/>
      <c r="G248" s="204" t="s">
        <v>61</v>
      </c>
      <c r="H248" s="204"/>
    </row>
    <row r="249" spans="1:10" s="1" customFormat="1" ht="15.75" customHeight="1" x14ac:dyDescent="0.25">
      <c r="A249" s="178" t="s">
        <v>253</v>
      </c>
      <c r="B249" s="178"/>
      <c r="C249" s="148">
        <f>COUNT(D830:D838)</f>
        <v>9</v>
      </c>
      <c r="D249" s="148"/>
      <c r="E249" s="147">
        <f>SUM(D830:D838)</f>
        <v>4784.4903600000007</v>
      </c>
      <c r="F249" s="147"/>
      <c r="G249" s="147">
        <f>SUM(F830:F838)</f>
        <v>7655.1845759999987</v>
      </c>
      <c r="H249" s="147"/>
    </row>
    <row r="250" spans="1:10" s="1" customFormat="1" ht="15.75" customHeight="1" x14ac:dyDescent="0.25">
      <c r="A250" s="233" t="s">
        <v>224</v>
      </c>
      <c r="B250" s="234"/>
      <c r="C250" s="234"/>
      <c r="D250" s="234"/>
      <c r="E250" s="234"/>
      <c r="F250" s="234"/>
      <c r="G250" s="234"/>
      <c r="H250" s="235"/>
    </row>
    <row r="251" spans="1:10" s="1" customFormat="1" ht="15.75" customHeight="1" x14ac:dyDescent="0.25">
      <c r="A251" s="204" t="s">
        <v>59</v>
      </c>
      <c r="B251" s="204"/>
      <c r="C251" s="229" t="s">
        <v>113</v>
      </c>
      <c r="D251" s="229"/>
      <c r="E251" s="230" t="s">
        <v>60</v>
      </c>
      <c r="F251" s="230"/>
      <c r="G251" s="204" t="s">
        <v>61</v>
      </c>
      <c r="H251" s="204"/>
    </row>
    <row r="252" spans="1:10" s="1" customFormat="1" x14ac:dyDescent="0.25">
      <c r="A252" s="225" t="s">
        <v>191</v>
      </c>
      <c r="B252" s="29" t="s">
        <v>214</v>
      </c>
      <c r="C252" s="148">
        <f>COUNT(D294:D297)+COUNT(D299:D302)*5+COUNT(D304:D307)+COUNT(D309:D312)*5+COUNT(D314:D317)+COUNT(D319:D322)</f>
        <v>56</v>
      </c>
      <c r="D252" s="148"/>
      <c r="E252" s="147">
        <f>SUM(D294:D297)+SUM(D299:D302)*5+SUM(D304:D307)+SUM(D309:D312)*5+SUM(D314:D317)+SUM(D319:D322)</f>
        <v>27669.938400000006</v>
      </c>
      <c r="F252" s="147"/>
      <c r="G252" s="147">
        <f>SUM(F294:F297)+SUM(F299:F302)*5+SUM(F304:F307)+SUM(F309:F312)*5+SUM(F314:F317)+SUM(F319:F322)</f>
        <v>43972.339319999999</v>
      </c>
      <c r="H252" s="147"/>
    </row>
    <row r="253" spans="1:10" s="1" customFormat="1" x14ac:dyDescent="0.25">
      <c r="A253" s="232"/>
      <c r="B253" s="29" t="s">
        <v>215</v>
      </c>
      <c r="C253" s="148">
        <f>COUNT(D334:D337)+COUNT(D339:D342)*5+COUNT(D345:D346)+COUNT(D350:D353)*5+COUNT(D356:D358)+COUNT(D360:D363)</f>
        <v>53</v>
      </c>
      <c r="D253" s="148"/>
      <c r="E253" s="147">
        <f>SUM(D334:D337)+SUM(D339:D342)*5+SUM(D345:D346)+SUM(D350:D353)*5+SUM(D356:D358)+SUM(D360:D363)</f>
        <v>26363.56554</v>
      </c>
      <c r="F253" s="147"/>
      <c r="G253" s="147">
        <f>SUM(F334:F337)+SUM(F339:F342)*5+SUM(F345:F346)+SUM(F350:F353)*5+SUM(F356:F358)+SUM(F360:F363)</f>
        <v>41902.987229999999</v>
      </c>
      <c r="H253" s="147"/>
    </row>
    <row r="254" spans="1:10" s="1" customFormat="1" x14ac:dyDescent="0.25">
      <c r="A254" s="226"/>
      <c r="B254" s="29" t="s">
        <v>216</v>
      </c>
      <c r="C254" s="148">
        <f>COUNT(D375:D378)+COUNT(D380:D383)*5+COUNT(D385:D388)+COUNT(D390:D393)*5+COUNT(D395:D398)+COUNT(D400:D403)</f>
        <v>56</v>
      </c>
      <c r="D254" s="148"/>
      <c r="E254" s="147">
        <f>SUM(D375:D378)+SUM(D380:D383)*5+SUM(D385:D388)+SUM(D390:D393)*5+SUM(D395:D398)+SUM(D400:D403)</f>
        <v>27660.14316</v>
      </c>
      <c r="F254" s="147"/>
      <c r="G254" s="147">
        <f>SUM(F375:F378)+SUM(F380:F383)*5+SUM(F385:F388)+SUM(F390:F393)*5+SUM(F395:F398)+SUM(F400:F403)</f>
        <v>43243.831799999993</v>
      </c>
      <c r="H254" s="147"/>
    </row>
    <row r="255" spans="1:10" s="1" customFormat="1" x14ac:dyDescent="0.25">
      <c r="A255" s="178" t="s">
        <v>180</v>
      </c>
      <c r="B255" s="178"/>
      <c r="C255" s="203">
        <f>COUNT(D419:D420)+COUNT(D422:D425)+COUNT(D427:D430)*5+COUNT(D432:D435)*4+COUNT(D437:D439)+COUNT(D442:D445)+COUNT(D447:D450)</f>
        <v>53</v>
      </c>
      <c r="D255" s="203"/>
      <c r="E255" s="147">
        <f>SUM(D419:D420,D422:D425)+SUM(D427:D430)*5+SUM(D432:D435)*4+SUM(D437:D439)+SUM(D442:D445)+SUM(D447:D450)</f>
        <v>19244.928690000001</v>
      </c>
      <c r="F255" s="147"/>
      <c r="G255" s="147">
        <f>SUM(F419:F420,F422:F425)+SUM(F427:F430)*5+SUM(F432:F435)*4+SUM(F437:F439)+SUM(F442:F445)+SUM(F447:F450)</f>
        <v>31131.636314999996</v>
      </c>
      <c r="H255" s="147"/>
    </row>
    <row r="256" spans="1:10" s="1" customFormat="1" x14ac:dyDescent="0.25">
      <c r="A256" s="178" t="s">
        <v>185</v>
      </c>
      <c r="B256" s="178"/>
      <c r="C256" s="203">
        <f>COUNT(D466:D467)+COUNT(D469:D472)+COUNT(D474:D477)*5+COUNT(D479:D482)*4+COUNT(D484:D487)+COUNT(D489:D492)+COUNT(D494:D497)</f>
        <v>52</v>
      </c>
      <c r="D256" s="203"/>
      <c r="E256" s="147">
        <f>SUM(D466:D467,D469:D472)+SUM(D474:D477)*5+SUM(D479:D482)*4+SUM(D484:D487)+SUM(D489:D492)+SUM(D494:D497)</f>
        <v>18881.99352</v>
      </c>
      <c r="F256" s="147"/>
      <c r="G256" s="147">
        <f>SUM(F466:F467,F469:F472)+SUM(F474:F477)*5+SUM(F479:F482)*4+SUM(F484:F487)+SUM(F489:F492)+SUM(F494:F497)</f>
        <v>30540.894540000001</v>
      </c>
      <c r="H256" s="147"/>
    </row>
    <row r="257" spans="1:15" s="1" customFormat="1" x14ac:dyDescent="0.25">
      <c r="A257" s="178" t="s">
        <v>188</v>
      </c>
      <c r="B257" s="178"/>
      <c r="C257" s="148">
        <f>COUNT(D501:D504)*6+COUNT(D506:D509)*5+COUNT(D511:D514)+COUNT(D516:D519)+COUNT(D521:D524)</f>
        <v>54</v>
      </c>
      <c r="D257" s="148"/>
      <c r="E257" s="147">
        <f>SUM(D501:D504)*6+SUM(D506:D509)*5+SUM(D511:D514)+SUM(D516:D519)+SUM(D521:D524)</f>
        <v>17062.097130000002</v>
      </c>
      <c r="F257" s="147"/>
      <c r="G257" s="147">
        <f>SUM(F501:F504)*6+SUM(F506:F509)*5+SUM(F511:F514)+SUM(F516:F519)+SUM(F521:F524)</f>
        <v>27395.329923000001</v>
      </c>
      <c r="H257" s="147"/>
    </row>
    <row r="258" spans="1:15" s="1" customFormat="1" x14ac:dyDescent="0.25">
      <c r="A258" s="178" t="s">
        <v>189</v>
      </c>
      <c r="B258" s="178"/>
      <c r="C258" s="203">
        <f>COUNT(D528:D531)*6+COUNT(D533:D536)*5+COUNT(D538:D541)+COUNT(D543:D546)+COUNT(D548:D551)</f>
        <v>54</v>
      </c>
      <c r="D258" s="203"/>
      <c r="E258" s="147">
        <f>SUM(D528:D531)*6+SUM(D533:D536)*6+SUM(D538:D541)+SUM(D543:D546)+SUM(D548:D551)</f>
        <v>18440.238959999995</v>
      </c>
      <c r="F258" s="147"/>
      <c r="G258" s="147">
        <f>SUM(F528:F531)*6+SUM(F533:F536)*6+SUM(F538:F541)+SUM(F543:F546)+SUM(F548:F551)</f>
        <v>29535.167376000001</v>
      </c>
      <c r="H258" s="147"/>
    </row>
    <row r="259" spans="1:15" s="1" customFormat="1" x14ac:dyDescent="0.25">
      <c r="A259" s="178" t="s">
        <v>197</v>
      </c>
      <c r="B259" s="178"/>
      <c r="C259" s="148">
        <f>COUNT(D565:D570)+COUNT(D572:D577)*19+COUNT(D579:D584)*3</f>
        <v>138</v>
      </c>
      <c r="D259" s="148"/>
      <c r="E259" s="147">
        <f>SUM(D565:D570)+SUM(D572:D577)*19+SUM(D579:D584)*3</f>
        <v>62671.161852000005</v>
      </c>
      <c r="F259" s="147"/>
      <c r="G259" s="147">
        <f>SUM(F565:F570)+SUM(F572:F577)*19+SUM(F579:F584)*3</f>
        <v>94197.306660599977</v>
      </c>
      <c r="H259" s="147"/>
    </row>
    <row r="260" spans="1:15" s="1" customFormat="1" x14ac:dyDescent="0.25">
      <c r="A260" s="178" t="s">
        <v>292</v>
      </c>
      <c r="B260" s="178"/>
      <c r="C260" s="203">
        <f>COUNT(D597:D601)+COUNT(D603:D607)*19+COUNT(D610:D613)*3</f>
        <v>112</v>
      </c>
      <c r="D260" s="203"/>
      <c r="E260" s="147">
        <f>SUM(D597:D601)+SUM(D603:D607)*19+SUM(D610:D613)*3</f>
        <v>43451.394012000004</v>
      </c>
      <c r="F260" s="147"/>
      <c r="G260" s="147">
        <f>SUM(F597:F601)+SUM(F603:F607)*19+SUM(F610:F613)*3</f>
        <v>65482.951692600007</v>
      </c>
      <c r="H260" s="147"/>
      <c r="K260" s="1">
        <f>138+112</f>
        <v>250</v>
      </c>
      <c r="M260" s="1">
        <f>23-4</f>
        <v>19</v>
      </c>
    </row>
    <row r="261" spans="1:15" s="1" customFormat="1" x14ac:dyDescent="0.25">
      <c r="A261" s="178" t="s">
        <v>300</v>
      </c>
      <c r="B261" s="178"/>
      <c r="C261" s="148">
        <f>COUNT(D617:D624)*20+COUNT(D626:D627,D629:D633)*3</f>
        <v>181</v>
      </c>
      <c r="D261" s="148"/>
      <c r="E261" s="147">
        <f>SUM(D617:D624)*20+SUM(D626:D627,D629:D633)*3</f>
        <v>81166.049639999997</v>
      </c>
      <c r="F261" s="147"/>
      <c r="G261" s="147">
        <f>SUM(F617:F624)*20+SUM(F626:F627,F629:F633)*3</f>
        <v>121749.07445999997</v>
      </c>
      <c r="H261" s="147"/>
    </row>
    <row r="262" spans="1:15" s="1" customFormat="1" x14ac:dyDescent="0.25">
      <c r="A262" s="292" t="s">
        <v>323</v>
      </c>
      <c r="B262" s="292"/>
      <c r="C262" s="203">
        <f>COUNT(D693:D704)*20+COUNT(D706:D712,D714:D717)*3</f>
        <v>273</v>
      </c>
      <c r="D262" s="203"/>
      <c r="E262" s="293">
        <f t="shared" ref="E262" si="0">SUM(D693:D704)*20+SUM(D706:D712,D714:D717)*3</f>
        <v>119303.75199599998</v>
      </c>
      <c r="F262" s="293"/>
      <c r="G262" s="293">
        <f>SUM(F693:F704)*20+SUM(F706:F712,F714:F717)*3</f>
        <v>178955.62799399998</v>
      </c>
      <c r="H262" s="293"/>
    </row>
    <row r="263" spans="1:15" s="1" customFormat="1" x14ac:dyDescent="0.25">
      <c r="A263" s="178" t="s">
        <v>301</v>
      </c>
      <c r="B263" s="178"/>
      <c r="C263" s="203">
        <f>COUNT(D660:D661)+COUNT(D663:D670)++COUNT(D672:D679)*18+COUNT(D681:D687)*3</f>
        <v>175</v>
      </c>
      <c r="D263" s="203"/>
      <c r="E263" s="147">
        <f>SUM(D660:D661)+SUM(D663:D670)++SUM(D672:D679)*18+SUM(D681:D687)*3</f>
        <v>91205.745461999992</v>
      </c>
      <c r="F263" s="147"/>
      <c r="G263" s="147">
        <f>SUM(F660:F661)+SUM(F663:F670)++SUM(F672:F679)*18+SUM(F681:F687)*3</f>
        <v>137053.61759699997</v>
      </c>
      <c r="H263" s="147"/>
      <c r="O263" s="1">
        <f>11*22</f>
        <v>242</v>
      </c>
    </row>
    <row r="264" spans="1:15" s="1" customFormat="1" x14ac:dyDescent="0.25">
      <c r="A264" s="292" t="s">
        <v>307</v>
      </c>
      <c r="B264" s="292"/>
      <c r="C264" s="203">
        <f>COUNT(D752:D762)+COUNT(D764:D774)*18+COUNT(D776:D781,D783:D786)*3</f>
        <v>239</v>
      </c>
      <c r="D264" s="203"/>
      <c r="E264" s="293">
        <f>SUM(D752:D762)+SUM(D764:D774)*18+SUM(D776:D781,D783:D786)*3</f>
        <v>118228.52527199998</v>
      </c>
      <c r="F264" s="293"/>
      <c r="G264" s="293">
        <f>SUM(F752:F762)+SUM(F764:F774)*18+SUM(F776:F781,F783:F786)*3</f>
        <v>189165.64043519995</v>
      </c>
      <c r="H264" s="293"/>
    </row>
    <row r="265" spans="1:15" s="1" customFormat="1" ht="15.75" customHeight="1" x14ac:dyDescent="0.25">
      <c r="A265" s="191" t="s">
        <v>337</v>
      </c>
      <c r="B265" s="192"/>
      <c r="C265" s="193">
        <f>COUNT(D790:D797)*20+COUNT(D799:D800)*3+COUNT(D802:D806)*3</f>
        <v>181</v>
      </c>
      <c r="D265" s="194"/>
      <c r="E265" s="193">
        <f>SUM(D790:D797)*20+SUM(D799:D800)*3+SUM(D802:D806)*3</f>
        <v>78869.415690000009</v>
      </c>
      <c r="F265" s="194"/>
      <c r="G265" s="193">
        <f>SUM(F790:F797)*20+SUM(F799:F800)*3+SUM(F802:F806)*3</f>
        <v>118304.12353499999</v>
      </c>
      <c r="H265" s="194"/>
    </row>
    <row r="266" spans="1:15" s="1" customFormat="1" ht="15.75" customHeight="1" x14ac:dyDescent="0.25">
      <c r="A266" s="191" t="s">
        <v>338</v>
      </c>
      <c r="B266" s="192"/>
      <c r="C266" s="193">
        <f>COUNT(D810:D817)*20+COUNT(D819:D820)*3+COUNT(D822:D826)*3</f>
        <v>181</v>
      </c>
      <c r="D266" s="194"/>
      <c r="E266" s="193">
        <f>SUM(D810:D817)*20+SUM(D819:D820)*3+SUM(D822:D826)*3</f>
        <v>78869.415690000009</v>
      </c>
      <c r="F266" s="194"/>
      <c r="G266" s="193">
        <f>SUM(F810:F817)*20+SUM(F819:F820)*3+SUM(F822:F826)*3</f>
        <v>118304.12353499999</v>
      </c>
      <c r="H266" s="194"/>
    </row>
    <row r="267" spans="1:15" s="30" customFormat="1" x14ac:dyDescent="0.25">
      <c r="A267" s="280" t="s">
        <v>221</v>
      </c>
      <c r="B267" s="280"/>
      <c r="C267" s="231">
        <f>SUM(C252:D266)</f>
        <v>1858</v>
      </c>
      <c r="D267" s="231"/>
      <c r="E267" s="231">
        <f>SUM(E252:F266)</f>
        <v>829088.3650140001</v>
      </c>
      <c r="F267" s="231"/>
      <c r="G267" s="231">
        <f>SUM(G252:H266)</f>
        <v>1270934.6524133999</v>
      </c>
      <c r="H267" s="231"/>
    </row>
    <row r="268" spans="1:15" s="1" customFormat="1" ht="15.75" customHeight="1" x14ac:dyDescent="0.25">
      <c r="A268" s="233" t="s">
        <v>225</v>
      </c>
      <c r="B268" s="234"/>
      <c r="C268" s="234"/>
      <c r="D268" s="234"/>
      <c r="E268" s="234"/>
      <c r="F268" s="234"/>
      <c r="G268" s="234"/>
      <c r="H268" s="235"/>
    </row>
    <row r="269" spans="1:15" s="1" customFormat="1" ht="15.75" customHeight="1" x14ac:dyDescent="0.25">
      <c r="A269" s="204" t="s">
        <v>59</v>
      </c>
      <c r="B269" s="204"/>
      <c r="C269" s="229" t="s">
        <v>113</v>
      </c>
      <c r="D269" s="229"/>
      <c r="E269" s="230" t="s">
        <v>60</v>
      </c>
      <c r="F269" s="230"/>
      <c r="G269" s="204" t="s">
        <v>61</v>
      </c>
      <c r="H269" s="204"/>
      <c r="K269" s="1">
        <f>181-6</f>
        <v>175</v>
      </c>
    </row>
    <row r="270" spans="1:15" s="1" customFormat="1" x14ac:dyDescent="0.25">
      <c r="A270" s="178" t="s">
        <v>198</v>
      </c>
      <c r="B270" s="178"/>
      <c r="C270" s="203">
        <f>COUNT(D840:D850)+COUNT(D852:D855)+COUNT(D857:D860)+COUNT(D862:D865)*2+COUNT(D867:D870)*2+COUNT(D872:D875)*2+COUNT(D877:D880)+COUNT(D883:D885)+COUNT(D887:D890)+COUNT(D892:D895)+COUNT(D897:D900)</f>
        <v>62</v>
      </c>
      <c r="D270" s="203"/>
      <c r="E270" s="147">
        <f>SUM(D840:D850)+SUM(D852:D855)+SUM(D857:D860)+SUM(D862:D865)*2+SUM(D867:D870)*2+SUM(D872:D875)*2+SUM(D877:D880)+SUM(D883:D885)+SUM(D887:D890)+SUM(D892:D895)+SUM(D897:D900)</f>
        <v>41767.454476799998</v>
      </c>
      <c r="F270" s="147"/>
      <c r="G270" s="147">
        <f>SUM(F840:F850)+SUM(F852:F855)+SUM(F857:F860)+SUM(F862:F865)*2+SUM(F867:F870)*2+SUM(F872:F875)*2+SUM(F877:F880)+SUM(F883:F885)+SUM(F887:F890)+SUM(F892:F895)+SUM(F897:F900)</f>
        <v>64323.654130542847</v>
      </c>
      <c r="H270" s="147"/>
    </row>
    <row r="271" spans="1:15" s="1" customFormat="1" x14ac:dyDescent="0.25">
      <c r="A271" s="178" t="s">
        <v>180</v>
      </c>
      <c r="B271" s="178"/>
      <c r="C271" s="148">
        <f>COUNT(D905:D908)*6+COUNT(D910:D913)*6+COUNT(D915)+COUNT(D917:D918)+COUNT(D920:D923)</f>
        <v>54</v>
      </c>
      <c r="D271" s="148"/>
      <c r="E271" s="147">
        <f>SUM(D905:D908)*6+SUM(D910:D913)*6+SUM(D915)+SUM(D917:D918)+SUM(D920:D923)</f>
        <v>30929.331419999999</v>
      </c>
      <c r="F271" s="147"/>
      <c r="G271" s="147">
        <f>SUM(F905:F908)*6+SUM(F910:F913)*6+SUM(F915)+SUM(F917:F918)+SUM(F920:F923)</f>
        <v>48703.843889999996</v>
      </c>
      <c r="H271" s="147"/>
      <c r="I271" s="1">
        <f>C267+C277</f>
        <v>2329</v>
      </c>
    </row>
    <row r="272" spans="1:15" s="1" customFormat="1" x14ac:dyDescent="0.25">
      <c r="A272" s="178" t="s">
        <v>185</v>
      </c>
      <c r="B272" s="178"/>
      <c r="C272" s="148">
        <f>COUNT(D927:D930)*6+COUNT(D932:D935)*6+COUNT(D937:D940)+COUNT(D942:D945)</f>
        <v>55</v>
      </c>
      <c r="D272" s="148"/>
      <c r="E272" s="147">
        <f>SUM(D927:D930)*6+SUM(D932:D935)*6+SUM(D937:D940)+SUM(D942:D945)</f>
        <v>31532.034690000004</v>
      </c>
      <c r="F272" s="147"/>
      <c r="G272" s="147">
        <f>SUM(F927:F930)*6+SUM(F932:F935)*6+SUM(F937:F940)+SUM(F942:F945)</f>
        <v>49644.227294999997</v>
      </c>
      <c r="H272" s="147"/>
    </row>
    <row r="273" spans="1:8" s="1" customFormat="1" x14ac:dyDescent="0.25">
      <c r="A273" s="225" t="s">
        <v>194</v>
      </c>
      <c r="B273" s="29" t="s">
        <v>195</v>
      </c>
      <c r="C273" s="148">
        <f>COUNT(D950:D955)*5+COUNT(D957:D962)*3+COUNT(D964:D968)+COUNT(D971:D976)+COUNT(D978:D983)+COUNT(D985:D990)+COUNT(D992:D997)+COUNT(D999:D1003)</f>
        <v>82</v>
      </c>
      <c r="D273" s="148"/>
      <c r="E273" s="147">
        <f>SUM(D950:D955)*5+SUM(D957:D962)*3+SUM(D964:D968)+SUM(D971:D976)+SUM(D978:D983)+SUM(D985:D990)+SUM(D992:D997)+SUM(D999:D1003)</f>
        <v>31011.75675</v>
      </c>
      <c r="F273" s="147"/>
      <c r="G273" s="147">
        <f>SUM(F950:F955)*5+SUM(F957:F962)*3+SUM(F964:F968)+SUM(F971:F976)+SUM(F978:F983)+SUM(F985:F990)+SUM(F992:F997)+SUM(F999:F1003)</f>
        <v>50068.140524999988</v>
      </c>
      <c r="H273" s="147"/>
    </row>
    <row r="274" spans="1:8" s="1" customFormat="1" x14ac:dyDescent="0.25">
      <c r="A274" s="232"/>
      <c r="B274" s="29" t="s">
        <v>196</v>
      </c>
      <c r="C274" s="148">
        <f>COUNT(D1008:D1013)*5+COUNT(D1015:D1020)*3+COUNT(D1023:D1026)+COUNT(D1029:D1034)+COUNT(D1036:D1041)+COUNT(D1043:D1048)*2+COUNT(D1050:D1055)</f>
        <v>82</v>
      </c>
      <c r="D274" s="148"/>
      <c r="E274" s="147">
        <f>SUM(D1008:D1013)*5+SUM(D1015:D1020)*3+SUM(D1023:D1026)+SUM(D1029:D1034)+SUM(D1036:D1041)+SUM(D1043:D1048)*2+SUM(D1050:D1055)</f>
        <v>29071.222829999992</v>
      </c>
      <c r="F274" s="147"/>
      <c r="G274" s="147">
        <f>SUM(F1008:F1013)*5+SUM(F1015:F1020)*3+SUM(F1023:F1026)+SUM(F1029:F1034)+SUM(F1036:F1041)+SUM(F1043:F1048)*2+SUM(F1050:F1055)</f>
        <v>46957.129244999996</v>
      </c>
      <c r="H274" s="147"/>
    </row>
    <row r="275" spans="1:8" s="1" customFormat="1" x14ac:dyDescent="0.25">
      <c r="A275" s="226"/>
      <c r="B275" s="29" t="s">
        <v>197</v>
      </c>
      <c r="C275" s="148">
        <f>COUNT(D1059:D1064)*5+COUNT(D1066:D1071)*3+COUNT(D1074:D1078)+COUNT(D1080:D1085)+COUNT(D1087:D1092)+COUNT(D1094:D1099)*2+COUNT(D1102:D1106)</f>
        <v>82</v>
      </c>
      <c r="D275" s="148"/>
      <c r="E275" s="147">
        <f>SUM(D1059:D1064)*5+SUM(D1066:D1071)*3+SUM(D1074:D1078)+SUM(D1080:D1085)+SUM(D1087:D1092)+SUM(D1094:D1099)*2+SUM(D1102:D1106)</f>
        <v>29096.84115</v>
      </c>
      <c r="F275" s="147"/>
      <c r="G275" s="147">
        <f>SUM(F1059:F1064)*5+SUM(F1066:F1071)*3+SUM(F1074:F1078)+SUM(F1080:F1085)+SUM(F1087:F1092)+SUM(F1094:F1099)*2+SUM(F1102:F1106)</f>
        <v>47003.629724999992</v>
      </c>
      <c r="H275" s="147"/>
    </row>
    <row r="276" spans="1:8" s="1" customFormat="1" x14ac:dyDescent="0.25">
      <c r="A276" s="178" t="s">
        <v>190</v>
      </c>
      <c r="B276" s="178"/>
      <c r="C276" s="148">
        <f>COUNT(D1110:D1113)*6+COUNT(D1115:D1118)*6+COUNT(D1120)+COUNT(D1122:D1123)+COUNT(D1125)+COUNT(D1127:D1128)</f>
        <v>54</v>
      </c>
      <c r="D276" s="148"/>
      <c r="E276" s="147">
        <f>SUM(D1110:D1113)*6+SUM(D1115:D1118)*6+SUM(D1120)+SUM(D1122:D1123)+SUM(D1125)+SUM(D1127:D1128)</f>
        <v>20400.497909999995</v>
      </c>
      <c r="F276" s="147"/>
      <c r="G276" s="147">
        <f>SUM(F1110:F1113)*6+SUM(F1115:F1118)*6+SUM(F1120)+SUM(F1122:F1123)+SUM(F1125)+SUM(F1127:F1128)</f>
        <v>32889.442364999995</v>
      </c>
      <c r="H276" s="147"/>
    </row>
    <row r="277" spans="1:8" s="30" customFormat="1" x14ac:dyDescent="0.25">
      <c r="A277" s="280" t="s">
        <v>221</v>
      </c>
      <c r="B277" s="280"/>
      <c r="C277" s="229">
        <f>SUM(C270:C276)</f>
        <v>471</v>
      </c>
      <c r="D277" s="229"/>
      <c r="E277" s="231">
        <f>SUM(E270:E276)</f>
        <v>213809.13922679998</v>
      </c>
      <c r="F277" s="231"/>
      <c r="G277" s="231">
        <f>SUM(G270:G276)</f>
        <v>339590.06717554282</v>
      </c>
      <c r="H277" s="231"/>
    </row>
    <row r="278" spans="1:8" s="9" customFormat="1" x14ac:dyDescent="0.25">
      <c r="A278" s="236" t="s">
        <v>64</v>
      </c>
      <c r="B278" s="236"/>
      <c r="C278" s="236"/>
      <c r="D278" s="236"/>
      <c r="E278" s="236"/>
      <c r="F278" s="236"/>
      <c r="G278" s="236"/>
      <c r="H278" s="236"/>
    </row>
    <row r="279" spans="1:8" x14ac:dyDescent="0.25">
      <c r="A279" s="236" t="s">
        <v>65</v>
      </c>
      <c r="B279" s="236"/>
      <c r="C279" s="236"/>
      <c r="D279" s="236"/>
      <c r="E279" s="236"/>
      <c r="F279" s="236"/>
      <c r="G279" s="236"/>
      <c r="H279" s="236"/>
    </row>
    <row r="280" spans="1:8" ht="47.25" customHeight="1" x14ac:dyDescent="0.25">
      <c r="A280" s="281" t="s">
        <v>110</v>
      </c>
      <c r="B280" s="281"/>
      <c r="C280" s="32" t="s">
        <v>66</v>
      </c>
      <c r="D280" s="78" t="s">
        <v>67</v>
      </c>
      <c r="E280" s="15" t="s">
        <v>68</v>
      </c>
      <c r="F280" s="78" t="s">
        <v>69</v>
      </c>
      <c r="G280" s="281" t="s">
        <v>70</v>
      </c>
      <c r="H280" s="281"/>
    </row>
    <row r="281" spans="1:8" s="2" customFormat="1" x14ac:dyDescent="0.25">
      <c r="A281" s="195" t="s">
        <v>248</v>
      </c>
      <c r="B281" s="195"/>
      <c r="C281" s="195"/>
      <c r="D281" s="195"/>
      <c r="E281" s="195"/>
      <c r="F281" s="195"/>
      <c r="G281" s="195"/>
      <c r="H281" s="195"/>
    </row>
    <row r="282" spans="1:8" s="2" customFormat="1" ht="15.75" customHeight="1" x14ac:dyDescent="0.25">
      <c r="A282" s="144" t="s">
        <v>191</v>
      </c>
      <c r="B282" s="145"/>
      <c r="C282" s="145"/>
      <c r="D282" s="145"/>
      <c r="E282" s="145"/>
      <c r="F282" s="145"/>
      <c r="G282" s="145"/>
      <c r="H282" s="146"/>
    </row>
    <row r="283" spans="1:8" s="2" customFormat="1" x14ac:dyDescent="0.25">
      <c r="A283" s="144" t="s">
        <v>214</v>
      </c>
      <c r="B283" s="145"/>
      <c r="C283" s="145"/>
      <c r="D283" s="145"/>
      <c r="E283" s="145"/>
      <c r="F283" s="145"/>
      <c r="G283" s="145"/>
      <c r="H283" s="146"/>
    </row>
    <row r="284" spans="1:8" s="2" customFormat="1" ht="15.75" customHeight="1" x14ac:dyDescent="0.25">
      <c r="A284" s="144" t="s">
        <v>192</v>
      </c>
      <c r="B284" s="145"/>
      <c r="C284" s="145"/>
      <c r="D284" s="145"/>
      <c r="E284" s="145"/>
      <c r="F284" s="145"/>
      <c r="G284" s="145"/>
      <c r="H284" s="146"/>
    </row>
    <row r="285" spans="1:8" s="2" customFormat="1" x14ac:dyDescent="0.25">
      <c r="A285" s="133">
        <v>17</v>
      </c>
      <c r="B285" s="133"/>
      <c r="C285" s="21" t="s">
        <v>164</v>
      </c>
      <c r="D285" s="21">
        <f>18.14*10.764</f>
        <v>195.25896</v>
      </c>
      <c r="E285" s="21">
        <v>0</v>
      </c>
      <c r="F285" s="21">
        <f t="shared" ref="F285:F292" si="1">D285*1.6</f>
        <v>312.41433600000005</v>
      </c>
      <c r="G285" s="134" t="str">
        <f>A284</f>
        <v>Ground Floor for Parking &amp; Commercial</v>
      </c>
      <c r="H285" s="135"/>
    </row>
    <row r="286" spans="1:8" s="2" customFormat="1" x14ac:dyDescent="0.25">
      <c r="A286" s="133">
        <v>18</v>
      </c>
      <c r="B286" s="133"/>
      <c r="C286" s="21" t="s">
        <v>164</v>
      </c>
      <c r="D286" s="21">
        <f t="shared" ref="D286:D291" si="2">15.74*10.764</f>
        <v>169.42535999999998</v>
      </c>
      <c r="E286" s="21">
        <v>0</v>
      </c>
      <c r="F286" s="21">
        <f t="shared" si="1"/>
        <v>271.08057600000001</v>
      </c>
      <c r="G286" s="136"/>
      <c r="H286" s="137"/>
    </row>
    <row r="287" spans="1:8" s="2" customFormat="1" x14ac:dyDescent="0.25">
      <c r="A287" s="133">
        <v>19</v>
      </c>
      <c r="B287" s="133"/>
      <c r="C287" s="21" t="s">
        <v>164</v>
      </c>
      <c r="D287" s="21">
        <f t="shared" si="2"/>
        <v>169.42535999999998</v>
      </c>
      <c r="E287" s="21">
        <v>0</v>
      </c>
      <c r="F287" s="21">
        <f t="shared" si="1"/>
        <v>271.08057600000001</v>
      </c>
      <c r="G287" s="136"/>
      <c r="H287" s="137"/>
    </row>
    <row r="288" spans="1:8" s="2" customFormat="1" x14ac:dyDescent="0.25">
      <c r="A288" s="133">
        <v>20</v>
      </c>
      <c r="B288" s="133"/>
      <c r="C288" s="21" t="s">
        <v>164</v>
      </c>
      <c r="D288" s="21">
        <f t="shared" si="2"/>
        <v>169.42535999999998</v>
      </c>
      <c r="E288" s="21">
        <v>0</v>
      </c>
      <c r="F288" s="21">
        <f t="shared" si="1"/>
        <v>271.08057600000001</v>
      </c>
      <c r="G288" s="136"/>
      <c r="H288" s="137"/>
    </row>
    <row r="289" spans="1:8" s="2" customFormat="1" x14ac:dyDescent="0.25">
      <c r="A289" s="133">
        <v>21</v>
      </c>
      <c r="B289" s="133"/>
      <c r="C289" s="21" t="s">
        <v>164</v>
      </c>
      <c r="D289" s="21">
        <f t="shared" si="2"/>
        <v>169.42535999999998</v>
      </c>
      <c r="E289" s="21">
        <v>0</v>
      </c>
      <c r="F289" s="21">
        <f t="shared" si="1"/>
        <v>271.08057600000001</v>
      </c>
      <c r="G289" s="136"/>
      <c r="H289" s="137"/>
    </row>
    <row r="290" spans="1:8" s="2" customFormat="1" x14ac:dyDescent="0.25">
      <c r="A290" s="133">
        <v>22</v>
      </c>
      <c r="B290" s="133"/>
      <c r="C290" s="21" t="s">
        <v>164</v>
      </c>
      <c r="D290" s="21">
        <f t="shared" si="2"/>
        <v>169.42535999999998</v>
      </c>
      <c r="E290" s="21">
        <v>0</v>
      </c>
      <c r="F290" s="21">
        <f t="shared" si="1"/>
        <v>271.08057600000001</v>
      </c>
      <c r="G290" s="136"/>
      <c r="H290" s="137"/>
    </row>
    <row r="291" spans="1:8" s="2" customFormat="1" x14ac:dyDescent="0.25">
      <c r="A291" s="133">
        <v>23</v>
      </c>
      <c r="B291" s="133"/>
      <c r="C291" s="21" t="s">
        <v>164</v>
      </c>
      <c r="D291" s="21">
        <f t="shared" si="2"/>
        <v>169.42535999999998</v>
      </c>
      <c r="E291" s="21">
        <v>0</v>
      </c>
      <c r="F291" s="21">
        <f t="shared" si="1"/>
        <v>271.08057600000001</v>
      </c>
      <c r="G291" s="136"/>
      <c r="H291" s="137"/>
    </row>
    <row r="292" spans="1:8" s="2" customFormat="1" x14ac:dyDescent="0.25">
      <c r="A292" s="133">
        <v>24</v>
      </c>
      <c r="B292" s="133"/>
      <c r="C292" s="21" t="s">
        <v>164</v>
      </c>
      <c r="D292" s="21">
        <f>18.07*10.764</f>
        <v>194.50547999999998</v>
      </c>
      <c r="E292" s="21">
        <v>0</v>
      </c>
      <c r="F292" s="21">
        <f t="shared" si="1"/>
        <v>311.20876799999996</v>
      </c>
      <c r="G292" s="138"/>
      <c r="H292" s="139"/>
    </row>
    <row r="293" spans="1:8" s="2" customFormat="1" ht="15.75" customHeight="1" x14ac:dyDescent="0.25">
      <c r="A293" s="144" t="s">
        <v>193</v>
      </c>
      <c r="B293" s="145"/>
      <c r="C293" s="145"/>
      <c r="D293" s="145"/>
      <c r="E293" s="145"/>
      <c r="F293" s="145"/>
      <c r="G293" s="145"/>
      <c r="H293" s="146"/>
    </row>
    <row r="294" spans="1:8" s="2" customFormat="1" x14ac:dyDescent="0.25">
      <c r="A294" s="133">
        <v>1</v>
      </c>
      <c r="B294" s="133"/>
      <c r="C294" s="21" t="s">
        <v>183</v>
      </c>
      <c r="D294" s="21">
        <f>(37.51+1.5*2.52+(2.52+2.1+2.2)*0.75)*10.764</f>
        <v>499.50342000000001</v>
      </c>
      <c r="E294" s="21">
        <f>2.4*1.5*10.764</f>
        <v>38.750399999999992</v>
      </c>
      <c r="F294" s="21">
        <f>D294*1.5+E294</f>
        <v>788.00553000000002</v>
      </c>
      <c r="G294" s="134" t="str">
        <f>A293</f>
        <v>1st Floor for Residential</v>
      </c>
      <c r="H294" s="135"/>
    </row>
    <row r="295" spans="1:8" s="2" customFormat="1" x14ac:dyDescent="0.25">
      <c r="A295" s="133">
        <v>2</v>
      </c>
      <c r="B295" s="133"/>
      <c r="C295" s="21" t="s">
        <v>183</v>
      </c>
      <c r="D295" s="21">
        <f>(36.84+1.5*2.52+(2.52+2.1+2.2)*0.75)*10.764</f>
        <v>492.29154000000005</v>
      </c>
      <c r="E295" s="21">
        <f>2.4*1.5*10.764</f>
        <v>38.750399999999992</v>
      </c>
      <c r="F295" s="21">
        <f>D295*1.5+E295</f>
        <v>777.18771000000004</v>
      </c>
      <c r="G295" s="136"/>
      <c r="H295" s="137"/>
    </row>
    <row r="296" spans="1:8" s="2" customFormat="1" x14ac:dyDescent="0.25">
      <c r="A296" s="133">
        <v>3</v>
      </c>
      <c r="B296" s="133"/>
      <c r="C296" s="21" t="s">
        <v>183</v>
      </c>
      <c r="D296" s="21">
        <f>(34.66+1.35*2.52+1.25*2.1)*10.764</f>
        <v>437.95486799999992</v>
      </c>
      <c r="E296" s="21">
        <f>(3.2*3.3+2.52*0.75+2.1*0.75+2.3*3.3)*10.764</f>
        <v>232.66386</v>
      </c>
      <c r="F296" s="21">
        <f>D296*1.5+E296</f>
        <v>889.59616199999994</v>
      </c>
      <c r="G296" s="136"/>
      <c r="H296" s="137"/>
    </row>
    <row r="297" spans="1:8" s="2" customFormat="1" x14ac:dyDescent="0.25">
      <c r="A297" s="133">
        <v>4</v>
      </c>
      <c r="B297" s="133"/>
      <c r="C297" s="21" t="s">
        <v>183</v>
      </c>
      <c r="D297" s="21">
        <f>(37.76+1.4*2.52)*10.764</f>
        <v>444.42403199999995</v>
      </c>
      <c r="E297" s="21">
        <f>(3.2*3.3+2.52*0.75+2.1*0.75+2.3*3.3)*10.764</f>
        <v>232.66386</v>
      </c>
      <c r="F297" s="21">
        <f>D297*1.5+E297</f>
        <v>899.29990799999996</v>
      </c>
      <c r="G297" s="138"/>
      <c r="H297" s="139"/>
    </row>
    <row r="298" spans="1:8" s="2" customFormat="1" ht="15.6" customHeight="1" x14ac:dyDescent="0.25">
      <c r="A298" s="144" t="s">
        <v>227</v>
      </c>
      <c r="B298" s="145"/>
      <c r="C298" s="145"/>
      <c r="D298" s="145"/>
      <c r="E298" s="145"/>
      <c r="F298" s="145"/>
      <c r="G298" s="145"/>
      <c r="H298" s="146"/>
    </row>
    <row r="299" spans="1:8" s="2" customFormat="1" x14ac:dyDescent="0.25">
      <c r="A299" s="133">
        <v>1</v>
      </c>
      <c r="B299" s="133"/>
      <c r="C299" s="21" t="s">
        <v>183</v>
      </c>
      <c r="D299" s="21">
        <f>(37.51+1.5*2.52+(2.52+2.1+2.2)*0.75)*10.764</f>
        <v>499.50342000000001</v>
      </c>
      <c r="E299" s="21">
        <f>2.2*1.5*10.764</f>
        <v>35.5212</v>
      </c>
      <c r="F299" s="21">
        <f>D299*1.5+E299</f>
        <v>784.77633000000003</v>
      </c>
      <c r="G299" s="134" t="str">
        <f>A298</f>
        <v>2nd, 4th, 6th, 10th &amp; 12th Floor</v>
      </c>
      <c r="H299" s="135"/>
    </row>
    <row r="300" spans="1:8" s="2" customFormat="1" x14ac:dyDescent="0.25">
      <c r="A300" s="133">
        <v>2</v>
      </c>
      <c r="B300" s="133"/>
      <c r="C300" s="21" t="s">
        <v>183</v>
      </c>
      <c r="D300" s="21">
        <f>(36.84+1.5*2.52+(2.52+2.1+2.2)*0.75)*10.764</f>
        <v>492.29154000000005</v>
      </c>
      <c r="E300" s="21">
        <f>2.2*1.5*10.764</f>
        <v>35.5212</v>
      </c>
      <c r="F300" s="21">
        <f>D300*1.5+E300</f>
        <v>773.95851000000005</v>
      </c>
      <c r="G300" s="136"/>
      <c r="H300" s="137"/>
    </row>
    <row r="301" spans="1:8" s="2" customFormat="1" x14ac:dyDescent="0.25">
      <c r="A301" s="133">
        <v>3</v>
      </c>
      <c r="B301" s="133"/>
      <c r="C301" s="21" t="s">
        <v>183</v>
      </c>
      <c r="D301" s="21">
        <f>(34.66+1.35*2.52+1.25*2.1+(2.2+2.52+2.1)*0.75)*10.764</f>
        <v>493.01272799999998</v>
      </c>
      <c r="E301" s="21">
        <f>2.2*1.5*10.764</f>
        <v>35.5212</v>
      </c>
      <c r="F301" s="21">
        <f>D301*1.5+E301</f>
        <v>775.04029200000002</v>
      </c>
      <c r="G301" s="136"/>
      <c r="H301" s="137"/>
    </row>
    <row r="302" spans="1:8" s="2" customFormat="1" x14ac:dyDescent="0.25">
      <c r="A302" s="133">
        <v>4</v>
      </c>
      <c r="B302" s="133"/>
      <c r="C302" s="21" t="s">
        <v>183</v>
      </c>
      <c r="D302" s="21">
        <f>(37.76+1.4*2.52+(2.2+2.52+2.1)*0.75)*10.764</f>
        <v>499.48189199999996</v>
      </c>
      <c r="E302" s="21">
        <f>2.2*1.5*10.764</f>
        <v>35.5212</v>
      </c>
      <c r="F302" s="21">
        <f>D302*1.5+E302</f>
        <v>784.74403799999993</v>
      </c>
      <c r="G302" s="138"/>
      <c r="H302" s="139"/>
    </row>
    <row r="303" spans="1:8" s="2" customFormat="1" ht="15.6" customHeight="1" x14ac:dyDescent="0.25">
      <c r="A303" s="144" t="s">
        <v>228</v>
      </c>
      <c r="B303" s="145"/>
      <c r="C303" s="145"/>
      <c r="D303" s="145"/>
      <c r="E303" s="145"/>
      <c r="F303" s="145"/>
      <c r="G303" s="145"/>
      <c r="H303" s="146"/>
    </row>
    <row r="304" spans="1:8" s="2" customFormat="1" x14ac:dyDescent="0.25">
      <c r="A304" s="133">
        <v>1</v>
      </c>
      <c r="B304" s="133"/>
      <c r="C304" s="21" t="s">
        <v>183</v>
      </c>
      <c r="D304" s="21">
        <f>(37.51+1.5*2.52+(2.52+2.1+2.2)*0.75)*10.764</f>
        <v>499.50342000000001</v>
      </c>
      <c r="E304" s="21">
        <f>2.2*1.5*10.764</f>
        <v>35.5212</v>
      </c>
      <c r="F304" s="21">
        <f>D304*1.5+E304</f>
        <v>784.77633000000003</v>
      </c>
      <c r="G304" s="134" t="str">
        <f>A303</f>
        <v>8th Floor</v>
      </c>
      <c r="H304" s="135"/>
    </row>
    <row r="305" spans="1:8" s="2" customFormat="1" x14ac:dyDescent="0.25">
      <c r="A305" s="133">
        <v>2</v>
      </c>
      <c r="B305" s="133"/>
      <c r="C305" s="21" t="s">
        <v>183</v>
      </c>
      <c r="D305" s="21">
        <f>(36.84+1.5*2.52+(2.52+2.1+2.2)*0.75)*10.764</f>
        <v>492.29154000000005</v>
      </c>
      <c r="E305" s="21">
        <f>2.2*1.5*10.764</f>
        <v>35.5212</v>
      </c>
      <c r="F305" s="21">
        <f>D305*1.5+E305</f>
        <v>773.95851000000005</v>
      </c>
      <c r="G305" s="136"/>
      <c r="H305" s="137"/>
    </row>
    <row r="306" spans="1:8" s="2" customFormat="1" x14ac:dyDescent="0.25">
      <c r="A306" s="133">
        <v>3</v>
      </c>
      <c r="B306" s="133"/>
      <c r="C306" s="21" t="s">
        <v>183</v>
      </c>
      <c r="D306" s="21">
        <f>(34.66+1.35*2.52+1.25*2.1+(2.2+2.52+2.1)*0.75)*10.764</f>
        <v>493.01272799999998</v>
      </c>
      <c r="E306" s="21">
        <f>2.2*1.5*10.764</f>
        <v>35.5212</v>
      </c>
      <c r="F306" s="21">
        <f>D306*1.5+E306</f>
        <v>775.04029200000002</v>
      </c>
      <c r="G306" s="136"/>
      <c r="H306" s="137"/>
    </row>
    <row r="307" spans="1:8" s="2" customFormat="1" x14ac:dyDescent="0.25">
      <c r="A307" s="133">
        <v>4</v>
      </c>
      <c r="B307" s="133"/>
      <c r="C307" s="21" t="s">
        <v>183</v>
      </c>
      <c r="D307" s="21">
        <f>(37.76+1.4*2.52+(2.2+2.52+2.1)*0.75)*10.764</f>
        <v>499.48189199999996</v>
      </c>
      <c r="E307" s="21">
        <f>2.2*1.5*10.764</f>
        <v>35.5212</v>
      </c>
      <c r="F307" s="21">
        <f>D307*1.5+E307</f>
        <v>784.74403799999993</v>
      </c>
      <c r="G307" s="138"/>
      <c r="H307" s="139"/>
    </row>
    <row r="308" spans="1:8" s="2" customFormat="1" ht="15.6" customHeight="1" x14ac:dyDescent="0.25">
      <c r="A308" s="144" t="s">
        <v>174</v>
      </c>
      <c r="B308" s="145"/>
      <c r="C308" s="145"/>
      <c r="D308" s="145"/>
      <c r="E308" s="145"/>
      <c r="F308" s="145"/>
      <c r="G308" s="145"/>
      <c r="H308" s="146"/>
    </row>
    <row r="309" spans="1:8" s="2" customFormat="1" x14ac:dyDescent="0.25">
      <c r="A309" s="133">
        <v>1</v>
      </c>
      <c r="B309" s="133"/>
      <c r="C309" s="21" t="s">
        <v>183</v>
      </c>
      <c r="D309" s="21">
        <f>(37.51+1.5*2.52+(2.52+2.1+2.2)*0.75)*10.764</f>
        <v>499.50342000000001</v>
      </c>
      <c r="E309" s="21">
        <f>2.4*1.5*10.764</f>
        <v>38.750399999999992</v>
      </c>
      <c r="F309" s="21">
        <f>D309*1.5+E309</f>
        <v>788.00553000000002</v>
      </c>
      <c r="G309" s="134" t="str">
        <f>A308</f>
        <v>3rd, 5th, 7th, 9th &amp; 11th Floor</v>
      </c>
      <c r="H309" s="135"/>
    </row>
    <row r="310" spans="1:8" s="2" customFormat="1" x14ac:dyDescent="0.25">
      <c r="A310" s="133">
        <v>2</v>
      </c>
      <c r="B310" s="133"/>
      <c r="C310" s="21" t="s">
        <v>183</v>
      </c>
      <c r="D310" s="21">
        <f>(36.84+1.5*2.52+(2.52+2.1+2.2)*0.75)*10.764</f>
        <v>492.29154000000005</v>
      </c>
      <c r="E310" s="21">
        <f>2.4*1.5*10.764</f>
        <v>38.750399999999992</v>
      </c>
      <c r="F310" s="21">
        <f>D310*1.5+E310</f>
        <v>777.18771000000004</v>
      </c>
      <c r="G310" s="136"/>
      <c r="H310" s="137"/>
    </row>
    <row r="311" spans="1:8" s="2" customFormat="1" x14ac:dyDescent="0.25">
      <c r="A311" s="133">
        <v>3</v>
      </c>
      <c r="B311" s="133"/>
      <c r="C311" s="21" t="s">
        <v>183</v>
      </c>
      <c r="D311" s="21">
        <f>(34.66+1.35*2.52+1.25*2.1+(2.2+2.52+2.1)*0.75)*10.764</f>
        <v>493.01272799999998</v>
      </c>
      <c r="E311" s="21">
        <f>2.4*1.5*10.764</f>
        <v>38.750399999999992</v>
      </c>
      <c r="F311" s="21">
        <f>D311*1.5+E311</f>
        <v>778.26949200000001</v>
      </c>
      <c r="G311" s="136"/>
      <c r="H311" s="137"/>
    </row>
    <row r="312" spans="1:8" s="2" customFormat="1" x14ac:dyDescent="0.25">
      <c r="A312" s="133">
        <v>4</v>
      </c>
      <c r="B312" s="133"/>
      <c r="C312" s="21" t="s">
        <v>183</v>
      </c>
      <c r="D312" s="21">
        <f>(37.76+1.4*2.52+(2.2+2.52+2.1)*0.75)*10.764</f>
        <v>499.48189199999996</v>
      </c>
      <c r="E312" s="21">
        <f>2.4*1.5*10.764</f>
        <v>38.750399999999992</v>
      </c>
      <c r="F312" s="21">
        <f>D312*1.5+E312</f>
        <v>787.97323799999992</v>
      </c>
      <c r="G312" s="138"/>
      <c r="H312" s="139"/>
    </row>
    <row r="313" spans="1:8" s="2" customFormat="1" ht="15.6" customHeight="1" x14ac:dyDescent="0.25">
      <c r="A313" s="144" t="s">
        <v>187</v>
      </c>
      <c r="B313" s="145"/>
      <c r="C313" s="145"/>
      <c r="D313" s="145"/>
      <c r="E313" s="145"/>
      <c r="F313" s="145"/>
      <c r="G313" s="145"/>
      <c r="H313" s="146"/>
    </row>
    <row r="314" spans="1:8" s="2" customFormat="1" x14ac:dyDescent="0.25">
      <c r="A314" s="133">
        <v>1</v>
      </c>
      <c r="B314" s="133"/>
      <c r="C314" s="21" t="s">
        <v>183</v>
      </c>
      <c r="D314" s="21">
        <f>(37.51+1.5*2.52+(2.52+2.1+2.2)*0.75)*10.764</f>
        <v>499.50342000000001</v>
      </c>
      <c r="E314" s="21">
        <f>2.4*1.5*10.764</f>
        <v>38.750399999999992</v>
      </c>
      <c r="F314" s="21">
        <f>D314*1.5+E314</f>
        <v>788.00553000000002</v>
      </c>
      <c r="G314" s="134" t="str">
        <f>A313</f>
        <v>13th Floor</v>
      </c>
      <c r="H314" s="135"/>
    </row>
    <row r="315" spans="1:8" s="2" customFormat="1" x14ac:dyDescent="0.25">
      <c r="A315" s="133">
        <v>2</v>
      </c>
      <c r="B315" s="133"/>
      <c r="C315" s="21" t="s">
        <v>183</v>
      </c>
      <c r="D315" s="21">
        <f>(36.84+1.5*2.52+(2.52+2.1+2.2)*0.75)*10.764</f>
        <v>492.29154000000005</v>
      </c>
      <c r="E315" s="21">
        <f>2.4*1.5*10.764</f>
        <v>38.750399999999992</v>
      </c>
      <c r="F315" s="21">
        <f>D315*1.5+E315</f>
        <v>777.18771000000004</v>
      </c>
      <c r="G315" s="136"/>
      <c r="H315" s="137"/>
    </row>
    <row r="316" spans="1:8" s="2" customFormat="1" x14ac:dyDescent="0.25">
      <c r="A316" s="133">
        <v>3</v>
      </c>
      <c r="B316" s="133"/>
      <c r="C316" s="21" t="s">
        <v>183</v>
      </c>
      <c r="D316" s="21">
        <f>(34.66+1.35*2.52+1.25*2.1+(2.2+2.52+2.1)*0.75)*10.764</f>
        <v>493.01272799999998</v>
      </c>
      <c r="E316" s="21">
        <f>2.4*1.5*10.764</f>
        <v>38.750399999999992</v>
      </c>
      <c r="F316" s="21">
        <f>D316*1.5+E316</f>
        <v>778.26949200000001</v>
      </c>
      <c r="G316" s="136"/>
      <c r="H316" s="137"/>
    </row>
    <row r="317" spans="1:8" s="2" customFormat="1" x14ac:dyDescent="0.25">
      <c r="A317" s="133">
        <v>4</v>
      </c>
      <c r="B317" s="133"/>
      <c r="C317" s="21" t="s">
        <v>183</v>
      </c>
      <c r="D317" s="21">
        <f>(37.76+1.4*2.52+(2.2+2.52+2.1)*0.75)*10.764</f>
        <v>499.48189199999996</v>
      </c>
      <c r="E317" s="21">
        <f>2.4*1.5*10.764</f>
        <v>38.750399999999992</v>
      </c>
      <c r="F317" s="21">
        <f>D317*1.5+E317</f>
        <v>787.97323799999992</v>
      </c>
      <c r="G317" s="138"/>
      <c r="H317" s="139"/>
    </row>
    <row r="318" spans="1:8" s="2" customFormat="1" ht="15.6" customHeight="1" x14ac:dyDescent="0.25">
      <c r="A318" s="195" t="s">
        <v>250</v>
      </c>
      <c r="B318" s="195"/>
      <c r="C318" s="195"/>
      <c r="D318" s="195"/>
      <c r="E318" s="195"/>
      <c r="F318" s="195"/>
      <c r="G318" s="195"/>
      <c r="H318" s="195"/>
    </row>
    <row r="319" spans="1:8" s="2" customFormat="1" x14ac:dyDescent="0.25">
      <c r="A319" s="133">
        <v>1</v>
      </c>
      <c r="B319" s="133"/>
      <c r="C319" s="21" t="s">
        <v>183</v>
      </c>
      <c r="D319" s="21">
        <f>(37.51+1.5*2.52+(2.52+2.1+2.2)*0.75)*10.764</f>
        <v>499.50342000000001</v>
      </c>
      <c r="E319" s="21">
        <f>2.2*1.5*10.764</f>
        <v>35.5212</v>
      </c>
      <c r="F319" s="21">
        <f>D319*1.5+E319</f>
        <v>784.77633000000003</v>
      </c>
      <c r="G319" s="133" t="str">
        <f>A318</f>
        <v>14th Floor</v>
      </c>
      <c r="H319" s="133"/>
    </row>
    <row r="320" spans="1:8" s="2" customFormat="1" x14ac:dyDescent="0.25">
      <c r="A320" s="133">
        <v>2</v>
      </c>
      <c r="B320" s="133"/>
      <c r="C320" s="21" t="s">
        <v>183</v>
      </c>
      <c r="D320" s="21">
        <f>(36.84+1.5*2.52+(2.52+2.1+2.2)*0.75)*10.764</f>
        <v>492.29154000000005</v>
      </c>
      <c r="E320" s="21">
        <f>2.2*1.5*10.764</f>
        <v>35.5212</v>
      </c>
      <c r="F320" s="21">
        <f>D320*1.5+E320</f>
        <v>773.95851000000005</v>
      </c>
      <c r="G320" s="133"/>
      <c r="H320" s="133"/>
    </row>
    <row r="321" spans="1:9" s="2" customFormat="1" x14ac:dyDescent="0.25">
      <c r="A321" s="133">
        <v>3</v>
      </c>
      <c r="B321" s="133"/>
      <c r="C321" s="21" t="s">
        <v>183</v>
      </c>
      <c r="D321" s="21">
        <f>(34.66+1.35*2.52+1.25*2.1+(2.2+2.52+2.1)*0.75)*10.764</f>
        <v>493.01272799999998</v>
      </c>
      <c r="E321" s="21">
        <f>2.2*1.5*10.764</f>
        <v>35.5212</v>
      </c>
      <c r="F321" s="21">
        <f>D321*1.5+E321</f>
        <v>775.04029200000002</v>
      </c>
      <c r="G321" s="133"/>
      <c r="H321" s="133"/>
    </row>
    <row r="322" spans="1:9" s="2" customFormat="1" x14ac:dyDescent="0.25">
      <c r="A322" s="133">
        <v>4</v>
      </c>
      <c r="B322" s="133"/>
      <c r="C322" s="21" t="s">
        <v>183</v>
      </c>
      <c r="D322" s="21">
        <f>(37.76+1.4*2.52+(2.2+2.52+2.1)*0.75)*10.764</f>
        <v>499.48189199999996</v>
      </c>
      <c r="E322" s="21">
        <f>2.2*1.5*10.764</f>
        <v>35.5212</v>
      </c>
      <c r="F322" s="21">
        <f>D322*1.5+E322</f>
        <v>784.74403799999993</v>
      </c>
      <c r="G322" s="133"/>
      <c r="H322" s="133"/>
    </row>
    <row r="323" spans="1:9" s="2" customFormat="1" x14ac:dyDescent="0.25">
      <c r="A323" s="195" t="s">
        <v>215</v>
      </c>
      <c r="B323" s="195"/>
      <c r="C323" s="195"/>
      <c r="D323" s="195"/>
      <c r="E323" s="195"/>
      <c r="F323" s="195"/>
      <c r="G323" s="195"/>
      <c r="H323" s="195"/>
    </row>
    <row r="324" spans="1:9" s="2" customFormat="1" ht="15.75" customHeight="1" x14ac:dyDescent="0.25">
      <c r="A324" s="195" t="s">
        <v>192</v>
      </c>
      <c r="B324" s="195"/>
      <c r="C324" s="195"/>
      <c r="D324" s="195"/>
      <c r="E324" s="195"/>
      <c r="F324" s="195"/>
      <c r="G324" s="195"/>
      <c r="H324" s="195"/>
    </row>
    <row r="325" spans="1:9" s="2" customFormat="1" x14ac:dyDescent="0.25">
      <c r="A325" s="133">
        <v>9</v>
      </c>
      <c r="B325" s="133"/>
      <c r="C325" s="21" t="s">
        <v>164</v>
      </c>
      <c r="D325" s="21">
        <f>18.52*10.764</f>
        <v>199.34927999999999</v>
      </c>
      <c r="E325" s="21">
        <v>0</v>
      </c>
      <c r="F325" s="21">
        <f t="shared" ref="F325:F332" si="3">D325*1.6</f>
        <v>318.95884799999999</v>
      </c>
      <c r="G325" s="134" t="str">
        <f>A324</f>
        <v>Ground Floor for Parking &amp; Commercial</v>
      </c>
      <c r="H325" s="135"/>
    </row>
    <row r="326" spans="1:9" s="2" customFormat="1" x14ac:dyDescent="0.25">
      <c r="A326" s="133">
        <v>10</v>
      </c>
      <c r="B326" s="133"/>
      <c r="C326" s="21" t="s">
        <v>164</v>
      </c>
      <c r="D326" s="21">
        <f t="shared" ref="D326:D331" si="4">15.74*10.764</f>
        <v>169.42535999999998</v>
      </c>
      <c r="E326" s="21">
        <v>0</v>
      </c>
      <c r="F326" s="21">
        <f t="shared" si="3"/>
        <v>271.08057600000001</v>
      </c>
      <c r="G326" s="136"/>
      <c r="H326" s="137"/>
    </row>
    <row r="327" spans="1:9" s="2" customFormat="1" x14ac:dyDescent="0.25">
      <c r="A327" s="133">
        <v>11</v>
      </c>
      <c r="B327" s="133"/>
      <c r="C327" s="21" t="s">
        <v>164</v>
      </c>
      <c r="D327" s="21">
        <f t="shared" si="4"/>
        <v>169.42535999999998</v>
      </c>
      <c r="E327" s="21">
        <v>0</v>
      </c>
      <c r="F327" s="21">
        <f t="shared" si="3"/>
        <v>271.08057600000001</v>
      </c>
      <c r="G327" s="136"/>
      <c r="H327" s="137"/>
    </row>
    <row r="328" spans="1:9" s="2" customFormat="1" x14ac:dyDescent="0.25">
      <c r="A328" s="133">
        <v>12</v>
      </c>
      <c r="B328" s="133"/>
      <c r="C328" s="21" t="s">
        <v>164</v>
      </c>
      <c r="D328" s="21">
        <f t="shared" si="4"/>
        <v>169.42535999999998</v>
      </c>
      <c r="E328" s="21">
        <v>0</v>
      </c>
      <c r="F328" s="21">
        <f t="shared" si="3"/>
        <v>271.08057600000001</v>
      </c>
      <c r="G328" s="136"/>
      <c r="H328" s="137"/>
    </row>
    <row r="329" spans="1:9" s="2" customFormat="1" x14ac:dyDescent="0.25">
      <c r="A329" s="133">
        <v>13</v>
      </c>
      <c r="B329" s="133"/>
      <c r="C329" s="21" t="s">
        <v>164</v>
      </c>
      <c r="D329" s="21">
        <f t="shared" si="4"/>
        <v>169.42535999999998</v>
      </c>
      <c r="E329" s="21">
        <v>0</v>
      </c>
      <c r="F329" s="21">
        <f t="shared" si="3"/>
        <v>271.08057600000001</v>
      </c>
      <c r="G329" s="136"/>
      <c r="H329" s="137"/>
    </row>
    <row r="330" spans="1:9" s="2" customFormat="1" x14ac:dyDescent="0.25">
      <c r="A330" s="133">
        <v>14</v>
      </c>
      <c r="B330" s="133"/>
      <c r="C330" s="21" t="s">
        <v>164</v>
      </c>
      <c r="D330" s="21">
        <f t="shared" si="4"/>
        <v>169.42535999999998</v>
      </c>
      <c r="E330" s="21">
        <v>0</v>
      </c>
      <c r="F330" s="21">
        <f t="shared" si="3"/>
        <v>271.08057600000001</v>
      </c>
      <c r="G330" s="136"/>
      <c r="H330" s="137"/>
    </row>
    <row r="331" spans="1:9" s="2" customFormat="1" x14ac:dyDescent="0.25">
      <c r="A331" s="133">
        <v>15</v>
      </c>
      <c r="B331" s="133"/>
      <c r="C331" s="21" t="s">
        <v>164</v>
      </c>
      <c r="D331" s="21">
        <f t="shared" si="4"/>
        <v>169.42535999999998</v>
      </c>
      <c r="E331" s="21">
        <v>0</v>
      </c>
      <c r="F331" s="21">
        <f t="shared" si="3"/>
        <v>271.08057600000001</v>
      </c>
      <c r="G331" s="136"/>
      <c r="H331" s="137"/>
    </row>
    <row r="332" spans="1:9" s="2" customFormat="1" x14ac:dyDescent="0.25">
      <c r="A332" s="133">
        <v>16</v>
      </c>
      <c r="B332" s="133"/>
      <c r="C332" s="21" t="s">
        <v>164</v>
      </c>
      <c r="D332" s="21">
        <f>17.74*10.764</f>
        <v>190.95335999999998</v>
      </c>
      <c r="E332" s="21">
        <v>0</v>
      </c>
      <c r="F332" s="21">
        <f t="shared" si="3"/>
        <v>305.52537599999999</v>
      </c>
      <c r="G332" s="138"/>
      <c r="H332" s="139"/>
    </row>
    <row r="333" spans="1:9" s="2" customFormat="1" ht="15.75" customHeight="1" x14ac:dyDescent="0.25">
      <c r="A333" s="144" t="s">
        <v>193</v>
      </c>
      <c r="B333" s="145"/>
      <c r="C333" s="145"/>
      <c r="D333" s="145"/>
      <c r="E333" s="145"/>
      <c r="F333" s="145"/>
      <c r="G333" s="145"/>
      <c r="H333" s="146"/>
    </row>
    <row r="334" spans="1:9" s="2" customFormat="1" x14ac:dyDescent="0.25">
      <c r="A334" s="133">
        <v>1</v>
      </c>
      <c r="B334" s="133"/>
      <c r="C334" s="21" t="s">
        <v>183</v>
      </c>
      <c r="D334" s="21">
        <f>(37.51+1.5*2.52)*10.764</f>
        <v>444.44555999999994</v>
      </c>
      <c r="E334" s="21">
        <f>(3.2*3.3+2.52*0.75+2.1*0.75+2.3*3.3)*10.764</f>
        <v>232.66386</v>
      </c>
      <c r="F334" s="21">
        <f>D334*1.5+E334</f>
        <v>899.33219999999994</v>
      </c>
      <c r="G334" s="134" t="str">
        <f>A333</f>
        <v>1st Floor for Residential</v>
      </c>
      <c r="H334" s="135"/>
    </row>
    <row r="335" spans="1:9" s="2" customFormat="1" x14ac:dyDescent="0.25">
      <c r="A335" s="133">
        <v>2</v>
      </c>
      <c r="B335" s="133"/>
      <c r="C335" s="21" t="s">
        <v>183</v>
      </c>
      <c r="D335" s="21">
        <f>(37.51+1.5*2.52)*10.764</f>
        <v>444.44555999999994</v>
      </c>
      <c r="E335" s="21">
        <f>(3.2*3.3+2.52*0.75+2.1*0.75+2.3*3.3)*10.764</f>
        <v>232.66386</v>
      </c>
      <c r="F335" s="21">
        <f>D335*1.5+E335</f>
        <v>899.33219999999994</v>
      </c>
      <c r="G335" s="136"/>
      <c r="H335" s="137"/>
    </row>
    <row r="336" spans="1:9" s="2" customFormat="1" x14ac:dyDescent="0.25">
      <c r="A336" s="133">
        <v>3</v>
      </c>
      <c r="B336" s="133"/>
      <c r="C336" s="21" t="s">
        <v>183</v>
      </c>
      <c r="D336" s="21">
        <f>(37.51+1.5*2.52+(2.52+2.1+2.2)*0.75)*10.764</f>
        <v>499.50342000000001</v>
      </c>
      <c r="E336" s="21">
        <f>2.4*1.5*10.764</f>
        <v>38.750399999999992</v>
      </c>
      <c r="F336" s="21">
        <f>D336*1.5+E336</f>
        <v>788.00553000000002</v>
      </c>
      <c r="G336" s="136"/>
      <c r="H336" s="137"/>
      <c r="I336" s="2">
        <f>3013500/F336</f>
        <v>3824.2117412551661</v>
      </c>
    </row>
    <row r="337" spans="1:8" s="2" customFormat="1" x14ac:dyDescent="0.25">
      <c r="A337" s="133">
        <v>4</v>
      </c>
      <c r="B337" s="133"/>
      <c r="C337" s="21" t="s">
        <v>183</v>
      </c>
      <c r="D337" s="21">
        <f>(37.51+1.5*2.52+(2.52+2.1+2.2)*0.75)*10.764</f>
        <v>499.50342000000001</v>
      </c>
      <c r="E337" s="21">
        <f>2.4*1.5*10.764</f>
        <v>38.750399999999992</v>
      </c>
      <c r="F337" s="21">
        <f>D337*1.5+E337</f>
        <v>788.00553000000002</v>
      </c>
      <c r="G337" s="138"/>
      <c r="H337" s="139"/>
    </row>
    <row r="338" spans="1:8" s="2" customFormat="1" ht="15.6" customHeight="1" x14ac:dyDescent="0.25">
      <c r="A338" s="144" t="s">
        <v>227</v>
      </c>
      <c r="B338" s="145"/>
      <c r="C338" s="145"/>
      <c r="D338" s="145"/>
      <c r="E338" s="145"/>
      <c r="F338" s="145"/>
      <c r="G338" s="145"/>
      <c r="H338" s="146"/>
    </row>
    <row r="339" spans="1:8" s="2" customFormat="1" x14ac:dyDescent="0.25">
      <c r="A339" s="133">
        <v>1</v>
      </c>
      <c r="B339" s="133"/>
      <c r="C339" s="21" t="s">
        <v>183</v>
      </c>
      <c r="D339" s="21">
        <f>(37.51+1.5*2.52+(2.52+2.1+2.2)*0.75)*10.764</f>
        <v>499.50342000000001</v>
      </c>
      <c r="E339" s="21">
        <f>2.2*1.5*10.764</f>
        <v>35.5212</v>
      </c>
      <c r="F339" s="21">
        <f>D339*1.5+E339</f>
        <v>784.77633000000003</v>
      </c>
      <c r="G339" s="134" t="str">
        <f>A338</f>
        <v>2nd, 4th, 6th, 10th &amp; 12th Floor</v>
      </c>
      <c r="H339" s="135"/>
    </row>
    <row r="340" spans="1:8" s="2" customFormat="1" x14ac:dyDescent="0.25">
      <c r="A340" s="133">
        <v>2</v>
      </c>
      <c r="B340" s="133"/>
      <c r="C340" s="21" t="s">
        <v>183</v>
      </c>
      <c r="D340" s="21">
        <f>(37.51+1.5*2.52+(2.52+2.1+2.2)*0.75)*10.764</f>
        <v>499.50342000000001</v>
      </c>
      <c r="E340" s="21">
        <f>2.2*1.5*10.764</f>
        <v>35.5212</v>
      </c>
      <c r="F340" s="21">
        <f>D340*1.5+E340</f>
        <v>784.77633000000003</v>
      </c>
      <c r="G340" s="136"/>
      <c r="H340" s="137"/>
    </row>
    <row r="341" spans="1:8" s="2" customFormat="1" x14ac:dyDescent="0.25">
      <c r="A341" s="133">
        <v>3</v>
      </c>
      <c r="B341" s="133"/>
      <c r="C341" s="21" t="s">
        <v>183</v>
      </c>
      <c r="D341" s="21">
        <f>(37.51+1.5*2.52+(2.2+2.52+2.1)*0.75)*10.764</f>
        <v>499.50342000000001</v>
      </c>
      <c r="E341" s="21">
        <f>2.2*1.5*10.764</f>
        <v>35.5212</v>
      </c>
      <c r="F341" s="21">
        <f>D341*1.5+E341</f>
        <v>784.77633000000003</v>
      </c>
      <c r="G341" s="136"/>
      <c r="H341" s="137"/>
    </row>
    <row r="342" spans="1:8" s="2" customFormat="1" x14ac:dyDescent="0.25">
      <c r="A342" s="133">
        <v>4</v>
      </c>
      <c r="B342" s="133"/>
      <c r="C342" s="21" t="s">
        <v>183</v>
      </c>
      <c r="D342" s="21">
        <f>(37.51+1.5*2.52+(2.2+2.52+2.1)*0.75)*10.764</f>
        <v>499.50342000000001</v>
      </c>
      <c r="E342" s="21">
        <f>2.2*1.5*10.764</f>
        <v>35.5212</v>
      </c>
      <c r="F342" s="21">
        <f>D342*1.5+E342</f>
        <v>784.77633000000003</v>
      </c>
      <c r="G342" s="138"/>
      <c r="H342" s="139"/>
    </row>
    <row r="343" spans="1:8" s="2" customFormat="1" x14ac:dyDescent="0.25">
      <c r="A343" s="140"/>
      <c r="B343" s="141"/>
      <c r="C343" s="141"/>
      <c r="D343" s="141"/>
      <c r="E343" s="141"/>
      <c r="F343" s="141"/>
      <c r="G343" s="141"/>
      <c r="H343" s="142"/>
    </row>
    <row r="344" spans="1:8" s="2" customFormat="1" ht="15.6" customHeight="1" x14ac:dyDescent="0.25">
      <c r="A344" s="144" t="s">
        <v>263</v>
      </c>
      <c r="B344" s="145"/>
      <c r="C344" s="145"/>
      <c r="D344" s="145"/>
      <c r="E344" s="145"/>
      <c r="F344" s="145"/>
      <c r="G344" s="145"/>
      <c r="H344" s="146"/>
    </row>
    <row r="345" spans="1:8" s="2" customFormat="1" x14ac:dyDescent="0.25">
      <c r="A345" s="21">
        <v>1</v>
      </c>
      <c r="B345" s="21">
        <v>4</v>
      </c>
      <c r="C345" s="21" t="s">
        <v>183</v>
      </c>
      <c r="D345" s="21">
        <f>(37.51+1.5*2.52+(2.52+2.1+2.2)*0.75)*10.764</f>
        <v>499.50342000000001</v>
      </c>
      <c r="E345" s="21">
        <f>2.2*1.5*10.764</f>
        <v>35.5212</v>
      </c>
      <c r="F345" s="21">
        <f>D345*1.5+E345</f>
        <v>784.77633000000003</v>
      </c>
      <c r="G345" s="134" t="str">
        <f>A344</f>
        <v>8th Floor (Part Refuge Area)</v>
      </c>
      <c r="H345" s="135"/>
    </row>
    <row r="346" spans="1:8" s="2" customFormat="1" x14ac:dyDescent="0.25">
      <c r="A346" s="21">
        <v>2</v>
      </c>
      <c r="B346" s="21">
        <v>3</v>
      </c>
      <c r="C346" s="21" t="s">
        <v>183</v>
      </c>
      <c r="D346" s="21">
        <f>(37.51+1.5*2.52+(2.52+2.1+2.2)*0.75)*10.764</f>
        <v>499.50342000000001</v>
      </c>
      <c r="E346" s="21">
        <f>2.2*1.5*10.764</f>
        <v>35.5212</v>
      </c>
      <c r="F346" s="21">
        <f>D346*1.5+E346</f>
        <v>784.77633000000003</v>
      </c>
      <c r="G346" s="136"/>
      <c r="H346" s="137"/>
    </row>
    <row r="347" spans="1:8" s="2" customFormat="1" x14ac:dyDescent="0.25">
      <c r="A347" s="21">
        <v>3</v>
      </c>
      <c r="B347" s="21">
        <v>2</v>
      </c>
      <c r="C347" s="134" t="s">
        <v>176</v>
      </c>
      <c r="D347" s="294"/>
      <c r="E347" s="294"/>
      <c r="F347" s="135"/>
      <c r="G347" s="136"/>
      <c r="H347" s="137"/>
    </row>
    <row r="348" spans="1:8" s="2" customFormat="1" x14ac:dyDescent="0.25">
      <c r="A348" s="21">
        <v>4</v>
      </c>
      <c r="B348" s="21">
        <v>1</v>
      </c>
      <c r="C348" s="138"/>
      <c r="D348" s="295"/>
      <c r="E348" s="295"/>
      <c r="F348" s="139"/>
      <c r="G348" s="138"/>
      <c r="H348" s="139"/>
    </row>
    <row r="349" spans="1:8" s="2" customFormat="1" ht="15.6" customHeight="1" x14ac:dyDescent="0.25">
      <c r="A349" s="144" t="s">
        <v>174</v>
      </c>
      <c r="B349" s="145"/>
      <c r="C349" s="145"/>
      <c r="D349" s="145"/>
      <c r="E349" s="145"/>
      <c r="F349" s="145"/>
      <c r="G349" s="145"/>
      <c r="H349" s="146"/>
    </row>
    <row r="350" spans="1:8" s="2" customFormat="1" x14ac:dyDescent="0.25">
      <c r="A350" s="133">
        <v>1</v>
      </c>
      <c r="B350" s="133"/>
      <c r="C350" s="21" t="s">
        <v>183</v>
      </c>
      <c r="D350" s="21">
        <f>(37.51+1.5*2.52+(2.52+2.1+2.2)*0.75)*10.764</f>
        <v>499.50342000000001</v>
      </c>
      <c r="E350" s="21">
        <f>2.4*1.5*10.764</f>
        <v>38.750399999999992</v>
      </c>
      <c r="F350" s="21">
        <f>D350*1.5+E350</f>
        <v>788.00553000000002</v>
      </c>
      <c r="G350" s="134" t="str">
        <f>A349</f>
        <v>3rd, 5th, 7th, 9th &amp; 11th Floor</v>
      </c>
      <c r="H350" s="135"/>
    </row>
    <row r="351" spans="1:8" s="2" customFormat="1" x14ac:dyDescent="0.25">
      <c r="A351" s="133">
        <v>2</v>
      </c>
      <c r="B351" s="133"/>
      <c r="C351" s="21" t="s">
        <v>183</v>
      </c>
      <c r="D351" s="21">
        <f>(37.51+1.5*2.52+(2.52+2.1+2.2)*0.75)*10.764</f>
        <v>499.50342000000001</v>
      </c>
      <c r="E351" s="21">
        <f>2.4*1.5*10.764</f>
        <v>38.750399999999992</v>
      </c>
      <c r="F351" s="21">
        <f>D351*1.5+E351</f>
        <v>788.00553000000002</v>
      </c>
      <c r="G351" s="136"/>
      <c r="H351" s="137"/>
    </row>
    <row r="352" spans="1:8" s="2" customFormat="1" x14ac:dyDescent="0.25">
      <c r="A352" s="133">
        <v>3</v>
      </c>
      <c r="B352" s="133"/>
      <c r="C352" s="21" t="s">
        <v>183</v>
      </c>
      <c r="D352" s="21">
        <f>(37.51+1.5*2.52+(2.2+2.52+2.1)*0.75)*10.764</f>
        <v>499.50342000000001</v>
      </c>
      <c r="E352" s="21">
        <f>2.4*1.5*10.764</f>
        <v>38.750399999999992</v>
      </c>
      <c r="F352" s="21">
        <f>D352*1.5+E352</f>
        <v>788.00553000000002</v>
      </c>
      <c r="G352" s="136"/>
      <c r="H352" s="137"/>
    </row>
    <row r="353" spans="1:8" s="2" customFormat="1" x14ac:dyDescent="0.25">
      <c r="A353" s="133">
        <v>4</v>
      </c>
      <c r="B353" s="133"/>
      <c r="C353" s="21" t="s">
        <v>183</v>
      </c>
      <c r="D353" s="21">
        <f>(37.51+1.5*2.52+(2.2+2.52+2.1)*0.75)*10.764</f>
        <v>499.50342000000001</v>
      </c>
      <c r="E353" s="21">
        <f>2.4*1.5*10.764</f>
        <v>38.750399999999992</v>
      </c>
      <c r="F353" s="21">
        <f>D353*1.5+E353</f>
        <v>788.00553000000002</v>
      </c>
      <c r="G353" s="138"/>
      <c r="H353" s="139"/>
    </row>
    <row r="354" spans="1:8" s="2" customFormat="1" ht="15.6" customHeight="1" x14ac:dyDescent="0.25">
      <c r="A354" s="144" t="s">
        <v>177</v>
      </c>
      <c r="B354" s="145"/>
      <c r="C354" s="145"/>
      <c r="D354" s="145"/>
      <c r="E354" s="145"/>
      <c r="F354" s="145"/>
      <c r="G354" s="145"/>
      <c r="H354" s="146"/>
    </row>
    <row r="355" spans="1:8" s="2" customFormat="1" x14ac:dyDescent="0.25">
      <c r="A355" s="133">
        <v>1</v>
      </c>
      <c r="B355" s="133"/>
      <c r="C355" s="140" t="s">
        <v>176</v>
      </c>
      <c r="D355" s="141"/>
      <c r="E355" s="141"/>
      <c r="F355" s="142"/>
      <c r="G355" s="134" t="str">
        <f>A354</f>
        <v>13th Floor(Part Refuge Area)</v>
      </c>
      <c r="H355" s="135"/>
    </row>
    <row r="356" spans="1:8" s="2" customFormat="1" x14ac:dyDescent="0.25">
      <c r="A356" s="133">
        <v>2</v>
      </c>
      <c r="B356" s="133"/>
      <c r="C356" s="21" t="s">
        <v>183</v>
      </c>
      <c r="D356" s="21">
        <f>(37.51+1.5*2.52+(2.52+2.1+2.2)*0.75)*10.764</f>
        <v>499.50342000000001</v>
      </c>
      <c r="E356" s="21">
        <f>2.4*1.5*10.764</f>
        <v>38.750399999999992</v>
      </c>
      <c r="F356" s="21">
        <f>D356*1.5+E356</f>
        <v>788.00553000000002</v>
      </c>
      <c r="G356" s="136"/>
      <c r="H356" s="137"/>
    </row>
    <row r="357" spans="1:8" s="2" customFormat="1" x14ac:dyDescent="0.25">
      <c r="A357" s="133">
        <v>3</v>
      </c>
      <c r="B357" s="133"/>
      <c r="C357" s="21" t="s">
        <v>183</v>
      </c>
      <c r="D357" s="21">
        <f>(37.51+1.5*2.52+(2.2+2.52+2.1)*0.75)*10.764</f>
        <v>499.50342000000001</v>
      </c>
      <c r="E357" s="21">
        <f>2.4*1.5*10.764</f>
        <v>38.750399999999992</v>
      </c>
      <c r="F357" s="21">
        <f>D357*1.5+E357</f>
        <v>788.00553000000002</v>
      </c>
      <c r="G357" s="136"/>
      <c r="H357" s="137"/>
    </row>
    <row r="358" spans="1:8" s="2" customFormat="1" x14ac:dyDescent="0.25">
      <c r="A358" s="133">
        <v>4</v>
      </c>
      <c r="B358" s="133"/>
      <c r="C358" s="21" t="s">
        <v>183</v>
      </c>
      <c r="D358" s="21">
        <f>(37.51+1.5*2.52+(2.2+2.52+2.1)*0.75)*10.764</f>
        <v>499.50342000000001</v>
      </c>
      <c r="E358" s="21">
        <f>2.4*1.5*10.764</f>
        <v>38.750399999999992</v>
      </c>
      <c r="F358" s="21">
        <f>D358*1.5+E358</f>
        <v>788.00553000000002</v>
      </c>
      <c r="G358" s="138"/>
      <c r="H358" s="139"/>
    </row>
    <row r="359" spans="1:8" s="2" customFormat="1" ht="15.6" customHeight="1" x14ac:dyDescent="0.25">
      <c r="A359" s="144" t="s">
        <v>250</v>
      </c>
      <c r="B359" s="145"/>
      <c r="C359" s="145"/>
      <c r="D359" s="145"/>
      <c r="E359" s="145"/>
      <c r="F359" s="145"/>
      <c r="G359" s="145"/>
      <c r="H359" s="146"/>
    </row>
    <row r="360" spans="1:8" s="2" customFormat="1" x14ac:dyDescent="0.25">
      <c r="A360" s="133">
        <v>1</v>
      </c>
      <c r="B360" s="133"/>
      <c r="C360" s="21" t="s">
        <v>183</v>
      </c>
      <c r="D360" s="21">
        <f>(37.51+1.5*2.52+(2.52+2.1+2.2)*0.75)*10.764</f>
        <v>499.50342000000001</v>
      </c>
      <c r="E360" s="21">
        <f>2.2*1.5*10.764</f>
        <v>35.5212</v>
      </c>
      <c r="F360" s="21">
        <f>D360*1.5+E360</f>
        <v>784.77633000000003</v>
      </c>
      <c r="G360" s="134" t="str">
        <f>A359</f>
        <v>14th Floor</v>
      </c>
      <c r="H360" s="135"/>
    </row>
    <row r="361" spans="1:8" s="2" customFormat="1" x14ac:dyDescent="0.25">
      <c r="A361" s="133">
        <v>2</v>
      </c>
      <c r="B361" s="133"/>
      <c r="C361" s="21" t="s">
        <v>183</v>
      </c>
      <c r="D361" s="21">
        <f>(37.51+1.5*2.52+(2.52+2.1+2.2)*0.75)*10.764</f>
        <v>499.50342000000001</v>
      </c>
      <c r="E361" s="21">
        <f>2.2*1.5*10.764</f>
        <v>35.5212</v>
      </c>
      <c r="F361" s="21">
        <f>D361*1.5+E361</f>
        <v>784.77633000000003</v>
      </c>
      <c r="G361" s="136"/>
      <c r="H361" s="137"/>
    </row>
    <row r="362" spans="1:8" s="2" customFormat="1" x14ac:dyDescent="0.25">
      <c r="A362" s="133">
        <v>3</v>
      </c>
      <c r="B362" s="133"/>
      <c r="C362" s="21" t="s">
        <v>183</v>
      </c>
      <c r="D362" s="21">
        <f>(37.51+1.5*2.52+(2.2+2.52+2.1)*0.75)*10.764</f>
        <v>499.50342000000001</v>
      </c>
      <c r="E362" s="21">
        <f>2.2*1.5*10.764</f>
        <v>35.5212</v>
      </c>
      <c r="F362" s="21">
        <f>D362*1.5+E362</f>
        <v>784.77633000000003</v>
      </c>
      <c r="G362" s="136"/>
      <c r="H362" s="137"/>
    </row>
    <row r="363" spans="1:8" s="2" customFormat="1" x14ac:dyDescent="0.25">
      <c r="A363" s="133">
        <v>4</v>
      </c>
      <c r="B363" s="133"/>
      <c r="C363" s="21" t="s">
        <v>183</v>
      </c>
      <c r="D363" s="21">
        <f>(37.51+1.5*2.52+(2.2+2.52+2.1)*0.75)*10.764</f>
        <v>499.50342000000001</v>
      </c>
      <c r="E363" s="21">
        <f>2.2*1.5*10.764</f>
        <v>35.5212</v>
      </c>
      <c r="F363" s="21">
        <f>D363*1.5+E363</f>
        <v>784.77633000000003</v>
      </c>
      <c r="G363" s="138"/>
      <c r="H363" s="139"/>
    </row>
    <row r="364" spans="1:8" s="2" customFormat="1" x14ac:dyDescent="0.25">
      <c r="A364" s="195" t="s">
        <v>216</v>
      </c>
      <c r="B364" s="195"/>
      <c r="C364" s="195"/>
      <c r="D364" s="195"/>
      <c r="E364" s="195"/>
      <c r="F364" s="195"/>
      <c r="G364" s="195"/>
      <c r="H364" s="195"/>
    </row>
    <row r="365" spans="1:8" s="2" customFormat="1" ht="15.75" customHeight="1" x14ac:dyDescent="0.25">
      <c r="A365" s="195" t="s">
        <v>192</v>
      </c>
      <c r="B365" s="195"/>
      <c r="C365" s="195"/>
      <c r="D365" s="195"/>
      <c r="E365" s="195"/>
      <c r="F365" s="195"/>
      <c r="G365" s="195"/>
      <c r="H365" s="195"/>
    </row>
    <row r="366" spans="1:8" s="2" customFormat="1" ht="15.75" customHeight="1" x14ac:dyDescent="0.25">
      <c r="A366" s="133">
        <v>1</v>
      </c>
      <c r="B366" s="133"/>
      <c r="C366" s="21" t="s">
        <v>164</v>
      </c>
      <c r="D366" s="21">
        <f>18.04*10.764</f>
        <v>194.18255999999997</v>
      </c>
      <c r="E366" s="21">
        <v>0</v>
      </c>
      <c r="F366" s="21">
        <f>D366*1.6</f>
        <v>310.69209599999999</v>
      </c>
      <c r="G366" s="133" t="str">
        <f>A365</f>
        <v>Ground Floor for Parking &amp; Commercial</v>
      </c>
      <c r="H366" s="133"/>
    </row>
    <row r="367" spans="1:8" s="2" customFormat="1" x14ac:dyDescent="0.25">
      <c r="A367" s="133">
        <v>2</v>
      </c>
      <c r="B367" s="133"/>
      <c r="C367" s="21" t="s">
        <v>164</v>
      </c>
      <c r="D367" s="21">
        <f>15.74*10.764</f>
        <v>169.42535999999998</v>
      </c>
      <c r="E367" s="21">
        <v>0</v>
      </c>
      <c r="F367" s="21">
        <f t="shared" ref="F367:F373" si="5">D367*1.6</f>
        <v>271.08057600000001</v>
      </c>
      <c r="G367" s="133"/>
      <c r="H367" s="133"/>
    </row>
    <row r="368" spans="1:8" s="2" customFormat="1" x14ac:dyDescent="0.25">
      <c r="A368" s="133">
        <v>3</v>
      </c>
      <c r="B368" s="133"/>
      <c r="C368" s="21" t="s">
        <v>164</v>
      </c>
      <c r="D368" s="21">
        <f>15.74*10.764</f>
        <v>169.42535999999998</v>
      </c>
      <c r="E368" s="21">
        <v>0</v>
      </c>
      <c r="F368" s="21">
        <f t="shared" si="5"/>
        <v>271.08057600000001</v>
      </c>
      <c r="G368" s="133"/>
      <c r="H368" s="133"/>
    </row>
    <row r="369" spans="1:8" s="2" customFormat="1" x14ac:dyDescent="0.25">
      <c r="A369" s="133">
        <v>4</v>
      </c>
      <c r="B369" s="133"/>
      <c r="C369" s="21" t="s">
        <v>164</v>
      </c>
      <c r="D369" s="21">
        <f>15.74*10.764</f>
        <v>169.42535999999998</v>
      </c>
      <c r="E369" s="21">
        <v>0</v>
      </c>
      <c r="F369" s="21">
        <f t="shared" si="5"/>
        <v>271.08057600000001</v>
      </c>
      <c r="G369" s="133"/>
      <c r="H369" s="133"/>
    </row>
    <row r="370" spans="1:8" s="2" customFormat="1" x14ac:dyDescent="0.25">
      <c r="A370" s="133">
        <v>5</v>
      </c>
      <c r="B370" s="133"/>
      <c r="C370" s="21" t="s">
        <v>164</v>
      </c>
      <c r="D370" s="21">
        <f>15.74*10.764</f>
        <v>169.42535999999998</v>
      </c>
      <c r="E370" s="21">
        <v>0</v>
      </c>
      <c r="F370" s="21">
        <f t="shared" si="5"/>
        <v>271.08057600000001</v>
      </c>
      <c r="G370" s="133"/>
      <c r="H370" s="133"/>
    </row>
    <row r="371" spans="1:8" s="2" customFormat="1" x14ac:dyDescent="0.25">
      <c r="A371" s="133">
        <v>6</v>
      </c>
      <c r="B371" s="133"/>
      <c r="C371" s="21" t="s">
        <v>164</v>
      </c>
      <c r="D371" s="21">
        <f>15.74*10.764</f>
        <v>169.42535999999998</v>
      </c>
      <c r="E371" s="21">
        <v>0</v>
      </c>
      <c r="F371" s="21">
        <f t="shared" si="5"/>
        <v>271.08057600000001</v>
      </c>
      <c r="G371" s="133"/>
      <c r="H371" s="133"/>
    </row>
    <row r="372" spans="1:8" s="2" customFormat="1" x14ac:dyDescent="0.25">
      <c r="A372" s="133">
        <v>7</v>
      </c>
      <c r="B372" s="133"/>
      <c r="C372" s="21" t="s">
        <v>164</v>
      </c>
      <c r="D372" s="21">
        <f>18.13*10.764</f>
        <v>195.15131999999997</v>
      </c>
      <c r="E372" s="21">
        <v>0</v>
      </c>
      <c r="F372" s="21">
        <f t="shared" si="5"/>
        <v>312.24211199999996</v>
      </c>
      <c r="G372" s="133"/>
      <c r="H372" s="133"/>
    </row>
    <row r="373" spans="1:8" s="2" customFormat="1" x14ac:dyDescent="0.25">
      <c r="A373" s="133">
        <v>8</v>
      </c>
      <c r="B373" s="133"/>
      <c r="C373" s="21" t="s">
        <v>164</v>
      </c>
      <c r="D373" s="21">
        <f>18.52*10.764</f>
        <v>199.34927999999999</v>
      </c>
      <c r="E373" s="21">
        <v>0</v>
      </c>
      <c r="F373" s="21">
        <f t="shared" si="5"/>
        <v>318.95884799999999</v>
      </c>
      <c r="G373" s="133"/>
      <c r="H373" s="133"/>
    </row>
    <row r="374" spans="1:8" s="2" customFormat="1" ht="15.75" customHeight="1" x14ac:dyDescent="0.25">
      <c r="A374" s="144" t="s">
        <v>193</v>
      </c>
      <c r="B374" s="145"/>
      <c r="C374" s="145"/>
      <c r="D374" s="145"/>
      <c r="E374" s="145"/>
      <c r="F374" s="145"/>
      <c r="G374" s="145"/>
      <c r="H374" s="146"/>
    </row>
    <row r="375" spans="1:8" s="2" customFormat="1" ht="15.75" customHeight="1" x14ac:dyDescent="0.25">
      <c r="A375" s="133">
        <v>1</v>
      </c>
      <c r="B375" s="133"/>
      <c r="C375" s="21" t="s">
        <v>183</v>
      </c>
      <c r="D375" s="21">
        <f>(37.51+1.5*2.52)*10.764</f>
        <v>444.44555999999994</v>
      </c>
      <c r="E375" s="21">
        <f>(3.2*3.3+2.52*0.75+2.1*0.75+2.3*3.3)*10.764</f>
        <v>232.66386</v>
      </c>
      <c r="F375" s="21">
        <f>D375*1.5+E375/2</f>
        <v>783.00027</v>
      </c>
      <c r="G375" s="134" t="str">
        <f>A374</f>
        <v>1st Floor for Residential</v>
      </c>
      <c r="H375" s="135"/>
    </row>
    <row r="376" spans="1:8" s="2" customFormat="1" x14ac:dyDescent="0.25">
      <c r="A376" s="133">
        <v>2</v>
      </c>
      <c r="B376" s="133"/>
      <c r="C376" s="21" t="s">
        <v>183</v>
      </c>
      <c r="D376" s="21">
        <f>(36.84+2.52*1.5)*10.764</f>
        <v>437.23368000000005</v>
      </c>
      <c r="E376" s="21">
        <f>(3.2*3.3+2.52*0.75+2.1*0.75+2.3*3.3)*10.764</f>
        <v>232.66386</v>
      </c>
      <c r="F376" s="21">
        <f>D376*1.5+E376/2</f>
        <v>772.18245000000002</v>
      </c>
      <c r="G376" s="136"/>
      <c r="H376" s="137"/>
    </row>
    <row r="377" spans="1:8" s="2" customFormat="1" x14ac:dyDescent="0.25">
      <c r="A377" s="133">
        <v>3</v>
      </c>
      <c r="B377" s="133"/>
      <c r="C377" s="21" t="s">
        <v>183</v>
      </c>
      <c r="D377" s="21">
        <f>(36.84+2.52*1.5+(2.52+2.1+2.2)*0.75)*10.764</f>
        <v>492.29154000000005</v>
      </c>
      <c r="E377" s="21">
        <f>2.4*1.5*10.764</f>
        <v>38.750399999999992</v>
      </c>
      <c r="F377" s="21">
        <f>D377*1.5+E377</f>
        <v>777.18771000000004</v>
      </c>
      <c r="G377" s="136"/>
      <c r="H377" s="137"/>
    </row>
    <row r="378" spans="1:8" s="2" customFormat="1" x14ac:dyDescent="0.25">
      <c r="A378" s="133">
        <v>4</v>
      </c>
      <c r="B378" s="133"/>
      <c r="C378" s="21" t="s">
        <v>183</v>
      </c>
      <c r="D378" s="21">
        <f>(37.51+1.5*2.52+(2.52+2.1+2.2)*0.75)*10.764</f>
        <v>499.50342000000001</v>
      </c>
      <c r="E378" s="21">
        <f>2.4*1.5*10.764</f>
        <v>38.750399999999992</v>
      </c>
      <c r="F378" s="21">
        <f>D378*1.5+E378</f>
        <v>788.00553000000002</v>
      </c>
      <c r="G378" s="138"/>
      <c r="H378" s="139"/>
    </row>
    <row r="379" spans="1:8" s="2" customFormat="1" ht="15.6" customHeight="1" x14ac:dyDescent="0.25">
      <c r="A379" s="144" t="s">
        <v>227</v>
      </c>
      <c r="B379" s="145"/>
      <c r="C379" s="145"/>
      <c r="D379" s="145"/>
      <c r="E379" s="145"/>
      <c r="F379" s="145"/>
      <c r="G379" s="145"/>
      <c r="H379" s="146"/>
    </row>
    <row r="380" spans="1:8" s="2" customFormat="1" ht="15.75" customHeight="1" x14ac:dyDescent="0.25">
      <c r="A380" s="133">
        <v>1</v>
      </c>
      <c r="B380" s="133"/>
      <c r="C380" s="21" t="s">
        <v>183</v>
      </c>
      <c r="D380" s="21">
        <f>(37.51+1.5*2.52+(2.2+2.52+2.1)*0.75)*10.764</f>
        <v>499.50342000000001</v>
      </c>
      <c r="E380" s="21">
        <f>2.2*1.5*10.764</f>
        <v>35.5212</v>
      </c>
      <c r="F380" s="21">
        <f>D380*1.5+E380/2</f>
        <v>767.01572999999996</v>
      </c>
      <c r="G380" s="134" t="str">
        <f>A379</f>
        <v>2nd, 4th, 6th, 10th &amp; 12th Floor</v>
      </c>
      <c r="H380" s="135"/>
    </row>
    <row r="381" spans="1:8" s="2" customFormat="1" x14ac:dyDescent="0.25">
      <c r="A381" s="133">
        <v>2</v>
      </c>
      <c r="B381" s="133"/>
      <c r="C381" s="21" t="s">
        <v>183</v>
      </c>
      <c r="D381" s="21">
        <f>(36.84+2.52*1.5+(2.2+2.52+2.1)*0.75)*10.764</f>
        <v>492.29154000000005</v>
      </c>
      <c r="E381" s="21">
        <f>2.2*1.5*10.764</f>
        <v>35.5212</v>
      </c>
      <c r="F381" s="21">
        <f>D381*1.5+E381/2</f>
        <v>756.19790999999998</v>
      </c>
      <c r="G381" s="136"/>
      <c r="H381" s="137"/>
    </row>
    <row r="382" spans="1:8" s="2" customFormat="1" x14ac:dyDescent="0.25">
      <c r="A382" s="133">
        <v>3</v>
      </c>
      <c r="B382" s="133"/>
      <c r="C382" s="21" t="s">
        <v>183</v>
      </c>
      <c r="D382" s="21">
        <f>(36.84+2.52*1.5+(2.52+2.1+2.2)*0.75)*10.764</f>
        <v>492.29154000000005</v>
      </c>
      <c r="E382" s="21">
        <f>2.2*1.5*10.764</f>
        <v>35.5212</v>
      </c>
      <c r="F382" s="21">
        <f>D382*1.5+E382</f>
        <v>773.95851000000005</v>
      </c>
      <c r="G382" s="136"/>
      <c r="H382" s="137"/>
    </row>
    <row r="383" spans="1:8" s="2" customFormat="1" x14ac:dyDescent="0.25">
      <c r="A383" s="133">
        <v>4</v>
      </c>
      <c r="B383" s="133"/>
      <c r="C383" s="21" t="s">
        <v>183</v>
      </c>
      <c r="D383" s="21">
        <f>(37.51+1.5*2.52+(2.52+2.1+2.2)*0.75)*10.764</f>
        <v>499.50342000000001</v>
      </c>
      <c r="E383" s="21">
        <f>2.2*1.5*10.764</f>
        <v>35.5212</v>
      </c>
      <c r="F383" s="21">
        <f>D383*1.5+E383</f>
        <v>784.77633000000003</v>
      </c>
      <c r="G383" s="138"/>
      <c r="H383" s="139"/>
    </row>
    <row r="384" spans="1:8" s="2" customFormat="1" ht="15.6" customHeight="1" x14ac:dyDescent="0.25">
      <c r="A384" s="144" t="s">
        <v>228</v>
      </c>
      <c r="B384" s="145"/>
      <c r="C384" s="145"/>
      <c r="D384" s="145"/>
      <c r="E384" s="145"/>
      <c r="F384" s="145"/>
      <c r="G384" s="145"/>
      <c r="H384" s="146"/>
    </row>
    <row r="385" spans="1:8" s="2" customFormat="1" ht="15.75" customHeight="1" x14ac:dyDescent="0.25">
      <c r="A385" s="133">
        <v>1</v>
      </c>
      <c r="B385" s="133"/>
      <c r="C385" s="21" t="s">
        <v>183</v>
      </c>
      <c r="D385" s="21">
        <f>(37.51+1.5*2.52+(2.2+2.52+2.1)*0.75)*10.764</f>
        <v>499.50342000000001</v>
      </c>
      <c r="E385" s="21">
        <f>2.2*1.5*10.764</f>
        <v>35.5212</v>
      </c>
      <c r="F385" s="21">
        <f>D385*1.5+E385/2</f>
        <v>767.01572999999996</v>
      </c>
      <c r="G385" s="134" t="str">
        <f>A384</f>
        <v>8th Floor</v>
      </c>
      <c r="H385" s="135"/>
    </row>
    <row r="386" spans="1:8" s="2" customFormat="1" x14ac:dyDescent="0.25">
      <c r="A386" s="133">
        <v>2</v>
      </c>
      <c r="B386" s="133"/>
      <c r="C386" s="21" t="s">
        <v>183</v>
      </c>
      <c r="D386" s="21">
        <f>(36.84+2.52*1.5+(2.2+2.52+2.1)*0.75)*10.764</f>
        <v>492.29154000000005</v>
      </c>
      <c r="E386" s="21">
        <f>2.2*1.5*10.764</f>
        <v>35.5212</v>
      </c>
      <c r="F386" s="21">
        <f>D386*1.5+E386/2</f>
        <v>756.19790999999998</v>
      </c>
      <c r="G386" s="136"/>
      <c r="H386" s="137"/>
    </row>
    <row r="387" spans="1:8" s="2" customFormat="1" x14ac:dyDescent="0.25">
      <c r="A387" s="133">
        <v>3</v>
      </c>
      <c r="B387" s="133"/>
      <c r="C387" s="21" t="s">
        <v>183</v>
      </c>
      <c r="D387" s="21">
        <f>(36.84+2.52*1.5+(2.52+2.1+2.2)*0.75)*10.764</f>
        <v>492.29154000000005</v>
      </c>
      <c r="E387" s="21">
        <f>2.2*1.5*10.764</f>
        <v>35.5212</v>
      </c>
      <c r="F387" s="21">
        <f>D387*1.5+E387</f>
        <v>773.95851000000005</v>
      </c>
      <c r="G387" s="136"/>
      <c r="H387" s="137"/>
    </row>
    <row r="388" spans="1:8" s="2" customFormat="1" x14ac:dyDescent="0.25">
      <c r="A388" s="133">
        <v>4</v>
      </c>
      <c r="B388" s="133"/>
      <c r="C388" s="21" t="s">
        <v>183</v>
      </c>
      <c r="D388" s="21">
        <f>(37.51+1.5*2.52+(2.52+2.1+2.2)*0.75)*10.764</f>
        <v>499.50342000000001</v>
      </c>
      <c r="E388" s="21">
        <f>2.2*1.5*10.764</f>
        <v>35.5212</v>
      </c>
      <c r="F388" s="21">
        <f>D388*1.5+E388</f>
        <v>784.77633000000003</v>
      </c>
      <c r="G388" s="138"/>
      <c r="H388" s="139"/>
    </row>
    <row r="389" spans="1:8" s="2" customFormat="1" ht="15.6" customHeight="1" x14ac:dyDescent="0.25">
      <c r="A389" s="144" t="s">
        <v>174</v>
      </c>
      <c r="B389" s="145"/>
      <c r="C389" s="145"/>
      <c r="D389" s="145"/>
      <c r="E389" s="145"/>
      <c r="F389" s="145"/>
      <c r="G389" s="145"/>
      <c r="H389" s="146"/>
    </row>
    <row r="390" spans="1:8" s="2" customFormat="1" ht="15.75" customHeight="1" x14ac:dyDescent="0.25">
      <c r="A390" s="133">
        <v>1</v>
      </c>
      <c r="B390" s="133"/>
      <c r="C390" s="21" t="s">
        <v>183</v>
      </c>
      <c r="D390" s="21">
        <f>(37.51+1.5*2.52+(2.2+2.52+2.1)*0.75)*10.764</f>
        <v>499.50342000000001</v>
      </c>
      <c r="E390" s="21">
        <f>2.4*1.5*10.764</f>
        <v>38.750399999999992</v>
      </c>
      <c r="F390" s="21">
        <f>D390*1.5+E390/2</f>
        <v>768.63032999999996</v>
      </c>
      <c r="G390" s="134" t="str">
        <f>A389</f>
        <v>3rd, 5th, 7th, 9th &amp; 11th Floor</v>
      </c>
      <c r="H390" s="135"/>
    </row>
    <row r="391" spans="1:8" s="2" customFormat="1" x14ac:dyDescent="0.25">
      <c r="A391" s="133">
        <v>2</v>
      </c>
      <c r="B391" s="133"/>
      <c r="C391" s="21" t="s">
        <v>183</v>
      </c>
      <c r="D391" s="21">
        <f>(36.84+2.52*1.5+(2.2+2.52+2.1)*0.75)*10.764</f>
        <v>492.29154000000005</v>
      </c>
      <c r="E391" s="21">
        <f>2.4*1.5*10.764</f>
        <v>38.750399999999992</v>
      </c>
      <c r="F391" s="21">
        <f>D391*1.5+E391/2</f>
        <v>757.81250999999997</v>
      </c>
      <c r="G391" s="136"/>
      <c r="H391" s="137"/>
    </row>
    <row r="392" spans="1:8" s="2" customFormat="1" x14ac:dyDescent="0.25">
      <c r="A392" s="133">
        <v>3</v>
      </c>
      <c r="B392" s="133"/>
      <c r="C392" s="21" t="s">
        <v>183</v>
      </c>
      <c r="D392" s="21">
        <f>(36.84+2.52*1.5+(2.52+2.1+2.2)*0.75)*10.764</f>
        <v>492.29154000000005</v>
      </c>
      <c r="E392" s="21">
        <f>2.4*1.5*10.764</f>
        <v>38.750399999999992</v>
      </c>
      <c r="F392" s="21">
        <f>D392*1.5+E392</f>
        <v>777.18771000000004</v>
      </c>
      <c r="G392" s="136"/>
      <c r="H392" s="137"/>
    </row>
    <row r="393" spans="1:8" s="2" customFormat="1" x14ac:dyDescent="0.25">
      <c r="A393" s="133">
        <v>4</v>
      </c>
      <c r="B393" s="133"/>
      <c r="C393" s="21" t="s">
        <v>183</v>
      </c>
      <c r="D393" s="21">
        <f>(37.51+1.5*2.52+(2.52+2.1+2.2)*0.75)*10.764</f>
        <v>499.50342000000001</v>
      </c>
      <c r="E393" s="21">
        <f>2.4*1.5*10.764</f>
        <v>38.750399999999992</v>
      </c>
      <c r="F393" s="21">
        <f>D393*1.5+E393</f>
        <v>788.00553000000002</v>
      </c>
      <c r="G393" s="138"/>
      <c r="H393" s="139"/>
    </row>
    <row r="394" spans="1:8" s="2" customFormat="1" ht="15.6" customHeight="1" x14ac:dyDescent="0.25">
      <c r="A394" s="144" t="s">
        <v>187</v>
      </c>
      <c r="B394" s="145"/>
      <c r="C394" s="145"/>
      <c r="D394" s="145"/>
      <c r="E394" s="145"/>
      <c r="F394" s="145"/>
      <c r="G394" s="145"/>
      <c r="H394" s="146"/>
    </row>
    <row r="395" spans="1:8" s="2" customFormat="1" ht="15.75" customHeight="1" x14ac:dyDescent="0.25">
      <c r="A395" s="133">
        <v>1</v>
      </c>
      <c r="B395" s="133"/>
      <c r="C395" s="21" t="s">
        <v>183</v>
      </c>
      <c r="D395" s="21">
        <f>(37.51+1.5*2.52+(2.2+2.52+2.1)*0.75)*10.764</f>
        <v>499.50342000000001</v>
      </c>
      <c r="E395" s="21">
        <f>2.4*1.5*10.764</f>
        <v>38.750399999999992</v>
      </c>
      <c r="F395" s="21">
        <f>D395*1.5+E395/2</f>
        <v>768.63032999999996</v>
      </c>
      <c r="G395" s="134" t="str">
        <f>A394</f>
        <v>13th Floor</v>
      </c>
      <c r="H395" s="135"/>
    </row>
    <row r="396" spans="1:8" s="2" customFormat="1" x14ac:dyDescent="0.25">
      <c r="A396" s="133">
        <v>2</v>
      </c>
      <c r="B396" s="133"/>
      <c r="C396" s="21" t="s">
        <v>183</v>
      </c>
      <c r="D396" s="21">
        <f>(36.84+2.52*1.5+(2.2+2.52+2.1)*0.75)*10.764</f>
        <v>492.29154000000005</v>
      </c>
      <c r="E396" s="21">
        <f>2.4*1.5*10.764</f>
        <v>38.750399999999992</v>
      </c>
      <c r="F396" s="21">
        <f>D396*1.5+E396/2</f>
        <v>757.81250999999997</v>
      </c>
      <c r="G396" s="136"/>
      <c r="H396" s="137"/>
    </row>
    <row r="397" spans="1:8" s="2" customFormat="1" x14ac:dyDescent="0.25">
      <c r="A397" s="133">
        <v>3</v>
      </c>
      <c r="B397" s="133"/>
      <c r="C397" s="21" t="s">
        <v>183</v>
      </c>
      <c r="D397" s="21">
        <f>(36.84+2.52*1.5+(2.52+2.1+2.2)*0.75)*10.764</f>
        <v>492.29154000000005</v>
      </c>
      <c r="E397" s="21">
        <f>2.4*1.5*10.764</f>
        <v>38.750399999999992</v>
      </c>
      <c r="F397" s="21">
        <f>D397*1.5+E397</f>
        <v>777.18771000000004</v>
      </c>
      <c r="G397" s="136"/>
      <c r="H397" s="137"/>
    </row>
    <row r="398" spans="1:8" s="2" customFormat="1" x14ac:dyDescent="0.25">
      <c r="A398" s="133">
        <v>4</v>
      </c>
      <c r="B398" s="133"/>
      <c r="C398" s="21" t="s">
        <v>183</v>
      </c>
      <c r="D398" s="21">
        <f>(37.51+1.5*2.52+(2.52+2.1+2.2)*0.75)*10.764</f>
        <v>499.50342000000001</v>
      </c>
      <c r="E398" s="21">
        <f>2.4*1.5*10.764</f>
        <v>38.750399999999992</v>
      </c>
      <c r="F398" s="21">
        <f>D398*1.5+E398</f>
        <v>788.00553000000002</v>
      </c>
      <c r="G398" s="138"/>
      <c r="H398" s="139"/>
    </row>
    <row r="399" spans="1:8" s="2" customFormat="1" ht="15.6" customHeight="1" x14ac:dyDescent="0.25">
      <c r="A399" s="144" t="s">
        <v>250</v>
      </c>
      <c r="B399" s="145"/>
      <c r="C399" s="145"/>
      <c r="D399" s="145"/>
      <c r="E399" s="145"/>
      <c r="F399" s="145"/>
      <c r="G399" s="145"/>
      <c r="H399" s="146"/>
    </row>
    <row r="400" spans="1:8" s="2" customFormat="1" ht="15.75" customHeight="1" x14ac:dyDescent="0.25">
      <c r="A400" s="133">
        <v>1</v>
      </c>
      <c r="B400" s="133"/>
      <c r="C400" s="21" t="s">
        <v>183</v>
      </c>
      <c r="D400" s="21">
        <f>(37.51+1.5*2.52+(2.2+2.52+2.1)*0.75)*10.764</f>
        <v>499.50342000000001</v>
      </c>
      <c r="E400" s="21">
        <f>2.2*1.5*10.764</f>
        <v>35.5212</v>
      </c>
      <c r="F400" s="21">
        <f>D400*1.5+E400/2</f>
        <v>767.01572999999996</v>
      </c>
      <c r="G400" s="134" t="str">
        <f>A399</f>
        <v>14th Floor</v>
      </c>
      <c r="H400" s="135"/>
    </row>
    <row r="401" spans="1:8" s="2" customFormat="1" x14ac:dyDescent="0.25">
      <c r="A401" s="133">
        <v>2</v>
      </c>
      <c r="B401" s="133"/>
      <c r="C401" s="21" t="s">
        <v>183</v>
      </c>
      <c r="D401" s="21">
        <f>(36.84+2.52*1.5+(2.2+2.52+2.1)*0.75)*10.764</f>
        <v>492.29154000000005</v>
      </c>
      <c r="E401" s="21">
        <f>2.2*1.5*10.764</f>
        <v>35.5212</v>
      </c>
      <c r="F401" s="21">
        <f>D401*1.5+E401/2</f>
        <v>756.19790999999998</v>
      </c>
      <c r="G401" s="136"/>
      <c r="H401" s="137"/>
    </row>
    <row r="402" spans="1:8" s="2" customFormat="1" x14ac:dyDescent="0.25">
      <c r="A402" s="133">
        <v>3</v>
      </c>
      <c r="B402" s="133"/>
      <c r="C402" s="21" t="s">
        <v>183</v>
      </c>
      <c r="D402" s="21">
        <f>(36.84+2.52*1.5+(2.52+2.1+2.2)*0.75)*10.764</f>
        <v>492.29154000000005</v>
      </c>
      <c r="E402" s="21">
        <f>2.2*1.5*10.764</f>
        <v>35.5212</v>
      </c>
      <c r="F402" s="21">
        <f>D402*1.5+E402</f>
        <v>773.95851000000005</v>
      </c>
      <c r="G402" s="136"/>
      <c r="H402" s="137"/>
    </row>
    <row r="403" spans="1:8" s="2" customFormat="1" x14ac:dyDescent="0.25">
      <c r="A403" s="133">
        <v>4</v>
      </c>
      <c r="B403" s="133"/>
      <c r="C403" s="21" t="s">
        <v>183</v>
      </c>
      <c r="D403" s="21">
        <f>(37.51+1.5*2.52+(2.52+2.1+2.2)*0.75)*10.764</f>
        <v>499.50342000000001</v>
      </c>
      <c r="E403" s="21">
        <f>2.2*1.5*10.764</f>
        <v>35.5212</v>
      </c>
      <c r="F403" s="21">
        <f>D403*1.5+E403</f>
        <v>784.77633000000003</v>
      </c>
      <c r="G403" s="138"/>
      <c r="H403" s="139"/>
    </row>
    <row r="404" spans="1:8" s="2" customFormat="1" x14ac:dyDescent="0.25">
      <c r="A404" s="195" t="s">
        <v>163</v>
      </c>
      <c r="B404" s="195"/>
      <c r="C404" s="195"/>
      <c r="D404" s="195"/>
      <c r="E404" s="195"/>
      <c r="F404" s="195"/>
      <c r="G404" s="195"/>
      <c r="H404" s="195"/>
    </row>
    <row r="405" spans="1:8" s="2" customFormat="1" x14ac:dyDescent="0.25">
      <c r="A405" s="195" t="s">
        <v>217</v>
      </c>
      <c r="B405" s="195"/>
      <c r="C405" s="195"/>
      <c r="D405" s="195"/>
      <c r="E405" s="195"/>
      <c r="F405" s="195"/>
      <c r="G405" s="195"/>
      <c r="H405" s="195"/>
    </row>
    <row r="406" spans="1:8" s="2" customFormat="1" ht="15.75" customHeight="1" x14ac:dyDescent="0.25">
      <c r="A406" s="195" t="s">
        <v>186</v>
      </c>
      <c r="B406" s="195"/>
      <c r="C406" s="195"/>
      <c r="D406" s="195"/>
      <c r="E406" s="195"/>
      <c r="F406" s="195"/>
      <c r="G406" s="195"/>
      <c r="H406" s="195"/>
    </row>
    <row r="407" spans="1:8" s="2" customFormat="1" x14ac:dyDescent="0.25">
      <c r="A407" s="133">
        <v>7</v>
      </c>
      <c r="B407" s="133"/>
      <c r="C407" s="21" t="s">
        <v>164</v>
      </c>
      <c r="D407" s="21">
        <f>16.32*10.764</f>
        <v>175.66847999999999</v>
      </c>
      <c r="E407" s="21">
        <v>0</v>
      </c>
      <c r="F407" s="21">
        <f t="shared" ref="F407:F412" si="6">D407*1.6+E407</f>
        <v>281.069568</v>
      </c>
      <c r="G407" s="133" t="str">
        <f>A406</f>
        <v xml:space="preserve">Ground Floor for Commercial &amp; Parking </v>
      </c>
      <c r="H407" s="133"/>
    </row>
    <row r="408" spans="1:8" s="2" customFormat="1" x14ac:dyDescent="0.25">
      <c r="A408" s="133">
        <v>8</v>
      </c>
      <c r="B408" s="133"/>
      <c r="C408" s="21" t="s">
        <v>164</v>
      </c>
      <c r="D408" s="21">
        <f>19.2*10.764</f>
        <v>206.66879999999998</v>
      </c>
      <c r="E408" s="21">
        <v>0</v>
      </c>
      <c r="F408" s="21">
        <f t="shared" si="6"/>
        <v>330.67007999999998</v>
      </c>
      <c r="G408" s="133"/>
      <c r="H408" s="133"/>
    </row>
    <row r="409" spans="1:8" s="2" customFormat="1" x14ac:dyDescent="0.25">
      <c r="A409" s="133">
        <v>9</v>
      </c>
      <c r="B409" s="133"/>
      <c r="C409" s="21" t="s">
        <v>164</v>
      </c>
      <c r="D409" s="21">
        <f>12.92*10.764</f>
        <v>139.07087999999999</v>
      </c>
      <c r="E409" s="21">
        <v>0</v>
      </c>
      <c r="F409" s="21">
        <f t="shared" si="6"/>
        <v>222.513408</v>
      </c>
      <c r="G409" s="133"/>
      <c r="H409" s="133"/>
    </row>
    <row r="410" spans="1:8" s="2" customFormat="1" x14ac:dyDescent="0.25">
      <c r="A410" s="133">
        <v>10</v>
      </c>
      <c r="B410" s="133"/>
      <c r="C410" s="21" t="s">
        <v>164</v>
      </c>
      <c r="D410" s="21">
        <f>12.92*10.764</f>
        <v>139.07087999999999</v>
      </c>
      <c r="E410" s="21">
        <v>0</v>
      </c>
      <c r="F410" s="21">
        <f t="shared" si="6"/>
        <v>222.513408</v>
      </c>
      <c r="G410" s="133"/>
      <c r="H410" s="133"/>
    </row>
    <row r="411" spans="1:8" s="2" customFormat="1" x14ac:dyDescent="0.25">
      <c r="A411" s="133">
        <v>11</v>
      </c>
      <c r="B411" s="133"/>
      <c r="C411" s="21" t="s">
        <v>164</v>
      </c>
      <c r="D411" s="21">
        <f>19.17*10.764</f>
        <v>206.34587999999999</v>
      </c>
      <c r="E411" s="21">
        <v>0</v>
      </c>
      <c r="F411" s="21">
        <f t="shared" si="6"/>
        <v>330.15340800000001</v>
      </c>
      <c r="G411" s="133"/>
      <c r="H411" s="133"/>
    </row>
    <row r="412" spans="1:8" s="2" customFormat="1" x14ac:dyDescent="0.25">
      <c r="A412" s="133">
        <v>12</v>
      </c>
      <c r="B412" s="133"/>
      <c r="C412" s="21" t="s">
        <v>164</v>
      </c>
      <c r="D412" s="21">
        <f>16.32*10.764</f>
        <v>175.66847999999999</v>
      </c>
      <c r="E412" s="21">
        <v>0</v>
      </c>
      <c r="F412" s="21">
        <f t="shared" si="6"/>
        <v>281.069568</v>
      </c>
      <c r="G412" s="133"/>
      <c r="H412" s="133"/>
    </row>
    <row r="413" spans="1:8" s="2" customFormat="1" ht="15.75" customHeight="1" x14ac:dyDescent="0.25">
      <c r="A413" s="144" t="s">
        <v>165</v>
      </c>
      <c r="B413" s="145"/>
      <c r="C413" s="145"/>
      <c r="D413" s="145"/>
      <c r="E413" s="145"/>
      <c r="F413" s="145"/>
      <c r="G413" s="145"/>
      <c r="H413" s="146"/>
    </row>
    <row r="414" spans="1:8" s="2" customFormat="1" x14ac:dyDescent="0.25">
      <c r="A414" s="133">
        <v>106</v>
      </c>
      <c r="B414" s="133"/>
      <c r="C414" s="21" t="s">
        <v>166</v>
      </c>
      <c r="D414" s="21">
        <f>15.72*10.764</f>
        <v>169.21008</v>
      </c>
      <c r="E414" s="21">
        <v>0</v>
      </c>
      <c r="F414" s="21">
        <f>D414*1.6+E414</f>
        <v>270.73612800000001</v>
      </c>
      <c r="G414" s="134" t="str">
        <f>A413</f>
        <v>1st Floor for Commercial &amp; Residential</v>
      </c>
      <c r="H414" s="135"/>
    </row>
    <row r="415" spans="1:8" s="2" customFormat="1" x14ac:dyDescent="0.25">
      <c r="A415" s="133">
        <v>107</v>
      </c>
      <c r="B415" s="133"/>
      <c r="C415" s="21" t="s">
        <v>166</v>
      </c>
      <c r="D415" s="21">
        <f>18.46*10.764</f>
        <v>198.70344</v>
      </c>
      <c r="E415" s="21">
        <v>0</v>
      </c>
      <c r="F415" s="21">
        <f>D415*1.6+E415</f>
        <v>317.92550400000005</v>
      </c>
      <c r="G415" s="136"/>
      <c r="H415" s="137"/>
    </row>
    <row r="416" spans="1:8" s="2" customFormat="1" x14ac:dyDescent="0.25">
      <c r="A416" s="133">
        <v>108</v>
      </c>
      <c r="B416" s="133"/>
      <c r="C416" s="21" t="s">
        <v>166</v>
      </c>
      <c r="D416" s="21">
        <f>12.4*10.764</f>
        <v>133.4736</v>
      </c>
      <c r="E416" s="21">
        <v>0</v>
      </c>
      <c r="F416" s="21">
        <f>D416*1.6+E416</f>
        <v>213.55776000000003</v>
      </c>
      <c r="G416" s="136"/>
      <c r="H416" s="137"/>
    </row>
    <row r="417" spans="1:10" s="2" customFormat="1" x14ac:dyDescent="0.25">
      <c r="A417" s="133">
        <v>109</v>
      </c>
      <c r="B417" s="133"/>
      <c r="C417" s="21" t="s">
        <v>166</v>
      </c>
      <c r="D417" s="21">
        <f>12.4*10.764</f>
        <v>133.4736</v>
      </c>
      <c r="E417" s="21">
        <v>0</v>
      </c>
      <c r="F417" s="21">
        <f>D417*1.6+E417</f>
        <v>213.55776000000003</v>
      </c>
      <c r="G417" s="136"/>
      <c r="H417" s="137"/>
    </row>
    <row r="418" spans="1:10" s="2" customFormat="1" x14ac:dyDescent="0.25">
      <c r="A418" s="133">
        <v>110</v>
      </c>
      <c r="B418" s="133"/>
      <c r="C418" s="21" t="s">
        <v>166</v>
      </c>
      <c r="D418" s="21">
        <f>24.29*10.764</f>
        <v>261.45756</v>
      </c>
      <c r="E418" s="21">
        <v>0</v>
      </c>
      <c r="F418" s="21">
        <f>D418*1.6+E418</f>
        <v>418.33209600000004</v>
      </c>
      <c r="G418" s="136"/>
      <c r="H418" s="137"/>
    </row>
    <row r="419" spans="1:10" s="2" customFormat="1" x14ac:dyDescent="0.25">
      <c r="A419" s="133">
        <v>1</v>
      </c>
      <c r="B419" s="133"/>
      <c r="C419" s="21" t="s">
        <v>168</v>
      </c>
      <c r="D419" s="26">
        <f>(27.77+5.9475)*10.764</f>
        <v>362.93516999999997</v>
      </c>
      <c r="E419" s="21">
        <f>4.305*10.764</f>
        <v>46.339019999999991</v>
      </c>
      <c r="F419" s="21">
        <f>D419*1.5+E419</f>
        <v>590.74177499999996</v>
      </c>
      <c r="G419" s="136"/>
      <c r="H419" s="137"/>
    </row>
    <row r="420" spans="1:10" s="2" customFormat="1" x14ac:dyDescent="0.25">
      <c r="A420" s="133">
        <v>2</v>
      </c>
      <c r="B420" s="133"/>
      <c r="C420" s="21" t="s">
        <v>168</v>
      </c>
      <c r="D420" s="26">
        <f>(27.77+5.9475)*10.764</f>
        <v>362.93516999999997</v>
      </c>
      <c r="E420" s="21">
        <f>4.305*10.764</f>
        <v>46.339019999999991</v>
      </c>
      <c r="F420" s="21">
        <f>D420*1.5+E420</f>
        <v>590.74177499999996</v>
      </c>
      <c r="G420" s="138"/>
      <c r="H420" s="139"/>
    </row>
    <row r="421" spans="1:10" s="2" customFormat="1" ht="15.75" customHeight="1" x14ac:dyDescent="0.25">
      <c r="A421" s="205" t="s">
        <v>169</v>
      </c>
      <c r="B421" s="206"/>
      <c r="C421" s="206"/>
      <c r="D421" s="206"/>
      <c r="E421" s="206"/>
      <c r="F421" s="206"/>
      <c r="G421" s="206"/>
      <c r="H421" s="207"/>
    </row>
    <row r="422" spans="1:10" s="2" customFormat="1" x14ac:dyDescent="0.25">
      <c r="A422" s="202">
        <v>1</v>
      </c>
      <c r="B422" s="202"/>
      <c r="C422" s="26" t="s">
        <v>168</v>
      </c>
      <c r="D422" s="26">
        <f>(27.77+5.9475)*10.764</f>
        <v>362.93516999999997</v>
      </c>
      <c r="E422" s="26">
        <f>4.305*10.764</f>
        <v>46.339019999999991</v>
      </c>
      <c r="F422" s="26">
        <f>D422*1.5+E422</f>
        <v>590.74177499999996</v>
      </c>
      <c r="G422" s="208" t="str">
        <f>A421</f>
        <v>2nd Floor for Residential</v>
      </c>
      <c r="H422" s="209"/>
      <c r="I422" s="72">
        <f>F422-E422</f>
        <v>544.40275499999996</v>
      </c>
      <c r="J422" s="74">
        <f>I422/D422</f>
        <v>1.5</v>
      </c>
    </row>
    <row r="423" spans="1:10" s="2" customFormat="1" x14ac:dyDescent="0.25">
      <c r="A423" s="202">
        <v>2</v>
      </c>
      <c r="B423" s="202"/>
      <c r="C423" s="26" t="s">
        <v>168</v>
      </c>
      <c r="D423" s="26">
        <f>(27.77+5.9475)*10.764</f>
        <v>362.93516999999997</v>
      </c>
      <c r="E423" s="26">
        <f>4.305*10.764</f>
        <v>46.339019999999991</v>
      </c>
      <c r="F423" s="26">
        <f>D423*1.5+E423</f>
        <v>590.74177499999996</v>
      </c>
      <c r="G423" s="210"/>
      <c r="H423" s="211"/>
    </row>
    <row r="424" spans="1:10" s="2" customFormat="1" x14ac:dyDescent="0.25">
      <c r="A424" s="202">
        <v>3</v>
      </c>
      <c r="B424" s="202"/>
      <c r="C424" s="26" t="s">
        <v>168</v>
      </c>
      <c r="D424" s="26">
        <f>(27.77)*10.764</f>
        <v>298.91627999999997</v>
      </c>
      <c r="E424" s="26">
        <f>(2.1*3.1+0.6*2.3+4.4*1.5+3.5*1.4+1.5*3.3)*10.764</f>
        <v>261.99575999999996</v>
      </c>
      <c r="F424" s="26">
        <f>D424*1.5+E424/3</f>
        <v>535.70633999999995</v>
      </c>
      <c r="G424" s="210"/>
      <c r="H424" s="211"/>
    </row>
    <row r="425" spans="1:10" s="2" customFormat="1" x14ac:dyDescent="0.25">
      <c r="A425" s="202">
        <v>4</v>
      </c>
      <c r="B425" s="202"/>
      <c r="C425" s="26" t="s">
        <v>168</v>
      </c>
      <c r="D425" s="26">
        <f>(27.77)*10.764</f>
        <v>298.91627999999997</v>
      </c>
      <c r="E425" s="26">
        <f>(2.1*3.1+0.6*2.3+2.6*1.6+2.7*1.4+0.5*1.2)*10.764</f>
        <v>176.85252</v>
      </c>
      <c r="F425" s="26">
        <f>D425*1.5+E425/2</f>
        <v>536.80067999999994</v>
      </c>
      <c r="G425" s="212"/>
      <c r="H425" s="213"/>
    </row>
    <row r="426" spans="1:10" s="2" customFormat="1" ht="15.75" customHeight="1" x14ac:dyDescent="0.25">
      <c r="A426" s="144" t="s">
        <v>174</v>
      </c>
      <c r="B426" s="145"/>
      <c r="C426" s="145"/>
      <c r="D426" s="145"/>
      <c r="E426" s="145"/>
      <c r="F426" s="145"/>
      <c r="G426" s="145"/>
      <c r="H426" s="146"/>
    </row>
    <row r="427" spans="1:10" s="2" customFormat="1" x14ac:dyDescent="0.25">
      <c r="A427" s="202">
        <v>1</v>
      </c>
      <c r="B427" s="202"/>
      <c r="C427" s="21" t="s">
        <v>168</v>
      </c>
      <c r="D427" s="26">
        <f>(27.77+5.9475)*10.764</f>
        <v>362.93516999999997</v>
      </c>
      <c r="E427" s="21">
        <f>4.305*10.764</f>
        <v>46.339019999999991</v>
      </c>
      <c r="F427" s="21">
        <f>D427*1.5+E427</f>
        <v>590.74177499999996</v>
      </c>
      <c r="G427" s="134" t="str">
        <f>A426</f>
        <v>3rd, 5th, 7th, 9th &amp; 11th Floor</v>
      </c>
      <c r="H427" s="135"/>
    </row>
    <row r="428" spans="1:10" s="2" customFormat="1" x14ac:dyDescent="0.25">
      <c r="A428" s="202">
        <v>2</v>
      </c>
      <c r="B428" s="202"/>
      <c r="C428" s="21" t="s">
        <v>168</v>
      </c>
      <c r="D428" s="26">
        <f>(27.77+5.9475)*10.764</f>
        <v>362.93516999999997</v>
      </c>
      <c r="E428" s="21">
        <f>4.305*10.764</f>
        <v>46.339019999999991</v>
      </c>
      <c r="F428" s="21">
        <f>D428*1.5+E428</f>
        <v>590.74177499999996</v>
      </c>
      <c r="G428" s="136"/>
      <c r="H428" s="137"/>
    </row>
    <row r="429" spans="1:10" s="2" customFormat="1" x14ac:dyDescent="0.25">
      <c r="A429" s="202">
        <v>3</v>
      </c>
      <c r="B429" s="202"/>
      <c r="C429" s="21" t="s">
        <v>168</v>
      </c>
      <c r="D429" s="26">
        <f>(27.77+5.9475)*10.764</f>
        <v>362.93516999999997</v>
      </c>
      <c r="E429" s="21">
        <f>4.305*10.764</f>
        <v>46.339019999999991</v>
      </c>
      <c r="F429" s="21">
        <f>D429*1.5+E429</f>
        <v>590.74177499999996</v>
      </c>
      <c r="G429" s="136"/>
      <c r="H429" s="137"/>
    </row>
    <row r="430" spans="1:10" s="2" customFormat="1" x14ac:dyDescent="0.25">
      <c r="A430" s="202">
        <v>4</v>
      </c>
      <c r="B430" s="202"/>
      <c r="C430" s="21" t="s">
        <v>168</v>
      </c>
      <c r="D430" s="26">
        <f>(27.77+5.9475)*10.764</f>
        <v>362.93516999999997</v>
      </c>
      <c r="E430" s="21">
        <f>4.305*10.764</f>
        <v>46.339019999999991</v>
      </c>
      <c r="F430" s="21">
        <f>D430*1.5+E430</f>
        <v>590.74177499999996</v>
      </c>
      <c r="G430" s="138"/>
      <c r="H430" s="139"/>
    </row>
    <row r="431" spans="1:10" s="2" customFormat="1" ht="15.75" customHeight="1" x14ac:dyDescent="0.25">
      <c r="A431" s="144" t="s">
        <v>256</v>
      </c>
      <c r="B431" s="145"/>
      <c r="C431" s="145"/>
      <c r="D431" s="145"/>
      <c r="E431" s="145"/>
      <c r="F431" s="145"/>
      <c r="G431" s="145"/>
      <c r="H431" s="146"/>
    </row>
    <row r="432" spans="1:10" s="2" customFormat="1" x14ac:dyDescent="0.25">
      <c r="A432" s="133">
        <v>1</v>
      </c>
      <c r="B432" s="133"/>
      <c r="C432" s="21" t="s">
        <v>168</v>
      </c>
      <c r="D432" s="26">
        <f>(27.77+6.5025)*10.764</f>
        <v>368.90918999999997</v>
      </c>
      <c r="E432" s="21">
        <f>3.195*10.764</f>
        <v>34.390979999999999</v>
      </c>
      <c r="F432" s="21">
        <f>D432*1.5+E432</f>
        <v>587.75476500000002</v>
      </c>
      <c r="G432" s="134" t="str">
        <f>A431</f>
        <v>4th, 6th, 10th, 12th Floor</v>
      </c>
      <c r="H432" s="135"/>
    </row>
    <row r="433" spans="1:8" s="2" customFormat="1" x14ac:dyDescent="0.25">
      <c r="A433" s="133">
        <v>2</v>
      </c>
      <c r="B433" s="133"/>
      <c r="C433" s="21" t="s">
        <v>168</v>
      </c>
      <c r="D433" s="26">
        <f>(27.77+6.5025)*10.764</f>
        <v>368.90918999999997</v>
      </c>
      <c r="E433" s="21">
        <f>3.195*10.764</f>
        <v>34.390979999999999</v>
      </c>
      <c r="F433" s="21">
        <f>D433*1.5+E433</f>
        <v>587.75476500000002</v>
      </c>
      <c r="G433" s="136"/>
      <c r="H433" s="137"/>
    </row>
    <row r="434" spans="1:8" s="2" customFormat="1" x14ac:dyDescent="0.25">
      <c r="A434" s="133">
        <v>3</v>
      </c>
      <c r="B434" s="133"/>
      <c r="C434" s="21" t="s">
        <v>168</v>
      </c>
      <c r="D434" s="26">
        <f>(27.77+6.5025)*10.764</f>
        <v>368.90918999999997</v>
      </c>
      <c r="E434" s="21">
        <f>3.195*10.764</f>
        <v>34.390979999999999</v>
      </c>
      <c r="F434" s="21">
        <f>D434*1.5+E434</f>
        <v>587.75476500000002</v>
      </c>
      <c r="G434" s="136"/>
      <c r="H434" s="137"/>
    </row>
    <row r="435" spans="1:8" s="2" customFormat="1" x14ac:dyDescent="0.25">
      <c r="A435" s="133">
        <v>4</v>
      </c>
      <c r="B435" s="133"/>
      <c r="C435" s="21" t="s">
        <v>168</v>
      </c>
      <c r="D435" s="26">
        <f>(27.77+6.5025)*10.764</f>
        <v>368.90918999999997</v>
      </c>
      <c r="E435" s="21">
        <f>3.195*10.764</f>
        <v>34.390979999999999</v>
      </c>
      <c r="F435" s="21">
        <f>D435*1.5+E435</f>
        <v>587.75476500000002</v>
      </c>
      <c r="G435" s="138"/>
      <c r="H435" s="139"/>
    </row>
    <row r="436" spans="1:8" s="2" customFormat="1" ht="15.75" customHeight="1" x14ac:dyDescent="0.25">
      <c r="A436" s="144" t="s">
        <v>175</v>
      </c>
      <c r="B436" s="145"/>
      <c r="C436" s="145"/>
      <c r="D436" s="145"/>
      <c r="E436" s="145"/>
      <c r="F436" s="145"/>
      <c r="G436" s="145"/>
      <c r="H436" s="146"/>
    </row>
    <row r="437" spans="1:8" s="2" customFormat="1" x14ac:dyDescent="0.25">
      <c r="A437" s="133">
        <v>1</v>
      </c>
      <c r="B437" s="133"/>
      <c r="C437" s="21" t="s">
        <v>168</v>
      </c>
      <c r="D437" s="26">
        <f>(27.77+6.5025)*10.764</f>
        <v>368.90918999999997</v>
      </c>
      <c r="E437" s="21">
        <f>3.195*10.764</f>
        <v>34.390979999999999</v>
      </c>
      <c r="F437" s="21">
        <f>D437*1.5+E437</f>
        <v>587.75476500000002</v>
      </c>
      <c r="G437" s="134" t="str">
        <f>A436</f>
        <v>8th Floor(Part Refuge Area)</v>
      </c>
      <c r="H437" s="135"/>
    </row>
    <row r="438" spans="1:8" s="2" customFormat="1" x14ac:dyDescent="0.25">
      <c r="A438" s="133">
        <v>2</v>
      </c>
      <c r="B438" s="133"/>
      <c r="C438" s="21" t="s">
        <v>168</v>
      </c>
      <c r="D438" s="26">
        <f>(27.77+6.5025)*10.764</f>
        <v>368.90918999999997</v>
      </c>
      <c r="E438" s="21">
        <f>3.195*10.764</f>
        <v>34.390979999999999</v>
      </c>
      <c r="F438" s="21">
        <f>D438*1.5+E438</f>
        <v>587.75476500000002</v>
      </c>
      <c r="G438" s="136"/>
      <c r="H438" s="137"/>
    </row>
    <row r="439" spans="1:8" s="2" customFormat="1" x14ac:dyDescent="0.25">
      <c r="A439" s="133">
        <v>3</v>
      </c>
      <c r="B439" s="133"/>
      <c r="C439" s="21" t="s">
        <v>168</v>
      </c>
      <c r="D439" s="26">
        <f>(27.77+6.5025)*10.764</f>
        <v>368.90918999999997</v>
      </c>
      <c r="E439" s="21">
        <f>3.195*10.764</f>
        <v>34.390979999999999</v>
      </c>
      <c r="F439" s="21">
        <f>D439*1.5+E439</f>
        <v>587.75476500000002</v>
      </c>
      <c r="G439" s="136"/>
      <c r="H439" s="137"/>
    </row>
    <row r="440" spans="1:8" s="2" customFormat="1" x14ac:dyDescent="0.25">
      <c r="A440" s="133">
        <v>4</v>
      </c>
      <c r="B440" s="133"/>
      <c r="C440" s="140" t="s">
        <v>176</v>
      </c>
      <c r="D440" s="141"/>
      <c r="E440" s="141"/>
      <c r="F440" s="142"/>
      <c r="G440" s="138"/>
      <c r="H440" s="139"/>
    </row>
    <row r="441" spans="1:8" s="2" customFormat="1" ht="15.6" customHeight="1" x14ac:dyDescent="0.25">
      <c r="A441" s="144" t="s">
        <v>177</v>
      </c>
      <c r="B441" s="145"/>
      <c r="C441" s="145"/>
      <c r="D441" s="145"/>
      <c r="E441" s="145"/>
      <c r="F441" s="145"/>
      <c r="G441" s="145"/>
      <c r="H441" s="146"/>
    </row>
    <row r="442" spans="1:8" s="2" customFormat="1" x14ac:dyDescent="0.25">
      <c r="A442" s="133">
        <v>1</v>
      </c>
      <c r="B442" s="133"/>
      <c r="C442" s="21" t="s">
        <v>168</v>
      </c>
      <c r="D442" s="26">
        <f>(27.77+5.9475)*10.764</f>
        <v>362.93516999999997</v>
      </c>
      <c r="E442" s="21">
        <f>4.305*10.764</f>
        <v>46.339019999999991</v>
      </c>
      <c r="F442" s="21">
        <f>D442*1.5+E442</f>
        <v>590.74177499999996</v>
      </c>
      <c r="G442" s="134" t="str">
        <f>A441</f>
        <v>13th Floor(Part Refuge Area)</v>
      </c>
      <c r="H442" s="135"/>
    </row>
    <row r="443" spans="1:8" s="2" customFormat="1" x14ac:dyDescent="0.25">
      <c r="A443" s="133">
        <v>2</v>
      </c>
      <c r="B443" s="133"/>
      <c r="C443" s="21" t="s">
        <v>168</v>
      </c>
      <c r="D443" s="26">
        <f>(27.77+5.9475)*10.764</f>
        <v>362.93516999999997</v>
      </c>
      <c r="E443" s="21">
        <f>4.305*10.764</f>
        <v>46.339019999999991</v>
      </c>
      <c r="F443" s="21">
        <f>D443*1.5+E443</f>
        <v>590.74177499999996</v>
      </c>
      <c r="G443" s="136"/>
      <c r="H443" s="137"/>
    </row>
    <row r="444" spans="1:8" s="2" customFormat="1" x14ac:dyDescent="0.25">
      <c r="A444" s="133">
        <v>3</v>
      </c>
      <c r="B444" s="133"/>
      <c r="C444" s="21" t="s">
        <v>168</v>
      </c>
      <c r="D444" s="26">
        <f>(27.77+5.9475)*10.764</f>
        <v>362.93516999999997</v>
      </c>
      <c r="E444" s="21">
        <f>4.305*10.764</f>
        <v>46.339019999999991</v>
      </c>
      <c r="F444" s="21">
        <f>D444*1.5+E444</f>
        <v>590.74177499999996</v>
      </c>
      <c r="G444" s="136"/>
      <c r="H444" s="137"/>
    </row>
    <row r="445" spans="1:8" s="2" customFormat="1" x14ac:dyDescent="0.25">
      <c r="A445" s="133">
        <v>4</v>
      </c>
      <c r="B445" s="133"/>
      <c r="C445" s="21" t="s">
        <v>168</v>
      </c>
      <c r="D445" s="26">
        <f>(27.77+5.9475)*10.764</f>
        <v>362.93516999999997</v>
      </c>
      <c r="E445" s="21">
        <f>4.305*10.764</f>
        <v>46.339019999999991</v>
      </c>
      <c r="F445" s="21">
        <f>D445*1.5+E445</f>
        <v>590.74177499999996</v>
      </c>
      <c r="G445" s="138"/>
      <c r="H445" s="139"/>
    </row>
    <row r="446" spans="1:8" s="2" customFormat="1" ht="15.75" customHeight="1" x14ac:dyDescent="0.25">
      <c r="A446" s="144" t="s">
        <v>250</v>
      </c>
      <c r="B446" s="145"/>
      <c r="C446" s="145"/>
      <c r="D446" s="145"/>
      <c r="E446" s="145"/>
      <c r="F446" s="145"/>
      <c r="G446" s="145"/>
      <c r="H446" s="146"/>
    </row>
    <row r="447" spans="1:8" s="2" customFormat="1" x14ac:dyDescent="0.25">
      <c r="A447" s="133">
        <v>1</v>
      </c>
      <c r="B447" s="133"/>
      <c r="C447" s="21" t="s">
        <v>168</v>
      </c>
      <c r="D447" s="26">
        <f>(27.77+6.5025)*10.764</f>
        <v>368.90918999999997</v>
      </c>
      <c r="E447" s="21">
        <f>3.195*10.764</f>
        <v>34.390979999999999</v>
      </c>
      <c r="F447" s="21">
        <f>D447*1.5+E447</f>
        <v>587.75476500000002</v>
      </c>
      <c r="G447" s="134" t="str">
        <f>A446</f>
        <v>14th Floor</v>
      </c>
      <c r="H447" s="135"/>
    </row>
    <row r="448" spans="1:8" s="2" customFormat="1" x14ac:dyDescent="0.25">
      <c r="A448" s="133">
        <v>2</v>
      </c>
      <c r="B448" s="133"/>
      <c r="C448" s="21" t="s">
        <v>168</v>
      </c>
      <c r="D448" s="26">
        <f>(27.77+6.5025)*10.764</f>
        <v>368.90918999999997</v>
      </c>
      <c r="E448" s="21">
        <f>3.195*10.764</f>
        <v>34.390979999999999</v>
      </c>
      <c r="F448" s="21">
        <f>D448*1.5+E448</f>
        <v>587.75476500000002</v>
      </c>
      <c r="G448" s="136"/>
      <c r="H448" s="137"/>
    </row>
    <row r="449" spans="1:9" s="2" customFormat="1" x14ac:dyDescent="0.25">
      <c r="A449" s="133">
        <v>3</v>
      </c>
      <c r="B449" s="133"/>
      <c r="C449" s="21" t="s">
        <v>168</v>
      </c>
      <c r="D449" s="26">
        <f>(27.77+6.5025)*10.764</f>
        <v>368.90918999999997</v>
      </c>
      <c r="E449" s="21">
        <f>3.195*10.764</f>
        <v>34.390979999999999</v>
      </c>
      <c r="F449" s="21">
        <f>D449*1.5+E449</f>
        <v>587.75476500000002</v>
      </c>
      <c r="G449" s="136"/>
      <c r="H449" s="137"/>
      <c r="I449" s="2">
        <v>4</v>
      </c>
    </row>
    <row r="450" spans="1:9" s="2" customFormat="1" x14ac:dyDescent="0.25">
      <c r="A450" s="133">
        <v>4</v>
      </c>
      <c r="B450" s="133"/>
      <c r="C450" s="21" t="s">
        <v>168</v>
      </c>
      <c r="D450" s="26">
        <f>(27.77+6.5025)*10.764</f>
        <v>368.90918999999997</v>
      </c>
      <c r="E450" s="21">
        <f>3.195*10.764</f>
        <v>34.390979999999999</v>
      </c>
      <c r="F450" s="21">
        <f>D450*1.5+E450</f>
        <v>587.75476500000002</v>
      </c>
      <c r="G450" s="138"/>
      <c r="H450" s="139"/>
    </row>
    <row r="451" spans="1:9" s="2" customFormat="1" x14ac:dyDescent="0.25">
      <c r="A451" s="144" t="s">
        <v>218</v>
      </c>
      <c r="B451" s="145"/>
      <c r="C451" s="145"/>
      <c r="D451" s="145"/>
      <c r="E451" s="145"/>
      <c r="F451" s="145"/>
      <c r="G451" s="145"/>
      <c r="H451" s="146"/>
    </row>
    <row r="452" spans="1:9" s="2" customFormat="1" ht="15.75" customHeight="1" x14ac:dyDescent="0.25">
      <c r="A452" s="195" t="s">
        <v>186</v>
      </c>
      <c r="B452" s="195"/>
      <c r="C452" s="195"/>
      <c r="D452" s="195"/>
      <c r="E452" s="195"/>
      <c r="F452" s="195"/>
      <c r="G452" s="195"/>
      <c r="H452" s="195"/>
    </row>
    <row r="453" spans="1:9" s="2" customFormat="1" ht="15.75" customHeight="1" x14ac:dyDescent="0.25">
      <c r="A453" s="133">
        <v>1</v>
      </c>
      <c r="B453" s="133"/>
      <c r="C453" s="21" t="s">
        <v>164</v>
      </c>
      <c r="D453" s="21">
        <f>16.32*10.764</f>
        <v>175.66847999999999</v>
      </c>
      <c r="E453" s="21">
        <v>0</v>
      </c>
      <c r="F453" s="21">
        <f>D453*1.6+E453</f>
        <v>281.069568</v>
      </c>
      <c r="G453" s="133" t="str">
        <f>A452</f>
        <v xml:space="preserve">Ground Floor for Commercial &amp; Parking </v>
      </c>
      <c r="H453" s="133"/>
    </row>
    <row r="454" spans="1:9" s="2" customFormat="1" x14ac:dyDescent="0.25">
      <c r="A454" s="133">
        <v>2</v>
      </c>
      <c r="B454" s="133"/>
      <c r="C454" s="21" t="s">
        <v>164</v>
      </c>
      <c r="D454" s="21">
        <f>19.17*10.764</f>
        <v>206.34587999999999</v>
      </c>
      <c r="E454" s="21">
        <v>0</v>
      </c>
      <c r="F454" s="21">
        <f t="shared" ref="F454:F458" si="7">D454*1.6+E454</f>
        <v>330.15340800000001</v>
      </c>
      <c r="G454" s="133"/>
      <c r="H454" s="133"/>
    </row>
    <row r="455" spans="1:9" s="2" customFormat="1" x14ac:dyDescent="0.25">
      <c r="A455" s="133">
        <v>3</v>
      </c>
      <c r="B455" s="133"/>
      <c r="C455" s="21" t="s">
        <v>164</v>
      </c>
      <c r="D455" s="21">
        <f>12.92*10.764</f>
        <v>139.07087999999999</v>
      </c>
      <c r="E455" s="21">
        <v>0</v>
      </c>
      <c r="F455" s="21">
        <f t="shared" si="7"/>
        <v>222.513408</v>
      </c>
      <c r="G455" s="133"/>
      <c r="H455" s="133"/>
    </row>
    <row r="456" spans="1:9" s="2" customFormat="1" x14ac:dyDescent="0.25">
      <c r="A456" s="133">
        <v>4</v>
      </c>
      <c r="B456" s="133"/>
      <c r="C456" s="21" t="s">
        <v>164</v>
      </c>
      <c r="D456" s="21">
        <f>12.92*10.764</f>
        <v>139.07087999999999</v>
      </c>
      <c r="E456" s="21">
        <v>0</v>
      </c>
      <c r="F456" s="21">
        <f t="shared" si="7"/>
        <v>222.513408</v>
      </c>
      <c r="G456" s="133"/>
      <c r="H456" s="133"/>
    </row>
    <row r="457" spans="1:9" s="2" customFormat="1" x14ac:dyDescent="0.25">
      <c r="A457" s="133">
        <v>5</v>
      </c>
      <c r="B457" s="133"/>
      <c r="C457" s="21" t="s">
        <v>164</v>
      </c>
      <c r="D457" s="21">
        <f>19.19*10.764</f>
        <v>206.56116</v>
      </c>
      <c r="E457" s="21">
        <v>0</v>
      </c>
      <c r="F457" s="21">
        <f t="shared" si="7"/>
        <v>330.49785600000001</v>
      </c>
      <c r="G457" s="133"/>
      <c r="H457" s="133"/>
    </row>
    <row r="458" spans="1:9" s="2" customFormat="1" x14ac:dyDescent="0.25">
      <c r="A458" s="133">
        <v>6</v>
      </c>
      <c r="B458" s="133"/>
      <c r="C458" s="21" t="s">
        <v>164</v>
      </c>
      <c r="D458" s="21">
        <f>16.3*10.764</f>
        <v>175.45320000000001</v>
      </c>
      <c r="E458" s="21">
        <v>0</v>
      </c>
      <c r="F458" s="21">
        <f t="shared" si="7"/>
        <v>280.72512</v>
      </c>
      <c r="G458" s="133"/>
      <c r="H458" s="133"/>
    </row>
    <row r="459" spans="1:9" s="2" customFormat="1" ht="15.75" customHeight="1" x14ac:dyDescent="0.25">
      <c r="A459" s="195" t="s">
        <v>165</v>
      </c>
      <c r="B459" s="195"/>
      <c r="C459" s="195"/>
      <c r="D459" s="195"/>
      <c r="E459" s="195"/>
      <c r="F459" s="195"/>
      <c r="G459" s="195"/>
      <c r="H459" s="195"/>
    </row>
    <row r="460" spans="1:9" s="2" customFormat="1" ht="15.6" customHeight="1" x14ac:dyDescent="0.25">
      <c r="A460" s="133">
        <v>101</v>
      </c>
      <c r="B460" s="133"/>
      <c r="C460" s="21" t="s">
        <v>166</v>
      </c>
      <c r="D460" s="21">
        <f>15.72*10.764</f>
        <v>169.21008</v>
      </c>
      <c r="E460" s="21">
        <v>0</v>
      </c>
      <c r="F460" s="21">
        <f t="shared" ref="F460:F465" si="8">D460*1.6+E460</f>
        <v>270.73612800000001</v>
      </c>
      <c r="G460" s="133" t="str">
        <f>A459</f>
        <v>1st Floor for Commercial &amp; Residential</v>
      </c>
      <c r="H460" s="133"/>
    </row>
    <row r="461" spans="1:9" s="2" customFormat="1" x14ac:dyDescent="0.25">
      <c r="A461" s="133">
        <v>102</v>
      </c>
      <c r="B461" s="133"/>
      <c r="C461" s="21" t="s">
        <v>166</v>
      </c>
      <c r="D461" s="21">
        <f>18.46*10.764</f>
        <v>198.70344</v>
      </c>
      <c r="E461" s="21">
        <v>0</v>
      </c>
      <c r="F461" s="21">
        <f t="shared" si="8"/>
        <v>317.92550400000005</v>
      </c>
      <c r="G461" s="133"/>
      <c r="H461" s="133"/>
    </row>
    <row r="462" spans="1:9" s="2" customFormat="1" x14ac:dyDescent="0.25">
      <c r="A462" s="133">
        <v>103</v>
      </c>
      <c r="B462" s="133"/>
      <c r="C462" s="21" t="s">
        <v>166</v>
      </c>
      <c r="D462" s="21">
        <f>12.4*10.764</f>
        <v>133.4736</v>
      </c>
      <c r="E462" s="21">
        <v>0</v>
      </c>
      <c r="F462" s="21">
        <f t="shared" si="8"/>
        <v>213.55776000000003</v>
      </c>
      <c r="G462" s="133"/>
      <c r="H462" s="133"/>
    </row>
    <row r="463" spans="1:9" s="2" customFormat="1" x14ac:dyDescent="0.25">
      <c r="A463" s="133" t="s">
        <v>167</v>
      </c>
      <c r="B463" s="133"/>
      <c r="C463" s="21" t="s">
        <v>166</v>
      </c>
      <c r="D463" s="21">
        <f>12.4*10.764</f>
        <v>133.4736</v>
      </c>
      <c r="E463" s="21">
        <v>0</v>
      </c>
      <c r="F463" s="21">
        <f t="shared" si="8"/>
        <v>213.55776000000003</v>
      </c>
      <c r="G463" s="133"/>
      <c r="H463" s="133"/>
    </row>
    <row r="464" spans="1:9" s="2" customFormat="1" x14ac:dyDescent="0.25">
      <c r="A464" s="133">
        <v>104</v>
      </c>
      <c r="B464" s="133"/>
      <c r="C464" s="21" t="s">
        <v>166</v>
      </c>
      <c r="D464" s="21">
        <f>18.46*10.764</f>
        <v>198.70344</v>
      </c>
      <c r="E464" s="21">
        <v>0</v>
      </c>
      <c r="F464" s="21">
        <f t="shared" si="8"/>
        <v>317.92550400000005</v>
      </c>
      <c r="G464" s="133"/>
      <c r="H464" s="133"/>
    </row>
    <row r="465" spans="1:8" s="2" customFormat="1" x14ac:dyDescent="0.25">
      <c r="A465" s="133">
        <v>105</v>
      </c>
      <c r="B465" s="133"/>
      <c r="C465" s="21" t="s">
        <v>166</v>
      </c>
      <c r="D465" s="21">
        <f>15.72*10.764</f>
        <v>169.21008</v>
      </c>
      <c r="E465" s="21">
        <v>0</v>
      </c>
      <c r="F465" s="21">
        <f t="shared" si="8"/>
        <v>270.73612800000001</v>
      </c>
      <c r="G465" s="133"/>
      <c r="H465" s="133"/>
    </row>
    <row r="466" spans="1:8" s="2" customFormat="1" x14ac:dyDescent="0.25">
      <c r="A466" s="133">
        <v>1</v>
      </c>
      <c r="B466" s="133"/>
      <c r="C466" s="21" t="s">
        <v>168</v>
      </c>
      <c r="D466" s="26">
        <f>(27.77+5.9475)*10.764</f>
        <v>362.93516999999997</v>
      </c>
      <c r="E466" s="21">
        <f>4.305*10.764</f>
        <v>46.339019999999991</v>
      </c>
      <c r="F466" s="21">
        <f>D466*1.5+E466</f>
        <v>590.74177499999996</v>
      </c>
      <c r="G466" s="133"/>
      <c r="H466" s="133"/>
    </row>
    <row r="467" spans="1:8" s="2" customFormat="1" x14ac:dyDescent="0.25">
      <c r="A467" s="133">
        <v>2</v>
      </c>
      <c r="B467" s="133"/>
      <c r="C467" s="21" t="s">
        <v>168</v>
      </c>
      <c r="D467" s="26">
        <f>(27.77+5.9475)*10.764</f>
        <v>362.93516999999997</v>
      </c>
      <c r="E467" s="21">
        <f>4.305*10.764</f>
        <v>46.339019999999991</v>
      </c>
      <c r="F467" s="21">
        <f>D467*1.5+E467</f>
        <v>590.74177499999996</v>
      </c>
      <c r="G467" s="133"/>
      <c r="H467" s="133"/>
    </row>
    <row r="468" spans="1:8" s="2" customFormat="1" ht="15.75" customHeight="1" x14ac:dyDescent="0.25">
      <c r="A468" s="205" t="s">
        <v>169</v>
      </c>
      <c r="B468" s="206"/>
      <c r="C468" s="206"/>
      <c r="D468" s="206"/>
      <c r="E468" s="206"/>
      <c r="F468" s="206"/>
      <c r="G468" s="206"/>
      <c r="H468" s="207"/>
    </row>
    <row r="469" spans="1:8" s="2" customFormat="1" ht="15.75" customHeight="1" x14ac:dyDescent="0.25">
      <c r="A469" s="202">
        <v>1</v>
      </c>
      <c r="B469" s="202"/>
      <c r="C469" s="26" t="s">
        <v>168</v>
      </c>
      <c r="D469" s="26">
        <f>(27.77+5.9475)*10.764</f>
        <v>362.93516999999997</v>
      </c>
      <c r="E469" s="26">
        <f>4.305*10.764</f>
        <v>46.339019999999991</v>
      </c>
      <c r="F469" s="26">
        <f>D469*1.5+E469</f>
        <v>590.74177499999996</v>
      </c>
      <c r="G469" s="134" t="str">
        <f>A468</f>
        <v>2nd Floor for Residential</v>
      </c>
      <c r="H469" s="135"/>
    </row>
    <row r="470" spans="1:8" s="2" customFormat="1" x14ac:dyDescent="0.25">
      <c r="A470" s="202">
        <v>2</v>
      </c>
      <c r="B470" s="202"/>
      <c r="C470" s="26" t="s">
        <v>168</v>
      </c>
      <c r="D470" s="26">
        <f>(27.77+5.9475)*10.764</f>
        <v>362.93516999999997</v>
      </c>
      <c r="E470" s="26">
        <f>4.305*10.764</f>
        <v>46.339019999999991</v>
      </c>
      <c r="F470" s="26">
        <f>D470*1.5+E470</f>
        <v>590.74177499999996</v>
      </c>
      <c r="G470" s="136"/>
      <c r="H470" s="137"/>
    </row>
    <row r="471" spans="1:8" s="2" customFormat="1" x14ac:dyDescent="0.25">
      <c r="A471" s="202">
        <v>3</v>
      </c>
      <c r="B471" s="202"/>
      <c r="C471" s="26" t="s">
        <v>168</v>
      </c>
      <c r="D471" s="26">
        <f>(27.77)*10.764</f>
        <v>298.91627999999997</v>
      </c>
      <c r="E471" s="26">
        <f>(2.1*3.1+0.6*2.3+2.6*1.6+2.7*1.4+0.5*1.2)*10.764</f>
        <v>176.85252</v>
      </c>
      <c r="F471" s="26">
        <f>D471*1.5+E471/2</f>
        <v>536.80067999999994</v>
      </c>
      <c r="G471" s="136"/>
      <c r="H471" s="137"/>
    </row>
    <row r="472" spans="1:8" s="2" customFormat="1" x14ac:dyDescent="0.25">
      <c r="A472" s="202">
        <v>4</v>
      </c>
      <c r="B472" s="202"/>
      <c r="C472" s="26" t="s">
        <v>168</v>
      </c>
      <c r="D472" s="26">
        <f>(27.77)*10.764</f>
        <v>298.91627999999997</v>
      </c>
      <c r="E472" s="26">
        <f>(2.1*3.1+0.6*2.3+4.4*1.5+3.5*1.4+1.5*3.3)*10.764</f>
        <v>261.99575999999996</v>
      </c>
      <c r="F472" s="26">
        <f>D472*1.5+E472/3</f>
        <v>535.70633999999995</v>
      </c>
      <c r="G472" s="138"/>
      <c r="H472" s="139"/>
    </row>
    <row r="473" spans="1:8" s="2" customFormat="1" ht="15.75" customHeight="1" x14ac:dyDescent="0.25">
      <c r="A473" s="144" t="s">
        <v>174</v>
      </c>
      <c r="B473" s="145"/>
      <c r="C473" s="145"/>
      <c r="D473" s="145"/>
      <c r="E473" s="145"/>
      <c r="F473" s="145"/>
      <c r="G473" s="145"/>
      <c r="H473" s="146"/>
    </row>
    <row r="474" spans="1:8" s="2" customFormat="1" ht="15.75" customHeight="1" x14ac:dyDescent="0.25">
      <c r="A474" s="202">
        <v>1</v>
      </c>
      <c r="B474" s="202"/>
      <c r="C474" s="21" t="s">
        <v>168</v>
      </c>
      <c r="D474" s="26">
        <f>(27.77+5.9475)*10.764</f>
        <v>362.93516999999997</v>
      </c>
      <c r="E474" s="21">
        <f>4.305*10.764</f>
        <v>46.339019999999991</v>
      </c>
      <c r="F474" s="21">
        <f>D474*1.5+E474</f>
        <v>590.74177499999996</v>
      </c>
      <c r="G474" s="134" t="str">
        <f>A473</f>
        <v>3rd, 5th, 7th, 9th &amp; 11th Floor</v>
      </c>
      <c r="H474" s="135"/>
    </row>
    <row r="475" spans="1:8" s="2" customFormat="1" x14ac:dyDescent="0.25">
      <c r="A475" s="202">
        <v>2</v>
      </c>
      <c r="B475" s="202"/>
      <c r="C475" s="21" t="s">
        <v>168</v>
      </c>
      <c r="D475" s="26">
        <f>(27.77+5.9475)*10.764</f>
        <v>362.93516999999997</v>
      </c>
      <c r="E475" s="21">
        <f>4.305*10.764</f>
        <v>46.339019999999991</v>
      </c>
      <c r="F475" s="21">
        <f>D475*1.5+E475</f>
        <v>590.74177499999996</v>
      </c>
      <c r="G475" s="136"/>
      <c r="H475" s="137"/>
    </row>
    <row r="476" spans="1:8" s="2" customFormat="1" x14ac:dyDescent="0.25">
      <c r="A476" s="202">
        <v>3</v>
      </c>
      <c r="B476" s="202"/>
      <c r="C476" s="21" t="s">
        <v>168</v>
      </c>
      <c r="D476" s="26">
        <f>(27.77+5.9475)*10.764</f>
        <v>362.93516999999997</v>
      </c>
      <c r="E476" s="21">
        <f>4.305*10.764</f>
        <v>46.339019999999991</v>
      </c>
      <c r="F476" s="21">
        <f>D476*1.5+E476</f>
        <v>590.74177499999996</v>
      </c>
      <c r="G476" s="136"/>
      <c r="H476" s="137"/>
    </row>
    <row r="477" spans="1:8" s="2" customFormat="1" x14ac:dyDescent="0.25">
      <c r="A477" s="202">
        <v>4</v>
      </c>
      <c r="B477" s="202"/>
      <c r="C477" s="21" t="s">
        <v>168</v>
      </c>
      <c r="D477" s="26">
        <f>(27.77+5.9475)*10.764</f>
        <v>362.93516999999997</v>
      </c>
      <c r="E477" s="21">
        <f>4.305*10.764</f>
        <v>46.339019999999991</v>
      </c>
      <c r="F477" s="21">
        <f>D477*1.5+E477</f>
        <v>590.74177499999996</v>
      </c>
      <c r="G477" s="138"/>
      <c r="H477" s="139"/>
    </row>
    <row r="478" spans="1:8" s="2" customFormat="1" ht="15.75" customHeight="1" x14ac:dyDescent="0.25">
      <c r="A478" s="144" t="s">
        <v>256</v>
      </c>
      <c r="B478" s="145"/>
      <c r="C478" s="145"/>
      <c r="D478" s="145"/>
      <c r="E478" s="145"/>
      <c r="F478" s="145"/>
      <c r="G478" s="145"/>
      <c r="H478" s="146"/>
    </row>
    <row r="479" spans="1:8" s="2" customFormat="1" ht="15.75" customHeight="1" x14ac:dyDescent="0.25">
      <c r="A479" s="133">
        <v>1</v>
      </c>
      <c r="B479" s="133"/>
      <c r="C479" s="21" t="s">
        <v>168</v>
      </c>
      <c r="D479" s="26">
        <f>(27.77+6.5025)*10.764</f>
        <v>368.90918999999997</v>
      </c>
      <c r="E479" s="21">
        <f>3.195*10.764</f>
        <v>34.390979999999999</v>
      </c>
      <c r="F479" s="21">
        <f>D479*1.5+E479</f>
        <v>587.75476500000002</v>
      </c>
      <c r="G479" s="134" t="str">
        <f>A478</f>
        <v>4th, 6th, 10th, 12th Floor</v>
      </c>
      <c r="H479" s="135"/>
    </row>
    <row r="480" spans="1:8" s="2" customFormat="1" x14ac:dyDescent="0.25">
      <c r="A480" s="133">
        <v>2</v>
      </c>
      <c r="B480" s="133"/>
      <c r="C480" s="21" t="s">
        <v>168</v>
      </c>
      <c r="D480" s="26">
        <f>(27.77+6.5025)*10.764</f>
        <v>368.90918999999997</v>
      </c>
      <c r="E480" s="21">
        <f>3.195*10.764</f>
        <v>34.390979999999999</v>
      </c>
      <c r="F480" s="21">
        <f>D480*1.5+E480</f>
        <v>587.75476500000002</v>
      </c>
      <c r="G480" s="136"/>
      <c r="H480" s="137"/>
    </row>
    <row r="481" spans="1:8" s="2" customFormat="1" x14ac:dyDescent="0.25">
      <c r="A481" s="133">
        <v>3</v>
      </c>
      <c r="B481" s="133"/>
      <c r="C481" s="21" t="s">
        <v>168</v>
      </c>
      <c r="D481" s="26">
        <f>(27.77+6.5025)*10.764</f>
        <v>368.90918999999997</v>
      </c>
      <c r="E481" s="21">
        <f>3.195*10.764</f>
        <v>34.390979999999999</v>
      </c>
      <c r="F481" s="21">
        <f>D481*1.5+E481</f>
        <v>587.75476500000002</v>
      </c>
      <c r="G481" s="136"/>
      <c r="H481" s="137"/>
    </row>
    <row r="482" spans="1:8" s="2" customFormat="1" x14ac:dyDescent="0.25">
      <c r="A482" s="133">
        <v>4</v>
      </c>
      <c r="B482" s="133"/>
      <c r="C482" s="21" t="s">
        <v>168</v>
      </c>
      <c r="D482" s="26">
        <f>(27.77+6.5025)*10.764</f>
        <v>368.90918999999997</v>
      </c>
      <c r="E482" s="21">
        <f>3.195*10.764</f>
        <v>34.390979999999999</v>
      </c>
      <c r="F482" s="21">
        <f>D482*1.5+E482</f>
        <v>587.75476500000002</v>
      </c>
      <c r="G482" s="138"/>
      <c r="H482" s="139"/>
    </row>
    <row r="483" spans="1:8" s="2" customFormat="1" ht="15.75" customHeight="1" x14ac:dyDescent="0.25">
      <c r="A483" s="144" t="s">
        <v>175</v>
      </c>
      <c r="B483" s="145"/>
      <c r="C483" s="145"/>
      <c r="D483" s="145"/>
      <c r="E483" s="145"/>
      <c r="F483" s="145"/>
      <c r="G483" s="145"/>
      <c r="H483" s="146"/>
    </row>
    <row r="484" spans="1:8" s="2" customFormat="1" ht="15.75" customHeight="1" x14ac:dyDescent="0.25">
      <c r="A484" s="133">
        <v>1</v>
      </c>
      <c r="B484" s="133"/>
      <c r="C484" s="21" t="s">
        <v>168</v>
      </c>
      <c r="D484" s="26">
        <f>(27.77+6.5025)*10.764</f>
        <v>368.90918999999997</v>
      </c>
      <c r="E484" s="21">
        <f>3.195*10.764</f>
        <v>34.390979999999999</v>
      </c>
      <c r="F484" s="21">
        <f>D484*1.5+E484</f>
        <v>587.75476500000002</v>
      </c>
      <c r="G484" s="134" t="str">
        <f>A483</f>
        <v>8th Floor(Part Refuge Area)</v>
      </c>
      <c r="H484" s="135"/>
    </row>
    <row r="485" spans="1:8" s="2" customFormat="1" x14ac:dyDescent="0.25">
      <c r="A485" s="133">
        <v>2</v>
      </c>
      <c r="B485" s="133"/>
      <c r="C485" s="21" t="s">
        <v>168</v>
      </c>
      <c r="D485" s="26">
        <f>(27.77+6.5025)*10.764</f>
        <v>368.90918999999997</v>
      </c>
      <c r="E485" s="21">
        <f>3.195*10.764</f>
        <v>34.390979999999999</v>
      </c>
      <c r="F485" s="21">
        <f>D485*1.5+E485</f>
        <v>587.75476500000002</v>
      </c>
      <c r="G485" s="136"/>
      <c r="H485" s="137"/>
    </row>
    <row r="486" spans="1:8" s="2" customFormat="1" x14ac:dyDescent="0.25">
      <c r="A486" s="133">
        <v>3</v>
      </c>
      <c r="B486" s="133"/>
      <c r="C486" s="140" t="s">
        <v>176</v>
      </c>
      <c r="D486" s="141"/>
      <c r="E486" s="141"/>
      <c r="F486" s="142"/>
      <c r="G486" s="136"/>
      <c r="H486" s="137"/>
    </row>
    <row r="487" spans="1:8" s="2" customFormat="1" x14ac:dyDescent="0.25">
      <c r="A487" s="133">
        <v>4</v>
      </c>
      <c r="B487" s="133"/>
      <c r="C487" s="21" t="s">
        <v>168</v>
      </c>
      <c r="D487" s="26">
        <f>(27.77+6.5025)*10.764</f>
        <v>368.90918999999997</v>
      </c>
      <c r="E487" s="21">
        <f>3.195*10.764</f>
        <v>34.390979999999999</v>
      </c>
      <c r="F487" s="21">
        <f>D487*1.5+E487</f>
        <v>587.75476500000002</v>
      </c>
      <c r="G487" s="138"/>
      <c r="H487" s="139"/>
    </row>
    <row r="488" spans="1:8" s="2" customFormat="1" ht="15.6" customHeight="1" x14ac:dyDescent="0.25">
      <c r="A488" s="144" t="s">
        <v>177</v>
      </c>
      <c r="B488" s="145"/>
      <c r="C488" s="145"/>
      <c r="D488" s="145"/>
      <c r="E488" s="145"/>
      <c r="F488" s="145"/>
      <c r="G488" s="145"/>
      <c r="H488" s="146"/>
    </row>
    <row r="489" spans="1:8" s="2" customFormat="1" ht="15.75" customHeight="1" x14ac:dyDescent="0.25">
      <c r="A489" s="133">
        <v>1</v>
      </c>
      <c r="B489" s="133"/>
      <c r="C489" s="21" t="s">
        <v>168</v>
      </c>
      <c r="D489" s="26">
        <f>(27.77+5.9475)*10.764</f>
        <v>362.93516999999997</v>
      </c>
      <c r="E489" s="21">
        <f>4.305*10.764</f>
        <v>46.339019999999991</v>
      </c>
      <c r="F489" s="21">
        <f>D489*1.5+E489</f>
        <v>590.74177499999996</v>
      </c>
      <c r="G489" s="134" t="str">
        <f>A488</f>
        <v>13th Floor(Part Refuge Area)</v>
      </c>
      <c r="H489" s="135"/>
    </row>
    <row r="490" spans="1:8" s="2" customFormat="1" x14ac:dyDescent="0.25">
      <c r="A490" s="133">
        <v>2</v>
      </c>
      <c r="B490" s="133"/>
      <c r="C490" s="21" t="s">
        <v>168</v>
      </c>
      <c r="D490" s="26">
        <f>(27.77+5.9475)*10.764</f>
        <v>362.93516999999997</v>
      </c>
      <c r="E490" s="21">
        <f>4.305*10.764</f>
        <v>46.339019999999991</v>
      </c>
      <c r="F490" s="21">
        <f>D490*1.5+E490</f>
        <v>590.74177499999996</v>
      </c>
      <c r="G490" s="136"/>
      <c r="H490" s="137"/>
    </row>
    <row r="491" spans="1:8" s="2" customFormat="1" x14ac:dyDescent="0.25">
      <c r="A491" s="133">
        <v>3</v>
      </c>
      <c r="B491" s="133"/>
      <c r="C491" s="140" t="s">
        <v>176</v>
      </c>
      <c r="D491" s="141"/>
      <c r="E491" s="141"/>
      <c r="F491" s="142"/>
      <c r="G491" s="136"/>
      <c r="H491" s="137"/>
    </row>
    <row r="492" spans="1:8" s="2" customFormat="1" x14ac:dyDescent="0.25">
      <c r="A492" s="133">
        <v>4</v>
      </c>
      <c r="B492" s="133"/>
      <c r="C492" s="21" t="s">
        <v>168</v>
      </c>
      <c r="D492" s="26">
        <f>(27.77+5.9475)*10.764</f>
        <v>362.93516999999997</v>
      </c>
      <c r="E492" s="21">
        <f>4.305*10.764</f>
        <v>46.339019999999991</v>
      </c>
      <c r="F492" s="21">
        <f>D492*1.5+E492</f>
        <v>590.74177499999996</v>
      </c>
      <c r="G492" s="138"/>
      <c r="H492" s="139"/>
    </row>
    <row r="493" spans="1:8" s="2" customFormat="1" ht="15.75" customHeight="1" x14ac:dyDescent="0.25">
      <c r="A493" s="144" t="s">
        <v>250</v>
      </c>
      <c r="B493" s="145"/>
      <c r="C493" s="145"/>
      <c r="D493" s="145"/>
      <c r="E493" s="145"/>
      <c r="F493" s="145"/>
      <c r="G493" s="145"/>
      <c r="H493" s="146"/>
    </row>
    <row r="494" spans="1:8" s="2" customFormat="1" ht="15.75" customHeight="1" x14ac:dyDescent="0.25">
      <c r="A494" s="133">
        <v>1</v>
      </c>
      <c r="B494" s="133"/>
      <c r="C494" s="21" t="s">
        <v>168</v>
      </c>
      <c r="D494" s="26">
        <f>(27.77+6.5025)*10.764</f>
        <v>368.90918999999997</v>
      </c>
      <c r="E494" s="21">
        <f>3.195*10.764</f>
        <v>34.390979999999999</v>
      </c>
      <c r="F494" s="21">
        <f>D494*1.5+E494</f>
        <v>587.75476500000002</v>
      </c>
      <c r="G494" s="134" t="str">
        <f>A493</f>
        <v>14th Floor</v>
      </c>
      <c r="H494" s="135"/>
    </row>
    <row r="495" spans="1:8" s="2" customFormat="1" x14ac:dyDescent="0.25">
      <c r="A495" s="133">
        <v>2</v>
      </c>
      <c r="B495" s="133"/>
      <c r="C495" s="21" t="s">
        <v>168</v>
      </c>
      <c r="D495" s="26">
        <f>(27.77+6.5025)*10.764</f>
        <v>368.90918999999997</v>
      </c>
      <c r="E495" s="21">
        <f>3.195*10.764</f>
        <v>34.390979999999999</v>
      </c>
      <c r="F495" s="21">
        <f>D495*1.5+E495</f>
        <v>587.75476500000002</v>
      </c>
      <c r="G495" s="136"/>
      <c r="H495" s="137"/>
    </row>
    <row r="496" spans="1:8" s="2" customFormat="1" x14ac:dyDescent="0.25">
      <c r="A496" s="133">
        <v>3</v>
      </c>
      <c r="B496" s="133"/>
      <c r="C496" s="21" t="s">
        <v>168</v>
      </c>
      <c r="D496" s="26">
        <f>(27.77+6.5025)*10.764</f>
        <v>368.90918999999997</v>
      </c>
      <c r="E496" s="21">
        <f>3.195*10.764</f>
        <v>34.390979999999999</v>
      </c>
      <c r="F496" s="21">
        <f>D496*1.5+E496</f>
        <v>587.75476500000002</v>
      </c>
      <c r="G496" s="136"/>
      <c r="H496" s="137"/>
    </row>
    <row r="497" spans="1:9" s="2" customFormat="1" x14ac:dyDescent="0.25">
      <c r="A497" s="133">
        <v>4</v>
      </c>
      <c r="B497" s="133"/>
      <c r="C497" s="21" t="s">
        <v>168</v>
      </c>
      <c r="D497" s="26">
        <f>(27.77+6.5025)*10.764</f>
        <v>368.90918999999997</v>
      </c>
      <c r="E497" s="21">
        <f>3.195*10.764</f>
        <v>34.390979999999999</v>
      </c>
      <c r="F497" s="21">
        <f>D497*1.5+E497</f>
        <v>587.75476500000002</v>
      </c>
      <c r="G497" s="138"/>
      <c r="H497" s="139"/>
    </row>
    <row r="498" spans="1:9" s="2" customFormat="1" x14ac:dyDescent="0.25">
      <c r="A498" s="144" t="s">
        <v>188</v>
      </c>
      <c r="B498" s="145"/>
      <c r="C498" s="145"/>
      <c r="D498" s="145"/>
      <c r="E498" s="145"/>
      <c r="F498" s="145"/>
      <c r="G498" s="145"/>
      <c r="H498" s="146"/>
    </row>
    <row r="499" spans="1:9" s="2" customFormat="1" ht="15.75" customHeight="1" x14ac:dyDescent="0.25">
      <c r="A499" s="195" t="s">
        <v>179</v>
      </c>
      <c r="B499" s="195"/>
      <c r="C499" s="195"/>
      <c r="D499" s="195"/>
      <c r="E499" s="195"/>
      <c r="F499" s="195"/>
      <c r="G499" s="195"/>
      <c r="H499" s="195"/>
    </row>
    <row r="500" spans="1:9" s="2" customFormat="1" ht="15.75" customHeight="1" x14ac:dyDescent="0.25">
      <c r="A500" s="195" t="s">
        <v>181</v>
      </c>
      <c r="B500" s="195"/>
      <c r="C500" s="195"/>
      <c r="D500" s="195"/>
      <c r="E500" s="195"/>
      <c r="F500" s="195"/>
      <c r="G500" s="195"/>
      <c r="H500" s="195"/>
    </row>
    <row r="501" spans="1:9" s="2" customFormat="1" x14ac:dyDescent="0.25">
      <c r="A501" s="133">
        <v>1</v>
      </c>
      <c r="B501" s="133"/>
      <c r="C501" s="21" t="s">
        <v>168</v>
      </c>
      <c r="D501" s="21">
        <f>(24.07+(1.9+1.95)*0.75+1.15*1.95)*10.764</f>
        <v>314.30879999999996</v>
      </c>
      <c r="E501" s="21">
        <f>2.82*1.3*10.764</f>
        <v>39.460823999999995</v>
      </c>
      <c r="F501" s="21">
        <f>D501*1.5+E501</f>
        <v>510.92402399999992</v>
      </c>
      <c r="G501" s="133" t="str">
        <f>A500</f>
        <v>1st, 3rd, 5th, 7th, 9th &amp; 11th Floor</v>
      </c>
      <c r="H501" s="133"/>
    </row>
    <row r="502" spans="1:9" s="2" customFormat="1" x14ac:dyDescent="0.25">
      <c r="A502" s="133">
        <v>2</v>
      </c>
      <c r="B502" s="133"/>
      <c r="C502" s="21" t="s">
        <v>168</v>
      </c>
      <c r="D502" s="21">
        <f>(23.88+(1.9+1.95)*0.75+1.15*1.95)*10.764</f>
        <v>312.26363999999995</v>
      </c>
      <c r="E502" s="21">
        <f>2.82*1.3*10.764</f>
        <v>39.460823999999995</v>
      </c>
      <c r="F502" s="21">
        <f>D502*1.5+E502</f>
        <v>507.85628399999996</v>
      </c>
      <c r="G502" s="133"/>
      <c r="H502" s="133"/>
    </row>
    <row r="503" spans="1:9" s="2" customFormat="1" x14ac:dyDescent="0.25">
      <c r="A503" s="133">
        <v>3</v>
      </c>
      <c r="B503" s="133"/>
      <c r="C503" s="21" t="s">
        <v>168</v>
      </c>
      <c r="D503" s="21">
        <f>(23.97+(1.9+1.95)*0.75+1.15*1.95)*10.764</f>
        <v>313.23239999999998</v>
      </c>
      <c r="E503" s="21">
        <f>2.82*1.3*10.764</f>
        <v>39.460823999999995</v>
      </c>
      <c r="F503" s="21">
        <f>D503*1.5+E503</f>
        <v>509.30942399999998</v>
      </c>
      <c r="G503" s="133"/>
      <c r="H503" s="133"/>
    </row>
    <row r="504" spans="1:9" s="2" customFormat="1" x14ac:dyDescent="0.25">
      <c r="A504" s="133">
        <v>4</v>
      </c>
      <c r="B504" s="133"/>
      <c r="C504" s="21" t="s">
        <v>168</v>
      </c>
      <c r="D504" s="21">
        <f>(23.97+(1.9+1.95)*0.75+1.15*1.95)*10.764</f>
        <v>313.23239999999998</v>
      </c>
      <c r="E504" s="21">
        <f>2.82*1.3*10.764</f>
        <v>39.460823999999995</v>
      </c>
      <c r="F504" s="21">
        <f>D504*1.5+E504</f>
        <v>509.30942399999998</v>
      </c>
      <c r="G504" s="133"/>
      <c r="H504" s="133"/>
    </row>
    <row r="505" spans="1:9" s="2" customFormat="1" ht="15.75" customHeight="1" x14ac:dyDescent="0.25">
      <c r="A505" s="144" t="s">
        <v>226</v>
      </c>
      <c r="B505" s="145"/>
      <c r="C505" s="145"/>
      <c r="D505" s="145"/>
      <c r="E505" s="145"/>
      <c r="F505" s="145"/>
      <c r="G505" s="145"/>
      <c r="H505" s="146"/>
    </row>
    <row r="506" spans="1:9" s="2" customFormat="1" x14ac:dyDescent="0.25">
      <c r="A506" s="133">
        <v>1</v>
      </c>
      <c r="B506" s="133"/>
      <c r="C506" s="21" t="s">
        <v>168</v>
      </c>
      <c r="D506" s="21">
        <f>(24.07+(1.9+2.62)*0.75+1.15*1.95)*10.764</f>
        <v>319.71771000000001</v>
      </c>
      <c r="E506" s="21">
        <f>1.95*1.3*10.764</f>
        <v>27.286739999999998</v>
      </c>
      <c r="F506" s="21">
        <f>D506*1.5+E506</f>
        <v>506.86330500000003</v>
      </c>
      <c r="G506" s="134" t="str">
        <f>A505</f>
        <v>2nd, 4th, 6th, 10th &amp; 12th Floor</v>
      </c>
      <c r="H506" s="135"/>
      <c r="I506" s="2">
        <f>3000000/F506</f>
        <v>5918.7555508679006</v>
      </c>
    </row>
    <row r="507" spans="1:9" s="2" customFormat="1" x14ac:dyDescent="0.25">
      <c r="A507" s="133">
        <v>2</v>
      </c>
      <c r="B507" s="133"/>
      <c r="C507" s="21" t="s">
        <v>168</v>
      </c>
      <c r="D507" s="21">
        <f>(23.88+(1.9+2.62)*0.75+1.15*1.95)*10.764</f>
        <v>317.67255</v>
      </c>
      <c r="E507" s="21">
        <f>1.95*1.3*10.764</f>
        <v>27.286739999999998</v>
      </c>
      <c r="F507" s="21">
        <f>D507*1.5+E507</f>
        <v>503.79556500000001</v>
      </c>
      <c r="G507" s="136"/>
      <c r="H507" s="137"/>
    </row>
    <row r="508" spans="1:9" s="2" customFormat="1" x14ac:dyDescent="0.25">
      <c r="A508" s="133">
        <v>3</v>
      </c>
      <c r="B508" s="133"/>
      <c r="C508" s="21" t="s">
        <v>168</v>
      </c>
      <c r="D508" s="21">
        <f>(23.97+(1.9+2.62)*0.75+1.15*1.95)*10.764</f>
        <v>318.64130999999998</v>
      </c>
      <c r="E508" s="21">
        <f>1.95*1.3*10.764</f>
        <v>27.286739999999998</v>
      </c>
      <c r="F508" s="21">
        <f>D508*1.5+E508</f>
        <v>505.24870499999997</v>
      </c>
      <c r="G508" s="136"/>
      <c r="H508" s="137"/>
    </row>
    <row r="509" spans="1:9" s="2" customFormat="1" x14ac:dyDescent="0.25">
      <c r="A509" s="133">
        <v>4</v>
      </c>
      <c r="B509" s="133"/>
      <c r="C509" s="21" t="s">
        <v>168</v>
      </c>
      <c r="D509" s="21">
        <f>(23.97+(1.9+2.62)*0.75+1.15*1.95)*10.764</f>
        <v>318.64130999999998</v>
      </c>
      <c r="E509" s="21">
        <f>1.95*1.3*10.764</f>
        <v>27.286739999999998</v>
      </c>
      <c r="F509" s="21">
        <f>D509*1.5+E509</f>
        <v>505.24870499999997</v>
      </c>
      <c r="G509" s="138"/>
      <c r="H509" s="139"/>
    </row>
    <row r="510" spans="1:9" s="2" customFormat="1" ht="15.75" customHeight="1" x14ac:dyDescent="0.25">
      <c r="A510" s="144" t="s">
        <v>175</v>
      </c>
      <c r="B510" s="145"/>
      <c r="C510" s="145"/>
      <c r="D510" s="145"/>
      <c r="E510" s="145"/>
      <c r="F510" s="145"/>
      <c r="G510" s="145"/>
      <c r="H510" s="146"/>
    </row>
    <row r="511" spans="1:9" s="2" customFormat="1" x14ac:dyDescent="0.25">
      <c r="A511" s="133">
        <v>1</v>
      </c>
      <c r="B511" s="133"/>
      <c r="C511" s="21" t="s">
        <v>168</v>
      </c>
      <c r="D511" s="21">
        <f>(24.07+(1.9+2.62)*0.75+1.15*1.95)*10.764</f>
        <v>319.71771000000001</v>
      </c>
      <c r="E511" s="21">
        <f>1.95*1.3*10.764</f>
        <v>27.286739999999998</v>
      </c>
      <c r="F511" s="21">
        <f>D511*1.5+E511</f>
        <v>506.86330500000003</v>
      </c>
      <c r="G511" s="134" t="str">
        <f>A510</f>
        <v>8th Floor(Part Refuge Area)</v>
      </c>
      <c r="H511" s="135"/>
    </row>
    <row r="512" spans="1:9" s="2" customFormat="1" x14ac:dyDescent="0.25">
      <c r="A512" s="133">
        <v>2</v>
      </c>
      <c r="B512" s="133"/>
      <c r="C512" s="21" t="s">
        <v>168</v>
      </c>
      <c r="D512" s="21">
        <f>(23.88+(1.9+2.62)*0.75+1.15*1.95)*10.764</f>
        <v>317.67255</v>
      </c>
      <c r="E512" s="21">
        <f>1.95*1.3*10.764</f>
        <v>27.286739999999998</v>
      </c>
      <c r="F512" s="21">
        <f>D512*1.5+E512</f>
        <v>503.79556500000001</v>
      </c>
      <c r="G512" s="136"/>
      <c r="H512" s="137"/>
    </row>
    <row r="513" spans="1:8" s="2" customFormat="1" x14ac:dyDescent="0.25">
      <c r="A513" s="133">
        <v>3</v>
      </c>
      <c r="B513" s="133"/>
      <c r="C513" s="140" t="s">
        <v>176</v>
      </c>
      <c r="D513" s="141"/>
      <c r="E513" s="141"/>
      <c r="F513" s="142"/>
      <c r="G513" s="136"/>
      <c r="H513" s="137"/>
    </row>
    <row r="514" spans="1:8" s="2" customFormat="1" x14ac:dyDescent="0.25">
      <c r="A514" s="133">
        <v>4</v>
      </c>
      <c r="B514" s="133"/>
      <c r="C514" s="21" t="s">
        <v>168</v>
      </c>
      <c r="D514" s="21">
        <f>(23.97+(1.9+2.62)*0.75+1.15*1.95)*10.764</f>
        <v>318.64130999999998</v>
      </c>
      <c r="E514" s="21">
        <f>1.95*1.3*10.764</f>
        <v>27.286739999999998</v>
      </c>
      <c r="F514" s="21">
        <f>D514*1.5+E514</f>
        <v>505.24870499999997</v>
      </c>
      <c r="G514" s="138"/>
      <c r="H514" s="139"/>
    </row>
    <row r="515" spans="1:8" s="2" customFormat="1" ht="15.75" customHeight="1" x14ac:dyDescent="0.25">
      <c r="A515" s="144" t="s">
        <v>177</v>
      </c>
      <c r="B515" s="145"/>
      <c r="C515" s="145"/>
      <c r="D515" s="145"/>
      <c r="E515" s="145"/>
      <c r="F515" s="145"/>
      <c r="G515" s="145"/>
      <c r="H515" s="146"/>
    </row>
    <row r="516" spans="1:8" s="2" customFormat="1" x14ac:dyDescent="0.25">
      <c r="A516" s="133">
        <v>1</v>
      </c>
      <c r="B516" s="133"/>
      <c r="C516" s="21" t="s">
        <v>168</v>
      </c>
      <c r="D516" s="21">
        <f>(24.07+(1.9+1.95)*0.75+1.15*1.95)*10.764</f>
        <v>314.30879999999996</v>
      </c>
      <c r="E516" s="21">
        <f>2.82*1.3*10.764</f>
        <v>39.460823999999995</v>
      </c>
      <c r="F516" s="21">
        <f>D516*1.5+E516</f>
        <v>510.92402399999992</v>
      </c>
      <c r="G516" s="134" t="str">
        <f>A515</f>
        <v>13th Floor(Part Refuge Area)</v>
      </c>
      <c r="H516" s="135"/>
    </row>
    <row r="517" spans="1:8" s="2" customFormat="1" x14ac:dyDescent="0.25">
      <c r="A517" s="133">
        <v>2</v>
      </c>
      <c r="B517" s="133"/>
      <c r="C517" s="21" t="s">
        <v>168</v>
      </c>
      <c r="D517" s="21">
        <f>(23.88+(1.9+1.95)*0.75+1.15*1.95)*10.764</f>
        <v>312.26363999999995</v>
      </c>
      <c r="E517" s="21">
        <f>2.82*1.3*10.764</f>
        <v>39.460823999999995</v>
      </c>
      <c r="F517" s="21">
        <f>D517*1.5+E517</f>
        <v>507.85628399999996</v>
      </c>
      <c r="G517" s="136"/>
      <c r="H517" s="137"/>
    </row>
    <row r="518" spans="1:8" s="2" customFormat="1" x14ac:dyDescent="0.25">
      <c r="A518" s="133">
        <v>3</v>
      </c>
      <c r="B518" s="133"/>
      <c r="C518" s="140" t="s">
        <v>176</v>
      </c>
      <c r="D518" s="141"/>
      <c r="E518" s="141"/>
      <c r="F518" s="142"/>
      <c r="G518" s="136"/>
      <c r="H518" s="137"/>
    </row>
    <row r="519" spans="1:8" s="2" customFormat="1" x14ac:dyDescent="0.25">
      <c r="A519" s="133">
        <v>4</v>
      </c>
      <c r="B519" s="133"/>
      <c r="C519" s="21" t="s">
        <v>168</v>
      </c>
      <c r="D519" s="21">
        <f>(23.97+(1.9+1.95)*0.75+1.15*1.95)*10.764</f>
        <v>313.23239999999998</v>
      </c>
      <c r="E519" s="21">
        <f>2.82*1.3*10.764</f>
        <v>39.460823999999995</v>
      </c>
      <c r="F519" s="21">
        <f>D519*1.5+E519</f>
        <v>509.30942399999998</v>
      </c>
      <c r="G519" s="138"/>
      <c r="H519" s="139"/>
    </row>
    <row r="520" spans="1:8" s="2" customFormat="1" ht="15.75" customHeight="1" x14ac:dyDescent="0.25">
      <c r="A520" s="144" t="s">
        <v>250</v>
      </c>
      <c r="B520" s="145"/>
      <c r="C520" s="145"/>
      <c r="D520" s="145"/>
      <c r="E520" s="145"/>
      <c r="F520" s="145"/>
      <c r="G520" s="145"/>
      <c r="H520" s="146"/>
    </row>
    <row r="521" spans="1:8" s="2" customFormat="1" x14ac:dyDescent="0.25">
      <c r="A521" s="133">
        <v>1</v>
      </c>
      <c r="B521" s="133"/>
      <c r="C521" s="21" t="s">
        <v>168</v>
      </c>
      <c r="D521" s="21">
        <f>(24.07+(1.9+2.62)*0.75+1.15*1.95)*10.764</f>
        <v>319.71771000000001</v>
      </c>
      <c r="E521" s="21">
        <f>1.95*1.3*10.764</f>
        <v>27.286739999999998</v>
      </c>
      <c r="F521" s="21">
        <f>D521*1.5+E521</f>
        <v>506.86330500000003</v>
      </c>
      <c r="G521" s="134" t="str">
        <f>A520</f>
        <v>14th Floor</v>
      </c>
      <c r="H521" s="135"/>
    </row>
    <row r="522" spans="1:8" s="2" customFormat="1" x14ac:dyDescent="0.25">
      <c r="A522" s="133">
        <v>2</v>
      </c>
      <c r="B522" s="133"/>
      <c r="C522" s="21" t="s">
        <v>168</v>
      </c>
      <c r="D522" s="21">
        <f>(23.88+(1.9+2.62)*0.75+1.15*1.95)*10.764</f>
        <v>317.67255</v>
      </c>
      <c r="E522" s="21">
        <f>1.95*1.3*10.764</f>
        <v>27.286739999999998</v>
      </c>
      <c r="F522" s="21">
        <f>D522*1.5+E522</f>
        <v>503.79556500000001</v>
      </c>
      <c r="G522" s="136"/>
      <c r="H522" s="137"/>
    </row>
    <row r="523" spans="1:8" s="2" customFormat="1" x14ac:dyDescent="0.25">
      <c r="A523" s="133">
        <v>3</v>
      </c>
      <c r="B523" s="133"/>
      <c r="C523" s="21" t="s">
        <v>168</v>
      </c>
      <c r="D523" s="21">
        <f>(23.97+(1.9+2.62)*0.75+1.15*1.95)*10.764</f>
        <v>318.64130999999998</v>
      </c>
      <c r="E523" s="21">
        <f>1.95*1.3*10.764</f>
        <v>27.286739999999998</v>
      </c>
      <c r="F523" s="21">
        <f>D523*1.5+E523</f>
        <v>505.24870499999997</v>
      </c>
      <c r="G523" s="136"/>
      <c r="H523" s="137"/>
    </row>
    <row r="524" spans="1:8" s="2" customFormat="1" x14ac:dyDescent="0.25">
      <c r="A524" s="133">
        <v>4</v>
      </c>
      <c r="B524" s="133"/>
      <c r="C524" s="21" t="s">
        <v>168</v>
      </c>
      <c r="D524" s="21">
        <f>(23.97+(1.9+2.62)*0.75+1.15*1.95)*10.764</f>
        <v>318.64130999999998</v>
      </c>
      <c r="E524" s="21">
        <f>1.95*1.3*10.764</f>
        <v>27.286739999999998</v>
      </c>
      <c r="F524" s="21">
        <f>D524*1.5+E524</f>
        <v>505.24870499999997</v>
      </c>
      <c r="G524" s="138"/>
      <c r="H524" s="139"/>
    </row>
    <row r="525" spans="1:8" s="2" customFormat="1" x14ac:dyDescent="0.25">
      <c r="A525" s="144" t="s">
        <v>189</v>
      </c>
      <c r="B525" s="145"/>
      <c r="C525" s="145"/>
      <c r="D525" s="145"/>
      <c r="E525" s="145"/>
      <c r="F525" s="145"/>
      <c r="G525" s="145"/>
      <c r="H525" s="146"/>
    </row>
    <row r="526" spans="1:8" s="2" customFormat="1" ht="15.75" customHeight="1" x14ac:dyDescent="0.25">
      <c r="A526" s="144" t="s">
        <v>179</v>
      </c>
      <c r="B526" s="145"/>
      <c r="C526" s="145"/>
      <c r="D526" s="145"/>
      <c r="E526" s="145"/>
      <c r="F526" s="145"/>
      <c r="G526" s="145"/>
      <c r="H526" s="146"/>
    </row>
    <row r="527" spans="1:8" s="2" customFormat="1" ht="15.75" customHeight="1" x14ac:dyDescent="0.25">
      <c r="A527" s="144" t="s">
        <v>181</v>
      </c>
      <c r="B527" s="145"/>
      <c r="C527" s="145"/>
      <c r="D527" s="145"/>
      <c r="E527" s="145"/>
      <c r="F527" s="145"/>
      <c r="G527" s="145"/>
      <c r="H527" s="146"/>
    </row>
    <row r="528" spans="1:8" s="2" customFormat="1" x14ac:dyDescent="0.25">
      <c r="A528" s="133">
        <v>1</v>
      </c>
      <c r="B528" s="133"/>
      <c r="C528" s="21" t="s">
        <v>168</v>
      </c>
      <c r="D528" s="21">
        <f>(24.02+(1.9+1.95)*0.75+1.2*1.95)*10.764</f>
        <v>314.82008999999999</v>
      </c>
      <c r="E528" s="21">
        <f>2.82*1.3*10.764</f>
        <v>39.460823999999995</v>
      </c>
      <c r="F528" s="21">
        <f>D528*1.5+E528</f>
        <v>511.69095900000002</v>
      </c>
      <c r="G528" s="134" t="str">
        <f>A527</f>
        <v>1st, 3rd, 5th, 7th, 9th &amp; 11th Floor</v>
      </c>
      <c r="H528" s="135"/>
    </row>
    <row r="529" spans="1:8" s="2" customFormat="1" x14ac:dyDescent="0.25">
      <c r="A529" s="133">
        <v>2</v>
      </c>
      <c r="B529" s="133"/>
      <c r="C529" s="21" t="s">
        <v>168</v>
      </c>
      <c r="D529" s="21">
        <f>(24.02+(1.9+1.95)*0.75+1.2*1.95)*10.764</f>
        <v>314.82008999999999</v>
      </c>
      <c r="E529" s="21">
        <f>2.82*1.3*10.764</f>
        <v>39.460823999999995</v>
      </c>
      <c r="F529" s="21">
        <f>D529*1.5+E529</f>
        <v>511.69095900000002</v>
      </c>
      <c r="G529" s="136"/>
      <c r="H529" s="137"/>
    </row>
    <row r="530" spans="1:8" s="2" customFormat="1" x14ac:dyDescent="0.25">
      <c r="A530" s="133">
        <v>3</v>
      </c>
      <c r="B530" s="133"/>
      <c r="C530" s="21" t="s">
        <v>168</v>
      </c>
      <c r="D530" s="21">
        <f>(23.93+(1.9+1.95)*0.75+1.25*1.95)*10.764</f>
        <v>314.90081999999995</v>
      </c>
      <c r="E530" s="21">
        <f>2.82*1.3*10.764</f>
        <v>39.460823999999995</v>
      </c>
      <c r="F530" s="21">
        <f>D530*1.5+E530</f>
        <v>511.81205399999993</v>
      </c>
      <c r="G530" s="136"/>
      <c r="H530" s="137"/>
    </row>
    <row r="531" spans="1:8" s="2" customFormat="1" x14ac:dyDescent="0.25">
      <c r="A531" s="133">
        <v>4</v>
      </c>
      <c r="B531" s="133"/>
      <c r="C531" s="21" t="s">
        <v>168</v>
      </c>
      <c r="D531" s="21">
        <f>(24.12+(1.9+1.95)*0.75+1.15*1.95)*10.764</f>
        <v>314.84699999999998</v>
      </c>
      <c r="E531" s="21">
        <f>2.82*1.3*10.764</f>
        <v>39.460823999999995</v>
      </c>
      <c r="F531" s="21">
        <f>D531*1.5+E531</f>
        <v>511.73132399999997</v>
      </c>
      <c r="G531" s="138"/>
      <c r="H531" s="139"/>
    </row>
    <row r="532" spans="1:8" s="2" customFormat="1" ht="15.75" customHeight="1" x14ac:dyDescent="0.25">
      <c r="A532" s="144" t="s">
        <v>226</v>
      </c>
      <c r="B532" s="145"/>
      <c r="C532" s="145"/>
      <c r="D532" s="145"/>
      <c r="E532" s="145"/>
      <c r="F532" s="145"/>
      <c r="G532" s="145"/>
      <c r="H532" s="146"/>
    </row>
    <row r="533" spans="1:8" s="2" customFormat="1" x14ac:dyDescent="0.25">
      <c r="A533" s="133">
        <v>1</v>
      </c>
      <c r="B533" s="133"/>
      <c r="C533" s="21" t="s">
        <v>168</v>
      </c>
      <c r="D533" s="21">
        <f>(24.02+(1.9+2.62)*0.75+1.2*1.95)*10.764</f>
        <v>320.22899999999998</v>
      </c>
      <c r="E533" s="21">
        <f>1.95*1.3*10.764</f>
        <v>27.286739999999998</v>
      </c>
      <c r="F533" s="21">
        <f>D533*1.5+E533</f>
        <v>507.63023999999996</v>
      </c>
      <c r="G533" s="134" t="str">
        <f>A532</f>
        <v>2nd, 4th, 6th, 10th &amp; 12th Floor</v>
      </c>
      <c r="H533" s="135"/>
    </row>
    <row r="534" spans="1:8" s="2" customFormat="1" x14ac:dyDescent="0.25">
      <c r="A534" s="133">
        <v>2</v>
      </c>
      <c r="B534" s="133"/>
      <c r="C534" s="21" t="s">
        <v>168</v>
      </c>
      <c r="D534" s="21">
        <f>(24.02+(1.9+2.62)*0.75+1.2*1.95)*10.764</f>
        <v>320.22899999999998</v>
      </c>
      <c r="E534" s="21">
        <f>1.95*1.3*10.764</f>
        <v>27.286739999999998</v>
      </c>
      <c r="F534" s="21">
        <f>D534*1.5+E534</f>
        <v>507.63023999999996</v>
      </c>
      <c r="G534" s="136"/>
      <c r="H534" s="137"/>
    </row>
    <row r="535" spans="1:8" s="2" customFormat="1" x14ac:dyDescent="0.25">
      <c r="A535" s="133">
        <v>3</v>
      </c>
      <c r="B535" s="133"/>
      <c r="C535" s="21" t="s">
        <v>168</v>
      </c>
      <c r="D535" s="21">
        <f>(23.93+(1.9+2.62)*0.75+1.25*1.95)*10.764</f>
        <v>320.30973</v>
      </c>
      <c r="E535" s="21">
        <f>1.95*1.3*10.764</f>
        <v>27.286739999999998</v>
      </c>
      <c r="F535" s="21">
        <f>D535*1.5+E535</f>
        <v>507.75133500000004</v>
      </c>
      <c r="G535" s="136"/>
      <c r="H535" s="137"/>
    </row>
    <row r="536" spans="1:8" s="2" customFormat="1" x14ac:dyDescent="0.25">
      <c r="A536" s="133">
        <v>4</v>
      </c>
      <c r="B536" s="133"/>
      <c r="C536" s="21" t="s">
        <v>168</v>
      </c>
      <c r="D536" s="21">
        <f>(24.12+(1.9+2.62)*0.75+1.15*1.95)*10.764</f>
        <v>320.25590999999997</v>
      </c>
      <c r="E536" s="21">
        <f>1.95*1.3*10.764</f>
        <v>27.286739999999998</v>
      </c>
      <c r="F536" s="21">
        <f>D536*1.5+E536</f>
        <v>507.67060499999997</v>
      </c>
      <c r="G536" s="138"/>
      <c r="H536" s="139"/>
    </row>
    <row r="537" spans="1:8" s="2" customFormat="1" ht="15.75" customHeight="1" x14ac:dyDescent="0.25">
      <c r="A537" s="144" t="s">
        <v>175</v>
      </c>
      <c r="B537" s="145"/>
      <c r="C537" s="145"/>
      <c r="D537" s="145"/>
      <c r="E537" s="145"/>
      <c r="F537" s="145"/>
      <c r="G537" s="145"/>
      <c r="H537" s="146"/>
    </row>
    <row r="538" spans="1:8" s="2" customFormat="1" x14ac:dyDescent="0.25">
      <c r="A538" s="133">
        <v>1</v>
      </c>
      <c r="B538" s="133"/>
      <c r="C538" s="21" t="s">
        <v>168</v>
      </c>
      <c r="D538" s="21">
        <f>(24.07+(1.9+2.62)*0.75+1.15*1.95)*10.764</f>
        <v>319.71771000000001</v>
      </c>
      <c r="E538" s="21">
        <f>1.95*1.3*10.764</f>
        <v>27.286739999999998</v>
      </c>
      <c r="F538" s="21">
        <f>D538*1.5+E538</f>
        <v>506.86330500000003</v>
      </c>
      <c r="G538" s="134" t="str">
        <f>A537</f>
        <v>8th Floor(Part Refuge Area)</v>
      </c>
      <c r="H538" s="135"/>
    </row>
    <row r="539" spans="1:8" s="2" customFormat="1" x14ac:dyDescent="0.25">
      <c r="A539" s="133">
        <v>2</v>
      </c>
      <c r="B539" s="133"/>
      <c r="C539" s="21" t="s">
        <v>168</v>
      </c>
      <c r="D539" s="21">
        <f>(23.88+(1.9+2.62)*0.75+1.15*1.95)*10.764</f>
        <v>317.67255</v>
      </c>
      <c r="E539" s="21">
        <f>1.95*1.3*10.764</f>
        <v>27.286739999999998</v>
      </c>
      <c r="F539" s="21">
        <f>D539*1.5+E539</f>
        <v>503.79556500000001</v>
      </c>
      <c r="G539" s="136"/>
      <c r="H539" s="137"/>
    </row>
    <row r="540" spans="1:8" s="2" customFormat="1" x14ac:dyDescent="0.25">
      <c r="A540" s="133">
        <v>3</v>
      </c>
      <c r="B540" s="133"/>
      <c r="C540" s="140" t="s">
        <v>176</v>
      </c>
      <c r="D540" s="141"/>
      <c r="E540" s="141"/>
      <c r="F540" s="142"/>
      <c r="G540" s="136"/>
      <c r="H540" s="137"/>
    </row>
    <row r="541" spans="1:8" s="2" customFormat="1" x14ac:dyDescent="0.25">
      <c r="A541" s="133">
        <v>4</v>
      </c>
      <c r="B541" s="133"/>
      <c r="C541" s="21" t="s">
        <v>168</v>
      </c>
      <c r="D541" s="21">
        <f>(23.97+(1.9+2.62)*0.75+1.15*1.95)*10.764</f>
        <v>318.64130999999998</v>
      </c>
      <c r="E541" s="21">
        <f>1.95*1.3*10.764</f>
        <v>27.286739999999998</v>
      </c>
      <c r="F541" s="21">
        <f>D541*1.5+E541</f>
        <v>505.24870499999997</v>
      </c>
      <c r="G541" s="138"/>
      <c r="H541" s="139"/>
    </row>
    <row r="542" spans="1:8" s="2" customFormat="1" ht="15.75" customHeight="1" x14ac:dyDescent="0.25">
      <c r="A542" s="195" t="s">
        <v>177</v>
      </c>
      <c r="B542" s="195"/>
      <c r="C542" s="195"/>
      <c r="D542" s="195"/>
      <c r="E542" s="195"/>
      <c r="F542" s="195"/>
      <c r="G542" s="195"/>
      <c r="H542" s="195"/>
    </row>
    <row r="543" spans="1:8" s="2" customFormat="1" x14ac:dyDescent="0.25">
      <c r="A543" s="133">
        <v>1</v>
      </c>
      <c r="B543" s="133"/>
      <c r="C543" s="21" t="s">
        <v>168</v>
      </c>
      <c r="D543" s="21">
        <f>(24.02+(1.9+2.62)*0.75+1.2*1.95)*10.764</f>
        <v>320.22899999999998</v>
      </c>
      <c r="E543" s="21">
        <f>1.95*1.3*10.764</f>
        <v>27.286739999999998</v>
      </c>
      <c r="F543" s="21">
        <f>D543*1.5+E543</f>
        <v>507.63023999999996</v>
      </c>
      <c r="G543" s="133" t="str">
        <f>A542</f>
        <v>13th Floor(Part Refuge Area)</v>
      </c>
      <c r="H543" s="133"/>
    </row>
    <row r="544" spans="1:8" s="2" customFormat="1" x14ac:dyDescent="0.25">
      <c r="A544" s="133">
        <v>2</v>
      </c>
      <c r="B544" s="133"/>
      <c r="C544" s="21" t="s">
        <v>168</v>
      </c>
      <c r="D544" s="21">
        <f>(24.02+(1.9+2.62)*0.75+1.2*1.95)*10.764</f>
        <v>320.22899999999998</v>
      </c>
      <c r="E544" s="21">
        <f>1.95*1.3*10.764</f>
        <v>27.286739999999998</v>
      </c>
      <c r="F544" s="21">
        <f>D544*1.5+E544</f>
        <v>507.63023999999996</v>
      </c>
      <c r="G544" s="133"/>
      <c r="H544" s="133"/>
    </row>
    <row r="545" spans="1:8" s="2" customFormat="1" x14ac:dyDescent="0.25">
      <c r="A545" s="133">
        <v>3</v>
      </c>
      <c r="B545" s="133"/>
      <c r="C545" s="133" t="s">
        <v>176</v>
      </c>
      <c r="D545" s="133"/>
      <c r="E545" s="133"/>
      <c r="F545" s="133"/>
      <c r="G545" s="133"/>
      <c r="H545" s="133"/>
    </row>
    <row r="546" spans="1:8" s="2" customFormat="1" x14ac:dyDescent="0.25">
      <c r="A546" s="133">
        <v>4</v>
      </c>
      <c r="B546" s="133"/>
      <c r="C546" s="21" t="s">
        <v>168</v>
      </c>
      <c r="D546" s="21">
        <f>(24.12+(1.9+2.62)*0.75+1.15*1.95)*10.764</f>
        <v>320.25590999999997</v>
      </c>
      <c r="E546" s="21">
        <f>1.95*1.3*10.764</f>
        <v>27.286739999999998</v>
      </c>
      <c r="F546" s="21">
        <f>D546*1.5+E546</f>
        <v>507.67060499999997</v>
      </c>
      <c r="G546" s="133"/>
      <c r="H546" s="133"/>
    </row>
    <row r="547" spans="1:8" s="2" customFormat="1" ht="15.75" customHeight="1" x14ac:dyDescent="0.25">
      <c r="A547" s="195" t="s">
        <v>250</v>
      </c>
      <c r="B547" s="195"/>
      <c r="C547" s="195"/>
      <c r="D547" s="195"/>
      <c r="E547" s="195"/>
      <c r="F547" s="195"/>
      <c r="G547" s="195"/>
      <c r="H547" s="195"/>
    </row>
    <row r="548" spans="1:8" s="2" customFormat="1" x14ac:dyDescent="0.25">
      <c r="A548" s="133">
        <v>1</v>
      </c>
      <c r="B548" s="133"/>
      <c r="C548" s="21" t="s">
        <v>168</v>
      </c>
      <c r="D548" s="21">
        <f>(24.02+(1.9+2.62)*0.75+1.2*1.95)*10.764</f>
        <v>320.22899999999998</v>
      </c>
      <c r="E548" s="21">
        <f>1.95*1.3*10.764</f>
        <v>27.286739999999998</v>
      </c>
      <c r="F548" s="21">
        <f>D548*1.5+E548</f>
        <v>507.63023999999996</v>
      </c>
      <c r="G548" s="133" t="str">
        <f>A547</f>
        <v>14th Floor</v>
      </c>
      <c r="H548" s="133"/>
    </row>
    <row r="549" spans="1:8" s="2" customFormat="1" x14ac:dyDescent="0.25">
      <c r="A549" s="133">
        <v>2</v>
      </c>
      <c r="B549" s="133"/>
      <c r="C549" s="21" t="s">
        <v>168</v>
      </c>
      <c r="D549" s="21">
        <f>(24.02+(1.9+2.62)*0.75+1.2*1.95)*10.764</f>
        <v>320.22899999999998</v>
      </c>
      <c r="E549" s="21">
        <f>1.95*1.3*10.764</f>
        <v>27.286739999999998</v>
      </c>
      <c r="F549" s="21">
        <f>D549*1.5+E549</f>
        <v>507.63023999999996</v>
      </c>
      <c r="G549" s="133"/>
      <c r="H549" s="133"/>
    </row>
    <row r="550" spans="1:8" s="2" customFormat="1" x14ac:dyDescent="0.25">
      <c r="A550" s="133">
        <v>3</v>
      </c>
      <c r="B550" s="133"/>
      <c r="C550" s="21" t="s">
        <v>168</v>
      </c>
      <c r="D550" s="21">
        <f>(23.93+(1.9+2.62)*0.75+1.25*1.95)*10.764</f>
        <v>320.30973</v>
      </c>
      <c r="E550" s="21">
        <f>1.95*1.3*10.764</f>
        <v>27.286739999999998</v>
      </c>
      <c r="F550" s="21">
        <f>D550*1.5+E550</f>
        <v>507.75133500000004</v>
      </c>
      <c r="G550" s="133"/>
      <c r="H550" s="133"/>
    </row>
    <row r="551" spans="1:8" s="2" customFormat="1" x14ac:dyDescent="0.25">
      <c r="A551" s="133">
        <v>4</v>
      </c>
      <c r="B551" s="133"/>
      <c r="C551" s="21" t="s">
        <v>168</v>
      </c>
      <c r="D551" s="21">
        <f>(24.12+(1.9+2.62)*0.75+1.15*1.95)*10.764</f>
        <v>320.25590999999997</v>
      </c>
      <c r="E551" s="21">
        <f>1.95*1.3*10.764</f>
        <v>27.286739999999998</v>
      </c>
      <c r="F551" s="21">
        <f>D551*1.5+E551</f>
        <v>507.67060499999997</v>
      </c>
      <c r="G551" s="133"/>
      <c r="H551" s="133"/>
    </row>
    <row r="552" spans="1:8" s="2" customFormat="1" x14ac:dyDescent="0.25">
      <c r="A552" s="199" t="s">
        <v>197</v>
      </c>
      <c r="B552" s="200"/>
      <c r="C552" s="200"/>
      <c r="D552" s="200"/>
      <c r="E552" s="200"/>
      <c r="F552" s="200"/>
      <c r="G552" s="200"/>
      <c r="H552" s="201"/>
    </row>
    <row r="553" spans="1:8" s="2" customFormat="1" ht="15.75" customHeight="1" x14ac:dyDescent="0.25">
      <c r="A553" s="144" t="s">
        <v>192</v>
      </c>
      <c r="B553" s="145"/>
      <c r="C553" s="145"/>
      <c r="D553" s="145"/>
      <c r="E553" s="145"/>
      <c r="F553" s="145"/>
      <c r="G553" s="145"/>
      <c r="H553" s="146"/>
    </row>
    <row r="554" spans="1:8" s="2" customFormat="1" ht="15.75" customHeight="1" x14ac:dyDescent="0.25">
      <c r="A554" s="133">
        <v>1</v>
      </c>
      <c r="B554" s="133"/>
      <c r="C554" s="21" t="s">
        <v>164</v>
      </c>
      <c r="D554" s="21">
        <f>19.704*10.764</f>
        <v>212.09385599999999</v>
      </c>
      <c r="E554" s="21">
        <v>0</v>
      </c>
      <c r="F554" s="21">
        <f>D554*1.6</f>
        <v>339.35016960000002</v>
      </c>
      <c r="G554" s="134" t="str">
        <f>A553</f>
        <v>Ground Floor for Parking &amp; Commercial</v>
      </c>
      <c r="H554" s="135"/>
    </row>
    <row r="555" spans="1:8" s="2" customFormat="1" x14ac:dyDescent="0.25">
      <c r="A555" s="133">
        <v>2</v>
      </c>
      <c r="B555" s="133"/>
      <c r="C555" s="21" t="s">
        <v>164</v>
      </c>
      <c r="D555" s="21">
        <f>16.232*10.764</f>
        <v>174.72124799999997</v>
      </c>
      <c r="E555" s="21">
        <v>0</v>
      </c>
      <c r="F555" s="21">
        <f t="shared" ref="F555:F561" si="9">D555*1.6</f>
        <v>279.55399679999999</v>
      </c>
      <c r="G555" s="136"/>
      <c r="H555" s="137"/>
    </row>
    <row r="556" spans="1:8" s="2" customFormat="1" x14ac:dyDescent="0.25">
      <c r="A556" s="133">
        <v>3</v>
      </c>
      <c r="B556" s="133"/>
      <c r="C556" s="21" t="s">
        <v>164</v>
      </c>
      <c r="D556" s="21">
        <f>16.232*10.764</f>
        <v>174.72124799999997</v>
      </c>
      <c r="E556" s="21">
        <v>0</v>
      </c>
      <c r="F556" s="21">
        <f t="shared" si="9"/>
        <v>279.55399679999999</v>
      </c>
      <c r="G556" s="136"/>
      <c r="H556" s="137"/>
    </row>
    <row r="557" spans="1:8" s="2" customFormat="1" x14ac:dyDescent="0.25">
      <c r="A557" s="133">
        <v>4</v>
      </c>
      <c r="B557" s="133"/>
      <c r="C557" s="21" t="s">
        <v>164</v>
      </c>
      <c r="D557" s="21">
        <f>17.389*10.764</f>
        <v>187.17519599999997</v>
      </c>
      <c r="E557" s="21">
        <v>0</v>
      </c>
      <c r="F557" s="21">
        <f t="shared" si="9"/>
        <v>299.48031359999999</v>
      </c>
      <c r="G557" s="136"/>
      <c r="H557" s="137"/>
    </row>
    <row r="558" spans="1:8" s="2" customFormat="1" x14ac:dyDescent="0.25">
      <c r="A558" s="133">
        <v>5</v>
      </c>
      <c r="B558" s="133"/>
      <c r="C558" s="21" t="s">
        <v>164</v>
      </c>
      <c r="D558" s="21">
        <f>17.389*10.764</f>
        <v>187.17519599999997</v>
      </c>
      <c r="E558" s="21">
        <v>0</v>
      </c>
      <c r="F558" s="21">
        <f t="shared" si="9"/>
        <v>299.48031359999999</v>
      </c>
      <c r="G558" s="136"/>
      <c r="H558" s="137"/>
    </row>
    <row r="559" spans="1:8" s="2" customFormat="1" x14ac:dyDescent="0.25">
      <c r="A559" s="133">
        <v>6</v>
      </c>
      <c r="B559" s="133"/>
      <c r="C559" s="21" t="s">
        <v>164</v>
      </c>
      <c r="D559" s="21">
        <f>16.728*10.764</f>
        <v>180.060192</v>
      </c>
      <c r="E559" s="21">
        <v>0</v>
      </c>
      <c r="F559" s="21">
        <f t="shared" si="9"/>
        <v>288.09630720000001</v>
      </c>
      <c r="G559" s="136"/>
      <c r="H559" s="137"/>
    </row>
    <row r="560" spans="1:8" s="2" customFormat="1" x14ac:dyDescent="0.25">
      <c r="A560" s="133">
        <v>7</v>
      </c>
      <c r="B560" s="133"/>
      <c r="C560" s="21" t="s">
        <v>164</v>
      </c>
      <c r="D560" s="21">
        <f>15.961*10.764</f>
        <v>171.804204</v>
      </c>
      <c r="E560" s="21">
        <v>0</v>
      </c>
      <c r="F560" s="21">
        <f t="shared" si="9"/>
        <v>274.88672639999999</v>
      </c>
      <c r="G560" s="136"/>
      <c r="H560" s="137"/>
    </row>
    <row r="561" spans="1:10" s="2" customFormat="1" x14ac:dyDescent="0.25">
      <c r="A561" s="133">
        <v>8</v>
      </c>
      <c r="B561" s="133"/>
      <c r="C561" s="21" t="s">
        <v>164</v>
      </c>
      <c r="D561" s="21">
        <f>16.623*10.764</f>
        <v>178.92997199999999</v>
      </c>
      <c r="E561" s="21">
        <v>0</v>
      </c>
      <c r="F561" s="21">
        <f t="shared" si="9"/>
        <v>286.2879552</v>
      </c>
      <c r="G561" s="136"/>
      <c r="H561" s="137"/>
    </row>
    <row r="562" spans="1:10" s="2" customFormat="1" x14ac:dyDescent="0.25">
      <c r="A562" s="133">
        <v>9</v>
      </c>
      <c r="B562" s="133"/>
      <c r="C562" s="21" t="s">
        <v>164</v>
      </c>
      <c r="D562" s="21">
        <f>16.623*10.764</f>
        <v>178.92997199999999</v>
      </c>
      <c r="E562" s="21">
        <v>0</v>
      </c>
      <c r="F562" s="21">
        <f t="shared" ref="F562:F563" si="10">D562*1.6</f>
        <v>286.2879552</v>
      </c>
      <c r="G562" s="136"/>
      <c r="H562" s="137"/>
    </row>
    <row r="563" spans="1:10" s="2" customFormat="1" x14ac:dyDescent="0.25">
      <c r="A563" s="133">
        <v>10</v>
      </c>
      <c r="B563" s="133"/>
      <c r="C563" s="21" t="s">
        <v>164</v>
      </c>
      <c r="D563" s="21">
        <f>24.719*10.764</f>
        <v>266.07531599999999</v>
      </c>
      <c r="E563" s="21">
        <v>0</v>
      </c>
      <c r="F563" s="21">
        <f t="shared" si="10"/>
        <v>425.72050560000002</v>
      </c>
      <c r="G563" s="138"/>
      <c r="H563" s="139"/>
    </row>
    <row r="564" spans="1:10" s="2" customFormat="1" ht="15.75" customHeight="1" x14ac:dyDescent="0.25">
      <c r="A564" s="144" t="s">
        <v>193</v>
      </c>
      <c r="B564" s="145"/>
      <c r="C564" s="145"/>
      <c r="D564" s="145"/>
      <c r="E564" s="145"/>
      <c r="F564" s="145"/>
      <c r="G564" s="145"/>
      <c r="H564" s="146"/>
    </row>
    <row r="565" spans="1:10" s="2" customFormat="1" ht="15.75" customHeight="1" x14ac:dyDescent="0.25">
      <c r="A565" s="133">
        <v>1</v>
      </c>
      <c r="B565" s="133"/>
      <c r="C565" s="21" t="s">
        <v>168</v>
      </c>
      <c r="D565" s="21">
        <f>(25.693+1*1.85+1*2.75+(0.75*(5.015+2.865)))*10.764</f>
        <v>389.68909200000002</v>
      </c>
      <c r="E565" s="21">
        <v>0</v>
      </c>
      <c r="F565" s="21">
        <f>D565*1.5+E565/2</f>
        <v>584.533638</v>
      </c>
      <c r="G565" s="134" t="str">
        <f>A564</f>
        <v>1st Floor for Residential</v>
      </c>
      <c r="H565" s="135"/>
      <c r="I565" s="2">
        <f>2.75*4.8+1.85*3.05+2.75*3.05+1.825*1.2+1.6*1</f>
        <v>31.020000000000003</v>
      </c>
      <c r="J565" s="2">
        <f>1*1.85+1*2.7</f>
        <v>4.5500000000000007</v>
      </c>
    </row>
    <row r="566" spans="1:10" s="2" customFormat="1" x14ac:dyDescent="0.25">
      <c r="A566" s="133">
        <v>2</v>
      </c>
      <c r="B566" s="133"/>
      <c r="C566" s="21" t="s">
        <v>168</v>
      </c>
      <c r="D566" s="21">
        <f>(25.693+1*1.85+1*2.75+(0.75*(5.015+2.865)))*10.764</f>
        <v>389.68909200000002</v>
      </c>
      <c r="E566" s="21">
        <v>0</v>
      </c>
      <c r="F566" s="21">
        <f>D566*1.5+E566/2</f>
        <v>584.533638</v>
      </c>
      <c r="G566" s="136"/>
      <c r="H566" s="137"/>
      <c r="I566" s="2">
        <f>I565-J565</f>
        <v>26.470000000000002</v>
      </c>
    </row>
    <row r="567" spans="1:10" s="2" customFormat="1" x14ac:dyDescent="0.25">
      <c r="A567" s="133">
        <v>3</v>
      </c>
      <c r="B567" s="133"/>
      <c r="C567" s="21" t="s">
        <v>168</v>
      </c>
      <c r="D567" s="21">
        <f t="shared" ref="D567" si="11">(25.69+1*1.85+1*2.75)*10.764</f>
        <v>326.04156</v>
      </c>
      <c r="E567" s="21">
        <f>(3*2.715+5.015*2.8)*10.764</f>
        <v>238.82086799999996</v>
      </c>
      <c r="F567" s="21">
        <f>D567*1.5+E567/3</f>
        <v>568.66929600000003</v>
      </c>
      <c r="G567" s="136"/>
      <c r="H567" s="137"/>
    </row>
    <row r="568" spans="1:10" s="2" customFormat="1" x14ac:dyDescent="0.25">
      <c r="A568" s="133">
        <v>4</v>
      </c>
      <c r="B568" s="133"/>
      <c r="C568" s="21" t="s">
        <v>168</v>
      </c>
      <c r="D568" s="21">
        <f>(25.693+1*1.85+1*2.75+(0.75*(5.015+2.865)))*10.764</f>
        <v>389.68909200000002</v>
      </c>
      <c r="E568" s="21">
        <f>(2.866*0.9+0.75*4.865)*10.764</f>
        <v>67.039806600000006</v>
      </c>
      <c r="F568" s="21">
        <f>D568*1.5+E568</f>
        <v>651.57344460000002</v>
      </c>
      <c r="G568" s="136"/>
      <c r="H568" s="137"/>
    </row>
    <row r="569" spans="1:10" s="2" customFormat="1" x14ac:dyDescent="0.25">
      <c r="A569" s="133">
        <v>5</v>
      </c>
      <c r="B569" s="133"/>
      <c r="C569" s="21" t="s">
        <v>183</v>
      </c>
      <c r="D569" s="21">
        <f>(43.702+1*2.75+1*1.8+1.2*1.6+0.75*5.5)*10.764</f>
        <v>584.45290799999998</v>
      </c>
      <c r="E569" s="21">
        <f>1.2*1.7*10.764</f>
        <v>21.958559999999999</v>
      </c>
      <c r="F569" s="21">
        <f>D569*1.5+E569</f>
        <v>898.637922</v>
      </c>
      <c r="G569" s="136"/>
      <c r="H569" s="137"/>
      <c r="J569" s="2">
        <f>4.2*3+2.75*3.75+2.44*3.75+1.84*2.75+1.985*1+1.735*1+0.45*1.8+3*1</f>
        <v>44.652500000000003</v>
      </c>
    </row>
    <row r="570" spans="1:10" s="2" customFormat="1" x14ac:dyDescent="0.25">
      <c r="A570" s="133">
        <v>6</v>
      </c>
      <c r="B570" s="133"/>
      <c r="C570" s="21" t="s">
        <v>183</v>
      </c>
      <c r="D570" s="21">
        <f>(43.702+1*2.75+1*1.8+1.2*1.6+0.75*5.5)*10.764</f>
        <v>584.45290799999998</v>
      </c>
      <c r="E570" s="21">
        <f>1.2*1.7*10.764</f>
        <v>21.958559999999999</v>
      </c>
      <c r="F570" s="21">
        <f>D570*1.5+E570</f>
        <v>898.637922</v>
      </c>
      <c r="G570" s="138"/>
      <c r="H570" s="139"/>
    </row>
    <row r="571" spans="1:10" s="2" customFormat="1" ht="15.6" customHeight="1" x14ac:dyDescent="0.25">
      <c r="A571" s="144" t="s">
        <v>293</v>
      </c>
      <c r="B571" s="145"/>
      <c r="C571" s="145"/>
      <c r="D571" s="145"/>
      <c r="E571" s="145"/>
      <c r="F571" s="145"/>
      <c r="G571" s="145"/>
      <c r="H571" s="146"/>
    </row>
    <row r="572" spans="1:10" s="2" customFormat="1" ht="15.75" customHeight="1" x14ac:dyDescent="0.25">
      <c r="A572" s="133">
        <v>1</v>
      </c>
      <c r="B572" s="133"/>
      <c r="C572" s="21" t="s">
        <v>168</v>
      </c>
      <c r="D572" s="21">
        <f>(25.693+1*1.85+1*2.75+(0.75*(5.015+2.865)))*10.764</f>
        <v>389.68909200000002</v>
      </c>
      <c r="E572" s="21">
        <v>0</v>
      </c>
      <c r="F572" s="21">
        <f>D572*1.5+E572/2</f>
        <v>584.533638</v>
      </c>
      <c r="G572" s="134" t="str">
        <f>A571</f>
        <v>2nd to 7th, 9th to 12th, 14th to 17th, 19th to 23rd Floor</v>
      </c>
      <c r="H572" s="135"/>
    </row>
    <row r="573" spans="1:10" s="2" customFormat="1" x14ac:dyDescent="0.25">
      <c r="A573" s="133">
        <v>2</v>
      </c>
      <c r="B573" s="133"/>
      <c r="C573" s="21" t="s">
        <v>168</v>
      </c>
      <c r="D573" s="21">
        <f>(25.69+1*1.85+1*2.75+(0.75*(5.015+2.865)))*10.764</f>
        <v>389.65680000000003</v>
      </c>
      <c r="E573" s="21">
        <v>0</v>
      </c>
      <c r="F573" s="21">
        <f>D573*1.5+E573/2</f>
        <v>584.48520000000008</v>
      </c>
      <c r="G573" s="136"/>
      <c r="H573" s="137"/>
    </row>
    <row r="574" spans="1:10" s="2" customFormat="1" x14ac:dyDescent="0.25">
      <c r="A574" s="133">
        <v>3</v>
      </c>
      <c r="B574" s="133"/>
      <c r="C574" s="21" t="s">
        <v>168</v>
      </c>
      <c r="D574" s="21">
        <f>(25.69+1*1.85+1*2.75+(0.75*(5.015+2.865)))*10.764</f>
        <v>389.65680000000003</v>
      </c>
      <c r="E574" s="21">
        <v>0</v>
      </c>
      <c r="F574" s="21">
        <f>D574*1.5+E574</f>
        <v>584.48520000000008</v>
      </c>
      <c r="G574" s="136"/>
      <c r="H574" s="137"/>
    </row>
    <row r="575" spans="1:10" s="2" customFormat="1" x14ac:dyDescent="0.25">
      <c r="A575" s="133">
        <v>4</v>
      </c>
      <c r="B575" s="133"/>
      <c r="C575" s="21" t="s">
        <v>168</v>
      </c>
      <c r="D575" s="21">
        <f>(25.693+1*1.85+1*2.75+(0.75*(5.015+2.865)))*10.764</f>
        <v>389.68909200000002</v>
      </c>
      <c r="E575" s="21">
        <v>0</v>
      </c>
      <c r="F575" s="21">
        <f>D575*1.5+E575/2</f>
        <v>584.533638</v>
      </c>
      <c r="G575" s="136"/>
      <c r="H575" s="137"/>
    </row>
    <row r="576" spans="1:10" s="2" customFormat="1" x14ac:dyDescent="0.25">
      <c r="A576" s="133">
        <v>5</v>
      </c>
      <c r="B576" s="133"/>
      <c r="C576" s="21" t="s">
        <v>183</v>
      </c>
      <c r="D576" s="21">
        <f>(43.702+1*2.75+1*1.8+1.2*1.6+0.75*5.5)*10.764</f>
        <v>584.45290799999998</v>
      </c>
      <c r="E576" s="21">
        <v>0</v>
      </c>
      <c r="F576" s="21">
        <f>D576*1.5+E576</f>
        <v>876.67936199999997</v>
      </c>
      <c r="G576" s="136"/>
      <c r="H576" s="137"/>
    </row>
    <row r="577" spans="1:8" s="2" customFormat="1" x14ac:dyDescent="0.25">
      <c r="A577" s="133">
        <v>6</v>
      </c>
      <c r="B577" s="133"/>
      <c r="C577" s="21" t="s">
        <v>183</v>
      </c>
      <c r="D577" s="21">
        <f>(43.702+1*2.75+1*1.8+1.2*1.6+0.75*5.5)*10.764</f>
        <v>584.45290799999998</v>
      </c>
      <c r="E577" s="21">
        <v>0</v>
      </c>
      <c r="F577" s="21">
        <f>D577*1.5+E577</f>
        <v>876.67936199999997</v>
      </c>
      <c r="G577" s="138"/>
      <c r="H577" s="139"/>
    </row>
    <row r="578" spans="1:8" s="2" customFormat="1" ht="15.6" customHeight="1" x14ac:dyDescent="0.25">
      <c r="A578" s="144" t="s">
        <v>294</v>
      </c>
      <c r="B578" s="145"/>
      <c r="C578" s="145"/>
      <c r="D578" s="145"/>
      <c r="E578" s="145"/>
      <c r="F578" s="145"/>
      <c r="G578" s="145"/>
      <c r="H578" s="146"/>
    </row>
    <row r="579" spans="1:8" s="2" customFormat="1" ht="15.75" customHeight="1" x14ac:dyDescent="0.25">
      <c r="A579" s="133">
        <v>1</v>
      </c>
      <c r="B579" s="133"/>
      <c r="C579" s="21" t="s">
        <v>168</v>
      </c>
      <c r="D579" s="21">
        <f>(25.693+1*1.85+1*2.75+(0.75*(5.015+2.865)))*10.764</f>
        <v>389.68909200000002</v>
      </c>
      <c r="E579" s="21">
        <v>0</v>
      </c>
      <c r="F579" s="21">
        <f>D579*1.5+E579/2</f>
        <v>584.533638</v>
      </c>
      <c r="G579" s="134" t="str">
        <f>A578</f>
        <v>8th, 13th &amp; 18th Floor</v>
      </c>
      <c r="H579" s="135"/>
    </row>
    <row r="580" spans="1:8" s="2" customFormat="1" x14ac:dyDescent="0.25">
      <c r="A580" s="133">
        <v>2</v>
      </c>
      <c r="B580" s="133"/>
      <c r="C580" s="21" t="s">
        <v>168</v>
      </c>
      <c r="D580" s="21">
        <f>(25.69+1*1.85+1*2.75+(0.75*(5.015+2.865)))*10.764</f>
        <v>389.65680000000003</v>
      </c>
      <c r="E580" s="21">
        <v>0</v>
      </c>
      <c r="F580" s="21">
        <f>D580*1.5+E580/2</f>
        <v>584.48520000000008</v>
      </c>
      <c r="G580" s="136"/>
      <c r="H580" s="137"/>
    </row>
    <row r="581" spans="1:8" s="2" customFormat="1" x14ac:dyDescent="0.25">
      <c r="A581" s="133">
        <v>3</v>
      </c>
      <c r="B581" s="133"/>
      <c r="C581" s="21" t="s">
        <v>168</v>
      </c>
      <c r="D581" s="21">
        <f>(25.69+1*1.85+1*2.75+(0.75*(5.015+2.865)))*10.764</f>
        <v>389.65680000000003</v>
      </c>
      <c r="E581" s="21">
        <v>0</v>
      </c>
      <c r="F581" s="21">
        <f>D581*1.5+E581</f>
        <v>584.48520000000008</v>
      </c>
      <c r="G581" s="136"/>
      <c r="H581" s="137"/>
    </row>
    <row r="582" spans="1:8" s="2" customFormat="1" x14ac:dyDescent="0.25">
      <c r="A582" s="133">
        <v>4</v>
      </c>
      <c r="B582" s="133"/>
      <c r="C582" s="21" t="s">
        <v>168</v>
      </c>
      <c r="D582" s="21">
        <f>(25.693+1*1.85+1*2.75+(0.75*(5.015+2.865)))*10.764</f>
        <v>389.68909200000002</v>
      </c>
      <c r="E582" s="21">
        <v>0</v>
      </c>
      <c r="F582" s="21">
        <f>D582*1.5+E582/2</f>
        <v>584.533638</v>
      </c>
      <c r="G582" s="136"/>
      <c r="H582" s="137"/>
    </row>
    <row r="583" spans="1:8" s="2" customFormat="1" x14ac:dyDescent="0.25">
      <c r="A583" s="133">
        <v>5</v>
      </c>
      <c r="B583" s="133"/>
      <c r="C583" s="21" t="s">
        <v>183</v>
      </c>
      <c r="D583" s="21">
        <f>(43.702+1*2.75+1*1.8+1.2*1.6+0.75*5.5)*10.764</f>
        <v>584.45290799999998</v>
      </c>
      <c r="E583" s="21">
        <v>0</v>
      </c>
      <c r="F583" s="21">
        <f>D583*1.5+E583</f>
        <v>876.67936199999997</v>
      </c>
      <c r="G583" s="136"/>
      <c r="H583" s="137"/>
    </row>
    <row r="584" spans="1:8" s="2" customFormat="1" x14ac:dyDescent="0.25">
      <c r="A584" s="133">
        <v>6</v>
      </c>
      <c r="B584" s="133"/>
      <c r="C584" s="21" t="s">
        <v>183</v>
      </c>
      <c r="D584" s="21">
        <f>(43.702+1*2.75+1*1.8+1.2*1.6+0.75*5.5)*10.764</f>
        <v>584.45290799999998</v>
      </c>
      <c r="E584" s="21">
        <v>0</v>
      </c>
      <c r="F584" s="21">
        <f>D584*1.5+E584</f>
        <v>876.67936199999997</v>
      </c>
      <c r="G584" s="138"/>
      <c r="H584" s="139"/>
    </row>
    <row r="585" spans="1:8" s="2" customFormat="1" x14ac:dyDescent="0.25">
      <c r="A585" s="195" t="s">
        <v>292</v>
      </c>
      <c r="B585" s="195"/>
      <c r="C585" s="195"/>
      <c r="D585" s="195"/>
      <c r="E585" s="195"/>
      <c r="F585" s="195"/>
      <c r="G585" s="195"/>
      <c r="H585" s="195"/>
    </row>
    <row r="586" spans="1:8" s="2" customFormat="1" ht="15.75" customHeight="1" x14ac:dyDescent="0.25">
      <c r="A586" s="195" t="s">
        <v>192</v>
      </c>
      <c r="B586" s="195"/>
      <c r="C586" s="195"/>
      <c r="D586" s="195"/>
      <c r="E586" s="195"/>
      <c r="F586" s="195"/>
      <c r="G586" s="195"/>
      <c r="H586" s="195"/>
    </row>
    <row r="587" spans="1:8" s="2" customFormat="1" ht="15.75" customHeight="1" x14ac:dyDescent="0.25">
      <c r="A587" s="133">
        <v>11</v>
      </c>
      <c r="B587" s="133"/>
      <c r="C587" s="21" t="s">
        <v>164</v>
      </c>
      <c r="D587" s="21">
        <f>16.623*10.764</f>
        <v>178.92997199999999</v>
      </c>
      <c r="E587" s="21">
        <v>0</v>
      </c>
      <c r="F587" s="21">
        <f>D587*1.6</f>
        <v>286.2879552</v>
      </c>
      <c r="G587" s="133" t="str">
        <f>A586</f>
        <v>Ground Floor for Parking &amp; Commercial</v>
      </c>
      <c r="H587" s="133"/>
    </row>
    <row r="588" spans="1:8" s="2" customFormat="1" x14ac:dyDescent="0.25">
      <c r="A588" s="133">
        <v>12</v>
      </c>
      <c r="B588" s="133"/>
      <c r="C588" s="21" t="s">
        <v>164</v>
      </c>
      <c r="D588" s="21">
        <f>16.232*10.764</f>
        <v>174.72124799999997</v>
      </c>
      <c r="E588" s="21">
        <v>0</v>
      </c>
      <c r="F588" s="21">
        <f t="shared" ref="F588:F595" si="12">D588*1.6</f>
        <v>279.55399679999999</v>
      </c>
      <c r="G588" s="133"/>
      <c r="H588" s="133"/>
    </row>
    <row r="589" spans="1:8" s="2" customFormat="1" x14ac:dyDescent="0.25">
      <c r="A589" s="133">
        <v>13</v>
      </c>
      <c r="B589" s="133"/>
      <c r="C589" s="21" t="s">
        <v>164</v>
      </c>
      <c r="D589" s="21">
        <f>15.961*10.764</f>
        <v>171.804204</v>
      </c>
      <c r="E589" s="21">
        <v>0</v>
      </c>
      <c r="F589" s="21">
        <f t="shared" si="12"/>
        <v>274.88672639999999</v>
      </c>
      <c r="G589" s="133"/>
      <c r="H589" s="133"/>
    </row>
    <row r="590" spans="1:8" s="2" customFormat="1" x14ac:dyDescent="0.25">
      <c r="A590" s="133">
        <v>14</v>
      </c>
      <c r="B590" s="133"/>
      <c r="C590" s="21" t="s">
        <v>164</v>
      </c>
      <c r="D590" s="21">
        <f>15.694*10.764</f>
        <v>168.930216</v>
      </c>
      <c r="E590" s="21">
        <v>0</v>
      </c>
      <c r="F590" s="21">
        <f t="shared" si="12"/>
        <v>270.28834560000001</v>
      </c>
      <c r="G590" s="133"/>
      <c r="H590" s="133"/>
    </row>
    <row r="591" spans="1:8" s="2" customFormat="1" x14ac:dyDescent="0.25">
      <c r="A591" s="133">
        <v>15</v>
      </c>
      <c r="B591" s="133"/>
      <c r="C591" s="21" t="s">
        <v>164</v>
      </c>
      <c r="D591" s="21">
        <f>16.356*10.764</f>
        <v>176.055984</v>
      </c>
      <c r="E591" s="21">
        <v>0</v>
      </c>
      <c r="F591" s="21">
        <f t="shared" si="12"/>
        <v>281.68957440000003</v>
      </c>
      <c r="G591" s="133"/>
      <c r="H591" s="133"/>
    </row>
    <row r="592" spans="1:8" s="2" customFormat="1" x14ac:dyDescent="0.25">
      <c r="A592" s="133">
        <v>16</v>
      </c>
      <c r="B592" s="133"/>
      <c r="C592" s="21" t="s">
        <v>164</v>
      </c>
      <c r="D592" s="21">
        <f>19.456*10.764</f>
        <v>209.42438399999998</v>
      </c>
      <c r="E592" s="21">
        <v>0</v>
      </c>
      <c r="F592" s="21">
        <f t="shared" si="12"/>
        <v>335.07901440000001</v>
      </c>
      <c r="G592" s="133"/>
      <c r="H592" s="133"/>
    </row>
    <row r="593" spans="1:10" s="2" customFormat="1" x14ac:dyDescent="0.25">
      <c r="A593" s="133">
        <v>17</v>
      </c>
      <c r="B593" s="133"/>
      <c r="C593" s="21" t="s">
        <v>164</v>
      </c>
      <c r="D593" s="21">
        <f>17.389*10.764</f>
        <v>187.17519599999997</v>
      </c>
      <c r="E593" s="21">
        <v>0</v>
      </c>
      <c r="F593" s="21">
        <f t="shared" si="12"/>
        <v>299.48031359999999</v>
      </c>
      <c r="G593" s="133"/>
      <c r="H593" s="133"/>
    </row>
    <row r="594" spans="1:10" s="2" customFormat="1" x14ac:dyDescent="0.25">
      <c r="A594" s="133">
        <v>18</v>
      </c>
      <c r="B594" s="133"/>
      <c r="C594" s="21" t="s">
        <v>164</v>
      </c>
      <c r="D594" s="21">
        <f>17.389*10.764</f>
        <v>187.17519599999997</v>
      </c>
      <c r="E594" s="21">
        <v>0</v>
      </c>
      <c r="F594" s="21">
        <f t="shared" si="12"/>
        <v>299.48031359999999</v>
      </c>
      <c r="G594" s="133"/>
      <c r="H594" s="133"/>
    </row>
    <row r="595" spans="1:10" s="2" customFormat="1" x14ac:dyDescent="0.25">
      <c r="A595" s="133">
        <v>19</v>
      </c>
      <c r="B595" s="133"/>
      <c r="C595" s="21" t="s">
        <v>164</v>
      </c>
      <c r="D595" s="21">
        <f>17.389*10.764</f>
        <v>187.17519599999997</v>
      </c>
      <c r="E595" s="21">
        <v>0</v>
      </c>
      <c r="F595" s="21">
        <f t="shared" si="12"/>
        <v>299.48031359999999</v>
      </c>
      <c r="G595" s="133"/>
      <c r="H595" s="133"/>
    </row>
    <row r="596" spans="1:10" s="2" customFormat="1" ht="15.75" customHeight="1" x14ac:dyDescent="0.25">
      <c r="A596" s="144" t="s">
        <v>193</v>
      </c>
      <c r="B596" s="145"/>
      <c r="C596" s="145"/>
      <c r="D596" s="145"/>
      <c r="E596" s="145"/>
      <c r="F596" s="145"/>
      <c r="G596" s="145"/>
      <c r="H596" s="146"/>
    </row>
    <row r="597" spans="1:10" s="2" customFormat="1" ht="15.75" customHeight="1" x14ac:dyDescent="0.25">
      <c r="A597" s="133">
        <v>1</v>
      </c>
      <c r="B597" s="133"/>
      <c r="C597" s="21" t="s">
        <v>168</v>
      </c>
      <c r="D597" s="21">
        <f>(25.693+1*1.85+1*2.75+(0.75*(5.015+2.865)))*10.764</f>
        <v>389.68909200000002</v>
      </c>
      <c r="E597" s="21">
        <v>0</v>
      </c>
      <c r="F597" s="21">
        <f>D597*1.5+E597/2</f>
        <v>584.533638</v>
      </c>
      <c r="G597" s="134" t="str">
        <f>A596</f>
        <v>1st Floor for Residential</v>
      </c>
      <c r="H597" s="135"/>
      <c r="I597" s="2">
        <f>2.75*4.8+1.85*3.05+2.75*3.05+1.825*1.2+1.6*1</f>
        <v>31.020000000000003</v>
      </c>
      <c r="J597" s="2">
        <f>1*1.85+1*2.7</f>
        <v>4.5500000000000007</v>
      </c>
    </row>
    <row r="598" spans="1:10" s="2" customFormat="1" x14ac:dyDescent="0.25">
      <c r="A598" s="133">
        <v>2</v>
      </c>
      <c r="B598" s="133"/>
      <c r="C598" s="21" t="s">
        <v>168</v>
      </c>
      <c r="D598" s="21">
        <f>(25.693+1*1.85+1*2.75+(0.75*(5.015+2.865)))*10.764</f>
        <v>389.68909200000002</v>
      </c>
      <c r="E598" s="21">
        <v>0</v>
      </c>
      <c r="F598" s="21">
        <f>D598*1.5+E598/2</f>
        <v>584.533638</v>
      </c>
      <c r="G598" s="136"/>
      <c r="H598" s="137"/>
      <c r="I598" s="2">
        <f>I597-J597</f>
        <v>26.470000000000002</v>
      </c>
    </row>
    <row r="599" spans="1:10" s="2" customFormat="1" x14ac:dyDescent="0.25">
      <c r="A599" s="133">
        <v>3</v>
      </c>
      <c r="B599" s="133"/>
      <c r="C599" s="21" t="s">
        <v>168</v>
      </c>
      <c r="D599" s="21">
        <f t="shared" ref="D599:D601" si="13">(25.69+1*1.85+1*2.75)*10.764</f>
        <v>326.04156</v>
      </c>
      <c r="E599" s="21">
        <v>0</v>
      </c>
      <c r="F599" s="21">
        <f>D599*1.5+E599/3</f>
        <v>489.06234000000001</v>
      </c>
      <c r="G599" s="136"/>
      <c r="H599" s="137"/>
    </row>
    <row r="600" spans="1:10" s="2" customFormat="1" x14ac:dyDescent="0.25">
      <c r="A600" s="133">
        <v>4</v>
      </c>
      <c r="B600" s="133"/>
      <c r="C600" s="21" t="s">
        <v>168</v>
      </c>
      <c r="D600" s="21">
        <f t="shared" si="13"/>
        <v>326.04156</v>
      </c>
      <c r="E600" s="21">
        <f>(3*2.715+5.015*2.8)*10.764</f>
        <v>238.82086799999996</v>
      </c>
      <c r="F600" s="21">
        <f>D600*1.5+E600</f>
        <v>727.88320799999997</v>
      </c>
      <c r="G600" s="136"/>
      <c r="H600" s="137"/>
    </row>
    <row r="601" spans="1:10" s="2" customFormat="1" x14ac:dyDescent="0.25">
      <c r="A601" s="133">
        <v>5</v>
      </c>
      <c r="B601" s="133"/>
      <c r="C601" s="21" t="s">
        <v>168</v>
      </c>
      <c r="D601" s="21">
        <f t="shared" si="13"/>
        <v>326.04156</v>
      </c>
      <c r="E601" s="21">
        <f>(2.866*0.9+0.75*4.865)*10.764</f>
        <v>67.039806600000006</v>
      </c>
      <c r="F601" s="21">
        <f>D601*1.5+E601</f>
        <v>556.10214659999997</v>
      </c>
      <c r="G601" s="138"/>
      <c r="H601" s="139"/>
      <c r="J601" s="2">
        <f>4.2*3+2.75*3.75+2.44*3.75+1.84*2.75+1.985*1+1.735*1+0.45*1.8+3*1</f>
        <v>44.652500000000003</v>
      </c>
    </row>
    <row r="602" spans="1:10" s="2" customFormat="1" ht="15.6" customHeight="1" x14ac:dyDescent="0.25">
      <c r="A602" s="144" t="s">
        <v>293</v>
      </c>
      <c r="B602" s="145"/>
      <c r="C602" s="145"/>
      <c r="D602" s="145"/>
      <c r="E602" s="145"/>
      <c r="F602" s="145"/>
      <c r="G602" s="145"/>
      <c r="H602" s="146"/>
    </row>
    <row r="603" spans="1:10" s="2" customFormat="1" ht="15.75" customHeight="1" x14ac:dyDescent="0.25">
      <c r="A603" s="133">
        <v>1</v>
      </c>
      <c r="B603" s="133"/>
      <c r="C603" s="21" t="s">
        <v>168</v>
      </c>
      <c r="D603" s="21">
        <f>(25.693+1*1.85+1*2.75+(0.75*(5.015+2.865)))*10.764</f>
        <v>389.68909200000002</v>
      </c>
      <c r="E603" s="21">
        <v>0</v>
      </c>
      <c r="F603" s="21">
        <f>D603*1.5+E603/2</f>
        <v>584.533638</v>
      </c>
      <c r="G603" s="134" t="str">
        <f>A602</f>
        <v>2nd to 7th, 9th to 12th, 14th to 17th, 19th to 23rd Floor</v>
      </c>
      <c r="H603" s="135"/>
    </row>
    <row r="604" spans="1:10" s="2" customFormat="1" x14ac:dyDescent="0.25">
      <c r="A604" s="133">
        <v>2</v>
      </c>
      <c r="B604" s="133"/>
      <c r="C604" s="21" t="s">
        <v>168</v>
      </c>
      <c r="D604" s="21">
        <f>(25.69+1*1.85+1*2.75+(0.75*(5.015+2.865)))*10.764</f>
        <v>389.65680000000003</v>
      </c>
      <c r="E604" s="21">
        <v>0</v>
      </c>
      <c r="F604" s="21">
        <f>D604*1.5+E604/2</f>
        <v>584.48520000000008</v>
      </c>
      <c r="G604" s="136"/>
      <c r="H604" s="137"/>
    </row>
    <row r="605" spans="1:10" s="2" customFormat="1" x14ac:dyDescent="0.25">
      <c r="A605" s="133">
        <v>3</v>
      </c>
      <c r="B605" s="133"/>
      <c r="C605" s="21" t="s">
        <v>168</v>
      </c>
      <c r="D605" s="21">
        <f t="shared" ref="D605:D607" si="14">(25.69+1*1.85+1*2.75+(0.75*(5.015+2.865)))*10.764</f>
        <v>389.65680000000003</v>
      </c>
      <c r="E605" s="21">
        <v>0</v>
      </c>
      <c r="F605" s="21">
        <f>D605*1.5+E605</f>
        <v>584.48520000000008</v>
      </c>
      <c r="G605" s="136"/>
      <c r="H605" s="137"/>
    </row>
    <row r="606" spans="1:10" s="2" customFormat="1" x14ac:dyDescent="0.25">
      <c r="A606" s="133">
        <v>4</v>
      </c>
      <c r="B606" s="133"/>
      <c r="C606" s="21" t="s">
        <v>168</v>
      </c>
      <c r="D606" s="21">
        <f t="shared" si="14"/>
        <v>389.65680000000003</v>
      </c>
      <c r="E606" s="21">
        <v>0</v>
      </c>
      <c r="F606" s="21">
        <f>D606*1.5+E606/2</f>
        <v>584.48520000000008</v>
      </c>
      <c r="G606" s="136"/>
      <c r="H606" s="137"/>
    </row>
    <row r="607" spans="1:10" s="2" customFormat="1" x14ac:dyDescent="0.25">
      <c r="A607" s="133">
        <v>5</v>
      </c>
      <c r="B607" s="133"/>
      <c r="C607" s="21" t="s">
        <v>168</v>
      </c>
      <c r="D607" s="21">
        <f t="shared" si="14"/>
        <v>389.65680000000003</v>
      </c>
      <c r="E607" s="21">
        <v>0</v>
      </c>
      <c r="F607" s="21">
        <f>D607*1.5+E607</f>
        <v>584.48520000000008</v>
      </c>
      <c r="G607" s="138"/>
      <c r="H607" s="139"/>
    </row>
    <row r="608" spans="1:10" s="2" customFormat="1" ht="15.6" customHeight="1" x14ac:dyDescent="0.25">
      <c r="A608" s="144" t="s">
        <v>295</v>
      </c>
      <c r="B608" s="145"/>
      <c r="C608" s="145"/>
      <c r="D608" s="145"/>
      <c r="E608" s="145"/>
      <c r="F608" s="145"/>
      <c r="G608" s="145"/>
      <c r="H608" s="146"/>
    </row>
    <row r="609" spans="1:11" s="2" customFormat="1" ht="15.75" customHeight="1" x14ac:dyDescent="0.25">
      <c r="A609" s="133">
        <v>1</v>
      </c>
      <c r="B609" s="133"/>
      <c r="C609" s="140" t="s">
        <v>176</v>
      </c>
      <c r="D609" s="141"/>
      <c r="E609" s="141"/>
      <c r="F609" s="142"/>
      <c r="G609" s="134" t="str">
        <f>A608</f>
        <v xml:space="preserve"> 8th, 13th &amp; 18th Floor (Part Refuge Area)</v>
      </c>
      <c r="H609" s="135"/>
    </row>
    <row r="610" spans="1:11" s="2" customFormat="1" x14ac:dyDescent="0.25">
      <c r="A610" s="133">
        <v>2</v>
      </c>
      <c r="B610" s="133"/>
      <c r="C610" s="21" t="s">
        <v>168</v>
      </c>
      <c r="D610" s="21">
        <f>(25.69+1*1.85+1*2.75+(0.75*(5.015+2.865)))*10.764</f>
        <v>389.65680000000003</v>
      </c>
      <c r="E610" s="21">
        <v>0</v>
      </c>
      <c r="F610" s="21">
        <f>D610*1.5+E610/2</f>
        <v>584.48520000000008</v>
      </c>
      <c r="G610" s="136"/>
      <c r="H610" s="137"/>
    </row>
    <row r="611" spans="1:11" s="2" customFormat="1" x14ac:dyDescent="0.25">
      <c r="A611" s="133">
        <v>3</v>
      </c>
      <c r="B611" s="133"/>
      <c r="C611" s="21" t="s">
        <v>168</v>
      </c>
      <c r="D611" s="21">
        <f t="shared" ref="D611:D613" si="15">(25.69+1*1.85+1*2.75+(0.75*(5.015+2.865)))*10.764</f>
        <v>389.65680000000003</v>
      </c>
      <c r="E611" s="21">
        <v>0</v>
      </c>
      <c r="F611" s="21">
        <f>D611*1.5+E611</f>
        <v>584.48520000000008</v>
      </c>
      <c r="G611" s="136"/>
      <c r="H611" s="137"/>
    </row>
    <row r="612" spans="1:11" s="2" customFormat="1" x14ac:dyDescent="0.25">
      <c r="A612" s="133">
        <v>4</v>
      </c>
      <c r="B612" s="133"/>
      <c r="C612" s="21" t="s">
        <v>168</v>
      </c>
      <c r="D612" s="21">
        <f t="shared" si="15"/>
        <v>389.65680000000003</v>
      </c>
      <c r="E612" s="21">
        <v>0</v>
      </c>
      <c r="F612" s="21">
        <f>D612*1.5+E612/2</f>
        <v>584.48520000000008</v>
      </c>
      <c r="G612" s="136"/>
      <c r="H612" s="137"/>
    </row>
    <row r="613" spans="1:11" s="2" customFormat="1" x14ac:dyDescent="0.25">
      <c r="A613" s="133">
        <v>5</v>
      </c>
      <c r="B613" s="133"/>
      <c r="C613" s="21" t="s">
        <v>168</v>
      </c>
      <c r="D613" s="21">
        <f t="shared" si="15"/>
        <v>389.65680000000003</v>
      </c>
      <c r="E613" s="21">
        <v>0</v>
      </c>
      <c r="F613" s="21">
        <f>D613*1.5+E613</f>
        <v>584.48520000000008</v>
      </c>
      <c r="G613" s="138"/>
      <c r="H613" s="139"/>
    </row>
    <row r="614" spans="1:11" s="2" customFormat="1" x14ac:dyDescent="0.25">
      <c r="A614" s="199" t="s">
        <v>300</v>
      </c>
      <c r="B614" s="200"/>
      <c r="C614" s="200"/>
      <c r="D614" s="200"/>
      <c r="E614" s="200"/>
      <c r="F614" s="200"/>
      <c r="G614" s="200"/>
      <c r="H614" s="201"/>
    </row>
    <row r="615" spans="1:11" s="2" customFormat="1" ht="15.75" customHeight="1" x14ac:dyDescent="0.25">
      <c r="A615" s="144" t="s">
        <v>298</v>
      </c>
      <c r="B615" s="145"/>
      <c r="C615" s="145"/>
      <c r="D615" s="145"/>
      <c r="E615" s="145"/>
      <c r="F615" s="145"/>
      <c r="G615" s="145"/>
      <c r="H615" s="146"/>
    </row>
    <row r="616" spans="1:11" s="2" customFormat="1" ht="15.6" customHeight="1" x14ac:dyDescent="0.25">
      <c r="A616" s="144" t="s">
        <v>299</v>
      </c>
      <c r="B616" s="145"/>
      <c r="C616" s="145"/>
      <c r="D616" s="145"/>
      <c r="E616" s="145"/>
      <c r="F616" s="145"/>
      <c r="G616" s="145"/>
      <c r="H616" s="146"/>
    </row>
    <row r="617" spans="1:11" s="2" customFormat="1" ht="15.75" customHeight="1" x14ac:dyDescent="0.25">
      <c r="A617" s="133">
        <v>1</v>
      </c>
      <c r="B617" s="133"/>
      <c r="C617" s="21" t="s">
        <v>183</v>
      </c>
      <c r="D617" s="21">
        <f>(45.91+1.2*3+1*1.8+0.6*1.5+0.75*3.1)*10.764</f>
        <v>587.01473999999996</v>
      </c>
      <c r="E617" s="21">
        <v>0</v>
      </c>
      <c r="F617" s="21">
        <f>D617*1.5+E617/2</f>
        <v>880.52210999999988</v>
      </c>
      <c r="G617" s="134" t="str">
        <f>A616</f>
        <v>1st to 7th, 9th to 12th, 14th to 17th, 19th to 23rd Floor</v>
      </c>
      <c r="H617" s="135"/>
      <c r="I617" s="2">
        <f>3*4.87+2.69*0.75+1.84*2.48+2.8*4.35+2.9*2.575+1.785*1+1.9*1+2.4*1</f>
        <v>46.923199999999994</v>
      </c>
    </row>
    <row r="618" spans="1:11" s="2" customFormat="1" x14ac:dyDescent="0.25">
      <c r="A618" s="133">
        <v>2</v>
      </c>
      <c r="B618" s="133"/>
      <c r="C618" s="21" t="s">
        <v>183</v>
      </c>
      <c r="D618" s="21">
        <f>(45.91+1.2*3+1*1.8+0.6*1.5+0.75*3.1)*10.764</f>
        <v>587.01473999999996</v>
      </c>
      <c r="E618" s="21">
        <v>0</v>
      </c>
      <c r="F618" s="21">
        <f>D618*1.5+E618/2</f>
        <v>880.52210999999988</v>
      </c>
      <c r="G618" s="136"/>
      <c r="H618" s="137"/>
    </row>
    <row r="619" spans="1:11" s="2" customFormat="1" x14ac:dyDescent="0.25">
      <c r="A619" s="133">
        <v>3</v>
      </c>
      <c r="B619" s="133"/>
      <c r="C619" s="21" t="s">
        <v>168</v>
      </c>
      <c r="D619" s="21">
        <f t="shared" ref="D619:D624" si="16">(25.69+1*1.85+1*2.75+(0.75*(5.015+2.865)))*10.764</f>
        <v>389.65680000000003</v>
      </c>
      <c r="E619" s="21">
        <v>0</v>
      </c>
      <c r="F619" s="21">
        <f>D619*1.5+E619</f>
        <v>584.48520000000008</v>
      </c>
      <c r="G619" s="136"/>
      <c r="H619" s="137"/>
    </row>
    <row r="620" spans="1:11" s="2" customFormat="1" x14ac:dyDescent="0.25">
      <c r="A620" s="133">
        <v>4</v>
      </c>
      <c r="B620" s="133"/>
      <c r="C620" s="21" t="s">
        <v>168</v>
      </c>
      <c r="D620" s="21">
        <f t="shared" si="16"/>
        <v>389.65680000000003</v>
      </c>
      <c r="E620" s="21">
        <v>0</v>
      </c>
      <c r="F620" s="21">
        <f>D620*1.5+E620/2</f>
        <v>584.48520000000008</v>
      </c>
      <c r="G620" s="136"/>
      <c r="H620" s="137"/>
    </row>
    <row r="621" spans="1:11" s="2" customFormat="1" x14ac:dyDescent="0.25">
      <c r="A621" s="133">
        <v>5</v>
      </c>
      <c r="B621" s="133"/>
      <c r="C621" s="21" t="s">
        <v>168</v>
      </c>
      <c r="D621" s="21">
        <f>(27.92+1.2*1.85+1.2*2.75+(0.75*(5.015+2.865)))*10.764</f>
        <v>423.56339999999989</v>
      </c>
      <c r="E621" s="21">
        <v>0</v>
      </c>
      <c r="F621" s="21">
        <f>D621*1.5+E621</f>
        <v>635.34509999999977</v>
      </c>
      <c r="G621" s="136"/>
      <c r="H621" s="137"/>
      <c r="J621" s="2">
        <f>2.75*5.1+1.85*3.6+2.75*3.6+1.6*1+1.825*1.2+0.6*2</f>
        <v>35.575000000000003</v>
      </c>
      <c r="K621" s="2">
        <f>1.2*1.85+2.75*1.2+1.35*2.7</f>
        <v>9.1649999999999991</v>
      </c>
    </row>
    <row r="622" spans="1:11" s="2" customFormat="1" x14ac:dyDescent="0.25">
      <c r="A622" s="133">
        <v>6</v>
      </c>
      <c r="B622" s="133"/>
      <c r="C622" s="21" t="s">
        <v>168</v>
      </c>
      <c r="D622" s="21">
        <f>(27.92+1.2*1.85+1.2*2.75+(0.75*(5.015+2.865)))*10.764</f>
        <v>423.56339999999989</v>
      </c>
      <c r="E622" s="21">
        <v>0</v>
      </c>
      <c r="F622" s="21">
        <f>D622*1.5+E622</f>
        <v>635.34509999999977</v>
      </c>
      <c r="G622" s="136"/>
      <c r="H622" s="137"/>
      <c r="J622" s="2">
        <f>J621-K621</f>
        <v>26.410000000000004</v>
      </c>
    </row>
    <row r="623" spans="1:11" s="2" customFormat="1" x14ac:dyDescent="0.25">
      <c r="A623" s="133">
        <v>7</v>
      </c>
      <c r="B623" s="133"/>
      <c r="C623" s="21" t="s">
        <v>168</v>
      </c>
      <c r="D623" s="21">
        <f t="shared" si="16"/>
        <v>389.65680000000003</v>
      </c>
      <c r="E623" s="21">
        <v>0</v>
      </c>
      <c r="F623" s="21">
        <f>D623*1.5+E623/2</f>
        <v>584.48520000000008</v>
      </c>
      <c r="G623" s="136"/>
      <c r="H623" s="137"/>
    </row>
    <row r="624" spans="1:11" s="2" customFormat="1" x14ac:dyDescent="0.25">
      <c r="A624" s="133">
        <v>8</v>
      </c>
      <c r="B624" s="133"/>
      <c r="C624" s="21" t="s">
        <v>168</v>
      </c>
      <c r="D624" s="21">
        <f t="shared" si="16"/>
        <v>389.65680000000003</v>
      </c>
      <c r="E624" s="21">
        <v>0</v>
      </c>
      <c r="F624" s="21">
        <f>D624*1.5+E624</f>
        <v>584.48520000000008</v>
      </c>
      <c r="G624" s="138"/>
      <c r="H624" s="139"/>
    </row>
    <row r="625" spans="1:11" s="2" customFormat="1" ht="15.6" customHeight="1" x14ac:dyDescent="0.25">
      <c r="A625" s="144" t="s">
        <v>295</v>
      </c>
      <c r="B625" s="145"/>
      <c r="C625" s="145"/>
      <c r="D625" s="145"/>
      <c r="E625" s="145"/>
      <c r="F625" s="145"/>
      <c r="G625" s="145"/>
      <c r="H625" s="146"/>
    </row>
    <row r="626" spans="1:11" s="2" customFormat="1" ht="15.75" customHeight="1" x14ac:dyDescent="0.25">
      <c r="A626" s="133">
        <v>1</v>
      </c>
      <c r="B626" s="133"/>
      <c r="C626" s="21" t="s">
        <v>183</v>
      </c>
      <c r="D626" s="21">
        <f>(45.91+1.2*3+1*1.8+0.6*1.5+0.75*3.1)*10.764</f>
        <v>587.01473999999996</v>
      </c>
      <c r="E626" s="21">
        <v>0</v>
      </c>
      <c r="F626" s="21">
        <f>D626*1.5+E626/2</f>
        <v>880.52210999999988</v>
      </c>
      <c r="G626" s="134" t="str">
        <f>A625</f>
        <v xml:space="preserve"> 8th, 13th &amp; 18th Floor (Part Refuge Area)</v>
      </c>
      <c r="H626" s="135"/>
      <c r="I626" s="2">
        <f>3*4.87+2.69*0.75+1.84*2.48+2.8*4.35+2.9*2.575+1.785*1+1.9*1+2.4*1</f>
        <v>46.923199999999994</v>
      </c>
    </row>
    <row r="627" spans="1:11" s="2" customFormat="1" x14ac:dyDescent="0.25">
      <c r="A627" s="133">
        <v>2</v>
      </c>
      <c r="B627" s="133"/>
      <c r="C627" s="21" t="s">
        <v>183</v>
      </c>
      <c r="D627" s="21">
        <f>(45.91+1.2*3+1*1.8+0.6*1.5+0.75*3.1)*10.764</f>
        <v>587.01473999999996</v>
      </c>
      <c r="E627" s="21">
        <v>0</v>
      </c>
      <c r="F627" s="21">
        <f>D627*1.5+E627/2</f>
        <v>880.52210999999988</v>
      </c>
      <c r="G627" s="136"/>
      <c r="H627" s="137"/>
    </row>
    <row r="628" spans="1:11" s="2" customFormat="1" x14ac:dyDescent="0.25">
      <c r="A628" s="133">
        <v>3</v>
      </c>
      <c r="B628" s="133"/>
      <c r="C628" s="140" t="s">
        <v>176</v>
      </c>
      <c r="D628" s="141"/>
      <c r="E628" s="141"/>
      <c r="F628" s="142"/>
      <c r="G628" s="136"/>
      <c r="H628" s="137"/>
    </row>
    <row r="629" spans="1:11" s="2" customFormat="1" x14ac:dyDescent="0.25">
      <c r="A629" s="133">
        <v>4</v>
      </c>
      <c r="B629" s="133"/>
      <c r="C629" s="21" t="s">
        <v>168</v>
      </c>
      <c r="D629" s="21">
        <f t="shared" ref="D629:D633" si="17">(25.69+1*1.85+1*2.75+(0.75*(5.015+2.865)))*10.764</f>
        <v>389.65680000000003</v>
      </c>
      <c r="E629" s="21">
        <v>0</v>
      </c>
      <c r="F629" s="21">
        <f>D629*1.5+E629/2</f>
        <v>584.48520000000008</v>
      </c>
      <c r="G629" s="136"/>
      <c r="H629" s="137"/>
    </row>
    <row r="630" spans="1:11" s="2" customFormat="1" x14ac:dyDescent="0.25">
      <c r="A630" s="133">
        <v>5</v>
      </c>
      <c r="B630" s="133"/>
      <c r="C630" s="21" t="s">
        <v>168</v>
      </c>
      <c r="D630" s="21">
        <f>(27.92+1.2*1.85+1.2*2.75+(0.75*(5.015+2.865)))*10.764</f>
        <v>423.56339999999989</v>
      </c>
      <c r="E630" s="21">
        <v>0</v>
      </c>
      <c r="F630" s="21">
        <f>D630*1.5+E630</f>
        <v>635.34509999999977</v>
      </c>
      <c r="G630" s="136"/>
      <c r="H630" s="137"/>
      <c r="J630" s="2">
        <f>2.75*5.1+1.85*3.6+2.75*3.6+1.6*1+1.825*1.2+0.6*2</f>
        <v>35.575000000000003</v>
      </c>
      <c r="K630" s="2">
        <f>1.2*1.85+2.75*1.2+1.35*2.7</f>
        <v>9.1649999999999991</v>
      </c>
    </row>
    <row r="631" spans="1:11" s="2" customFormat="1" x14ac:dyDescent="0.25">
      <c r="A631" s="133">
        <v>6</v>
      </c>
      <c r="B631" s="133"/>
      <c r="C631" s="21" t="s">
        <v>168</v>
      </c>
      <c r="D631" s="21">
        <f>(27.92+1.2*1.85+1.2*2.75+(0.75*(5.015+2.865)))*10.764</f>
        <v>423.56339999999989</v>
      </c>
      <c r="E631" s="21">
        <v>0</v>
      </c>
      <c r="F631" s="21">
        <f>D631*1.5+E631</f>
        <v>635.34509999999977</v>
      </c>
      <c r="G631" s="136"/>
      <c r="H631" s="137"/>
      <c r="J631" s="2">
        <f>J630-K630</f>
        <v>26.410000000000004</v>
      </c>
    </row>
    <row r="632" spans="1:11" s="2" customFormat="1" x14ac:dyDescent="0.25">
      <c r="A632" s="133">
        <v>7</v>
      </c>
      <c r="B632" s="133"/>
      <c r="C632" s="21" t="s">
        <v>168</v>
      </c>
      <c r="D632" s="21">
        <f t="shared" si="17"/>
        <v>389.65680000000003</v>
      </c>
      <c r="E632" s="21">
        <v>0</v>
      </c>
      <c r="F632" s="21">
        <f>D632*1.5+E632/2</f>
        <v>584.48520000000008</v>
      </c>
      <c r="G632" s="136"/>
      <c r="H632" s="137"/>
    </row>
    <row r="633" spans="1:11" s="2" customFormat="1" x14ac:dyDescent="0.25">
      <c r="A633" s="133">
        <v>8</v>
      </c>
      <c r="B633" s="133"/>
      <c r="C633" s="21" t="s">
        <v>168</v>
      </c>
      <c r="D633" s="21">
        <f t="shared" si="17"/>
        <v>389.65680000000003</v>
      </c>
      <c r="E633" s="21">
        <v>0</v>
      </c>
      <c r="F633" s="21">
        <f>D633*1.5+E633</f>
        <v>584.48520000000008</v>
      </c>
      <c r="G633" s="138"/>
      <c r="H633" s="139"/>
    </row>
    <row r="634" spans="1:11" s="2" customFormat="1" x14ac:dyDescent="0.25">
      <c r="A634" s="195" t="s">
        <v>315</v>
      </c>
      <c r="B634" s="195"/>
      <c r="C634" s="195"/>
      <c r="D634" s="195"/>
      <c r="E634" s="195"/>
      <c r="F634" s="195"/>
      <c r="G634" s="195"/>
      <c r="H634" s="195"/>
    </row>
    <row r="635" spans="1:11" s="2" customFormat="1" ht="15.75" customHeight="1" x14ac:dyDescent="0.25">
      <c r="A635" s="195" t="s">
        <v>192</v>
      </c>
      <c r="B635" s="195"/>
      <c r="C635" s="195"/>
      <c r="D635" s="195"/>
      <c r="E635" s="195"/>
      <c r="F635" s="195"/>
      <c r="G635" s="195"/>
      <c r="H635" s="195"/>
    </row>
    <row r="636" spans="1:11" s="2" customFormat="1" ht="15.75" customHeight="1" x14ac:dyDescent="0.25">
      <c r="A636" s="133">
        <v>1</v>
      </c>
      <c r="B636" s="133"/>
      <c r="C636" s="21" t="s">
        <v>164</v>
      </c>
      <c r="D636" s="21">
        <f>28.939*10.764</f>
        <v>311.49939599999999</v>
      </c>
      <c r="E636" s="21">
        <v>0</v>
      </c>
      <c r="F636" s="21">
        <f>D636*1.6</f>
        <v>498.3990336</v>
      </c>
      <c r="G636" s="133" t="str">
        <f>A635</f>
        <v>Ground Floor for Parking &amp; Commercial</v>
      </c>
      <c r="H636" s="133"/>
    </row>
    <row r="637" spans="1:11" s="2" customFormat="1" x14ac:dyDescent="0.25">
      <c r="A637" s="133">
        <v>2</v>
      </c>
      <c r="B637" s="133"/>
      <c r="C637" s="21" t="s">
        <v>164</v>
      </c>
      <c r="D637" s="21">
        <f>30.267*10.764</f>
        <v>325.79398799999996</v>
      </c>
      <c r="E637" s="21">
        <v>0</v>
      </c>
      <c r="F637" s="21">
        <f t="shared" ref="F637:F644" si="18">D637*1.6</f>
        <v>521.2703808</v>
      </c>
      <c r="G637" s="133"/>
      <c r="H637" s="133"/>
    </row>
    <row r="638" spans="1:11" s="2" customFormat="1" x14ac:dyDescent="0.25">
      <c r="A638" s="133">
        <v>3</v>
      </c>
      <c r="B638" s="133"/>
      <c r="C638" s="21" t="s">
        <v>164</v>
      </c>
      <c r="D638" s="21">
        <f>27.202*10.764</f>
        <v>292.80232799999999</v>
      </c>
      <c r="E638" s="21">
        <v>0</v>
      </c>
      <c r="F638" s="21">
        <f t="shared" si="18"/>
        <v>468.4837248</v>
      </c>
      <c r="G638" s="133"/>
      <c r="H638" s="133"/>
    </row>
    <row r="639" spans="1:11" s="2" customFormat="1" x14ac:dyDescent="0.25">
      <c r="A639" s="133">
        <v>4</v>
      </c>
      <c r="B639" s="133"/>
      <c r="C639" s="21" t="s">
        <v>164</v>
      </c>
      <c r="D639" s="21">
        <f>23.371*10.764</f>
        <v>251.56544399999996</v>
      </c>
      <c r="E639" s="21">
        <v>0</v>
      </c>
      <c r="F639" s="21">
        <f t="shared" si="18"/>
        <v>402.50471039999996</v>
      </c>
      <c r="G639" s="133"/>
      <c r="H639" s="133"/>
    </row>
    <row r="640" spans="1:11" s="2" customFormat="1" x14ac:dyDescent="0.25">
      <c r="A640" s="133">
        <v>5</v>
      </c>
      <c r="B640" s="133"/>
      <c r="C640" s="21" t="s">
        <v>164</v>
      </c>
      <c r="D640" s="21">
        <f>20.185*10.764</f>
        <v>217.27133999999998</v>
      </c>
      <c r="E640" s="21">
        <v>0</v>
      </c>
      <c r="F640" s="21">
        <f t="shared" si="18"/>
        <v>347.63414399999999</v>
      </c>
      <c r="G640" s="133"/>
      <c r="H640" s="133"/>
    </row>
    <row r="641" spans="1:8" s="2" customFormat="1" x14ac:dyDescent="0.25">
      <c r="A641" s="133">
        <v>6</v>
      </c>
      <c r="B641" s="133"/>
      <c r="C641" s="21" t="s">
        <v>164</v>
      </c>
      <c r="D641" s="21">
        <f>17.292*10.764</f>
        <v>186.13108800000001</v>
      </c>
      <c r="E641" s="21">
        <v>0</v>
      </c>
      <c r="F641" s="21">
        <f t="shared" si="18"/>
        <v>297.80974080000004</v>
      </c>
      <c r="G641" s="133"/>
      <c r="H641" s="133"/>
    </row>
    <row r="642" spans="1:8" s="2" customFormat="1" x14ac:dyDescent="0.25">
      <c r="A642" s="133">
        <v>7</v>
      </c>
      <c r="B642" s="133"/>
      <c r="C642" s="21" t="s">
        <v>164</v>
      </c>
      <c r="D642" s="21">
        <f>16.631*10.764</f>
        <v>179.01608399999998</v>
      </c>
      <c r="E642" s="21">
        <v>0</v>
      </c>
      <c r="F642" s="21">
        <f t="shared" si="18"/>
        <v>286.42573439999995</v>
      </c>
      <c r="G642" s="133"/>
      <c r="H642" s="133"/>
    </row>
    <row r="643" spans="1:8" s="2" customFormat="1" x14ac:dyDescent="0.25">
      <c r="A643" s="133">
        <v>8</v>
      </c>
      <c r="B643" s="133"/>
      <c r="C643" s="21" t="s">
        <v>164</v>
      </c>
      <c r="D643" s="21">
        <f>16.631*10.764</f>
        <v>179.01608399999998</v>
      </c>
      <c r="E643" s="21">
        <v>0</v>
      </c>
      <c r="F643" s="21">
        <f t="shared" si="18"/>
        <v>286.42573439999995</v>
      </c>
      <c r="G643" s="133"/>
      <c r="H643" s="133"/>
    </row>
    <row r="644" spans="1:8" s="2" customFormat="1" x14ac:dyDescent="0.25">
      <c r="A644" s="133">
        <v>9</v>
      </c>
      <c r="B644" s="133"/>
      <c r="C644" s="21" t="s">
        <v>164</v>
      </c>
      <c r="D644" s="21">
        <f>17.292*10.764</f>
        <v>186.13108800000001</v>
      </c>
      <c r="E644" s="21">
        <v>0</v>
      </c>
      <c r="F644" s="21">
        <f t="shared" si="18"/>
        <v>297.80974080000004</v>
      </c>
      <c r="G644" s="133"/>
      <c r="H644" s="133"/>
    </row>
    <row r="645" spans="1:8" s="2" customFormat="1" x14ac:dyDescent="0.25">
      <c r="A645" s="133">
        <v>10</v>
      </c>
      <c r="B645" s="133"/>
      <c r="C645" s="21" t="s">
        <v>164</v>
      </c>
      <c r="D645" s="21">
        <f>23.622*10.764</f>
        <v>254.26720799999998</v>
      </c>
      <c r="E645" s="21">
        <v>0</v>
      </c>
      <c r="F645" s="21">
        <f t="shared" ref="F645:F647" si="19">D645*1.6</f>
        <v>406.82753279999997</v>
      </c>
      <c r="G645" s="133"/>
      <c r="H645" s="133"/>
    </row>
    <row r="646" spans="1:8" s="2" customFormat="1" x14ac:dyDescent="0.25">
      <c r="A646" s="133">
        <v>11</v>
      </c>
      <c r="B646" s="133"/>
      <c r="C646" s="21" t="s">
        <v>164</v>
      </c>
      <c r="D646" s="21">
        <f>34.739*10.764</f>
        <v>373.93059599999992</v>
      </c>
      <c r="E646" s="21">
        <v>0</v>
      </c>
      <c r="F646" s="21">
        <f t="shared" ref="F646" si="20">D646*1.6</f>
        <v>598.2889535999999</v>
      </c>
      <c r="G646" s="133"/>
      <c r="H646" s="133"/>
    </row>
    <row r="647" spans="1:8" s="2" customFormat="1" x14ac:dyDescent="0.25">
      <c r="A647" s="133">
        <v>12</v>
      </c>
      <c r="B647" s="133"/>
      <c r="C647" s="21" t="s">
        <v>164</v>
      </c>
      <c r="D647" s="21">
        <f>33.154*10.764</f>
        <v>356.86965600000002</v>
      </c>
      <c r="E647" s="21">
        <v>0</v>
      </c>
      <c r="F647" s="21">
        <f t="shared" si="19"/>
        <v>570.99144960000001</v>
      </c>
      <c r="G647" s="133"/>
      <c r="H647" s="133"/>
    </row>
    <row r="648" spans="1:8" s="2" customFormat="1" ht="15.75" customHeight="1" x14ac:dyDescent="0.25">
      <c r="A648" s="144" t="s">
        <v>302</v>
      </c>
      <c r="B648" s="145"/>
      <c r="C648" s="145"/>
      <c r="D648" s="145"/>
      <c r="E648" s="145"/>
      <c r="F648" s="145"/>
      <c r="G648" s="145"/>
      <c r="H648" s="146"/>
    </row>
    <row r="649" spans="1:8" s="2" customFormat="1" ht="15.75" customHeight="1" x14ac:dyDescent="0.25">
      <c r="A649" s="133">
        <v>1</v>
      </c>
      <c r="B649" s="133"/>
      <c r="C649" s="21" t="s">
        <v>166</v>
      </c>
      <c r="D649" s="21">
        <f>28.757*10.764</f>
        <v>309.54034799999999</v>
      </c>
      <c r="E649" s="21">
        <v>0</v>
      </c>
      <c r="F649" s="21">
        <f>D649*1.6</f>
        <v>495.26455680000004</v>
      </c>
      <c r="G649" s="134" t="str">
        <f>A648</f>
        <v>1st Floor for Parking, Commercial &amp; Residential</v>
      </c>
      <c r="H649" s="135"/>
    </row>
    <row r="650" spans="1:8" s="2" customFormat="1" x14ac:dyDescent="0.25">
      <c r="A650" s="133">
        <v>2</v>
      </c>
      <c r="B650" s="133"/>
      <c r="C650" s="21" t="s">
        <v>166</v>
      </c>
      <c r="D650" s="21">
        <f>25.787*10.764</f>
        <v>277.57126799999998</v>
      </c>
      <c r="E650" s="21">
        <v>0</v>
      </c>
      <c r="F650" s="21">
        <f t="shared" ref="F650:F657" si="21">D650*1.6</f>
        <v>444.11402879999997</v>
      </c>
      <c r="G650" s="136"/>
      <c r="H650" s="137"/>
    </row>
    <row r="651" spans="1:8" s="2" customFormat="1" x14ac:dyDescent="0.25">
      <c r="A651" s="133">
        <v>3</v>
      </c>
      <c r="B651" s="133"/>
      <c r="C651" s="21" t="s">
        <v>166</v>
      </c>
      <c r="D651" s="21">
        <f>23.1762*10.764</f>
        <v>249.46861680000001</v>
      </c>
      <c r="E651" s="21">
        <v>0</v>
      </c>
      <c r="F651" s="21">
        <f t="shared" si="21"/>
        <v>399.14978688000002</v>
      </c>
      <c r="G651" s="136"/>
      <c r="H651" s="137"/>
    </row>
    <row r="652" spans="1:8" s="2" customFormat="1" x14ac:dyDescent="0.25">
      <c r="A652" s="133">
        <v>4</v>
      </c>
      <c r="B652" s="133"/>
      <c r="C652" s="21" t="s">
        <v>166</v>
      </c>
      <c r="D652" s="21">
        <f>19.762*10.764</f>
        <v>212.71816799999999</v>
      </c>
      <c r="E652" s="21">
        <v>0</v>
      </c>
      <c r="F652" s="21">
        <f t="shared" si="21"/>
        <v>340.3490688</v>
      </c>
      <c r="G652" s="136"/>
      <c r="H652" s="137"/>
    </row>
    <row r="653" spans="1:8" s="2" customFormat="1" x14ac:dyDescent="0.25">
      <c r="A653" s="133">
        <v>5</v>
      </c>
      <c r="B653" s="133"/>
      <c r="C653" s="21" t="s">
        <v>166</v>
      </c>
      <c r="D653" s="21">
        <f>16.575*10.764</f>
        <v>178.41329999999999</v>
      </c>
      <c r="E653" s="21">
        <v>0</v>
      </c>
      <c r="F653" s="21">
        <f t="shared" si="21"/>
        <v>285.46127999999999</v>
      </c>
      <c r="G653" s="136"/>
      <c r="H653" s="137"/>
    </row>
    <row r="654" spans="1:8" s="2" customFormat="1" x14ac:dyDescent="0.25">
      <c r="A654" s="133">
        <v>6</v>
      </c>
      <c r="B654" s="133"/>
      <c r="C654" s="21" t="s">
        <v>166</v>
      </c>
      <c r="D654" s="21">
        <f>13.528*10.764</f>
        <v>145.61539199999999</v>
      </c>
      <c r="E654" s="21">
        <v>0</v>
      </c>
      <c r="F654" s="21">
        <f t="shared" si="21"/>
        <v>232.98462719999998</v>
      </c>
      <c r="G654" s="136"/>
      <c r="H654" s="137"/>
    </row>
    <row r="655" spans="1:8" s="2" customFormat="1" x14ac:dyDescent="0.25">
      <c r="A655" s="133">
        <v>7</v>
      </c>
      <c r="B655" s="133"/>
      <c r="C655" s="21" t="s">
        <v>166</v>
      </c>
      <c r="D655" s="21">
        <f>12.866*10.764</f>
        <v>138.48962399999999</v>
      </c>
      <c r="E655" s="21">
        <v>0</v>
      </c>
      <c r="F655" s="21">
        <f t="shared" si="21"/>
        <v>221.58339839999999</v>
      </c>
      <c r="G655" s="136"/>
      <c r="H655" s="137"/>
    </row>
    <row r="656" spans="1:8" s="2" customFormat="1" x14ac:dyDescent="0.25">
      <c r="A656" s="133">
        <v>8</v>
      </c>
      <c r="B656" s="133"/>
      <c r="C656" s="21" t="s">
        <v>166</v>
      </c>
      <c r="D656" s="21">
        <f>12.866*10.764</f>
        <v>138.48962399999999</v>
      </c>
      <c r="E656" s="21">
        <v>0</v>
      </c>
      <c r="F656" s="21">
        <f t="shared" si="21"/>
        <v>221.58339839999999</v>
      </c>
      <c r="G656" s="136"/>
      <c r="H656" s="137"/>
    </row>
    <row r="657" spans="1:8" s="2" customFormat="1" x14ac:dyDescent="0.25">
      <c r="A657" s="133">
        <v>9</v>
      </c>
      <c r="B657" s="133"/>
      <c r="C657" s="21" t="s">
        <v>166</v>
      </c>
      <c r="D657" s="21">
        <f>13.528*10.764</f>
        <v>145.61539199999999</v>
      </c>
      <c r="E657" s="21">
        <v>0</v>
      </c>
      <c r="F657" s="21">
        <f t="shared" si="21"/>
        <v>232.98462719999998</v>
      </c>
      <c r="G657" s="136"/>
      <c r="H657" s="137"/>
    </row>
    <row r="658" spans="1:8" s="2" customFormat="1" x14ac:dyDescent="0.25">
      <c r="A658" s="133">
        <v>10</v>
      </c>
      <c r="B658" s="133"/>
      <c r="C658" s="21" t="s">
        <v>166</v>
      </c>
      <c r="D658" s="21">
        <f>34.582*10.764</f>
        <v>372.24064799999996</v>
      </c>
      <c r="E658" s="21">
        <v>0</v>
      </c>
      <c r="F658" s="21">
        <f t="shared" ref="F658:F659" si="22">D658*1.6</f>
        <v>595.58503680000001</v>
      </c>
      <c r="G658" s="136"/>
      <c r="H658" s="137"/>
    </row>
    <row r="659" spans="1:8" s="2" customFormat="1" x14ac:dyDescent="0.25">
      <c r="A659" s="133">
        <v>11</v>
      </c>
      <c r="B659" s="133"/>
      <c r="C659" s="21" t="s">
        <v>166</v>
      </c>
      <c r="D659" s="21">
        <f>32.424*10.764</f>
        <v>349.01193599999999</v>
      </c>
      <c r="E659" s="21">
        <v>0</v>
      </c>
      <c r="F659" s="21">
        <f t="shared" si="22"/>
        <v>558.41909759999999</v>
      </c>
      <c r="G659" s="136"/>
      <c r="H659" s="137"/>
    </row>
    <row r="660" spans="1:8" s="2" customFormat="1" x14ac:dyDescent="0.25">
      <c r="A660" s="133">
        <v>1</v>
      </c>
      <c r="B660" s="133"/>
      <c r="C660" s="21" t="s">
        <v>183</v>
      </c>
      <c r="D660" s="21">
        <f>(45.91+1.2*3+1*1.8+0.6*1.5+0.75*3.1)*10.764</f>
        <v>587.01473999999996</v>
      </c>
      <c r="E660" s="21">
        <v>0</v>
      </c>
      <c r="F660" s="21">
        <f>D660*1.5</f>
        <v>880.52210999999988</v>
      </c>
      <c r="G660" s="136"/>
      <c r="H660" s="137"/>
    </row>
    <row r="661" spans="1:8" s="2" customFormat="1" x14ac:dyDescent="0.25">
      <c r="A661" s="133">
        <v>2</v>
      </c>
      <c r="B661" s="133"/>
      <c r="C661" s="21" t="s">
        <v>183</v>
      </c>
      <c r="D661" s="21">
        <f>(45.91+1.2*3+1*1.8+0.6*1.5+0.75*3.1)*10.764</f>
        <v>587.01473999999996</v>
      </c>
      <c r="E661" s="21">
        <v>0</v>
      </c>
      <c r="F661" s="21">
        <f>D661*1.5</f>
        <v>880.52210999999988</v>
      </c>
      <c r="G661" s="136"/>
      <c r="H661" s="137"/>
    </row>
    <row r="662" spans="1:8" s="2" customFormat="1" x14ac:dyDescent="0.25">
      <c r="A662" s="144" t="s">
        <v>208</v>
      </c>
      <c r="B662" s="145"/>
      <c r="C662" s="145"/>
      <c r="D662" s="145"/>
      <c r="E662" s="145"/>
      <c r="F662" s="145"/>
      <c r="G662" s="145"/>
      <c r="H662" s="146"/>
    </row>
    <row r="663" spans="1:8" s="2" customFormat="1" ht="15.75" customHeight="1" x14ac:dyDescent="0.25">
      <c r="A663" s="133">
        <v>1</v>
      </c>
      <c r="B663" s="133"/>
      <c r="C663" s="21" t="s">
        <v>183</v>
      </c>
      <c r="D663" s="21">
        <f>(45.91+1.2*3+1*1.8+0.6*1.5+0.75*3.1)*10.764</f>
        <v>587.01473999999996</v>
      </c>
      <c r="E663" s="21">
        <v>0</v>
      </c>
      <c r="F663" s="21">
        <f>D663*1.5</f>
        <v>880.52210999999988</v>
      </c>
      <c r="G663" s="134" t="str">
        <f>A662</f>
        <v>2nd Floor</v>
      </c>
      <c r="H663" s="135"/>
    </row>
    <row r="664" spans="1:8" s="2" customFormat="1" x14ac:dyDescent="0.25">
      <c r="A664" s="133">
        <v>2</v>
      </c>
      <c r="B664" s="133"/>
      <c r="C664" s="21" t="s">
        <v>183</v>
      </c>
      <c r="D664" s="21">
        <f>(45.91+1.2*3+1*1.8+0.6*1.5+0.75*3.1)*10.764</f>
        <v>587.01473999999996</v>
      </c>
      <c r="E664" s="21">
        <v>0</v>
      </c>
      <c r="F664" s="21">
        <f>D664*1.5</f>
        <v>880.52210999999988</v>
      </c>
      <c r="G664" s="136"/>
      <c r="H664" s="137"/>
    </row>
    <row r="665" spans="1:8" s="2" customFormat="1" x14ac:dyDescent="0.25">
      <c r="A665" s="133">
        <v>3</v>
      </c>
      <c r="B665" s="133"/>
      <c r="C665" s="21" t="s">
        <v>201</v>
      </c>
      <c r="D665" s="21">
        <f>(47.05+1.66*1.2+1*1.8+1.15*2.75+1*2.75+(0.75*(2.75+2.75+2.44)))*10.764</f>
        <v>675.00505799999985</v>
      </c>
      <c r="E665" s="21">
        <f>(1.8*3+2.5*0.55)*10.764</f>
        <v>72.926100000000005</v>
      </c>
      <c r="F665" s="21">
        <f>D665*1.5+E665</f>
        <v>1085.4336869999997</v>
      </c>
      <c r="G665" s="136"/>
      <c r="H665" s="137"/>
    </row>
    <row r="666" spans="1:8" s="2" customFormat="1" x14ac:dyDescent="0.25">
      <c r="A666" s="133">
        <v>4</v>
      </c>
      <c r="B666" s="133"/>
      <c r="C666" s="21" t="s">
        <v>201</v>
      </c>
      <c r="D666" s="21">
        <f>(47.05+1.66*1.2+1*1.8+1.15*2.75+1*2.75+(0.75*(2.75+2.75+2.44)))*10.764</f>
        <v>675.00505799999985</v>
      </c>
      <c r="E666" s="21">
        <f>(1.8*3+2.5*0.55+1.66*1.5)*10.764</f>
        <v>99.728459999999998</v>
      </c>
      <c r="F666" s="21">
        <f>D666*1.5+E666/2</f>
        <v>1062.3718169999997</v>
      </c>
      <c r="G666" s="136"/>
      <c r="H666" s="137"/>
    </row>
    <row r="667" spans="1:8" s="2" customFormat="1" x14ac:dyDescent="0.25">
      <c r="A667" s="133">
        <v>5</v>
      </c>
      <c r="B667" s="133"/>
      <c r="C667" s="21" t="s">
        <v>168</v>
      </c>
      <c r="D667" s="21">
        <f>(27.92+1.2*1.85+1.2*2.75+(0.75*(5.015)))*10.764</f>
        <v>400.43425499999989</v>
      </c>
      <c r="E667" s="21">
        <f>0.75*2.75*10.764</f>
        <v>22.200749999999999</v>
      </c>
      <c r="F667" s="21">
        <f>D667*1.5+E667</f>
        <v>622.85213249999981</v>
      </c>
      <c r="G667" s="136"/>
      <c r="H667" s="137"/>
    </row>
    <row r="668" spans="1:8" s="2" customFormat="1" x14ac:dyDescent="0.25">
      <c r="A668" s="133">
        <v>6</v>
      </c>
      <c r="B668" s="133"/>
      <c r="C668" s="21" t="s">
        <v>168</v>
      </c>
      <c r="D668" s="21">
        <f>(27.92+1.2*1.85+1.2*2.75+(0.75*(5.015)))*10.764</f>
        <v>400.43425499999989</v>
      </c>
      <c r="E668" s="21">
        <f>0.75*2.75*10.764</f>
        <v>22.200749999999999</v>
      </c>
      <c r="F668" s="21">
        <f>D668*1.5+E668</f>
        <v>622.85213249999981</v>
      </c>
      <c r="G668" s="136"/>
      <c r="H668" s="137"/>
    </row>
    <row r="669" spans="1:8" s="2" customFormat="1" x14ac:dyDescent="0.25">
      <c r="A669" s="133">
        <v>7</v>
      </c>
      <c r="B669" s="133"/>
      <c r="C669" s="21" t="s">
        <v>168</v>
      </c>
      <c r="D669" s="21">
        <f>(25.69+1*1.85+1*2.75)*10.764</f>
        <v>326.04156</v>
      </c>
      <c r="E669" s="21">
        <f>(2*2.715+1.8*5.015)*10.764</f>
        <v>155.61514799999998</v>
      </c>
      <c r="F669" s="21">
        <f>D669*1.5+E669/2</f>
        <v>566.86991399999999</v>
      </c>
      <c r="G669" s="136"/>
      <c r="H669" s="137"/>
    </row>
    <row r="670" spans="1:8" s="2" customFormat="1" x14ac:dyDescent="0.25">
      <c r="A670" s="133">
        <v>8</v>
      </c>
      <c r="B670" s="133"/>
      <c r="C670" s="21" t="s">
        <v>168</v>
      </c>
      <c r="D670" s="21">
        <f t="shared" ref="D670" si="23">(25.69+1*1.85+1*2.75+(0.75*(5.015+2.865)))*10.764</f>
        <v>389.65680000000003</v>
      </c>
      <c r="E670" s="21">
        <v>0</v>
      </c>
      <c r="F670" s="21">
        <f>D670*1.5+E670</f>
        <v>584.48520000000008</v>
      </c>
      <c r="G670" s="138"/>
      <c r="H670" s="139"/>
    </row>
    <row r="671" spans="1:8" s="2" customFormat="1" ht="15.75" customHeight="1" x14ac:dyDescent="0.25">
      <c r="A671" s="144" t="s">
        <v>303</v>
      </c>
      <c r="B671" s="145"/>
      <c r="C671" s="145"/>
      <c r="D671" s="145"/>
      <c r="E671" s="145"/>
      <c r="F671" s="145"/>
      <c r="G671" s="145"/>
      <c r="H671" s="146"/>
    </row>
    <row r="672" spans="1:8" s="2" customFormat="1" ht="15.75" customHeight="1" x14ac:dyDescent="0.25">
      <c r="A672" s="133">
        <v>1</v>
      </c>
      <c r="B672" s="133"/>
      <c r="C672" s="21" t="s">
        <v>183</v>
      </c>
      <c r="D672" s="21">
        <f>(45.91+1.2*3+1*1.8+0.6*1.5+0.75*3.1)*10.764</f>
        <v>587.01473999999996</v>
      </c>
      <c r="E672" s="21">
        <v>0</v>
      </c>
      <c r="F672" s="21">
        <f>D672*1.5</f>
        <v>880.52210999999988</v>
      </c>
      <c r="G672" s="134" t="str">
        <f>A671</f>
        <v>3rd to 7th, 9th to 12th, 14th to 17th, 19th to 23rd Floor</v>
      </c>
      <c r="H672" s="135"/>
    </row>
    <row r="673" spans="1:8" s="2" customFormat="1" x14ac:dyDescent="0.25">
      <c r="A673" s="133">
        <v>2</v>
      </c>
      <c r="B673" s="133"/>
      <c r="C673" s="21" t="s">
        <v>183</v>
      </c>
      <c r="D673" s="21">
        <f>(45.91+1.2*3+1*1.8+0.6*1.5+0.75*3.1)*10.764</f>
        <v>587.01473999999996</v>
      </c>
      <c r="E673" s="21">
        <v>0</v>
      </c>
      <c r="F673" s="21">
        <f>D673*1.5</f>
        <v>880.52210999999988</v>
      </c>
      <c r="G673" s="136"/>
      <c r="H673" s="137"/>
    </row>
    <row r="674" spans="1:8" s="2" customFormat="1" x14ac:dyDescent="0.25">
      <c r="A674" s="133">
        <v>3</v>
      </c>
      <c r="B674" s="133"/>
      <c r="C674" s="21" t="s">
        <v>201</v>
      </c>
      <c r="D674" s="21">
        <f>(47.05+1.66*1.2+1*1.8+1.15*2.75+1*2.75+(0.75*(2.75+2.75+2.44)))*10.764</f>
        <v>675.00505799999985</v>
      </c>
      <c r="E674" s="21">
        <v>0</v>
      </c>
      <c r="F674" s="21">
        <f>D674*1.5+E674</f>
        <v>1012.5075869999998</v>
      </c>
      <c r="G674" s="136"/>
      <c r="H674" s="137"/>
    </row>
    <row r="675" spans="1:8" s="2" customFormat="1" x14ac:dyDescent="0.25">
      <c r="A675" s="133">
        <v>4</v>
      </c>
      <c r="B675" s="133"/>
      <c r="C675" s="21" t="s">
        <v>201</v>
      </c>
      <c r="D675" s="21">
        <f>(47.05+1.66*1.2+1*1.8+1.15*2.75+1*2.75+(0.75*(2.75+2.75+2.44)))*10.764</f>
        <v>675.00505799999985</v>
      </c>
      <c r="E675" s="21">
        <v>0</v>
      </c>
      <c r="F675" s="21">
        <f>D675*1.5+E675/2</f>
        <v>1012.5075869999998</v>
      </c>
      <c r="G675" s="136"/>
      <c r="H675" s="137"/>
    </row>
    <row r="676" spans="1:8" s="2" customFormat="1" x14ac:dyDescent="0.25">
      <c r="A676" s="133">
        <v>5</v>
      </c>
      <c r="B676" s="133"/>
      <c r="C676" s="21" t="s">
        <v>168</v>
      </c>
      <c r="D676" s="21">
        <f>(27.92+1.2*1.85+1.2*2.75+(0.75*(5.015+2.865)))*10.764</f>
        <v>423.56339999999989</v>
      </c>
      <c r="E676" s="21">
        <v>0</v>
      </c>
      <c r="F676" s="21">
        <f>D676*1.5+E676</f>
        <v>635.34509999999977</v>
      </c>
      <c r="G676" s="136"/>
      <c r="H676" s="137"/>
    </row>
    <row r="677" spans="1:8" s="2" customFormat="1" x14ac:dyDescent="0.25">
      <c r="A677" s="133">
        <v>6</v>
      </c>
      <c r="B677" s="133"/>
      <c r="C677" s="21" t="s">
        <v>168</v>
      </c>
      <c r="D677" s="21">
        <f>(27.92+1.2*1.85+1.2*2.75+(0.75*(5.015+2.865)))*10.764</f>
        <v>423.56339999999989</v>
      </c>
      <c r="E677" s="21">
        <v>0</v>
      </c>
      <c r="F677" s="21">
        <f>D677*1.5+E677</f>
        <v>635.34509999999977</v>
      </c>
      <c r="G677" s="136"/>
      <c r="H677" s="137"/>
    </row>
    <row r="678" spans="1:8" s="2" customFormat="1" x14ac:dyDescent="0.25">
      <c r="A678" s="133">
        <v>7</v>
      </c>
      <c r="B678" s="133"/>
      <c r="C678" s="21" t="s">
        <v>168</v>
      </c>
      <c r="D678" s="21">
        <f t="shared" ref="D678:D679" si="24">(25.69+1*1.85+1*2.75+(0.75*(5.015+2.865)))*10.764</f>
        <v>389.65680000000003</v>
      </c>
      <c r="E678" s="21">
        <v>0</v>
      </c>
      <c r="F678" s="21">
        <f>D678*1.5+E678/2</f>
        <v>584.48520000000008</v>
      </c>
      <c r="G678" s="136"/>
      <c r="H678" s="137"/>
    </row>
    <row r="679" spans="1:8" s="2" customFormat="1" x14ac:dyDescent="0.25">
      <c r="A679" s="133">
        <v>8</v>
      </c>
      <c r="B679" s="133"/>
      <c r="C679" s="21" t="s">
        <v>168</v>
      </c>
      <c r="D679" s="21">
        <f t="shared" si="24"/>
        <v>389.65680000000003</v>
      </c>
      <c r="E679" s="21">
        <v>0</v>
      </c>
      <c r="F679" s="21">
        <f>D679*1.5+E679</f>
        <v>584.48520000000008</v>
      </c>
      <c r="G679" s="138"/>
      <c r="H679" s="139"/>
    </row>
    <row r="680" spans="1:8" s="2" customFormat="1" ht="15.6" customHeight="1" x14ac:dyDescent="0.25">
      <c r="A680" s="195" t="s">
        <v>295</v>
      </c>
      <c r="B680" s="195"/>
      <c r="C680" s="195"/>
      <c r="D680" s="195"/>
      <c r="E680" s="195"/>
      <c r="F680" s="195"/>
      <c r="G680" s="195"/>
      <c r="H680" s="195"/>
    </row>
    <row r="681" spans="1:8" s="2" customFormat="1" ht="15.75" customHeight="1" x14ac:dyDescent="0.25">
      <c r="A681" s="133">
        <v>1</v>
      </c>
      <c r="B681" s="133"/>
      <c r="C681" s="21" t="s">
        <v>183</v>
      </c>
      <c r="D681" s="21">
        <f>(45.91+1.2*3+1*1.8+0.6*1.5+0.75*3.1)*10.764</f>
        <v>587.01473999999996</v>
      </c>
      <c r="E681" s="21">
        <v>0</v>
      </c>
      <c r="F681" s="21">
        <f>D681*1.5+E681/2</f>
        <v>880.52210999999988</v>
      </c>
      <c r="G681" s="133" t="str">
        <f>A680</f>
        <v xml:space="preserve"> 8th, 13th &amp; 18th Floor (Part Refuge Area)</v>
      </c>
      <c r="H681" s="133"/>
    </row>
    <row r="682" spans="1:8" s="2" customFormat="1" x14ac:dyDescent="0.25">
      <c r="A682" s="133">
        <v>2</v>
      </c>
      <c r="B682" s="133"/>
      <c r="C682" s="21" t="s">
        <v>183</v>
      </c>
      <c r="D682" s="21">
        <f>(45.91+1.2*3+1*1.8+0.6*1.5+0.75*3.1)*10.764</f>
        <v>587.01473999999996</v>
      </c>
      <c r="E682" s="21">
        <v>0</v>
      </c>
      <c r="F682" s="21">
        <f>D682*1.5+E682/2</f>
        <v>880.52210999999988</v>
      </c>
      <c r="G682" s="133"/>
      <c r="H682" s="133"/>
    </row>
    <row r="683" spans="1:8" s="2" customFormat="1" x14ac:dyDescent="0.25">
      <c r="A683" s="133">
        <v>3</v>
      </c>
      <c r="B683" s="133"/>
      <c r="C683" s="21" t="s">
        <v>201</v>
      </c>
      <c r="D683" s="21">
        <f>(47.05+1.66*1.2+1*1.8+1.15*2.75+1*2.75+(0.75*(2.75+2.75+2.44)))*10.764</f>
        <v>675.00505799999985</v>
      </c>
      <c r="E683" s="21">
        <v>0</v>
      </c>
      <c r="F683" s="21">
        <f>D683*1.5+E683</f>
        <v>1012.5075869999998</v>
      </c>
      <c r="G683" s="133"/>
      <c r="H683" s="133"/>
    </row>
    <row r="684" spans="1:8" s="2" customFormat="1" x14ac:dyDescent="0.25">
      <c r="A684" s="133">
        <v>4</v>
      </c>
      <c r="B684" s="133"/>
      <c r="C684" s="21" t="s">
        <v>201</v>
      </c>
      <c r="D684" s="21">
        <f>(47.05+1.66*1.2+1*1.8+1.15*2.75+1*2.75+(0.75*(2.75+2.75+2.44)))*10.764</f>
        <v>675.00505799999985</v>
      </c>
      <c r="E684" s="21">
        <v>0</v>
      </c>
      <c r="F684" s="21">
        <f>D684*1.5+E684/2</f>
        <v>1012.5075869999998</v>
      </c>
      <c r="G684" s="133"/>
      <c r="H684" s="133"/>
    </row>
    <row r="685" spans="1:8" s="2" customFormat="1" x14ac:dyDescent="0.25">
      <c r="A685" s="133">
        <v>5</v>
      </c>
      <c r="B685" s="133"/>
      <c r="C685" s="21" t="s">
        <v>168</v>
      </c>
      <c r="D685" s="21">
        <f>(27.92+1.2*1.85+1.2*2.75+(0.75*(5.015+2.865)))*10.764</f>
        <v>423.56339999999989</v>
      </c>
      <c r="E685" s="21">
        <v>0</v>
      </c>
      <c r="F685" s="21">
        <f>D685*1.5+E685</f>
        <v>635.34509999999977</v>
      </c>
      <c r="G685" s="133"/>
      <c r="H685" s="133"/>
    </row>
    <row r="686" spans="1:8" s="2" customFormat="1" x14ac:dyDescent="0.25">
      <c r="A686" s="133">
        <v>6</v>
      </c>
      <c r="B686" s="133"/>
      <c r="C686" s="21" t="s">
        <v>168</v>
      </c>
      <c r="D686" s="21">
        <f>(27.92+1.2*1.85+1.2*2.75+(0.75*(5.015+2.865)))*10.764</f>
        <v>423.56339999999989</v>
      </c>
      <c r="E686" s="21">
        <v>0</v>
      </c>
      <c r="F686" s="21">
        <f>D686*1.5+E686</f>
        <v>635.34509999999977</v>
      </c>
      <c r="G686" s="133"/>
      <c r="H686" s="133"/>
    </row>
    <row r="687" spans="1:8" s="2" customFormat="1" x14ac:dyDescent="0.25">
      <c r="A687" s="133">
        <v>7</v>
      </c>
      <c r="B687" s="133"/>
      <c r="C687" s="21" t="s">
        <v>168</v>
      </c>
      <c r="D687" s="21">
        <f t="shared" ref="D687" si="25">(25.69+1*1.85+1*2.75+(0.75*(5.015+2.865)))*10.764</f>
        <v>389.65680000000003</v>
      </c>
      <c r="E687" s="21">
        <v>0</v>
      </c>
      <c r="F687" s="21">
        <f>D687*1.5+E687/2</f>
        <v>584.48520000000008</v>
      </c>
      <c r="G687" s="133"/>
      <c r="H687" s="133"/>
    </row>
    <row r="688" spans="1:8" s="2" customFormat="1" x14ac:dyDescent="0.25">
      <c r="A688" s="133">
        <v>8</v>
      </c>
      <c r="B688" s="133"/>
      <c r="C688" s="133" t="s">
        <v>176</v>
      </c>
      <c r="D688" s="133"/>
      <c r="E688" s="133"/>
      <c r="F688" s="133"/>
      <c r="G688" s="133"/>
      <c r="H688" s="133"/>
    </row>
    <row r="689" spans="1:10" s="2" customFormat="1" x14ac:dyDescent="0.25">
      <c r="A689" s="144" t="s">
        <v>320</v>
      </c>
      <c r="B689" s="145"/>
      <c r="C689" s="145"/>
      <c r="D689" s="145"/>
      <c r="E689" s="145"/>
      <c r="F689" s="145"/>
      <c r="G689" s="145"/>
      <c r="H689" s="146"/>
    </row>
    <row r="690" spans="1:10" s="2" customFormat="1" x14ac:dyDescent="0.25">
      <c r="A690" s="144" t="s">
        <v>321</v>
      </c>
      <c r="B690" s="145"/>
      <c r="C690" s="145"/>
      <c r="D690" s="145"/>
      <c r="E690" s="145"/>
      <c r="F690" s="145"/>
      <c r="G690" s="145"/>
      <c r="H690" s="146"/>
    </row>
    <row r="691" spans="1:10" s="2" customFormat="1" ht="15.75" customHeight="1" x14ac:dyDescent="0.25">
      <c r="A691" s="144" t="s">
        <v>179</v>
      </c>
      <c r="B691" s="145"/>
      <c r="C691" s="145"/>
      <c r="D691" s="145"/>
      <c r="E691" s="145"/>
      <c r="F691" s="145"/>
      <c r="G691" s="145"/>
      <c r="H691" s="146"/>
    </row>
    <row r="692" spans="1:10" s="2" customFormat="1" ht="15.75" customHeight="1" x14ac:dyDescent="0.25">
      <c r="A692" s="144" t="s">
        <v>322</v>
      </c>
      <c r="B692" s="145"/>
      <c r="C692" s="145"/>
      <c r="D692" s="145"/>
      <c r="E692" s="145"/>
      <c r="F692" s="145"/>
      <c r="G692" s="145"/>
      <c r="H692" s="146"/>
    </row>
    <row r="693" spans="1:10" s="2" customFormat="1" ht="15.75" customHeight="1" x14ac:dyDescent="0.25">
      <c r="A693" s="133">
        <v>1</v>
      </c>
      <c r="B693" s="133"/>
      <c r="C693" s="21" t="s">
        <v>183</v>
      </c>
      <c r="D693" s="21">
        <f>(45.91+1.2*3+1*1.84+0.6*1.5+0.75*3.1)*10.764</f>
        <v>587.44529999999997</v>
      </c>
      <c r="E693" s="21">
        <v>0</v>
      </c>
      <c r="F693" s="21">
        <f>D693*1.5</f>
        <v>881.16795000000002</v>
      </c>
      <c r="G693" s="134" t="str">
        <f>A692</f>
        <v>1st to 7th, 9th to 12th, 14th to 17th, 19th to 23rd Floor for Residential</v>
      </c>
      <c r="H693" s="135"/>
      <c r="J693" s="2">
        <f>3*4.87+1.84*2.48+2.8*4.35+2.9*2.575+1.785*1+1.9*1+2.69*0.765+1*1.2</f>
        <v>45.763550000000002</v>
      </c>
    </row>
    <row r="694" spans="1:10" s="2" customFormat="1" x14ac:dyDescent="0.25">
      <c r="A694" s="133">
        <v>2</v>
      </c>
      <c r="B694" s="133"/>
      <c r="C694" s="21" t="s">
        <v>183</v>
      </c>
      <c r="D694" s="21">
        <f>(43.701+1.2*1.65+1*1.84+0.6*1.5)*10.764</f>
        <v>521.20364399999994</v>
      </c>
      <c r="E694" s="21">
        <v>0</v>
      </c>
      <c r="F694" s="21">
        <f>D694*1.5</f>
        <v>781.80546599999991</v>
      </c>
      <c r="G694" s="136"/>
      <c r="H694" s="137"/>
    </row>
    <row r="695" spans="1:10" s="2" customFormat="1" x14ac:dyDescent="0.25">
      <c r="A695" s="133">
        <v>3</v>
      </c>
      <c r="B695" s="133"/>
      <c r="C695" s="21" t="s">
        <v>183</v>
      </c>
      <c r="D695" s="21">
        <f>(43.701+1.2*1.65+1*1.84+0.6*1.5)*10.764</f>
        <v>521.20364399999994</v>
      </c>
      <c r="E695" s="21">
        <v>0</v>
      </c>
      <c r="F695" s="21">
        <f>D695*1.5+E695</f>
        <v>781.80546599999991</v>
      </c>
      <c r="G695" s="136"/>
      <c r="H695" s="137"/>
    </row>
    <row r="696" spans="1:10" s="2" customFormat="1" x14ac:dyDescent="0.25">
      <c r="A696" s="133">
        <v>4</v>
      </c>
      <c r="B696" s="133"/>
      <c r="C696" s="21" t="s">
        <v>183</v>
      </c>
      <c r="D696" s="21">
        <f>(45.91+1.2*3+1*1.84+0.6*1.5+0.75*3.1)*10.764</f>
        <v>587.44529999999997</v>
      </c>
      <c r="E696" s="21">
        <v>0</v>
      </c>
      <c r="F696" s="21">
        <f>D696*1.5+E696/2</f>
        <v>881.16795000000002</v>
      </c>
      <c r="G696" s="136"/>
      <c r="H696" s="137"/>
    </row>
    <row r="697" spans="1:10" s="2" customFormat="1" x14ac:dyDescent="0.25">
      <c r="A697" s="133">
        <v>5</v>
      </c>
      <c r="B697" s="133"/>
      <c r="C697" s="21" t="s">
        <v>168</v>
      </c>
      <c r="D697" s="21">
        <f>(25.651+1*1.85+1*2.75)*10.764</f>
        <v>325.62176399999998</v>
      </c>
      <c r="E697" s="21">
        <v>0</v>
      </c>
      <c r="F697" s="21">
        <f>D697*1.5+E697</f>
        <v>488.43264599999998</v>
      </c>
      <c r="G697" s="136"/>
      <c r="H697" s="137"/>
    </row>
    <row r="698" spans="1:10" s="2" customFormat="1" x14ac:dyDescent="0.25">
      <c r="A698" s="133">
        <v>6</v>
      </c>
      <c r="B698" s="133"/>
      <c r="C698" s="21" t="s">
        <v>168</v>
      </c>
      <c r="D698" s="21">
        <f>(25.69+1*1.85+1*2.75)*10.764</f>
        <v>326.04156</v>
      </c>
      <c r="E698" s="21">
        <v>0</v>
      </c>
      <c r="F698" s="21">
        <f>D698*1.5+E698</f>
        <v>489.06234000000001</v>
      </c>
      <c r="G698" s="136"/>
      <c r="H698" s="137"/>
    </row>
    <row r="699" spans="1:10" s="2" customFormat="1" x14ac:dyDescent="0.25">
      <c r="A699" s="133">
        <v>7</v>
      </c>
      <c r="B699" s="133"/>
      <c r="C699" s="21" t="s">
        <v>168</v>
      </c>
      <c r="D699" s="21">
        <f>(27.92+1*1.85+(0.6*(1.8)))*10.764</f>
        <v>332.06939999999997</v>
      </c>
      <c r="E699" s="21">
        <v>0</v>
      </c>
      <c r="F699" s="21">
        <f>D699*1.5+E699/2</f>
        <v>498.10409999999996</v>
      </c>
      <c r="G699" s="136"/>
      <c r="H699" s="137"/>
    </row>
    <row r="700" spans="1:10" s="2" customFormat="1" x14ac:dyDescent="0.25">
      <c r="A700" s="133">
        <v>8</v>
      </c>
      <c r="B700" s="133"/>
      <c r="C700" s="21" t="s">
        <v>183</v>
      </c>
      <c r="D700" s="21">
        <f>(43.702+1.2*1.85+1*2.75+0.6*1.895)*10.764</f>
        <v>536.14407599999993</v>
      </c>
      <c r="E700" s="21">
        <v>0</v>
      </c>
      <c r="F700" s="21">
        <f>D700*1.5+E700</f>
        <v>804.21611399999983</v>
      </c>
      <c r="G700" s="136"/>
      <c r="H700" s="137"/>
    </row>
    <row r="701" spans="1:10" s="2" customFormat="1" x14ac:dyDescent="0.25">
      <c r="A701" s="133">
        <v>9</v>
      </c>
      <c r="B701" s="133"/>
      <c r="C701" s="21" t="s">
        <v>183</v>
      </c>
      <c r="D701" s="21">
        <f>(43.702+1.2*1.85+1*2.75+0.6*1.895)*10.764</f>
        <v>536.14407599999993</v>
      </c>
      <c r="E701" s="21">
        <v>0</v>
      </c>
      <c r="F701" s="21">
        <f>D701*1.5+E701/2</f>
        <v>804.21611399999983</v>
      </c>
      <c r="G701" s="136"/>
      <c r="H701" s="137"/>
    </row>
    <row r="702" spans="1:10" s="2" customFormat="1" x14ac:dyDescent="0.25">
      <c r="A702" s="133">
        <v>10</v>
      </c>
      <c r="B702" s="133"/>
      <c r="C702" s="21" t="s">
        <v>168</v>
      </c>
      <c r="D702" s="21">
        <f>(27.92+1*1.85+(0.6*(1.8)))*10.764</f>
        <v>332.06939999999997</v>
      </c>
      <c r="E702" s="21">
        <v>0</v>
      </c>
      <c r="F702" s="21">
        <f>D702*1.5+E702</f>
        <v>498.10409999999996</v>
      </c>
      <c r="G702" s="136"/>
      <c r="H702" s="137"/>
    </row>
    <row r="703" spans="1:10" s="2" customFormat="1" x14ac:dyDescent="0.25">
      <c r="A703" s="133">
        <v>11</v>
      </c>
      <c r="B703" s="133"/>
      <c r="C703" s="21" t="s">
        <v>168</v>
      </c>
      <c r="D703" s="21">
        <f>(25.651+1*1.85+1*2.75)*10.764</f>
        <v>325.62176399999998</v>
      </c>
      <c r="E703" s="21">
        <v>0</v>
      </c>
      <c r="F703" s="21">
        <f>D703*1.5+E703</f>
        <v>488.43264599999998</v>
      </c>
      <c r="G703" s="136"/>
      <c r="H703" s="137"/>
    </row>
    <row r="704" spans="1:10" s="2" customFormat="1" x14ac:dyDescent="0.25">
      <c r="A704" s="133">
        <v>12</v>
      </c>
      <c r="B704" s="133"/>
      <c r="C704" s="21" t="s">
        <v>168</v>
      </c>
      <c r="D704" s="21">
        <f>(25.69+1*1.85+1*2.75)*10.764</f>
        <v>326.04156</v>
      </c>
      <c r="E704" s="21">
        <v>0</v>
      </c>
      <c r="F704" s="21">
        <f>D704*1.5+E704</f>
        <v>489.06234000000001</v>
      </c>
      <c r="G704" s="138"/>
      <c r="H704" s="139"/>
    </row>
    <row r="705" spans="1:10" s="2" customFormat="1" ht="15.6" customHeight="1" x14ac:dyDescent="0.25">
      <c r="A705" s="144" t="s">
        <v>295</v>
      </c>
      <c r="B705" s="145"/>
      <c r="C705" s="145"/>
      <c r="D705" s="145"/>
      <c r="E705" s="145"/>
      <c r="F705" s="145"/>
      <c r="G705" s="145"/>
      <c r="H705" s="146"/>
    </row>
    <row r="706" spans="1:10" s="2" customFormat="1" ht="15.75" customHeight="1" x14ac:dyDescent="0.25">
      <c r="A706" s="133">
        <v>1</v>
      </c>
      <c r="B706" s="133"/>
      <c r="C706" s="21" t="s">
        <v>183</v>
      </c>
      <c r="D706" s="21">
        <f>(45.91+1.2*3+1*1.84+0.6*1.5+0.75*3.1)*10.764</f>
        <v>587.44529999999997</v>
      </c>
      <c r="E706" s="21">
        <v>0</v>
      </c>
      <c r="F706" s="21">
        <f>D706*1.5+E706/2</f>
        <v>881.16795000000002</v>
      </c>
      <c r="G706" s="134" t="str">
        <f>A705</f>
        <v xml:space="preserve"> 8th, 13th &amp; 18th Floor (Part Refuge Area)</v>
      </c>
      <c r="H706" s="135"/>
    </row>
    <row r="707" spans="1:10" s="2" customFormat="1" x14ac:dyDescent="0.25">
      <c r="A707" s="133">
        <v>2</v>
      </c>
      <c r="B707" s="133"/>
      <c r="C707" s="21" t="s">
        <v>183</v>
      </c>
      <c r="D707" s="21">
        <f>(43.701+1.2*1.65+1*1.84+0.6*1.5)*10.764</f>
        <v>521.20364399999994</v>
      </c>
      <c r="E707" s="21">
        <v>0</v>
      </c>
      <c r="F707" s="21">
        <f>D707*1.5+E707/2</f>
        <v>781.80546599999991</v>
      </c>
      <c r="G707" s="136"/>
      <c r="H707" s="137"/>
    </row>
    <row r="708" spans="1:10" s="2" customFormat="1" x14ac:dyDescent="0.25">
      <c r="A708" s="133">
        <v>3</v>
      </c>
      <c r="B708" s="133"/>
      <c r="C708" s="21" t="s">
        <v>183</v>
      </c>
      <c r="D708" s="21">
        <f>(43.701+1.2*1.65+1*1.84+0.6*1.5)*10.764</f>
        <v>521.20364399999994</v>
      </c>
      <c r="E708" s="21">
        <v>0</v>
      </c>
      <c r="F708" s="21">
        <f>D708*1.5+E708</f>
        <v>781.80546599999991</v>
      </c>
      <c r="G708" s="136"/>
      <c r="H708" s="137"/>
    </row>
    <row r="709" spans="1:10" s="2" customFormat="1" x14ac:dyDescent="0.25">
      <c r="A709" s="133">
        <v>4</v>
      </c>
      <c r="B709" s="133"/>
      <c r="C709" s="21" t="s">
        <v>183</v>
      </c>
      <c r="D709" s="21">
        <f>(45.91+1.2*3+1*1.84+0.6*1.5+0.75*3.1)*10.764</f>
        <v>587.44529999999997</v>
      </c>
      <c r="E709" s="21">
        <v>0</v>
      </c>
      <c r="F709" s="21">
        <f>D709*1.5+E709/2</f>
        <v>881.16795000000002</v>
      </c>
      <c r="G709" s="136"/>
      <c r="H709" s="137"/>
    </row>
    <row r="710" spans="1:10" s="2" customFormat="1" x14ac:dyDescent="0.25">
      <c r="A710" s="133">
        <v>5</v>
      </c>
      <c r="B710" s="133"/>
      <c r="C710" s="21" t="s">
        <v>168</v>
      </c>
      <c r="D710" s="21">
        <f>(25.651+1*1.85+1*2.75)*10.764</f>
        <v>325.62176399999998</v>
      </c>
      <c r="E710" s="21">
        <v>0</v>
      </c>
      <c r="F710" s="21">
        <f>D710*1.5+E710</f>
        <v>488.43264599999998</v>
      </c>
      <c r="G710" s="136"/>
      <c r="H710" s="137"/>
    </row>
    <row r="711" spans="1:10" s="2" customFormat="1" x14ac:dyDescent="0.25">
      <c r="A711" s="133">
        <v>6</v>
      </c>
      <c r="B711" s="133"/>
      <c r="C711" s="21" t="s">
        <v>168</v>
      </c>
      <c r="D711" s="21">
        <f>(25.69+1*1.85+1*2.75)*10.764</f>
        <v>326.04156</v>
      </c>
      <c r="E711" s="21">
        <v>0</v>
      </c>
      <c r="F711" s="21">
        <f>D711*1.5+E711</f>
        <v>489.06234000000001</v>
      </c>
      <c r="G711" s="136"/>
      <c r="H711" s="137"/>
    </row>
    <row r="712" spans="1:10" s="2" customFormat="1" x14ac:dyDescent="0.25">
      <c r="A712" s="133">
        <v>7</v>
      </c>
      <c r="B712" s="133"/>
      <c r="C712" s="21" t="s">
        <v>168</v>
      </c>
      <c r="D712" s="21">
        <f>(27.92+1*1.85+(0.6*(1.8)))*10.764</f>
        <v>332.06939999999997</v>
      </c>
      <c r="E712" s="21">
        <v>0</v>
      </c>
      <c r="F712" s="21">
        <f>D712*1.5+E712/2</f>
        <v>498.10409999999996</v>
      </c>
      <c r="G712" s="136"/>
      <c r="H712" s="137"/>
    </row>
    <row r="713" spans="1:10" s="2" customFormat="1" x14ac:dyDescent="0.25">
      <c r="A713" s="133">
        <v>8</v>
      </c>
      <c r="B713" s="133"/>
      <c r="C713" s="140" t="s">
        <v>176</v>
      </c>
      <c r="D713" s="141"/>
      <c r="E713" s="141"/>
      <c r="F713" s="142"/>
      <c r="G713" s="136"/>
      <c r="H713" s="137"/>
    </row>
    <row r="714" spans="1:10" s="2" customFormat="1" x14ac:dyDescent="0.25">
      <c r="A714" s="133">
        <v>9</v>
      </c>
      <c r="B714" s="133"/>
      <c r="C714" s="21" t="s">
        <v>183</v>
      </c>
      <c r="D714" s="21">
        <f>(43.702+1.2*1.85+1*2.75+0.6*1.895)*10.764</f>
        <v>536.14407599999993</v>
      </c>
      <c r="E714" s="21">
        <v>0</v>
      </c>
      <c r="F714" s="21">
        <f>D714*1.5+E714/2</f>
        <v>804.21611399999983</v>
      </c>
      <c r="G714" s="136"/>
      <c r="H714" s="137"/>
    </row>
    <row r="715" spans="1:10" s="2" customFormat="1" x14ac:dyDescent="0.25">
      <c r="A715" s="133">
        <v>10</v>
      </c>
      <c r="B715" s="133"/>
      <c r="C715" s="21" t="s">
        <v>168</v>
      </c>
      <c r="D715" s="21">
        <f>(27.92+1*1.85+(0.6*(1.8)))*10.764</f>
        <v>332.06939999999997</v>
      </c>
      <c r="E715" s="21">
        <v>0</v>
      </c>
      <c r="F715" s="21">
        <f>D715*1.5+E715</f>
        <v>498.10409999999996</v>
      </c>
      <c r="G715" s="136"/>
      <c r="H715" s="137"/>
    </row>
    <row r="716" spans="1:10" s="2" customFormat="1" x14ac:dyDescent="0.25">
      <c r="A716" s="133">
        <v>11</v>
      </c>
      <c r="B716" s="133"/>
      <c r="C716" s="21" t="s">
        <v>168</v>
      </c>
      <c r="D716" s="21">
        <f>(25.651+1*1.85+1*2.75)*10.764</f>
        <v>325.62176399999998</v>
      </c>
      <c r="E716" s="21">
        <v>0</v>
      </c>
      <c r="F716" s="21">
        <f>D716*1.5+E716</f>
        <v>488.43264599999998</v>
      </c>
      <c r="G716" s="136"/>
      <c r="H716" s="137"/>
    </row>
    <row r="717" spans="1:10" s="2" customFormat="1" x14ac:dyDescent="0.25">
      <c r="A717" s="133">
        <v>12</v>
      </c>
      <c r="B717" s="133"/>
      <c r="C717" s="21" t="s">
        <v>168</v>
      </c>
      <c r="D717" s="21">
        <f>(25.69+1*1.85+1*2.75)*10.764</f>
        <v>326.04156</v>
      </c>
      <c r="E717" s="21">
        <v>0</v>
      </c>
      <c r="F717" s="21">
        <f>D717*1.5+E717</f>
        <v>489.06234000000001</v>
      </c>
      <c r="G717" s="138"/>
      <c r="H717" s="139"/>
    </row>
    <row r="718" spans="1:10" s="2" customFormat="1" x14ac:dyDescent="0.25">
      <c r="A718" s="144" t="s">
        <v>313</v>
      </c>
      <c r="B718" s="145"/>
      <c r="C718" s="145"/>
      <c r="D718" s="145"/>
      <c r="E718" s="145"/>
      <c r="F718" s="145"/>
      <c r="G718" s="145"/>
      <c r="H718" s="146"/>
    </row>
    <row r="719" spans="1:10" s="2" customFormat="1" x14ac:dyDescent="0.25">
      <c r="A719" s="195" t="s">
        <v>307</v>
      </c>
      <c r="B719" s="195"/>
      <c r="C719" s="195"/>
      <c r="D719" s="195"/>
      <c r="E719" s="195"/>
      <c r="F719" s="195"/>
      <c r="G719" s="195"/>
      <c r="H719" s="195"/>
    </row>
    <row r="720" spans="1:10" s="2" customFormat="1" ht="15.75" customHeight="1" x14ac:dyDescent="0.25">
      <c r="A720" s="195" t="s">
        <v>192</v>
      </c>
      <c r="B720" s="195"/>
      <c r="C720" s="195"/>
      <c r="D720" s="195"/>
      <c r="E720" s="195"/>
      <c r="F720" s="195"/>
      <c r="G720" s="195"/>
      <c r="H720" s="195"/>
      <c r="J720" s="71">
        <f>10.764</f>
        <v>10.763999999999999</v>
      </c>
    </row>
    <row r="721" spans="1:10" s="2" customFormat="1" ht="15.75" customHeight="1" x14ac:dyDescent="0.25">
      <c r="A721" s="133">
        <v>13</v>
      </c>
      <c r="B721" s="133"/>
      <c r="C721" s="21" t="s">
        <v>164</v>
      </c>
      <c r="D721" s="71">
        <f>(24.532)*(10.764)</f>
        <v>264.06244799999996</v>
      </c>
      <c r="E721" s="21">
        <v>0</v>
      </c>
      <c r="F721" s="21">
        <f>D721*1.6</f>
        <v>422.49991679999994</v>
      </c>
      <c r="G721" s="133" t="str">
        <f>A720</f>
        <v>Ground Floor for Parking &amp; Commercial</v>
      </c>
      <c r="H721" s="133"/>
      <c r="J721" s="2">
        <f>2.283*7.858+1.808*1.3+1.2*0.9+0.9*1</f>
        <v>22.270213999999996</v>
      </c>
    </row>
    <row r="722" spans="1:10" s="2" customFormat="1" x14ac:dyDescent="0.25">
      <c r="A722" s="133">
        <f>A721+1</f>
        <v>14</v>
      </c>
      <c r="B722" s="133"/>
      <c r="C722" s="21" t="s">
        <v>164</v>
      </c>
      <c r="D722" s="71">
        <f>25.15*(10.764)</f>
        <v>270.71459999999996</v>
      </c>
      <c r="E722" s="21">
        <v>0</v>
      </c>
      <c r="F722" s="21">
        <f t="shared" ref="F722:F732" si="26">D722*1.6</f>
        <v>433.14335999999997</v>
      </c>
      <c r="G722" s="133"/>
      <c r="H722" s="133"/>
      <c r="J722" s="2">
        <f>2.283*10.018+1.2*0.9+0.9*1</f>
        <v>24.851093999999996</v>
      </c>
    </row>
    <row r="723" spans="1:10" s="2" customFormat="1" x14ac:dyDescent="0.25">
      <c r="A723" s="133">
        <f>A722+1</f>
        <v>15</v>
      </c>
      <c r="B723" s="133"/>
      <c r="C723" s="21" t="s">
        <v>164</v>
      </c>
      <c r="D723" s="71">
        <f>29.917*(10.764)</f>
        <v>322.026588</v>
      </c>
      <c r="E723" s="21">
        <v>0</v>
      </c>
      <c r="F723" s="21">
        <f t="shared" si="26"/>
        <v>515.24254080000003</v>
      </c>
      <c r="G723" s="133"/>
      <c r="H723" s="133"/>
    </row>
    <row r="724" spans="1:10" s="2" customFormat="1" x14ac:dyDescent="0.25">
      <c r="A724" s="133">
        <f t="shared" ref="A724:A735" si="27">A723+1</f>
        <v>16</v>
      </c>
      <c r="B724" s="133"/>
      <c r="C724" s="21" t="s">
        <v>164</v>
      </c>
      <c r="D724" s="71">
        <f>24.959*(10.764)</f>
        <v>268.65867599999996</v>
      </c>
      <c r="E724" s="21">
        <v>0</v>
      </c>
      <c r="F724" s="21">
        <f t="shared" si="26"/>
        <v>429.85388159999997</v>
      </c>
      <c r="G724" s="133"/>
      <c r="H724" s="133"/>
    </row>
    <row r="725" spans="1:10" s="2" customFormat="1" x14ac:dyDescent="0.25">
      <c r="A725" s="133">
        <f t="shared" si="27"/>
        <v>17</v>
      </c>
      <c r="B725" s="133"/>
      <c r="C725" s="21" t="s">
        <v>164</v>
      </c>
      <c r="D725" s="71">
        <f>20.407*(10.764)</f>
        <v>219.66094799999999</v>
      </c>
      <c r="E725" s="21">
        <v>0</v>
      </c>
      <c r="F725" s="21">
        <f t="shared" si="26"/>
        <v>351.45751680000001</v>
      </c>
      <c r="G725" s="133"/>
      <c r="H725" s="133"/>
    </row>
    <row r="726" spans="1:10" s="2" customFormat="1" x14ac:dyDescent="0.25">
      <c r="A726" s="133">
        <f t="shared" si="27"/>
        <v>18</v>
      </c>
      <c r="B726" s="133"/>
      <c r="C726" s="21" t="s">
        <v>164</v>
      </c>
      <c r="D726" s="71">
        <f>16.556*(10.764)</f>
        <v>178.20878400000001</v>
      </c>
      <c r="E726" s="21">
        <v>0</v>
      </c>
      <c r="F726" s="21">
        <f t="shared" si="26"/>
        <v>285.13405440000002</v>
      </c>
      <c r="G726" s="133"/>
      <c r="H726" s="133"/>
    </row>
    <row r="727" spans="1:10" s="2" customFormat="1" x14ac:dyDescent="0.25">
      <c r="A727" s="133">
        <f t="shared" si="27"/>
        <v>19</v>
      </c>
      <c r="B727" s="133"/>
      <c r="C727" s="21" t="s">
        <v>164</v>
      </c>
      <c r="D727" s="71">
        <f>16.838*(10.764)</f>
        <v>181.24423200000001</v>
      </c>
      <c r="E727" s="21">
        <v>0</v>
      </c>
      <c r="F727" s="21">
        <f t="shared" si="26"/>
        <v>289.99077120000004</v>
      </c>
      <c r="G727" s="133"/>
      <c r="H727" s="133"/>
    </row>
    <row r="728" spans="1:10" s="2" customFormat="1" x14ac:dyDescent="0.25">
      <c r="A728" s="133">
        <f t="shared" si="27"/>
        <v>20</v>
      </c>
      <c r="B728" s="133"/>
      <c r="C728" s="21" t="s">
        <v>164</v>
      </c>
      <c r="D728" s="71">
        <f>17.8*(10.764)</f>
        <v>191.5992</v>
      </c>
      <c r="E728" s="21">
        <v>0</v>
      </c>
      <c r="F728" s="21">
        <f t="shared" si="26"/>
        <v>306.55871999999999</v>
      </c>
      <c r="G728" s="133"/>
      <c r="H728" s="133"/>
    </row>
    <row r="729" spans="1:10" s="2" customFormat="1" x14ac:dyDescent="0.25">
      <c r="A729" s="133">
        <f t="shared" si="27"/>
        <v>21</v>
      </c>
      <c r="B729" s="133"/>
      <c r="C729" s="21" t="s">
        <v>164</v>
      </c>
      <c r="D729" s="71">
        <f>17.5*(10.764)</f>
        <v>188.36999999999998</v>
      </c>
      <c r="E729" s="21">
        <v>0</v>
      </c>
      <c r="F729" s="21">
        <f t="shared" si="26"/>
        <v>301.392</v>
      </c>
      <c r="G729" s="133"/>
      <c r="H729" s="133"/>
    </row>
    <row r="730" spans="1:10" s="2" customFormat="1" x14ac:dyDescent="0.25">
      <c r="A730" s="133">
        <f t="shared" si="27"/>
        <v>22</v>
      </c>
      <c r="B730" s="133"/>
      <c r="C730" s="21" t="s">
        <v>164</v>
      </c>
      <c r="D730" s="71">
        <f>26*(10.764)</f>
        <v>279.86399999999998</v>
      </c>
      <c r="E730" s="21">
        <v>0</v>
      </c>
      <c r="F730" s="21">
        <f t="shared" si="26"/>
        <v>447.7824</v>
      </c>
      <c r="G730" s="133"/>
      <c r="H730" s="133"/>
    </row>
    <row r="731" spans="1:10" s="2" customFormat="1" x14ac:dyDescent="0.25">
      <c r="A731" s="133">
        <f t="shared" si="27"/>
        <v>23</v>
      </c>
      <c r="B731" s="133"/>
      <c r="C731" s="21" t="s">
        <v>164</v>
      </c>
      <c r="D731" s="71">
        <f>20.593*(10.764)</f>
        <v>221.66305199999999</v>
      </c>
      <c r="E731" s="21">
        <v>0</v>
      </c>
      <c r="F731" s="21">
        <f t="shared" si="26"/>
        <v>354.6608832</v>
      </c>
      <c r="G731" s="133"/>
      <c r="H731" s="133"/>
    </row>
    <row r="732" spans="1:10" s="2" customFormat="1" x14ac:dyDescent="0.25">
      <c r="A732" s="133">
        <f t="shared" si="27"/>
        <v>24</v>
      </c>
      <c r="B732" s="133"/>
      <c r="C732" s="21" t="s">
        <v>164</v>
      </c>
      <c r="D732" s="71">
        <f>19.93*(10.764)</f>
        <v>214.52651999999998</v>
      </c>
      <c r="E732" s="21">
        <v>0</v>
      </c>
      <c r="F732" s="21">
        <f t="shared" si="26"/>
        <v>343.24243200000001</v>
      </c>
      <c r="G732" s="133"/>
      <c r="H732" s="133"/>
    </row>
    <row r="733" spans="1:10" s="2" customFormat="1" x14ac:dyDescent="0.25">
      <c r="A733" s="133">
        <f t="shared" si="27"/>
        <v>25</v>
      </c>
      <c r="B733" s="133"/>
      <c r="C733" s="21" t="s">
        <v>164</v>
      </c>
      <c r="D733" s="71">
        <f>16.556*(10.764)</f>
        <v>178.20878400000001</v>
      </c>
      <c r="E733" s="21">
        <v>0</v>
      </c>
      <c r="F733" s="21">
        <f t="shared" ref="F733:F735" si="28">D733*1.6</f>
        <v>285.13405440000002</v>
      </c>
      <c r="G733" s="133"/>
      <c r="H733" s="133"/>
    </row>
    <row r="734" spans="1:10" s="2" customFormat="1" x14ac:dyDescent="0.25">
      <c r="A734" s="133">
        <f t="shared" si="27"/>
        <v>26</v>
      </c>
      <c r="B734" s="133"/>
      <c r="C734" s="21" t="s">
        <v>164</v>
      </c>
      <c r="D734" s="71">
        <f>19.912*(10.764)</f>
        <v>214.33276799999999</v>
      </c>
      <c r="E734" s="21">
        <v>0</v>
      </c>
      <c r="F734" s="21">
        <f t="shared" si="28"/>
        <v>342.93242880000003</v>
      </c>
      <c r="G734" s="133"/>
      <c r="H734" s="133"/>
    </row>
    <row r="735" spans="1:10" s="2" customFormat="1" x14ac:dyDescent="0.25">
      <c r="A735" s="133">
        <f t="shared" si="27"/>
        <v>27</v>
      </c>
      <c r="B735" s="133"/>
      <c r="C735" s="21" t="s">
        <v>164</v>
      </c>
      <c r="D735" s="71">
        <f>27.251*(10.764)</f>
        <v>293.32976400000001</v>
      </c>
      <c r="E735" s="21">
        <v>0</v>
      </c>
      <c r="F735" s="21">
        <f t="shared" si="28"/>
        <v>469.32762240000005</v>
      </c>
      <c r="G735" s="133"/>
      <c r="H735" s="133"/>
    </row>
    <row r="736" spans="1:10" s="2" customFormat="1" ht="15.75" customHeight="1" x14ac:dyDescent="0.25">
      <c r="A736" s="144" t="s">
        <v>308</v>
      </c>
      <c r="B736" s="145"/>
      <c r="C736" s="145"/>
      <c r="D736" s="145"/>
      <c r="E736" s="145"/>
      <c r="F736" s="145"/>
      <c r="G736" s="145"/>
      <c r="H736" s="145"/>
      <c r="J736" s="72"/>
    </row>
    <row r="737" spans="1:10" s="2" customFormat="1" ht="15.75" customHeight="1" x14ac:dyDescent="0.25">
      <c r="A737" s="133">
        <v>12</v>
      </c>
      <c r="B737" s="133"/>
      <c r="C737" s="21" t="s">
        <v>166</v>
      </c>
      <c r="D737" s="71">
        <f>(20.785)*(10.764)</f>
        <v>223.72973999999999</v>
      </c>
      <c r="E737" s="21">
        <v>0</v>
      </c>
      <c r="F737" s="21">
        <f>D737*1.6</f>
        <v>357.96758399999999</v>
      </c>
      <c r="G737" s="134" t="str">
        <f>A736</f>
        <v>1st Floor for Commercial &amp; Fitness Center</v>
      </c>
      <c r="H737" s="294"/>
    </row>
    <row r="738" spans="1:10" s="2" customFormat="1" x14ac:dyDescent="0.25">
      <c r="A738" s="133">
        <f>A737+1</f>
        <v>13</v>
      </c>
      <c r="B738" s="133"/>
      <c r="C738" s="21" t="s">
        <v>166</v>
      </c>
      <c r="D738" s="71">
        <f>21.378*(10.764)</f>
        <v>230.11279199999998</v>
      </c>
      <c r="E738" s="21">
        <v>0</v>
      </c>
      <c r="F738" s="21">
        <f t="shared" ref="F738:F750" si="29">D738*1.6</f>
        <v>368.18046720000001</v>
      </c>
      <c r="G738" s="136"/>
      <c r="H738" s="296"/>
    </row>
    <row r="739" spans="1:10" s="2" customFormat="1" x14ac:dyDescent="0.25">
      <c r="A739" s="133">
        <f>A738+1</f>
        <v>14</v>
      </c>
      <c r="B739" s="133"/>
      <c r="C739" s="21" t="s">
        <v>166</v>
      </c>
      <c r="D739" s="71">
        <f>25.431*(10.764)</f>
        <v>273.739284</v>
      </c>
      <c r="E739" s="21">
        <v>0</v>
      </c>
      <c r="F739" s="21">
        <f t="shared" si="29"/>
        <v>437.98285440000001</v>
      </c>
      <c r="G739" s="136"/>
      <c r="H739" s="296"/>
    </row>
    <row r="740" spans="1:10" s="2" customFormat="1" x14ac:dyDescent="0.25">
      <c r="A740" s="133">
        <f t="shared" ref="A740:A750" si="30">A739+1</f>
        <v>15</v>
      </c>
      <c r="B740" s="133"/>
      <c r="C740" s="21" t="s">
        <v>166</v>
      </c>
      <c r="D740" s="71">
        <f>20.479*(10.764)</f>
        <v>220.43595599999998</v>
      </c>
      <c r="E740" s="21">
        <v>0</v>
      </c>
      <c r="F740" s="21">
        <f t="shared" si="29"/>
        <v>352.6975296</v>
      </c>
      <c r="G740" s="136"/>
      <c r="H740" s="296"/>
    </row>
    <row r="741" spans="1:10" s="2" customFormat="1" x14ac:dyDescent="0.25">
      <c r="A741" s="133">
        <f t="shared" si="30"/>
        <v>16</v>
      </c>
      <c r="B741" s="133"/>
      <c r="C741" s="21" t="s">
        <v>166</v>
      </c>
      <c r="D741" s="71">
        <f>16.648*(10.764)</f>
        <v>179.19907199999997</v>
      </c>
      <c r="E741" s="21">
        <v>0</v>
      </c>
      <c r="F741" s="21">
        <f t="shared" si="29"/>
        <v>286.71851519999996</v>
      </c>
      <c r="G741" s="136"/>
      <c r="H741" s="296"/>
    </row>
    <row r="742" spans="1:10" s="2" customFormat="1" x14ac:dyDescent="0.25">
      <c r="A742" s="133">
        <f t="shared" si="30"/>
        <v>17</v>
      </c>
      <c r="B742" s="133"/>
      <c r="C742" s="21" t="s">
        <v>166</v>
      </c>
      <c r="D742" s="71">
        <f>12.789*(10.764)</f>
        <v>137.66079599999998</v>
      </c>
      <c r="E742" s="21">
        <v>0</v>
      </c>
      <c r="F742" s="21">
        <f t="shared" si="29"/>
        <v>220.25727359999996</v>
      </c>
      <c r="G742" s="136"/>
      <c r="H742" s="137"/>
    </row>
    <row r="743" spans="1:10" s="2" customFormat="1" x14ac:dyDescent="0.25">
      <c r="A743" s="133">
        <f t="shared" si="30"/>
        <v>18</v>
      </c>
      <c r="B743" s="133"/>
      <c r="C743" s="21" t="s">
        <v>166</v>
      </c>
      <c r="D743" s="71">
        <f>13.01*(10.764)</f>
        <v>140.03963999999999</v>
      </c>
      <c r="E743" s="21">
        <v>0</v>
      </c>
      <c r="F743" s="21">
        <f t="shared" si="29"/>
        <v>224.063424</v>
      </c>
      <c r="G743" s="136"/>
      <c r="H743" s="137"/>
    </row>
    <row r="744" spans="1:10" s="2" customFormat="1" x14ac:dyDescent="0.25">
      <c r="A744" s="133">
        <f t="shared" si="30"/>
        <v>19</v>
      </c>
      <c r="B744" s="133"/>
      <c r="C744" s="21" t="s">
        <v>166</v>
      </c>
      <c r="D744" s="71">
        <f>13.872*(10.764)</f>
        <v>149.318208</v>
      </c>
      <c r="E744" s="21">
        <v>0</v>
      </c>
      <c r="F744" s="21">
        <f t="shared" si="29"/>
        <v>238.90913280000001</v>
      </c>
      <c r="G744" s="136"/>
      <c r="H744" s="137"/>
    </row>
    <row r="745" spans="1:10" s="2" customFormat="1" x14ac:dyDescent="0.25">
      <c r="A745" s="133">
        <f t="shared" si="30"/>
        <v>20</v>
      </c>
      <c r="B745" s="133"/>
      <c r="C745" s="21" t="s">
        <v>166</v>
      </c>
      <c r="D745" s="71">
        <f>25.163*(10.764)</f>
        <v>270.85453200000001</v>
      </c>
      <c r="E745" s="21">
        <v>0</v>
      </c>
      <c r="F745" s="21">
        <f t="shared" si="29"/>
        <v>433.36725120000006</v>
      </c>
      <c r="G745" s="136"/>
      <c r="H745" s="137"/>
    </row>
    <row r="746" spans="1:10" s="2" customFormat="1" x14ac:dyDescent="0.25">
      <c r="A746" s="133">
        <f t="shared" si="30"/>
        <v>21</v>
      </c>
      <c r="B746" s="133"/>
      <c r="C746" s="21" t="s">
        <v>166</v>
      </c>
      <c r="D746" s="71">
        <f>16.088*(10.764)</f>
        <v>173.171232</v>
      </c>
      <c r="E746" s="21">
        <v>0</v>
      </c>
      <c r="F746" s="21">
        <f t="shared" si="29"/>
        <v>277.07397120000002</v>
      </c>
      <c r="G746" s="136"/>
      <c r="H746" s="137"/>
    </row>
    <row r="747" spans="1:10" s="2" customFormat="1" x14ac:dyDescent="0.25">
      <c r="A747" s="133">
        <f t="shared" si="30"/>
        <v>22</v>
      </c>
      <c r="B747" s="133"/>
      <c r="C747" s="21" t="s">
        <v>166</v>
      </c>
      <c r="D747" s="71">
        <f>15.427*(10.764)</f>
        <v>166.05622799999998</v>
      </c>
      <c r="E747" s="21">
        <v>0</v>
      </c>
      <c r="F747" s="21">
        <f t="shared" si="29"/>
        <v>265.68996479999998</v>
      </c>
      <c r="G747" s="136"/>
      <c r="H747" s="137"/>
    </row>
    <row r="748" spans="1:10" s="2" customFormat="1" x14ac:dyDescent="0.25">
      <c r="A748" s="133">
        <f t="shared" si="30"/>
        <v>23</v>
      </c>
      <c r="B748" s="133"/>
      <c r="C748" s="21" t="s">
        <v>166</v>
      </c>
      <c r="D748" s="71">
        <f>12.79*(10.764)</f>
        <v>137.67155999999997</v>
      </c>
      <c r="E748" s="21">
        <v>0</v>
      </c>
      <c r="F748" s="21">
        <f t="shared" si="29"/>
        <v>220.27449599999997</v>
      </c>
      <c r="G748" s="136"/>
      <c r="H748" s="137"/>
    </row>
    <row r="749" spans="1:10" s="2" customFormat="1" x14ac:dyDescent="0.25">
      <c r="A749" s="133">
        <f t="shared" si="30"/>
        <v>24</v>
      </c>
      <c r="B749" s="133"/>
      <c r="C749" s="21" t="s">
        <v>166</v>
      </c>
      <c r="D749" s="71">
        <f>12.191*(10.764)</f>
        <v>131.22392400000001</v>
      </c>
      <c r="E749" s="21">
        <v>0</v>
      </c>
      <c r="F749" s="21">
        <f t="shared" si="29"/>
        <v>209.95827840000004</v>
      </c>
      <c r="G749" s="136"/>
      <c r="H749" s="137"/>
    </row>
    <row r="750" spans="1:10" s="2" customFormat="1" x14ac:dyDescent="0.25">
      <c r="A750" s="133">
        <f t="shared" si="30"/>
        <v>25</v>
      </c>
      <c r="B750" s="133"/>
      <c r="C750" s="21" t="s">
        <v>166</v>
      </c>
      <c r="D750" s="71">
        <f>20.932*(10.764)</f>
        <v>225.31204799999998</v>
      </c>
      <c r="E750" s="21">
        <v>0</v>
      </c>
      <c r="F750" s="21">
        <f t="shared" si="29"/>
        <v>360.49927679999996</v>
      </c>
      <c r="G750" s="136"/>
      <c r="H750" s="137"/>
    </row>
    <row r="751" spans="1:10" s="2" customFormat="1" ht="15.75" customHeight="1" x14ac:dyDescent="0.25">
      <c r="A751" s="144" t="s">
        <v>169</v>
      </c>
      <c r="B751" s="145"/>
      <c r="C751" s="145"/>
      <c r="D751" s="145"/>
      <c r="E751" s="145"/>
      <c r="F751" s="145"/>
      <c r="G751" s="145"/>
      <c r="H751" s="145"/>
      <c r="J751" s="72"/>
    </row>
    <row r="752" spans="1:10" s="2" customFormat="1" ht="15.75" customHeight="1" x14ac:dyDescent="0.25">
      <c r="A752" s="133">
        <v>1</v>
      </c>
      <c r="B752" s="133"/>
      <c r="C752" s="21" t="s">
        <v>183</v>
      </c>
      <c r="D752" s="71">
        <f>(43.701+1.6*1.2+1.8*1+3.75*1+5.5*0.75)*(10.764)</f>
        <v>595.20614399999999</v>
      </c>
      <c r="E752" s="21">
        <v>0</v>
      </c>
      <c r="F752" s="21">
        <f>D752*1.6</f>
        <v>952.32983039999999</v>
      </c>
      <c r="G752" s="134" t="str">
        <f>A751</f>
        <v>2nd Floor for Residential</v>
      </c>
      <c r="H752" s="294"/>
      <c r="J752" s="2">
        <f>3*4.87+2.69*0.765+1.84*2.48+2.8*3+1.9*1+0.5*1.5+1.785*1+2.9*2.575+0.5*1.1+3*0.9</f>
        <v>44.783549999999998</v>
      </c>
    </row>
    <row r="753" spans="1:10" s="2" customFormat="1" x14ac:dyDescent="0.25">
      <c r="A753" s="133">
        <f>A752+1</f>
        <v>2</v>
      </c>
      <c r="B753" s="133"/>
      <c r="C753" s="21" t="s">
        <v>183</v>
      </c>
      <c r="D753" s="21">
        <f>(45.91+1.2*3+1*1.8+0.6*1.5+0.75*3.1)*10.764</f>
        <v>587.01473999999996</v>
      </c>
      <c r="E753" s="21">
        <v>0</v>
      </c>
      <c r="F753" s="21">
        <f t="shared" ref="F753:F762" si="31">D753*1.6</f>
        <v>939.22358399999996</v>
      </c>
      <c r="G753" s="136"/>
      <c r="H753" s="296"/>
    </row>
    <row r="754" spans="1:10" s="2" customFormat="1" x14ac:dyDescent="0.25">
      <c r="A754" s="133">
        <f>A753+1</f>
        <v>3</v>
      </c>
      <c r="B754" s="133"/>
      <c r="C754" s="21" t="s">
        <v>168</v>
      </c>
      <c r="D754" s="71">
        <f>(25.651+1.85*1+2.75*1+0.6*2.75+0.75*5)*(10.764)</f>
        <v>383.74736399999995</v>
      </c>
      <c r="E754" s="21">
        <v>0</v>
      </c>
      <c r="F754" s="21">
        <f t="shared" si="31"/>
        <v>613.99578239999994</v>
      </c>
      <c r="G754" s="136"/>
      <c r="H754" s="296"/>
      <c r="J754" s="2">
        <f>2.75*3.8+1.85*2.05+2.75*2.05+1.6*1+1.625*1.2</f>
        <v>23.43</v>
      </c>
    </row>
    <row r="755" spans="1:10" s="2" customFormat="1" x14ac:dyDescent="0.25">
      <c r="A755" s="133">
        <f t="shared" ref="A755:A762" si="32">A754+1</f>
        <v>4</v>
      </c>
      <c r="B755" s="133"/>
      <c r="C755" s="21" t="s">
        <v>168</v>
      </c>
      <c r="D755" s="71">
        <f>(25.69+2.75*1.15+1.85*1+2.75*1)*(10.764)</f>
        <v>360.08270999999996</v>
      </c>
      <c r="E755" s="71">
        <f>(7.7*1.8+2.7*0.2)*(10.764)</f>
        <v>155.00160000000002</v>
      </c>
      <c r="F755" s="21">
        <f t="shared" si="31"/>
        <v>576.13233600000001</v>
      </c>
      <c r="G755" s="136"/>
      <c r="H755" s="296"/>
    </row>
    <row r="756" spans="1:10" s="2" customFormat="1" x14ac:dyDescent="0.25">
      <c r="A756" s="133">
        <f t="shared" si="32"/>
        <v>5</v>
      </c>
      <c r="B756" s="133"/>
      <c r="C756" s="21" t="s">
        <v>168</v>
      </c>
      <c r="D756" s="71">
        <f>(27.92+2.75*1.35+1.85*1.2+2.75*1.2)*(10.764)</f>
        <v>399.90950999999995</v>
      </c>
      <c r="E756" s="71">
        <f>(2.75*2)*(10.764)</f>
        <v>59.201999999999998</v>
      </c>
      <c r="F756" s="21">
        <f t="shared" si="31"/>
        <v>639.85521599999993</v>
      </c>
      <c r="G756" s="136"/>
      <c r="H756" s="296"/>
    </row>
    <row r="757" spans="1:10" s="2" customFormat="1" x14ac:dyDescent="0.25">
      <c r="A757" s="133">
        <f t="shared" si="32"/>
        <v>6</v>
      </c>
      <c r="B757" s="133"/>
      <c r="C757" s="21" t="s">
        <v>183</v>
      </c>
      <c r="D757" s="71">
        <f>(43.702+1.6*1.2+1.84*1+2.75*1+0.6*5.5)*(10.764)</f>
        <v>576.00316799999996</v>
      </c>
      <c r="E757" s="71">
        <f>(1.6*1.5)*(10.764)</f>
        <v>25.833600000000001</v>
      </c>
      <c r="F757" s="21">
        <f t="shared" si="31"/>
        <v>921.60506880000003</v>
      </c>
      <c r="G757" s="136"/>
      <c r="H757" s="137"/>
    </row>
    <row r="758" spans="1:10" s="2" customFormat="1" x14ac:dyDescent="0.25">
      <c r="A758" s="133">
        <f t="shared" si="32"/>
        <v>7</v>
      </c>
      <c r="B758" s="133"/>
      <c r="C758" s="21" t="s">
        <v>183</v>
      </c>
      <c r="D758" s="71">
        <f>(43.702+1.6*1.2+1.84*1+2.75*1+0.6*5.5)*(10.764)</f>
        <v>576.00316799999996</v>
      </c>
      <c r="E758" s="71">
        <f>(1.6*1.5)*(10.764)</f>
        <v>25.833600000000001</v>
      </c>
      <c r="F758" s="21">
        <f t="shared" si="31"/>
        <v>921.60506880000003</v>
      </c>
      <c r="G758" s="136"/>
      <c r="H758" s="137"/>
    </row>
    <row r="759" spans="1:10" s="2" customFormat="1" x14ac:dyDescent="0.25">
      <c r="A759" s="133">
        <f t="shared" si="32"/>
        <v>8</v>
      </c>
      <c r="B759" s="133"/>
      <c r="C759" s="21" t="s">
        <v>168</v>
      </c>
      <c r="D759" s="71">
        <f>(26.814+1.2*(1.85+2.75)+0.6*4.8)*(10.764)</f>
        <v>379.04349600000006</v>
      </c>
      <c r="E759" s="21">
        <v>0</v>
      </c>
      <c r="F759" s="21">
        <f t="shared" si="31"/>
        <v>606.46959360000017</v>
      </c>
      <c r="G759" s="136"/>
      <c r="H759" s="137"/>
    </row>
    <row r="760" spans="1:10" s="2" customFormat="1" x14ac:dyDescent="0.25">
      <c r="A760" s="133">
        <f t="shared" si="32"/>
        <v>9</v>
      </c>
      <c r="B760" s="133"/>
      <c r="C760" s="21" t="s">
        <v>168</v>
      </c>
      <c r="D760" s="71">
        <f>(25.651+1.85*1+2.75*1+0.6*2.75+0.75*5)*(10.764)</f>
        <v>383.74736399999995</v>
      </c>
      <c r="E760" s="21">
        <v>0</v>
      </c>
      <c r="F760" s="21">
        <f t="shared" si="31"/>
        <v>613.99578239999994</v>
      </c>
      <c r="G760" s="136"/>
      <c r="H760" s="137"/>
    </row>
    <row r="761" spans="1:10" s="2" customFormat="1" x14ac:dyDescent="0.25">
      <c r="A761" s="133">
        <f t="shared" si="32"/>
        <v>10</v>
      </c>
      <c r="B761" s="133"/>
      <c r="C761" s="21" t="s">
        <v>183</v>
      </c>
      <c r="D761" s="21">
        <f>(45.91+1.2*3+1*1.8+0.6*1.5+0.75*3.1)*10.764</f>
        <v>587.01473999999996</v>
      </c>
      <c r="E761" s="21">
        <v>0</v>
      </c>
      <c r="F761" s="21">
        <f t="shared" si="31"/>
        <v>939.22358399999996</v>
      </c>
      <c r="G761" s="136"/>
      <c r="H761" s="137"/>
    </row>
    <row r="762" spans="1:10" s="2" customFormat="1" x14ac:dyDescent="0.25">
      <c r="A762" s="133">
        <f t="shared" si="32"/>
        <v>11</v>
      </c>
      <c r="B762" s="133"/>
      <c r="C762" s="21" t="s">
        <v>183</v>
      </c>
      <c r="D762" s="71">
        <f>(43.701+1.6*1.2+1.8*1+3.75*1+5.5*0.75)*(10.764)</f>
        <v>595.20614399999999</v>
      </c>
      <c r="E762" s="21">
        <v>0</v>
      </c>
      <c r="F762" s="21">
        <f t="shared" si="31"/>
        <v>952.32983039999999</v>
      </c>
      <c r="G762" s="136"/>
      <c r="H762" s="137"/>
    </row>
    <row r="763" spans="1:10" s="2" customFormat="1" ht="15.75" customHeight="1" x14ac:dyDescent="0.25">
      <c r="A763" s="195" t="s">
        <v>303</v>
      </c>
      <c r="B763" s="195"/>
      <c r="C763" s="195"/>
      <c r="D763" s="195"/>
      <c r="E763" s="195"/>
      <c r="F763" s="195"/>
      <c r="G763" s="195"/>
      <c r="H763" s="195"/>
      <c r="J763" s="72"/>
    </row>
    <row r="764" spans="1:10" s="2" customFormat="1" ht="15.75" customHeight="1" x14ac:dyDescent="0.25">
      <c r="A764" s="133">
        <v>1</v>
      </c>
      <c r="B764" s="133"/>
      <c r="C764" s="21" t="s">
        <v>183</v>
      </c>
      <c r="D764" s="71">
        <f>(43.701+1.6*1.2+1.8*1+3.75*1+5.5*0.75)*(10.764)</f>
        <v>595.20614399999999</v>
      </c>
      <c r="E764" s="21">
        <v>0</v>
      </c>
      <c r="F764" s="21">
        <f>D764*1.6</f>
        <v>952.32983039999999</v>
      </c>
      <c r="G764" s="133" t="str">
        <f>A763</f>
        <v>3rd to 7th, 9th to 12th, 14th to 17th, 19th to 23rd Floor</v>
      </c>
      <c r="H764" s="133"/>
    </row>
    <row r="765" spans="1:10" s="2" customFormat="1" x14ac:dyDescent="0.25">
      <c r="A765" s="133">
        <f>A764+1</f>
        <v>2</v>
      </c>
      <c r="B765" s="133"/>
      <c r="C765" s="21" t="s">
        <v>183</v>
      </c>
      <c r="D765" s="21">
        <f>(45.91+1.2*3+1*1.8+0.6*1.5+0.75*3.1)*10.764</f>
        <v>587.01473999999996</v>
      </c>
      <c r="E765" s="21">
        <v>0</v>
      </c>
      <c r="F765" s="21">
        <f t="shared" ref="F765:F774" si="33">D765*1.6</f>
        <v>939.22358399999996</v>
      </c>
      <c r="G765" s="133"/>
      <c r="H765" s="133"/>
    </row>
    <row r="766" spans="1:10" s="2" customFormat="1" x14ac:dyDescent="0.25">
      <c r="A766" s="133">
        <f>A765+1</f>
        <v>3</v>
      </c>
      <c r="B766" s="133"/>
      <c r="C766" s="21" t="s">
        <v>168</v>
      </c>
      <c r="D766" s="71">
        <f>(25.651+1.85*1+2.75*1+0.6*2.75+0.75*5)*(10.764)</f>
        <v>383.74736399999995</v>
      </c>
      <c r="E766" s="21">
        <v>0</v>
      </c>
      <c r="F766" s="21">
        <f t="shared" si="33"/>
        <v>613.99578239999994</v>
      </c>
      <c r="G766" s="133"/>
      <c r="H766" s="133"/>
    </row>
    <row r="767" spans="1:10" s="2" customFormat="1" x14ac:dyDescent="0.25">
      <c r="A767" s="133">
        <f t="shared" ref="A767:A774" si="34">A766+1</f>
        <v>4</v>
      </c>
      <c r="B767" s="133"/>
      <c r="C767" s="21" t="s">
        <v>168</v>
      </c>
      <c r="D767" s="71">
        <f>(25.69+2.75*1.15+1.85*1+2.75*1)*(10.764)</f>
        <v>360.08270999999996</v>
      </c>
      <c r="E767" s="71">
        <v>0</v>
      </c>
      <c r="F767" s="21">
        <f t="shared" si="33"/>
        <v>576.13233600000001</v>
      </c>
      <c r="G767" s="133"/>
      <c r="H767" s="133"/>
    </row>
    <row r="768" spans="1:10" s="2" customFormat="1" x14ac:dyDescent="0.25">
      <c r="A768" s="133">
        <f t="shared" si="34"/>
        <v>5</v>
      </c>
      <c r="B768" s="133"/>
      <c r="C768" s="21" t="s">
        <v>168</v>
      </c>
      <c r="D768" s="71">
        <f>(27.92+2.75*1.35+1.85*1.2+2.75*1.2+0.6*4.8)*(10.764)</f>
        <v>430.90982999999994</v>
      </c>
      <c r="E768" s="71">
        <v>0</v>
      </c>
      <c r="F768" s="21">
        <f t="shared" si="33"/>
        <v>689.45572799999991</v>
      </c>
      <c r="G768" s="133"/>
      <c r="H768" s="133"/>
    </row>
    <row r="769" spans="1:10" s="2" customFormat="1" x14ac:dyDescent="0.25">
      <c r="A769" s="133">
        <f t="shared" si="34"/>
        <v>6</v>
      </c>
      <c r="B769" s="133"/>
      <c r="C769" s="21" t="s">
        <v>183</v>
      </c>
      <c r="D769" s="71">
        <f>(43.702+1.6*1.2+1.84*1+2.75*1+0.6*5.5)*(10.764)</f>
        <v>576.00316799999996</v>
      </c>
      <c r="E769" s="71">
        <v>0</v>
      </c>
      <c r="F769" s="21">
        <f t="shared" si="33"/>
        <v>921.60506880000003</v>
      </c>
      <c r="G769" s="133"/>
      <c r="H769" s="133"/>
    </row>
    <row r="770" spans="1:10" s="2" customFormat="1" x14ac:dyDescent="0.25">
      <c r="A770" s="133">
        <f t="shared" si="34"/>
        <v>7</v>
      </c>
      <c r="B770" s="133"/>
      <c r="C770" s="21" t="s">
        <v>183</v>
      </c>
      <c r="D770" s="71">
        <f>(43.702+1.6*1.2+1.84*1+2.75*1+0.6*5.5)*(10.764)</f>
        <v>576.00316799999996</v>
      </c>
      <c r="E770" s="71">
        <v>0</v>
      </c>
      <c r="F770" s="21">
        <f t="shared" si="33"/>
        <v>921.60506880000003</v>
      </c>
      <c r="G770" s="133"/>
      <c r="H770" s="133"/>
    </row>
    <row r="771" spans="1:10" s="2" customFormat="1" x14ac:dyDescent="0.25">
      <c r="A771" s="133">
        <f t="shared" si="34"/>
        <v>8</v>
      </c>
      <c r="B771" s="133"/>
      <c r="C771" s="21" t="s">
        <v>168</v>
      </c>
      <c r="D771" s="71">
        <f>(26.814+1.2*(1.85+2.75)+0.6*4.8)*(10.764)</f>
        <v>379.04349600000006</v>
      </c>
      <c r="E771" s="21">
        <v>0</v>
      </c>
      <c r="F771" s="21">
        <f t="shared" si="33"/>
        <v>606.46959360000017</v>
      </c>
      <c r="G771" s="133"/>
      <c r="H771" s="133"/>
    </row>
    <row r="772" spans="1:10" s="2" customFormat="1" x14ac:dyDescent="0.25">
      <c r="A772" s="133">
        <f t="shared" si="34"/>
        <v>9</v>
      </c>
      <c r="B772" s="133"/>
      <c r="C772" s="21" t="s">
        <v>168</v>
      </c>
      <c r="D772" s="71">
        <f>(25.651+1.85*1+2.75*1+0.6*2.75+0.75*5)*(10.764)</f>
        <v>383.74736399999995</v>
      </c>
      <c r="E772" s="21">
        <v>0</v>
      </c>
      <c r="F772" s="21">
        <f t="shared" si="33"/>
        <v>613.99578239999994</v>
      </c>
      <c r="G772" s="133"/>
      <c r="H772" s="133"/>
    </row>
    <row r="773" spans="1:10" s="2" customFormat="1" x14ac:dyDescent="0.25">
      <c r="A773" s="133">
        <f t="shared" si="34"/>
        <v>10</v>
      </c>
      <c r="B773" s="133"/>
      <c r="C773" s="21" t="s">
        <v>183</v>
      </c>
      <c r="D773" s="21">
        <f>(45.91+1.2*3+1*1.8+0.6*1.5+0.75*3.1)*10.764</f>
        <v>587.01473999999996</v>
      </c>
      <c r="E773" s="21">
        <v>0</v>
      </c>
      <c r="F773" s="21">
        <f t="shared" si="33"/>
        <v>939.22358399999996</v>
      </c>
      <c r="G773" s="133"/>
      <c r="H773" s="133"/>
    </row>
    <row r="774" spans="1:10" s="2" customFormat="1" x14ac:dyDescent="0.25">
      <c r="A774" s="133">
        <f t="shared" si="34"/>
        <v>11</v>
      </c>
      <c r="B774" s="133"/>
      <c r="C774" s="21" t="s">
        <v>183</v>
      </c>
      <c r="D774" s="71">
        <f>(43.701+1.6*1.2+1.8*1+3.75*1+5.5*0.75)*(10.764)</f>
        <v>595.20614399999999</v>
      </c>
      <c r="E774" s="21">
        <v>0</v>
      </c>
      <c r="F774" s="21">
        <f t="shared" si="33"/>
        <v>952.32983039999999</v>
      </c>
      <c r="G774" s="133"/>
      <c r="H774" s="133"/>
    </row>
    <row r="775" spans="1:10" s="2" customFormat="1" ht="15.75" customHeight="1" x14ac:dyDescent="0.25">
      <c r="A775" s="144" t="s">
        <v>310</v>
      </c>
      <c r="B775" s="145"/>
      <c r="C775" s="145"/>
      <c r="D775" s="145"/>
      <c r="E775" s="145"/>
      <c r="F775" s="145"/>
      <c r="G775" s="145"/>
      <c r="H775" s="145"/>
      <c r="J775" s="72"/>
    </row>
    <row r="776" spans="1:10" s="2" customFormat="1" ht="15.75" customHeight="1" x14ac:dyDescent="0.25">
      <c r="A776" s="133">
        <v>1</v>
      </c>
      <c r="B776" s="133"/>
      <c r="C776" s="21" t="s">
        <v>183</v>
      </c>
      <c r="D776" s="71">
        <f>(43.701+1.6*1.2+1.8*1+3.75*1+5.5*0.75)*(10.764)</f>
        <v>595.20614399999999</v>
      </c>
      <c r="E776" s="21">
        <v>0</v>
      </c>
      <c r="F776" s="21">
        <f>D776*1.6</f>
        <v>952.32983039999999</v>
      </c>
      <c r="G776" s="134" t="str">
        <f>A775</f>
        <v>8th, 13th &amp; 18th Floor (Part Refuge Area)</v>
      </c>
      <c r="H776" s="294"/>
    </row>
    <row r="777" spans="1:10" s="2" customFormat="1" x14ac:dyDescent="0.25">
      <c r="A777" s="133">
        <f>A776+1</f>
        <v>2</v>
      </c>
      <c r="B777" s="133"/>
      <c r="C777" s="21" t="s">
        <v>183</v>
      </c>
      <c r="D777" s="21">
        <f>(45.91+1.2*3+1*1.8+0.6*1.5+0.75*3.1)*10.764</f>
        <v>587.01473999999996</v>
      </c>
      <c r="E777" s="21">
        <v>0</v>
      </c>
      <c r="F777" s="21">
        <f t="shared" ref="F777:F786" si="35">D777*1.6</f>
        <v>939.22358399999996</v>
      </c>
      <c r="G777" s="136"/>
      <c r="H777" s="296"/>
    </row>
    <row r="778" spans="1:10" s="2" customFormat="1" x14ac:dyDescent="0.25">
      <c r="A778" s="133">
        <f>A777+1</f>
        <v>3</v>
      </c>
      <c r="B778" s="133"/>
      <c r="C778" s="21" t="s">
        <v>168</v>
      </c>
      <c r="D778" s="71">
        <f>(25.651+1.85*1+2.75*1+0.6*2.75+0.75*5)*(10.764)</f>
        <v>383.74736399999995</v>
      </c>
      <c r="E778" s="21">
        <v>0</v>
      </c>
      <c r="F778" s="21">
        <f t="shared" si="35"/>
        <v>613.99578239999994</v>
      </c>
      <c r="G778" s="136"/>
      <c r="H778" s="296"/>
    </row>
    <row r="779" spans="1:10" s="2" customFormat="1" x14ac:dyDescent="0.25">
      <c r="A779" s="133">
        <f t="shared" ref="A779:A786" si="36">A778+1</f>
        <v>4</v>
      </c>
      <c r="B779" s="133"/>
      <c r="C779" s="21" t="s">
        <v>168</v>
      </c>
      <c r="D779" s="71">
        <f>(25.69+2.75*1.15+1.85*1+2.75*1)*(10.764)</f>
        <v>360.08270999999996</v>
      </c>
      <c r="E779" s="71">
        <v>0</v>
      </c>
      <c r="F779" s="21">
        <f t="shared" si="35"/>
        <v>576.13233600000001</v>
      </c>
      <c r="G779" s="136"/>
      <c r="H779" s="296"/>
    </row>
    <row r="780" spans="1:10" s="2" customFormat="1" x14ac:dyDescent="0.25">
      <c r="A780" s="133">
        <f t="shared" si="36"/>
        <v>5</v>
      </c>
      <c r="B780" s="133"/>
      <c r="C780" s="21" t="s">
        <v>168</v>
      </c>
      <c r="D780" s="71">
        <f>(27.92+2.75*1.35+1.85*1.2+2.75*1.2+0.6*4.8)*(10.764)</f>
        <v>430.90982999999994</v>
      </c>
      <c r="E780" s="71">
        <v>0</v>
      </c>
      <c r="F780" s="21">
        <f t="shared" si="35"/>
        <v>689.45572799999991</v>
      </c>
      <c r="G780" s="136"/>
      <c r="H780" s="296"/>
    </row>
    <row r="781" spans="1:10" s="2" customFormat="1" x14ac:dyDescent="0.25">
      <c r="A781" s="133">
        <f t="shared" si="36"/>
        <v>6</v>
      </c>
      <c r="B781" s="133"/>
      <c r="C781" s="21" t="s">
        <v>183</v>
      </c>
      <c r="D781" s="71">
        <f>(43.702+1.6*1.2+1.84*1+2.75*1+0.6*5.5)*(10.764)</f>
        <v>576.00316799999996</v>
      </c>
      <c r="E781" s="71">
        <v>0</v>
      </c>
      <c r="F781" s="21">
        <f t="shared" si="35"/>
        <v>921.60506880000003</v>
      </c>
      <c r="G781" s="136"/>
      <c r="H781" s="137"/>
    </row>
    <row r="782" spans="1:10" s="2" customFormat="1" x14ac:dyDescent="0.25">
      <c r="A782" s="133" t="s">
        <v>309</v>
      </c>
      <c r="B782" s="133"/>
      <c r="C782" s="140" t="s">
        <v>176</v>
      </c>
      <c r="D782" s="141"/>
      <c r="E782" s="141"/>
      <c r="F782" s="142"/>
      <c r="G782" s="136"/>
      <c r="H782" s="137"/>
    </row>
    <row r="783" spans="1:10" s="2" customFormat="1" x14ac:dyDescent="0.25">
      <c r="A783" s="133">
        <v>7</v>
      </c>
      <c r="B783" s="133"/>
      <c r="C783" s="21" t="s">
        <v>168</v>
      </c>
      <c r="D783" s="71">
        <f>(26.814+1.2*(1.85+2.75)+0.6*4.8)*(10.764)</f>
        <v>379.04349600000006</v>
      </c>
      <c r="E783" s="21">
        <v>0</v>
      </c>
      <c r="F783" s="21">
        <f t="shared" si="35"/>
        <v>606.46959360000017</v>
      </c>
      <c r="G783" s="136"/>
      <c r="H783" s="137"/>
    </row>
    <row r="784" spans="1:10" s="2" customFormat="1" x14ac:dyDescent="0.25">
      <c r="A784" s="133">
        <f t="shared" si="36"/>
        <v>8</v>
      </c>
      <c r="B784" s="133"/>
      <c r="C784" s="21" t="s">
        <v>168</v>
      </c>
      <c r="D784" s="71">
        <f>(25.651+1.85*1+2.75*1+0.6*2.75+0.75*5)*(10.764)</f>
        <v>383.74736399999995</v>
      </c>
      <c r="E784" s="21">
        <v>0</v>
      </c>
      <c r="F784" s="21">
        <f t="shared" si="35"/>
        <v>613.99578239999994</v>
      </c>
      <c r="G784" s="136"/>
      <c r="H784" s="137"/>
    </row>
    <row r="785" spans="1:11" s="2" customFormat="1" x14ac:dyDescent="0.25">
      <c r="A785" s="133">
        <f t="shared" si="36"/>
        <v>9</v>
      </c>
      <c r="B785" s="133"/>
      <c r="C785" s="21" t="s">
        <v>183</v>
      </c>
      <c r="D785" s="21">
        <f>(45.91+1.2*3+1*1.8+0.6*1.5+0.75*3.1)*10.764</f>
        <v>587.01473999999996</v>
      </c>
      <c r="E785" s="21">
        <v>0</v>
      </c>
      <c r="F785" s="21">
        <f t="shared" si="35"/>
        <v>939.22358399999996</v>
      </c>
      <c r="G785" s="136"/>
      <c r="H785" s="137"/>
    </row>
    <row r="786" spans="1:11" s="2" customFormat="1" x14ac:dyDescent="0.25">
      <c r="A786" s="202">
        <f t="shared" si="36"/>
        <v>10</v>
      </c>
      <c r="B786" s="202"/>
      <c r="C786" s="21" t="s">
        <v>183</v>
      </c>
      <c r="D786" s="71">
        <f>(43.701+1.6*1.2+1.8*1+3.75*1+5.5*0.75)*(10.764)</f>
        <v>595.20614399999999</v>
      </c>
      <c r="E786" s="21">
        <v>0</v>
      </c>
      <c r="F786" s="21">
        <f t="shared" si="35"/>
        <v>952.32983039999999</v>
      </c>
      <c r="G786" s="136"/>
      <c r="H786" s="137"/>
    </row>
    <row r="787" spans="1:11" s="2" customFormat="1" x14ac:dyDescent="0.25">
      <c r="A787" s="144" t="s">
        <v>336</v>
      </c>
      <c r="B787" s="145"/>
      <c r="C787" s="145"/>
      <c r="D787" s="145"/>
      <c r="E787" s="145"/>
      <c r="F787" s="145"/>
      <c r="G787" s="145"/>
      <c r="H787" s="146"/>
      <c r="J787" s="71">
        <f>10.764</f>
        <v>10.763999999999999</v>
      </c>
    </row>
    <row r="788" spans="1:11" s="2" customFormat="1" ht="15.75" customHeight="1" x14ac:dyDescent="0.25">
      <c r="A788" s="144" t="s">
        <v>298</v>
      </c>
      <c r="B788" s="145"/>
      <c r="C788" s="145"/>
      <c r="D788" s="145"/>
      <c r="E788" s="145"/>
      <c r="F788" s="145"/>
      <c r="G788" s="145"/>
      <c r="H788" s="146"/>
    </row>
    <row r="789" spans="1:11" s="2" customFormat="1" ht="15.6" customHeight="1" x14ac:dyDescent="0.25">
      <c r="A789" s="144" t="s">
        <v>299</v>
      </c>
      <c r="B789" s="145"/>
      <c r="C789" s="145"/>
      <c r="D789" s="145"/>
      <c r="E789" s="145"/>
      <c r="F789" s="145"/>
      <c r="G789" s="145"/>
      <c r="H789" s="146"/>
    </row>
    <row r="790" spans="1:11" s="2" customFormat="1" ht="15.75" customHeight="1" x14ac:dyDescent="0.25">
      <c r="A790" s="133">
        <v>1</v>
      </c>
      <c r="B790" s="133"/>
      <c r="C790" s="21" t="s">
        <v>183</v>
      </c>
      <c r="D790" s="71">
        <f>(45.91+(3*1.2+1.84*1+2.8*1.45))*(10.764)</f>
        <v>596.43323999999996</v>
      </c>
      <c r="E790" s="21">
        <v>0</v>
      </c>
      <c r="F790" s="21">
        <f>D790*1.5+E790/2</f>
        <v>894.64985999999999</v>
      </c>
      <c r="G790" s="134" t="str">
        <f>A789</f>
        <v>1st to 7th, 9th to 12th, 14th to 17th, 19th to 23rd Floor</v>
      </c>
      <c r="H790" s="135"/>
      <c r="I790" s="72">
        <f>(3*4.87+1.84*2.48+2.9*2.575+2.8*2.9+1.785*1+1.9*1+0.6*1.4+0.6*1.2+2.69*0.765+3.2*0.9)</f>
        <v>44.943550000000002</v>
      </c>
      <c r="J790" s="72">
        <f>3*1.2+1.84*1+2.8*1.45</f>
        <v>9.5</v>
      </c>
      <c r="K790" s="72">
        <f>I790+J790</f>
        <v>54.443550000000002</v>
      </c>
    </row>
    <row r="791" spans="1:11" s="2" customFormat="1" x14ac:dyDescent="0.25">
      <c r="A791" s="133">
        <v>2</v>
      </c>
      <c r="B791" s="133"/>
      <c r="C791" s="21" t="s">
        <v>183</v>
      </c>
      <c r="D791" s="71">
        <f>(45.91+(3*1.2+1.84*1+2.8*1.45))*(10.764)</f>
        <v>596.43323999999996</v>
      </c>
      <c r="E791" s="21">
        <v>0</v>
      </c>
      <c r="F791" s="21">
        <f>D791*1.5+E791/2</f>
        <v>894.64985999999999</v>
      </c>
      <c r="G791" s="136"/>
      <c r="H791" s="137"/>
    </row>
    <row r="792" spans="1:11" s="2" customFormat="1" x14ac:dyDescent="0.25">
      <c r="A792" s="133">
        <v>3</v>
      </c>
      <c r="B792" s="133"/>
      <c r="C792" s="21" t="s">
        <v>168</v>
      </c>
      <c r="D792" s="71">
        <f>(25.69+(2.75*1.15+1.85*1+2.75*1))*(10.764)</f>
        <v>360.08270999999996</v>
      </c>
      <c r="E792" s="21">
        <v>0</v>
      </c>
      <c r="F792" s="21">
        <f>D792*1.5+E792</f>
        <v>540.12406499999997</v>
      </c>
      <c r="G792" s="136"/>
      <c r="H792" s="137"/>
      <c r="I792" s="72">
        <f>(2.75*3.7+1.85*2.05+2.75*2.05+1.825*1.2+1.6*1)</f>
        <v>23.395000000000003</v>
      </c>
      <c r="J792" s="72">
        <f>2.75*1.15+1.85*1+2.75*1</f>
        <v>7.7624999999999993</v>
      </c>
      <c r="K792" s="72">
        <f>I792+J792</f>
        <v>31.157500000000002</v>
      </c>
    </row>
    <row r="793" spans="1:11" s="2" customFormat="1" x14ac:dyDescent="0.25">
      <c r="A793" s="133">
        <v>4</v>
      </c>
      <c r="B793" s="133"/>
      <c r="C793" s="21" t="s">
        <v>168</v>
      </c>
      <c r="D793" s="71">
        <f>(25.69+(2.75*1.15+1.85*1+2.75*1))*(10.764)</f>
        <v>360.08270999999996</v>
      </c>
      <c r="E793" s="21">
        <v>0</v>
      </c>
      <c r="F793" s="21">
        <f>D793*1.5+E793/2</f>
        <v>540.12406499999997</v>
      </c>
      <c r="G793" s="136"/>
      <c r="H793" s="137"/>
    </row>
    <row r="794" spans="1:11" s="2" customFormat="1" x14ac:dyDescent="0.25">
      <c r="A794" s="133">
        <v>5</v>
      </c>
      <c r="B794" s="133"/>
      <c r="C794" s="21" t="s">
        <v>168</v>
      </c>
      <c r="D794" s="71">
        <f>(29.92+(2.75*1.35+1.85*1.2+2.75*1.2))*(10.764)</f>
        <v>421.43751000000003</v>
      </c>
      <c r="E794" s="21">
        <v>0</v>
      </c>
      <c r="F794" s="21">
        <f>D794*1.5+E794</f>
        <v>632.15626500000008</v>
      </c>
      <c r="G794" s="136"/>
      <c r="H794" s="137"/>
    </row>
    <row r="795" spans="1:11" s="2" customFormat="1" x14ac:dyDescent="0.25">
      <c r="A795" s="133">
        <v>6</v>
      </c>
      <c r="B795" s="133"/>
      <c r="C795" s="21" t="s">
        <v>168</v>
      </c>
      <c r="D795" s="71">
        <f>(29.92+(2.75*1.35+1.85*1.2+2.75*1.2))*(10.764)</f>
        <v>421.43751000000003</v>
      </c>
      <c r="E795" s="21">
        <v>0</v>
      </c>
      <c r="F795" s="21">
        <f>D795*1.5+E795</f>
        <v>632.15626500000008</v>
      </c>
      <c r="G795" s="136"/>
      <c r="H795" s="137"/>
    </row>
    <row r="796" spans="1:11" s="2" customFormat="1" x14ac:dyDescent="0.25">
      <c r="A796" s="133">
        <v>7</v>
      </c>
      <c r="B796" s="133"/>
      <c r="C796" s="21" t="s">
        <v>168</v>
      </c>
      <c r="D796" s="71">
        <f>(25.69+(2.75*1.15+1.85*1+2.75*1))*(10.764)</f>
        <v>360.08270999999996</v>
      </c>
      <c r="E796" s="21">
        <v>0</v>
      </c>
      <c r="F796" s="21">
        <f>D796*1.5+E796/2</f>
        <v>540.12406499999997</v>
      </c>
      <c r="G796" s="136"/>
      <c r="H796" s="137"/>
    </row>
    <row r="797" spans="1:11" s="2" customFormat="1" x14ac:dyDescent="0.25">
      <c r="A797" s="133">
        <v>8</v>
      </c>
      <c r="B797" s="133"/>
      <c r="C797" s="21" t="s">
        <v>168</v>
      </c>
      <c r="D797" s="71">
        <f>(25.69+(2.75*1.15+1.85*1+2.75*1))*(10.764)</f>
        <v>360.08270999999996</v>
      </c>
      <c r="E797" s="21">
        <v>0</v>
      </c>
      <c r="F797" s="21">
        <f>D797*1.5+E797</f>
        <v>540.12406499999997</v>
      </c>
      <c r="G797" s="138"/>
      <c r="H797" s="139"/>
    </row>
    <row r="798" spans="1:11" s="2" customFormat="1" ht="15.6" customHeight="1" x14ac:dyDescent="0.25">
      <c r="A798" s="144" t="s">
        <v>295</v>
      </c>
      <c r="B798" s="145"/>
      <c r="C798" s="145"/>
      <c r="D798" s="145"/>
      <c r="E798" s="145"/>
      <c r="F798" s="145"/>
      <c r="G798" s="145"/>
      <c r="H798" s="146"/>
    </row>
    <row r="799" spans="1:11" s="2" customFormat="1" ht="15.75" customHeight="1" x14ac:dyDescent="0.25">
      <c r="A799" s="133">
        <v>1</v>
      </c>
      <c r="B799" s="133"/>
      <c r="C799" s="21" t="s">
        <v>183</v>
      </c>
      <c r="D799" s="71">
        <f>(45.91+(3*1.2+1.84*1+2.8*1.45))*(10.764)</f>
        <v>596.43323999999996</v>
      </c>
      <c r="E799" s="21">
        <v>0</v>
      </c>
      <c r="F799" s="21">
        <f>D799*1.5+E799/2</f>
        <v>894.64985999999999</v>
      </c>
      <c r="G799" s="134" t="str">
        <f>A798</f>
        <v xml:space="preserve"> 8th, 13th &amp; 18th Floor (Part Refuge Area)</v>
      </c>
      <c r="H799" s="135"/>
    </row>
    <row r="800" spans="1:11" s="2" customFormat="1" x14ac:dyDescent="0.25">
      <c r="A800" s="133">
        <v>2</v>
      </c>
      <c r="B800" s="133"/>
      <c r="C800" s="21" t="s">
        <v>183</v>
      </c>
      <c r="D800" s="71">
        <f>(45.91+(3*1.2+1.84*1+2.8*1.45))*(10.764)</f>
        <v>596.43323999999996</v>
      </c>
      <c r="E800" s="21">
        <v>0</v>
      </c>
      <c r="F800" s="21">
        <f>D800*1.5+E800/2</f>
        <v>894.64985999999999</v>
      </c>
      <c r="G800" s="136"/>
      <c r="H800" s="137"/>
    </row>
    <row r="801" spans="1:11" s="2" customFormat="1" ht="16.5" customHeight="1" x14ac:dyDescent="0.25">
      <c r="A801" s="133">
        <v>3</v>
      </c>
      <c r="B801" s="133"/>
      <c r="C801" s="140" t="s">
        <v>176</v>
      </c>
      <c r="D801" s="141"/>
      <c r="E801" s="141"/>
      <c r="F801" s="142"/>
      <c r="G801" s="136"/>
      <c r="H801" s="137"/>
    </row>
    <row r="802" spans="1:11" s="2" customFormat="1" x14ac:dyDescent="0.25">
      <c r="A802" s="133">
        <v>4</v>
      </c>
      <c r="B802" s="133"/>
      <c r="C802" s="21" t="s">
        <v>168</v>
      </c>
      <c r="D802" s="71">
        <f>(25.69+(2.75*1.15+1.85*1+2.75*1))*(10.764)</f>
        <v>360.08270999999996</v>
      </c>
      <c r="E802" s="21">
        <v>0</v>
      </c>
      <c r="F802" s="21">
        <f>D802*1.5+E802/2</f>
        <v>540.12406499999997</v>
      </c>
      <c r="G802" s="136"/>
      <c r="H802" s="137"/>
    </row>
    <row r="803" spans="1:11" s="2" customFormat="1" x14ac:dyDescent="0.25">
      <c r="A803" s="133">
        <v>5</v>
      </c>
      <c r="B803" s="133"/>
      <c r="C803" s="21" t="s">
        <v>168</v>
      </c>
      <c r="D803" s="71">
        <f>(29.92+(2.75*1.35+1.85*1.2+2.75*1.2))*(10.764)</f>
        <v>421.43751000000003</v>
      </c>
      <c r="E803" s="21">
        <v>0</v>
      </c>
      <c r="F803" s="21">
        <f>D803*1.5+E803</f>
        <v>632.15626500000008</v>
      </c>
      <c r="G803" s="136"/>
      <c r="H803" s="137"/>
    </row>
    <row r="804" spans="1:11" s="2" customFormat="1" x14ac:dyDescent="0.25">
      <c r="A804" s="133">
        <v>6</v>
      </c>
      <c r="B804" s="133"/>
      <c r="C804" s="21" t="s">
        <v>168</v>
      </c>
      <c r="D804" s="71">
        <f>(29.92+(2.75*1.35+1.85*1.2+2.75*1.2))*(10.764)</f>
        <v>421.43751000000003</v>
      </c>
      <c r="E804" s="21">
        <v>0</v>
      </c>
      <c r="F804" s="21">
        <f>D804*1.5+E804</f>
        <v>632.15626500000008</v>
      </c>
      <c r="G804" s="136"/>
      <c r="H804" s="137"/>
    </row>
    <row r="805" spans="1:11" s="2" customFormat="1" x14ac:dyDescent="0.25">
      <c r="A805" s="133">
        <v>7</v>
      </c>
      <c r="B805" s="133"/>
      <c r="C805" s="21" t="s">
        <v>168</v>
      </c>
      <c r="D805" s="71">
        <f>(25.69+(2.75*1.15+1.85*1+2.75*1))*(10.764)</f>
        <v>360.08270999999996</v>
      </c>
      <c r="E805" s="21">
        <v>0</v>
      </c>
      <c r="F805" s="21">
        <f>D805*1.5+E805/2</f>
        <v>540.12406499999997</v>
      </c>
      <c r="G805" s="136"/>
      <c r="H805" s="137"/>
    </row>
    <row r="806" spans="1:11" s="2" customFormat="1" x14ac:dyDescent="0.25">
      <c r="A806" s="133">
        <v>8</v>
      </c>
      <c r="B806" s="133"/>
      <c r="C806" s="21" t="s">
        <v>168</v>
      </c>
      <c r="D806" s="71">
        <f>(25.69+(2.75*1.15+1.85*1+2.75*1))*(10.764)</f>
        <v>360.08270999999996</v>
      </c>
      <c r="E806" s="21">
        <v>0</v>
      </c>
      <c r="F806" s="21">
        <f>D806*1.5+E806</f>
        <v>540.12406499999997</v>
      </c>
      <c r="G806" s="138"/>
      <c r="H806" s="139"/>
    </row>
    <row r="807" spans="1:11" s="2" customFormat="1" x14ac:dyDescent="0.25">
      <c r="A807" s="144" t="s">
        <v>335</v>
      </c>
      <c r="B807" s="145"/>
      <c r="C807" s="145"/>
      <c r="D807" s="145"/>
      <c r="E807" s="145"/>
      <c r="F807" s="145"/>
      <c r="G807" s="145"/>
      <c r="H807" s="146"/>
      <c r="J807" s="71">
        <f>10.764</f>
        <v>10.763999999999999</v>
      </c>
    </row>
    <row r="808" spans="1:11" s="2" customFormat="1" ht="15.75" customHeight="1" x14ac:dyDescent="0.25">
      <c r="A808" s="144" t="s">
        <v>298</v>
      </c>
      <c r="B808" s="145"/>
      <c r="C808" s="145"/>
      <c r="D808" s="145"/>
      <c r="E808" s="145"/>
      <c r="F808" s="145"/>
      <c r="G808" s="145"/>
      <c r="H808" s="146"/>
    </row>
    <row r="809" spans="1:11" s="2" customFormat="1" ht="15.6" customHeight="1" x14ac:dyDescent="0.25">
      <c r="A809" s="195" t="s">
        <v>299</v>
      </c>
      <c r="B809" s="195"/>
      <c r="C809" s="195"/>
      <c r="D809" s="195"/>
      <c r="E809" s="195"/>
      <c r="F809" s="195"/>
      <c r="G809" s="195"/>
      <c r="H809" s="195"/>
    </row>
    <row r="810" spans="1:11" s="2" customFormat="1" ht="15.75" customHeight="1" x14ac:dyDescent="0.25">
      <c r="A810" s="133">
        <v>1</v>
      </c>
      <c r="B810" s="133"/>
      <c r="C810" s="21" t="s">
        <v>183</v>
      </c>
      <c r="D810" s="71">
        <f>(45.91+(3*1.2+1.84*1+2.8*1.45))*(10.764)</f>
        <v>596.43323999999996</v>
      </c>
      <c r="E810" s="21">
        <v>0</v>
      </c>
      <c r="F810" s="21">
        <f>D810*1.5+E810/2</f>
        <v>894.64985999999999</v>
      </c>
      <c r="G810" s="133" t="str">
        <f>A809</f>
        <v>1st to 7th, 9th to 12th, 14th to 17th, 19th to 23rd Floor</v>
      </c>
      <c r="H810" s="133"/>
      <c r="I810" s="72">
        <f>(3*4.87+1.84*2.48+2.9*2.575+2.8*2.9+1.785*1+1.9*1+0.6*1.4+0.6*1.2+2.69*0.765+3.2*0.9)</f>
        <v>44.943550000000002</v>
      </c>
      <c r="J810" s="72">
        <f>3*1.2+1.84*1+2.8*1.45</f>
        <v>9.5</v>
      </c>
      <c r="K810" s="72">
        <f>I810+J810</f>
        <v>54.443550000000002</v>
      </c>
    </row>
    <row r="811" spans="1:11" s="2" customFormat="1" x14ac:dyDescent="0.25">
      <c r="A811" s="133">
        <v>2</v>
      </c>
      <c r="B811" s="133"/>
      <c r="C811" s="21" t="s">
        <v>183</v>
      </c>
      <c r="D811" s="71">
        <f>(45.91+(3*1.2+1.84*1+2.8*1.45))*(10.764)</f>
        <v>596.43323999999996</v>
      </c>
      <c r="E811" s="21">
        <v>0</v>
      </c>
      <c r="F811" s="21">
        <f>D811*1.5+E811/2</f>
        <v>894.64985999999999</v>
      </c>
      <c r="G811" s="133"/>
      <c r="H811" s="133"/>
    </row>
    <row r="812" spans="1:11" s="2" customFormat="1" x14ac:dyDescent="0.25">
      <c r="A812" s="133">
        <v>3</v>
      </c>
      <c r="B812" s="133"/>
      <c r="C812" s="21" t="s">
        <v>168</v>
      </c>
      <c r="D812" s="71">
        <f>(25.69+(2.75*1.15+1.85*1+2.75*1))*(10.764)</f>
        <v>360.08270999999996</v>
      </c>
      <c r="E812" s="21">
        <v>0</v>
      </c>
      <c r="F812" s="21">
        <f>D812*1.5+E812</f>
        <v>540.12406499999997</v>
      </c>
      <c r="G812" s="133"/>
      <c r="H812" s="133"/>
      <c r="I812" s="72">
        <f>(2.75*3.7+1.85*2.05+2.75*2.05+1.825*1.2+1.6*1)</f>
        <v>23.395000000000003</v>
      </c>
      <c r="J812" s="72">
        <f>2.75*1.15+1.85*1+2.75*1</f>
        <v>7.7624999999999993</v>
      </c>
      <c r="K812" s="72">
        <f>I812+J812</f>
        <v>31.157500000000002</v>
      </c>
    </row>
    <row r="813" spans="1:11" s="2" customFormat="1" x14ac:dyDescent="0.25">
      <c r="A813" s="133">
        <v>4</v>
      </c>
      <c r="B813" s="133"/>
      <c r="C813" s="21" t="s">
        <v>168</v>
      </c>
      <c r="D813" s="71">
        <f>(25.69+(2.75*1.15+1.85*1+2.75*1))*(10.764)</f>
        <v>360.08270999999996</v>
      </c>
      <c r="E813" s="21">
        <v>0</v>
      </c>
      <c r="F813" s="21">
        <f>D813*1.5+E813/2</f>
        <v>540.12406499999997</v>
      </c>
      <c r="G813" s="133"/>
      <c r="H813" s="133"/>
    </row>
    <row r="814" spans="1:11" s="2" customFormat="1" x14ac:dyDescent="0.25">
      <c r="A814" s="133">
        <v>5</v>
      </c>
      <c r="B814" s="133"/>
      <c r="C814" s="21" t="s">
        <v>168</v>
      </c>
      <c r="D814" s="71">
        <f>(29.92+(2.75*1.35+1.85*1.2+2.75*1.2))*(10.764)</f>
        <v>421.43751000000003</v>
      </c>
      <c r="E814" s="21">
        <v>0</v>
      </c>
      <c r="F814" s="21">
        <f>D814*1.5+E814</f>
        <v>632.15626500000008</v>
      </c>
      <c r="G814" s="133"/>
      <c r="H814" s="133"/>
    </row>
    <row r="815" spans="1:11" s="2" customFormat="1" x14ac:dyDescent="0.25">
      <c r="A815" s="133">
        <v>6</v>
      </c>
      <c r="B815" s="133"/>
      <c r="C815" s="21" t="s">
        <v>168</v>
      </c>
      <c r="D815" s="71">
        <f>(29.92+(2.75*1.35+1.85*1.2+2.75*1.2))*(10.764)</f>
        <v>421.43751000000003</v>
      </c>
      <c r="E815" s="21">
        <v>0</v>
      </c>
      <c r="F815" s="21">
        <f>D815*1.5+E815</f>
        <v>632.15626500000008</v>
      </c>
      <c r="G815" s="133"/>
      <c r="H815" s="133"/>
    </row>
    <row r="816" spans="1:11" s="2" customFormat="1" x14ac:dyDescent="0.25">
      <c r="A816" s="133">
        <v>7</v>
      </c>
      <c r="B816" s="133"/>
      <c r="C816" s="21" t="s">
        <v>168</v>
      </c>
      <c r="D816" s="71">
        <f>(25.69+(2.75*1.15+1.85*1+2.75*1))*(10.764)</f>
        <v>360.08270999999996</v>
      </c>
      <c r="E816" s="21">
        <v>0</v>
      </c>
      <c r="F816" s="21">
        <f>D816*1.5+E816/2</f>
        <v>540.12406499999997</v>
      </c>
      <c r="G816" s="133"/>
      <c r="H816" s="133"/>
    </row>
    <row r="817" spans="1:8" s="2" customFormat="1" x14ac:dyDescent="0.25">
      <c r="A817" s="133">
        <v>8</v>
      </c>
      <c r="B817" s="133"/>
      <c r="C817" s="21" t="s">
        <v>168</v>
      </c>
      <c r="D817" s="71">
        <f>(25.69+(2.75*1.15+1.85*1+2.75*1))*(10.764)</f>
        <v>360.08270999999996</v>
      </c>
      <c r="E817" s="21">
        <v>0</v>
      </c>
      <c r="F817" s="21">
        <f>D817*1.5+E817</f>
        <v>540.12406499999997</v>
      </c>
      <c r="G817" s="133"/>
      <c r="H817" s="133"/>
    </row>
    <row r="818" spans="1:8" s="2" customFormat="1" ht="15.6" customHeight="1" x14ac:dyDescent="0.25">
      <c r="A818" s="144" t="s">
        <v>295</v>
      </c>
      <c r="B818" s="145"/>
      <c r="C818" s="145"/>
      <c r="D818" s="145"/>
      <c r="E818" s="145"/>
      <c r="F818" s="145"/>
      <c r="G818" s="145"/>
      <c r="H818" s="146"/>
    </row>
    <row r="819" spans="1:8" s="2" customFormat="1" ht="15.75" customHeight="1" x14ac:dyDescent="0.25">
      <c r="A819" s="133">
        <v>1</v>
      </c>
      <c r="B819" s="133"/>
      <c r="C819" s="21" t="s">
        <v>183</v>
      </c>
      <c r="D819" s="71">
        <f>(45.91+(3*1.2+1.84*1+2.8*1.45))*(10.764)</f>
        <v>596.43323999999996</v>
      </c>
      <c r="E819" s="21">
        <v>0</v>
      </c>
      <c r="F819" s="21">
        <f>D819*1.5+E819/2</f>
        <v>894.64985999999999</v>
      </c>
      <c r="G819" s="134" t="str">
        <f>A818</f>
        <v xml:space="preserve"> 8th, 13th &amp; 18th Floor (Part Refuge Area)</v>
      </c>
      <c r="H819" s="135"/>
    </row>
    <row r="820" spans="1:8" s="2" customFormat="1" x14ac:dyDescent="0.25">
      <c r="A820" s="133">
        <v>2</v>
      </c>
      <c r="B820" s="133"/>
      <c r="C820" s="21" t="s">
        <v>183</v>
      </c>
      <c r="D820" s="71">
        <f>(45.91+(3*1.2+1.84*1+2.8*1.45))*(10.764)</f>
        <v>596.43323999999996</v>
      </c>
      <c r="E820" s="21">
        <v>0</v>
      </c>
      <c r="F820" s="21">
        <f>D820*1.5+E820/2</f>
        <v>894.64985999999999</v>
      </c>
      <c r="G820" s="136"/>
      <c r="H820" s="137"/>
    </row>
    <row r="821" spans="1:8" s="2" customFormat="1" ht="16.5" customHeight="1" x14ac:dyDescent="0.25">
      <c r="A821" s="133">
        <v>3</v>
      </c>
      <c r="B821" s="133"/>
      <c r="C821" s="140" t="s">
        <v>176</v>
      </c>
      <c r="D821" s="141"/>
      <c r="E821" s="141"/>
      <c r="F821" s="142"/>
      <c r="G821" s="136"/>
      <c r="H821" s="137"/>
    </row>
    <row r="822" spans="1:8" s="2" customFormat="1" x14ac:dyDescent="0.25">
      <c r="A822" s="133">
        <v>4</v>
      </c>
      <c r="B822" s="133"/>
      <c r="C822" s="21" t="s">
        <v>168</v>
      </c>
      <c r="D822" s="71">
        <f>(25.69+(2.75*1.15+1.85*1+2.75*1))*(10.764)</f>
        <v>360.08270999999996</v>
      </c>
      <c r="E822" s="21">
        <v>0</v>
      </c>
      <c r="F822" s="21">
        <f>D822*1.5+E822/2</f>
        <v>540.12406499999997</v>
      </c>
      <c r="G822" s="136"/>
      <c r="H822" s="137"/>
    </row>
    <row r="823" spans="1:8" s="2" customFormat="1" x14ac:dyDescent="0.25">
      <c r="A823" s="133">
        <v>5</v>
      </c>
      <c r="B823" s="133"/>
      <c r="C823" s="21" t="s">
        <v>168</v>
      </c>
      <c r="D823" s="71">
        <f>(29.92+(2.75*1.35+1.85*1.2+2.75*1.2))*(10.764)</f>
        <v>421.43751000000003</v>
      </c>
      <c r="E823" s="21">
        <v>0</v>
      </c>
      <c r="F823" s="21">
        <f>D823*1.5+E823</f>
        <v>632.15626500000008</v>
      </c>
      <c r="G823" s="136"/>
      <c r="H823" s="137"/>
    </row>
    <row r="824" spans="1:8" s="2" customFormat="1" x14ac:dyDescent="0.25">
      <c r="A824" s="133">
        <v>6</v>
      </c>
      <c r="B824" s="133"/>
      <c r="C824" s="21" t="s">
        <v>168</v>
      </c>
      <c r="D824" s="71">
        <f>(29.92+(2.75*1.35+1.85*1.2+2.75*1.2))*(10.764)</f>
        <v>421.43751000000003</v>
      </c>
      <c r="E824" s="21">
        <v>0</v>
      </c>
      <c r="F824" s="21">
        <f>D824*1.5+E824</f>
        <v>632.15626500000008</v>
      </c>
      <c r="G824" s="136"/>
      <c r="H824" s="137"/>
    </row>
    <row r="825" spans="1:8" s="2" customFormat="1" x14ac:dyDescent="0.25">
      <c r="A825" s="133">
        <v>7</v>
      </c>
      <c r="B825" s="133"/>
      <c r="C825" s="21" t="s">
        <v>168</v>
      </c>
      <c r="D825" s="71">
        <f>(25.69+(2.75*1.15+1.85*1+2.75*1))*(10.764)</f>
        <v>360.08270999999996</v>
      </c>
      <c r="E825" s="21">
        <v>0</v>
      </c>
      <c r="F825" s="21">
        <f>D825*1.5+E825/2</f>
        <v>540.12406499999997</v>
      </c>
      <c r="G825" s="136"/>
      <c r="H825" s="137"/>
    </row>
    <row r="826" spans="1:8" s="2" customFormat="1" x14ac:dyDescent="0.25">
      <c r="A826" s="133">
        <v>8</v>
      </c>
      <c r="B826" s="133"/>
      <c r="C826" s="21" t="s">
        <v>168</v>
      </c>
      <c r="D826" s="71">
        <f>(25.69+(2.75*1.15+1.85*1+2.75*1))*(10.764)</f>
        <v>360.08270999999996</v>
      </c>
      <c r="E826" s="21">
        <v>0</v>
      </c>
      <c r="F826" s="21">
        <f>D826*1.5+E826</f>
        <v>540.12406499999997</v>
      </c>
      <c r="G826" s="138"/>
      <c r="H826" s="139"/>
    </row>
    <row r="827" spans="1:8" s="2" customFormat="1" x14ac:dyDescent="0.25">
      <c r="A827" s="144" t="s">
        <v>249</v>
      </c>
      <c r="B827" s="145"/>
      <c r="C827" s="145"/>
      <c r="D827" s="145"/>
      <c r="E827" s="145"/>
      <c r="F827" s="145"/>
      <c r="G827" s="145"/>
      <c r="H827" s="146"/>
    </row>
    <row r="828" spans="1:8" s="2" customFormat="1" x14ac:dyDescent="0.25">
      <c r="A828" s="144" t="s">
        <v>198</v>
      </c>
      <c r="B828" s="145"/>
      <c r="C828" s="145"/>
      <c r="D828" s="145"/>
      <c r="E828" s="145"/>
      <c r="F828" s="145"/>
      <c r="G828" s="145"/>
      <c r="H828" s="146"/>
    </row>
    <row r="829" spans="1:8" s="2" customFormat="1" ht="15.75" customHeight="1" x14ac:dyDescent="0.25">
      <c r="A829" s="144" t="s">
        <v>192</v>
      </c>
      <c r="B829" s="145"/>
      <c r="C829" s="145"/>
      <c r="D829" s="145"/>
      <c r="E829" s="145"/>
      <c r="F829" s="145"/>
      <c r="G829" s="145"/>
      <c r="H829" s="146"/>
    </row>
    <row r="830" spans="1:8" s="2" customFormat="1" x14ac:dyDescent="0.25">
      <c r="A830" s="133" t="s">
        <v>199</v>
      </c>
      <c r="B830" s="133"/>
      <c r="C830" s="21" t="s">
        <v>164</v>
      </c>
      <c r="D830" s="21">
        <f>259.87*10.764</f>
        <v>2797.2406799999999</v>
      </c>
      <c r="E830" s="21">
        <v>0</v>
      </c>
      <c r="F830" s="21">
        <f>D830*1.6</f>
        <v>4475.5850879999998</v>
      </c>
      <c r="G830" s="134" t="str">
        <f>A829</f>
        <v>Ground Floor for Parking &amp; Commercial</v>
      </c>
      <c r="H830" s="135"/>
    </row>
    <row r="831" spans="1:8" s="2" customFormat="1" x14ac:dyDescent="0.25">
      <c r="A831" s="133">
        <v>3</v>
      </c>
      <c r="B831" s="133"/>
      <c r="C831" s="21" t="s">
        <v>164</v>
      </c>
      <c r="D831" s="21">
        <f>19.87*10.764</f>
        <v>213.88067999999998</v>
      </c>
      <c r="E831" s="21">
        <v>0</v>
      </c>
      <c r="F831" s="21">
        <f t="shared" ref="F831:F838" si="37">D831*1.6</f>
        <v>342.20908800000001</v>
      </c>
      <c r="G831" s="136"/>
      <c r="H831" s="137"/>
    </row>
    <row r="832" spans="1:8" s="2" customFormat="1" x14ac:dyDescent="0.25">
      <c r="A832" s="133">
        <v>4</v>
      </c>
      <c r="B832" s="133"/>
      <c r="C832" s="21" t="s">
        <v>164</v>
      </c>
      <c r="D832" s="21">
        <f>10.764*22.72</f>
        <v>244.55807999999996</v>
      </c>
      <c r="E832" s="21">
        <v>0</v>
      </c>
      <c r="F832" s="21">
        <f t="shared" si="37"/>
        <v>391.29292799999996</v>
      </c>
      <c r="G832" s="136"/>
      <c r="H832" s="137"/>
    </row>
    <row r="833" spans="1:8" s="2" customFormat="1" x14ac:dyDescent="0.25">
      <c r="A833" s="133">
        <v>5</v>
      </c>
      <c r="B833" s="133"/>
      <c r="C833" s="21" t="s">
        <v>164</v>
      </c>
      <c r="D833" s="21">
        <f>10.764*26.92</f>
        <v>289.76688000000001</v>
      </c>
      <c r="E833" s="21">
        <v>0</v>
      </c>
      <c r="F833" s="21">
        <f t="shared" si="37"/>
        <v>463.62700800000005</v>
      </c>
      <c r="G833" s="136"/>
      <c r="H833" s="137"/>
    </row>
    <row r="834" spans="1:8" s="2" customFormat="1" x14ac:dyDescent="0.25">
      <c r="A834" s="140" t="s">
        <v>200</v>
      </c>
      <c r="B834" s="142"/>
      <c r="C834" s="21" t="s">
        <v>164</v>
      </c>
      <c r="D834" s="21">
        <f>10.764*19.87</f>
        <v>213.88067999999998</v>
      </c>
      <c r="E834" s="21">
        <v>0</v>
      </c>
      <c r="F834" s="21">
        <f t="shared" si="37"/>
        <v>342.20908800000001</v>
      </c>
      <c r="G834" s="136"/>
      <c r="H834" s="137"/>
    </row>
    <row r="835" spans="1:8" s="2" customFormat="1" x14ac:dyDescent="0.25">
      <c r="A835" s="133">
        <v>6</v>
      </c>
      <c r="B835" s="133"/>
      <c r="C835" s="21" t="s">
        <v>164</v>
      </c>
      <c r="D835" s="21">
        <f>10.764*19.87</f>
        <v>213.88067999999998</v>
      </c>
      <c r="E835" s="21">
        <v>0</v>
      </c>
      <c r="F835" s="21">
        <f t="shared" si="37"/>
        <v>342.20908800000001</v>
      </c>
      <c r="G835" s="136"/>
      <c r="H835" s="137"/>
    </row>
    <row r="836" spans="1:8" s="2" customFormat="1" x14ac:dyDescent="0.25">
      <c r="A836" s="133">
        <v>7</v>
      </c>
      <c r="B836" s="133"/>
      <c r="C836" s="21" t="s">
        <v>164</v>
      </c>
      <c r="D836" s="21">
        <f>10.764*26.69</f>
        <v>287.29115999999999</v>
      </c>
      <c r="E836" s="21">
        <v>0</v>
      </c>
      <c r="F836" s="21">
        <f t="shared" si="37"/>
        <v>459.66585600000002</v>
      </c>
      <c r="G836" s="136"/>
      <c r="H836" s="137"/>
    </row>
    <row r="837" spans="1:8" s="2" customFormat="1" x14ac:dyDescent="0.25">
      <c r="A837" s="133">
        <v>8</v>
      </c>
      <c r="B837" s="133"/>
      <c r="C837" s="21" t="s">
        <v>164</v>
      </c>
      <c r="D837" s="21">
        <f>10.764*24.17</f>
        <v>260.16588000000002</v>
      </c>
      <c r="E837" s="21">
        <v>0</v>
      </c>
      <c r="F837" s="21">
        <f t="shared" si="37"/>
        <v>416.26540800000004</v>
      </c>
      <c r="G837" s="136"/>
      <c r="H837" s="137"/>
    </row>
    <row r="838" spans="1:8" s="2" customFormat="1" x14ac:dyDescent="0.25">
      <c r="A838" s="133">
        <v>9</v>
      </c>
      <c r="B838" s="133"/>
      <c r="C838" s="21" t="s">
        <v>164</v>
      </c>
      <c r="D838" s="21">
        <f>10.764*24.51</f>
        <v>263.82564000000002</v>
      </c>
      <c r="E838" s="21">
        <v>0</v>
      </c>
      <c r="F838" s="21">
        <f t="shared" si="37"/>
        <v>422.12102400000003</v>
      </c>
      <c r="G838" s="138"/>
      <c r="H838" s="139"/>
    </row>
    <row r="839" spans="1:8" s="2" customFormat="1" ht="15.75" customHeight="1" x14ac:dyDescent="0.25">
      <c r="A839" s="144" t="s">
        <v>193</v>
      </c>
      <c r="B839" s="145"/>
      <c r="C839" s="145"/>
      <c r="D839" s="145"/>
      <c r="E839" s="145"/>
      <c r="F839" s="145"/>
      <c r="G839" s="145"/>
      <c r="H839" s="146"/>
    </row>
    <row r="840" spans="1:8" s="2" customFormat="1" ht="15.75" customHeight="1" x14ac:dyDescent="0.25">
      <c r="A840" s="133">
        <v>1</v>
      </c>
      <c r="B840" s="133"/>
      <c r="C840" s="21" t="s">
        <v>201</v>
      </c>
      <c r="D840" s="21">
        <f>(60.3+0.9*3.65+1.4*3+(2.75*0.75))*10.764</f>
        <v>751.83848999999987</v>
      </c>
      <c r="E840" s="21">
        <f>(2*3+12.3*0.6+3.5*8.5+9.1*3)*10.764</f>
        <v>758.10851999999988</v>
      </c>
      <c r="F840" s="21">
        <f>D840*1.5+E840/7</f>
        <v>1236.0589521428569</v>
      </c>
      <c r="G840" s="134" t="str">
        <f>A839</f>
        <v>1st Floor for Residential</v>
      </c>
      <c r="H840" s="135"/>
    </row>
    <row r="841" spans="1:8" s="2" customFormat="1" x14ac:dyDescent="0.25">
      <c r="A841" s="133">
        <v>2</v>
      </c>
      <c r="B841" s="133"/>
      <c r="C841" s="21" t="s">
        <v>201</v>
      </c>
      <c r="D841" s="21">
        <f>(60.3+1.4*3+3.65*1.4+(2.75+3.65+3)*0.75)*10.764</f>
        <v>825.16823999999997</v>
      </c>
      <c r="E841" s="21">
        <f>1.5*3*10.764</f>
        <v>48.437999999999995</v>
      </c>
      <c r="F841" s="21">
        <f t="shared" ref="F841:F846" si="38">D841*1.5+E841</f>
        <v>1286.1903600000001</v>
      </c>
      <c r="G841" s="136"/>
      <c r="H841" s="137"/>
    </row>
    <row r="842" spans="1:8" s="2" customFormat="1" x14ac:dyDescent="0.25">
      <c r="A842" s="133" t="s">
        <v>202</v>
      </c>
      <c r="B842" s="133"/>
      <c r="C842" s="21" t="s">
        <v>207</v>
      </c>
      <c r="D842" s="21">
        <f>(4.4*4.91+3.05*1.95+1.2*1.8+4.4*1.05)*10.764</f>
        <v>369.54426600000005</v>
      </c>
      <c r="E842" s="21">
        <v>0</v>
      </c>
      <c r="F842" s="21">
        <f t="shared" si="38"/>
        <v>554.31639900000005</v>
      </c>
      <c r="G842" s="136"/>
      <c r="H842" s="137"/>
    </row>
    <row r="843" spans="1:8" s="2" customFormat="1" x14ac:dyDescent="0.25">
      <c r="A843" s="133" t="s">
        <v>203</v>
      </c>
      <c r="B843" s="133"/>
      <c r="C843" s="21" t="s">
        <v>207</v>
      </c>
      <c r="D843" s="21">
        <f>(2.91*4.92+1.56*1.95+2.91*1.05+1.2*1.8)*10.764</f>
        <v>242.99407080000003</v>
      </c>
      <c r="E843" s="21">
        <v>0</v>
      </c>
      <c r="F843" s="21">
        <f t="shared" si="38"/>
        <v>364.49110620000005</v>
      </c>
      <c r="G843" s="136"/>
      <c r="H843" s="137"/>
    </row>
    <row r="844" spans="1:8" s="2" customFormat="1" x14ac:dyDescent="0.25">
      <c r="A844" s="133" t="s">
        <v>204</v>
      </c>
      <c r="B844" s="133"/>
      <c r="C844" s="21" t="s">
        <v>207</v>
      </c>
      <c r="D844" s="21">
        <f>(2.97*4.91+2.97*1.05+1.62*1.95+1.2*1.8)*10.764</f>
        <v>247.78943279999999</v>
      </c>
      <c r="E844" s="21">
        <v>0</v>
      </c>
      <c r="F844" s="21">
        <f t="shared" si="38"/>
        <v>371.68414919999998</v>
      </c>
      <c r="G844" s="136"/>
      <c r="H844" s="137"/>
    </row>
    <row r="845" spans="1:8" s="2" customFormat="1" x14ac:dyDescent="0.25">
      <c r="A845" s="133" t="s">
        <v>205</v>
      </c>
      <c r="B845" s="133"/>
      <c r="C845" s="21" t="s">
        <v>207</v>
      </c>
      <c r="D845" s="21">
        <f>(4.05*4.91+4.05*1.05+2.72*1.38+1.2*1.8)*10.764</f>
        <v>323.47542240000001</v>
      </c>
      <c r="E845" s="21">
        <v>0</v>
      </c>
      <c r="F845" s="21">
        <f t="shared" si="38"/>
        <v>485.21313359999999</v>
      </c>
      <c r="G845" s="136"/>
      <c r="H845" s="137"/>
    </row>
    <row r="846" spans="1:8" s="2" customFormat="1" x14ac:dyDescent="0.25">
      <c r="A846" s="133" t="s">
        <v>206</v>
      </c>
      <c r="B846" s="133"/>
      <c r="C846" s="21" t="s">
        <v>207</v>
      </c>
      <c r="D846" s="21">
        <f>(3*5.36+1.2*1.1+3*1.05+1.2*1.8)*10.764</f>
        <v>244.45044000000004</v>
      </c>
      <c r="E846" s="21">
        <v>0</v>
      </c>
      <c r="F846" s="21">
        <f t="shared" si="38"/>
        <v>366.67566000000005</v>
      </c>
      <c r="G846" s="136"/>
      <c r="H846" s="137"/>
    </row>
    <row r="847" spans="1:8" s="2" customFormat="1" ht="15.75" customHeight="1" x14ac:dyDescent="0.25">
      <c r="A847" s="133" t="s">
        <v>257</v>
      </c>
      <c r="B847" s="133"/>
      <c r="C847" s="21" t="s">
        <v>207</v>
      </c>
      <c r="D847" s="21">
        <f>(2.97*3.36*1.25*1.05+3*0.78+1.2*1.8)*10.764</f>
        <v>189.42164280000003</v>
      </c>
      <c r="E847" s="21">
        <v>0</v>
      </c>
      <c r="F847" s="21">
        <f t="shared" ref="F847:F850" si="39">D847*1.5+E847</f>
        <v>284.13246420000007</v>
      </c>
      <c r="G847" s="136"/>
      <c r="H847" s="137"/>
    </row>
    <row r="848" spans="1:8" s="2" customFormat="1" ht="15.75" customHeight="1" x14ac:dyDescent="0.25">
      <c r="A848" s="133" t="s">
        <v>258</v>
      </c>
      <c r="B848" s="133"/>
      <c r="C848" s="21" t="s">
        <v>207</v>
      </c>
      <c r="D848" s="21">
        <f>(4.07*3.45+2.15*1.9+1.2*1.1+1.25*1.05)*10.764</f>
        <v>223.44987599999999</v>
      </c>
      <c r="E848" s="21">
        <v>0</v>
      </c>
      <c r="F848" s="21">
        <f t="shared" si="39"/>
        <v>335.17481399999997</v>
      </c>
      <c r="G848" s="136"/>
      <c r="H848" s="137"/>
    </row>
    <row r="849" spans="1:9" s="2" customFormat="1" ht="15.75" customHeight="1" x14ac:dyDescent="0.25">
      <c r="A849" s="133" t="s">
        <v>259</v>
      </c>
      <c r="B849" s="133"/>
      <c r="C849" s="21" t="s">
        <v>207</v>
      </c>
      <c r="D849" s="21">
        <f>(2.7*3.45+1.25*1.05+1.2+1.85+1.3*1.9)*10.764</f>
        <v>173.81169</v>
      </c>
      <c r="E849" s="21">
        <v>0</v>
      </c>
      <c r="F849" s="21">
        <f t="shared" si="39"/>
        <v>260.717535</v>
      </c>
      <c r="G849" s="136"/>
      <c r="H849" s="137"/>
    </row>
    <row r="850" spans="1:9" s="2" customFormat="1" ht="15.75" customHeight="1" x14ac:dyDescent="0.25">
      <c r="A850" s="133" t="s">
        <v>260</v>
      </c>
      <c r="B850" s="133"/>
      <c r="C850" s="21" t="s">
        <v>207</v>
      </c>
      <c r="D850" s="21">
        <f>(2.9*3.45+1.25*1.05+1.65*1.91+1.2*1.8)*10.764</f>
        <v>178.99455600000002</v>
      </c>
      <c r="E850" s="21">
        <v>0</v>
      </c>
      <c r="F850" s="21">
        <f t="shared" si="39"/>
        <v>268.49183400000004</v>
      </c>
      <c r="G850" s="138"/>
      <c r="H850" s="139"/>
    </row>
    <row r="851" spans="1:9" s="2" customFormat="1" x14ac:dyDescent="0.25">
      <c r="A851" s="144" t="s">
        <v>208</v>
      </c>
      <c r="B851" s="145"/>
      <c r="C851" s="145"/>
      <c r="D851" s="145"/>
      <c r="E851" s="145"/>
      <c r="F851" s="145"/>
      <c r="G851" s="145"/>
      <c r="H851" s="146"/>
    </row>
    <row r="852" spans="1:9" s="2" customFormat="1" x14ac:dyDescent="0.25">
      <c r="A852" s="133">
        <v>1</v>
      </c>
      <c r="B852" s="133"/>
      <c r="C852" s="21" t="s">
        <v>183</v>
      </c>
      <c r="D852" s="21">
        <f>(44.18+0.9*2.75+1.5*3+(2.75+3+3+1.6)*0.75)*10.764</f>
        <v>634.18796999999995</v>
      </c>
      <c r="E852" s="21">
        <f>(4.17*5.03-1.2*0.9)*10.764</f>
        <v>214.15085639999998</v>
      </c>
      <c r="F852" s="21">
        <f>D852*1.5+E852/3</f>
        <v>1022.6655737999999</v>
      </c>
      <c r="G852" s="134" t="str">
        <f>A851</f>
        <v>2nd Floor</v>
      </c>
      <c r="H852" s="135"/>
    </row>
    <row r="853" spans="1:9" s="2" customFormat="1" x14ac:dyDescent="0.25">
      <c r="A853" s="133">
        <v>2</v>
      </c>
      <c r="B853" s="133"/>
      <c r="C853" s="21" t="s">
        <v>183</v>
      </c>
      <c r="D853" s="21">
        <f>(46.67+1.5*3+(2.75+1.6+3)*0.75)*10.764</f>
        <v>610.13043000000005</v>
      </c>
      <c r="E853" s="21">
        <f>(3.19*5.03-1.2*0.9)*10.764</f>
        <v>161.0907948</v>
      </c>
      <c r="F853" s="21">
        <f>D853*1.5+E853/2</f>
        <v>995.74104239999997</v>
      </c>
      <c r="G853" s="136"/>
      <c r="H853" s="137"/>
    </row>
    <row r="854" spans="1:9" s="2" customFormat="1" ht="15.6" customHeight="1" x14ac:dyDescent="0.25">
      <c r="A854" s="133">
        <v>3</v>
      </c>
      <c r="B854" s="133"/>
      <c r="C854" s="21" t="s">
        <v>201</v>
      </c>
      <c r="D854" s="21">
        <f>(62.71+1.5*3)*10.764</f>
        <v>723.44844000000001</v>
      </c>
      <c r="E854" s="21">
        <f>(3*2.2+2.75*1.1+3.65*0.7+7.3*3.8+3*0.6)*10.764</f>
        <v>449.07407999999998</v>
      </c>
      <c r="F854" s="21">
        <f>D854*1.5+E854/5</f>
        <v>1174.987476</v>
      </c>
      <c r="G854" s="136"/>
      <c r="H854" s="137"/>
    </row>
    <row r="855" spans="1:9" s="2" customFormat="1" ht="15.6" customHeight="1" x14ac:dyDescent="0.25">
      <c r="A855" s="133">
        <v>4</v>
      </c>
      <c r="B855" s="133"/>
      <c r="C855" s="21" t="s">
        <v>201</v>
      </c>
      <c r="D855" s="21">
        <f>(60.19+1.5*3+2.75*0.9+1.6*0.75)*10.764</f>
        <v>735.88085999999987</v>
      </c>
      <c r="E855" s="21">
        <f>(3*2.2+2.75*1.1+3.65*0.7+3*0.6+10.4*7.3)*10.764</f>
        <v>967.68359999999996</v>
      </c>
      <c r="F855" s="21">
        <f>D855*1.5+E855/10</f>
        <v>1200.5896499999999</v>
      </c>
      <c r="G855" s="138"/>
      <c r="H855" s="139"/>
    </row>
    <row r="856" spans="1:9" s="2" customFormat="1" x14ac:dyDescent="0.25">
      <c r="A856" s="144" t="s">
        <v>209</v>
      </c>
      <c r="B856" s="145"/>
      <c r="C856" s="145"/>
      <c r="D856" s="145"/>
      <c r="E856" s="145"/>
      <c r="F856" s="145"/>
      <c r="G856" s="145"/>
      <c r="H856" s="146"/>
    </row>
    <row r="857" spans="1:9" s="2" customFormat="1" x14ac:dyDescent="0.25">
      <c r="A857" s="133">
        <v>1</v>
      </c>
      <c r="B857" s="133"/>
      <c r="C857" s="21" t="s">
        <v>183</v>
      </c>
      <c r="D857" s="21">
        <f>(44.18+0.9*2.75+1.5*3+(2.75+3+1.6)*0.75)*10.764</f>
        <v>609.96897000000001</v>
      </c>
      <c r="E857" s="21">
        <f>3*1.5*10.764</f>
        <v>48.437999999999995</v>
      </c>
      <c r="F857" s="21">
        <f>D857*1.5+E857/3</f>
        <v>931.09945500000003</v>
      </c>
      <c r="G857" s="134" t="str">
        <f>A856</f>
        <v>3rd Floor</v>
      </c>
      <c r="H857" s="135"/>
    </row>
    <row r="858" spans="1:9" s="2" customFormat="1" x14ac:dyDescent="0.25">
      <c r="A858" s="133">
        <v>2</v>
      </c>
      <c r="B858" s="133"/>
      <c r="C858" s="21" t="s">
        <v>183</v>
      </c>
      <c r="D858" s="21">
        <f>(46.67+1.5*3+(2.75+1.6+3)*0.75)*10.764</f>
        <v>610.13043000000005</v>
      </c>
      <c r="E858" s="21">
        <f>3*1.5*10.764</f>
        <v>48.437999999999995</v>
      </c>
      <c r="F858" s="21">
        <f>D858*1.5+E858/2</f>
        <v>939.41464500000006</v>
      </c>
      <c r="G858" s="136"/>
      <c r="H858" s="137"/>
    </row>
    <row r="859" spans="1:9" s="2" customFormat="1" ht="15.6" customHeight="1" x14ac:dyDescent="0.25">
      <c r="A859" s="133">
        <v>3</v>
      </c>
      <c r="B859" s="133"/>
      <c r="C859" s="21" t="s">
        <v>201</v>
      </c>
      <c r="D859" s="21">
        <f>(62.71+1.5*3+(3+2.75+3.65+3+1.6)*0.75)*10.764</f>
        <v>836.47044000000005</v>
      </c>
      <c r="E859" s="21">
        <v>0</v>
      </c>
      <c r="F859" s="21">
        <f>D859*1.5+E859/5</f>
        <v>1254.7056600000001</v>
      </c>
      <c r="G859" s="136"/>
      <c r="H859" s="137"/>
      <c r="I859" s="2">
        <f>6198500/F859</f>
        <v>4940.2024694779802</v>
      </c>
    </row>
    <row r="860" spans="1:9" s="2" customFormat="1" ht="15.6" customHeight="1" x14ac:dyDescent="0.25">
      <c r="A860" s="133">
        <v>4</v>
      </c>
      <c r="B860" s="133"/>
      <c r="C860" s="21" t="s">
        <v>201</v>
      </c>
      <c r="D860" s="21">
        <f>(60.19+1.5*3+2.75*0.9+(1.6+3+2.75+3.65+3)*0.75)*10.764</f>
        <v>835.98605999999984</v>
      </c>
      <c r="E860" s="21">
        <v>0</v>
      </c>
      <c r="F860" s="21">
        <f>D860*1.5+E860/10</f>
        <v>1253.9790899999998</v>
      </c>
      <c r="G860" s="138"/>
      <c r="H860" s="139"/>
    </row>
    <row r="861" spans="1:9" s="2" customFormat="1" ht="15.75" customHeight="1" x14ac:dyDescent="0.25">
      <c r="A861" s="195" t="s">
        <v>210</v>
      </c>
      <c r="B861" s="195"/>
      <c r="C861" s="195"/>
      <c r="D861" s="195"/>
      <c r="E861" s="195"/>
      <c r="F861" s="195"/>
      <c r="G861" s="195"/>
      <c r="H861" s="195"/>
    </row>
    <row r="862" spans="1:9" s="2" customFormat="1" x14ac:dyDescent="0.25">
      <c r="A862" s="133">
        <v>1</v>
      </c>
      <c r="B862" s="133"/>
      <c r="C862" s="21" t="s">
        <v>201</v>
      </c>
      <c r="D862" s="21">
        <f>(60.3+1.5*3+1*2.75+(2.75+3+3.65+1.6)*0.75)*10.764</f>
        <v>815.91119999999989</v>
      </c>
      <c r="E862" s="21">
        <f>3.35*1.5*10.764</f>
        <v>54.089100000000002</v>
      </c>
      <c r="F862" s="21">
        <f>D862*1.5+E862/3</f>
        <v>1241.8964999999998</v>
      </c>
      <c r="G862" s="133" t="str">
        <f>A861</f>
        <v>4th &amp; 10th Floor</v>
      </c>
      <c r="H862" s="133"/>
    </row>
    <row r="863" spans="1:9" s="2" customFormat="1" x14ac:dyDescent="0.25">
      <c r="A863" s="133">
        <v>2</v>
      </c>
      <c r="B863" s="133"/>
      <c r="C863" s="21" t="s">
        <v>201</v>
      </c>
      <c r="D863" s="21">
        <f>(60.44+1.5*3+1*2.75+(2.75+3.65+3+1.6)*0.75)*10.764</f>
        <v>817.41815999999994</v>
      </c>
      <c r="E863" s="21">
        <f>3.35*1.5*10.764</f>
        <v>54.089100000000002</v>
      </c>
      <c r="F863" s="21">
        <f>D863*1.5+E863/2</f>
        <v>1253.1717899999999</v>
      </c>
      <c r="G863" s="133"/>
      <c r="H863" s="133"/>
    </row>
    <row r="864" spans="1:9" s="2" customFormat="1" ht="15.6" customHeight="1" x14ac:dyDescent="0.25">
      <c r="A864" s="133">
        <v>3</v>
      </c>
      <c r="B864" s="133"/>
      <c r="C864" s="21" t="s">
        <v>201</v>
      </c>
      <c r="D864" s="21">
        <f>(62.71+1.5*3+(3+2.75+3.65+3+1.6)*0.75)*10.764</f>
        <v>836.47044000000005</v>
      </c>
      <c r="E864" s="21">
        <f>3.35*1.5*10.764</f>
        <v>54.089100000000002</v>
      </c>
      <c r="F864" s="21">
        <f>D864*1.5+E864/5</f>
        <v>1265.5234800000001</v>
      </c>
      <c r="G864" s="133"/>
      <c r="H864" s="133"/>
    </row>
    <row r="865" spans="1:9" s="2" customFormat="1" ht="15.6" customHeight="1" x14ac:dyDescent="0.25">
      <c r="A865" s="133">
        <v>4</v>
      </c>
      <c r="B865" s="133"/>
      <c r="C865" s="21" t="s">
        <v>201</v>
      </c>
      <c r="D865" s="21">
        <f>(60.19+1.5*3+2.75*0.9+(1.6+3+2.75+3.65+3)*0.75)*10.764</f>
        <v>835.98605999999984</v>
      </c>
      <c r="E865" s="21">
        <f>3.35*1.5*10.764</f>
        <v>54.089100000000002</v>
      </c>
      <c r="F865" s="21">
        <f>D865*1.5+E865/10</f>
        <v>1259.3879999999999</v>
      </c>
      <c r="G865" s="133"/>
      <c r="H865" s="133"/>
    </row>
    <row r="866" spans="1:9" s="2" customFormat="1" ht="15.75" customHeight="1" x14ac:dyDescent="0.25">
      <c r="A866" s="144" t="s">
        <v>211</v>
      </c>
      <c r="B866" s="145"/>
      <c r="C866" s="145"/>
      <c r="D866" s="145"/>
      <c r="E866" s="145"/>
      <c r="F866" s="145"/>
      <c r="G866" s="145"/>
      <c r="H866" s="146"/>
    </row>
    <row r="867" spans="1:9" s="2" customFormat="1" x14ac:dyDescent="0.25">
      <c r="A867" s="133">
        <v>1</v>
      </c>
      <c r="B867" s="133"/>
      <c r="C867" s="21" t="s">
        <v>183</v>
      </c>
      <c r="D867" s="26">
        <f>(44.05+0.9*2.75+1.5*3+(2.75+3+1.6)*0.75)*10.764</f>
        <v>608.56964999999991</v>
      </c>
      <c r="E867" s="21">
        <f>(4.17*5.03-1.2*0.9+3*1.5)*10.764</f>
        <v>262.5888564</v>
      </c>
      <c r="F867" s="21">
        <f>D867*1.5+E867/3</f>
        <v>1000.3840937999998</v>
      </c>
      <c r="G867" s="134" t="str">
        <f>A866</f>
        <v>5th &amp; 11th Floor</v>
      </c>
      <c r="H867" s="135"/>
    </row>
    <row r="868" spans="1:9" s="2" customFormat="1" x14ac:dyDescent="0.25">
      <c r="A868" s="133">
        <v>2</v>
      </c>
      <c r="B868" s="133"/>
      <c r="C868" s="21" t="s">
        <v>183</v>
      </c>
      <c r="D868" s="26">
        <f>(46.67+1.5*3+(2.75+1.6+3)*0.75)*10.764</f>
        <v>610.13043000000005</v>
      </c>
      <c r="E868" s="21">
        <f>(3.19*5.03-1.2*0.9+3*1.5)*10.764</f>
        <v>209.52879479999996</v>
      </c>
      <c r="F868" s="21">
        <f>D868*1.5+E868/2</f>
        <v>1019.9600424</v>
      </c>
      <c r="G868" s="136"/>
      <c r="H868" s="137"/>
      <c r="I868" s="2">
        <f>4483500/F868</f>
        <v>4395.7604353305596</v>
      </c>
    </row>
    <row r="869" spans="1:9" s="2" customFormat="1" ht="15.6" customHeight="1" x14ac:dyDescent="0.25">
      <c r="A869" s="133">
        <v>3</v>
      </c>
      <c r="B869" s="133"/>
      <c r="C869" s="21" t="s">
        <v>201</v>
      </c>
      <c r="D869" s="26">
        <f>(62.71+1.5*3+(3+2.75+3.65+3+1.6)*0.75)*10.764</f>
        <v>836.47044000000005</v>
      </c>
      <c r="E869" s="26">
        <f>3*1.5*10.764</f>
        <v>48.437999999999995</v>
      </c>
      <c r="F869" s="21">
        <f>D869*1.5+E869/5</f>
        <v>1264.3932600000001</v>
      </c>
      <c r="G869" s="136"/>
      <c r="H869" s="137"/>
    </row>
    <row r="870" spans="1:9" s="2" customFormat="1" ht="15.6" customHeight="1" x14ac:dyDescent="0.25">
      <c r="A870" s="133">
        <v>4</v>
      </c>
      <c r="B870" s="133"/>
      <c r="C870" s="21" t="s">
        <v>201</v>
      </c>
      <c r="D870" s="26">
        <f>(60.19+1.5*3+2.75*0.9+(1.6+3+2.75+3.65+3)*0.75)*10.764</f>
        <v>835.98605999999984</v>
      </c>
      <c r="E870" s="26">
        <f>3*1.5*10.764</f>
        <v>48.437999999999995</v>
      </c>
      <c r="F870" s="21">
        <f>D870*1.5+E870/10</f>
        <v>1258.8228899999999</v>
      </c>
      <c r="G870" s="138"/>
      <c r="H870" s="139"/>
    </row>
    <row r="871" spans="1:9" s="2" customFormat="1" ht="15.75" customHeight="1" x14ac:dyDescent="0.25">
      <c r="A871" s="144" t="s">
        <v>251</v>
      </c>
      <c r="B871" s="145"/>
      <c r="C871" s="145"/>
      <c r="D871" s="145"/>
      <c r="E871" s="145"/>
      <c r="F871" s="145"/>
      <c r="G871" s="145"/>
      <c r="H871" s="146"/>
    </row>
    <row r="872" spans="1:9" s="2" customFormat="1" x14ac:dyDescent="0.25">
      <c r="A872" s="133">
        <v>1</v>
      </c>
      <c r="B872" s="133"/>
      <c r="C872" s="21" t="s">
        <v>183</v>
      </c>
      <c r="D872" s="26">
        <f>(44.18+0.9*2.75+1.5*3+(2.75+3+1.6)*0.75)*10.764</f>
        <v>609.96897000000001</v>
      </c>
      <c r="E872" s="26">
        <f t="shared" ref="E872:E873" si="40">3*1.5*10.764</f>
        <v>48.437999999999995</v>
      </c>
      <c r="F872" s="21">
        <f>D872*1.5+E872/3</f>
        <v>931.09945500000003</v>
      </c>
      <c r="G872" s="134" t="str">
        <f>A871</f>
        <v>6th, 12th Floor</v>
      </c>
      <c r="H872" s="135"/>
    </row>
    <row r="873" spans="1:9" s="2" customFormat="1" x14ac:dyDescent="0.25">
      <c r="A873" s="133">
        <v>2</v>
      </c>
      <c r="B873" s="133"/>
      <c r="C873" s="21" t="s">
        <v>183</v>
      </c>
      <c r="D873" s="26">
        <f>(46.67+1.5*3+(2.75+1.6+3)*0.75)*10.764</f>
        <v>610.13043000000005</v>
      </c>
      <c r="E873" s="26">
        <f t="shared" si="40"/>
        <v>48.437999999999995</v>
      </c>
      <c r="F873" s="21">
        <f>D873*1.5+E873/2</f>
        <v>939.41464500000006</v>
      </c>
      <c r="G873" s="136"/>
      <c r="H873" s="137"/>
    </row>
    <row r="874" spans="1:9" s="2" customFormat="1" ht="15.6" customHeight="1" x14ac:dyDescent="0.25">
      <c r="A874" s="133">
        <v>3</v>
      </c>
      <c r="B874" s="133"/>
      <c r="C874" s="21" t="s">
        <v>201</v>
      </c>
      <c r="D874" s="26">
        <f>(62.71+1.5*3+(3+2.75+3.65+1.6)*0.75)*10.764</f>
        <v>812.25144</v>
      </c>
      <c r="E874" s="26">
        <f>3*1.5*10.764</f>
        <v>48.437999999999995</v>
      </c>
      <c r="F874" s="21">
        <f>D874*1.5+E874/5</f>
        <v>1228.06476</v>
      </c>
      <c r="G874" s="136"/>
      <c r="H874" s="137"/>
    </row>
    <row r="875" spans="1:9" s="2" customFormat="1" ht="15.6" customHeight="1" x14ac:dyDescent="0.25">
      <c r="A875" s="133">
        <v>4</v>
      </c>
      <c r="B875" s="133"/>
      <c r="C875" s="21" t="s">
        <v>201</v>
      </c>
      <c r="D875" s="26">
        <f>(60.19+1.5*3+2.75*0.9+(1.6+2.75+3.65+3)*0.75)*10.764</f>
        <v>811.7670599999999</v>
      </c>
      <c r="E875" s="26">
        <f>3*1.5*10.764</f>
        <v>48.437999999999995</v>
      </c>
      <c r="F875" s="21">
        <f>D875*1.5+E875/10</f>
        <v>1222.4943899999998</v>
      </c>
      <c r="G875" s="138"/>
      <c r="H875" s="139"/>
    </row>
    <row r="876" spans="1:9" s="2" customFormat="1" x14ac:dyDescent="0.25">
      <c r="A876" s="144" t="s">
        <v>212</v>
      </c>
      <c r="B876" s="145"/>
      <c r="C876" s="145"/>
      <c r="D876" s="145"/>
      <c r="E876" s="145"/>
      <c r="F876" s="145"/>
      <c r="G876" s="145"/>
      <c r="H876" s="146"/>
    </row>
    <row r="877" spans="1:9" s="2" customFormat="1" x14ac:dyDescent="0.25">
      <c r="A877" s="133">
        <v>1</v>
      </c>
      <c r="B877" s="133"/>
      <c r="C877" s="21" t="s">
        <v>201</v>
      </c>
      <c r="D877" s="21">
        <f>(60.3+1.5*3+1*2.75+(2.75+3+3.65+1.6)*0.75)*10.764</f>
        <v>815.91119999999989</v>
      </c>
      <c r="E877" s="21">
        <f>3*1.5*10.764</f>
        <v>48.437999999999995</v>
      </c>
      <c r="F877" s="21">
        <f>D877*1.5+E877/3</f>
        <v>1240.0127999999997</v>
      </c>
      <c r="G877" s="134" t="str">
        <f>A876</f>
        <v>7th Floor</v>
      </c>
      <c r="H877" s="135"/>
    </row>
    <row r="878" spans="1:9" s="2" customFormat="1" x14ac:dyDescent="0.25">
      <c r="A878" s="133">
        <v>2</v>
      </c>
      <c r="B878" s="133"/>
      <c r="C878" s="21" t="s">
        <v>201</v>
      </c>
      <c r="D878" s="21">
        <f>(60.44+1.5*3+1*2.75+(2.75+3.65+3+1.6)*0.75)*10.764</f>
        <v>817.41815999999994</v>
      </c>
      <c r="E878" s="21">
        <f>3*1.5*10.764</f>
        <v>48.437999999999995</v>
      </c>
      <c r="F878" s="21">
        <f>D878*1.5+E878/2</f>
        <v>1250.3462399999999</v>
      </c>
      <c r="G878" s="136"/>
      <c r="H878" s="137"/>
    </row>
    <row r="879" spans="1:9" s="2" customFormat="1" ht="15.6" customHeight="1" x14ac:dyDescent="0.25">
      <c r="A879" s="133">
        <v>3</v>
      </c>
      <c r="B879" s="133"/>
      <c r="C879" s="21" t="s">
        <v>201</v>
      </c>
      <c r="D879" s="21">
        <f>(62.71+1.5*3+(3+2.75+3.65+1.6)*0.75)*10.764</f>
        <v>812.25144</v>
      </c>
      <c r="E879" s="21">
        <f>3*1.5*10.764</f>
        <v>48.437999999999995</v>
      </c>
      <c r="F879" s="21">
        <f>D879*1.5+E879/5</f>
        <v>1228.06476</v>
      </c>
      <c r="G879" s="136"/>
      <c r="H879" s="137"/>
    </row>
    <row r="880" spans="1:9" s="2" customFormat="1" ht="15.6" customHeight="1" x14ac:dyDescent="0.25">
      <c r="A880" s="133">
        <v>4</v>
      </c>
      <c r="B880" s="133"/>
      <c r="C880" s="21" t="s">
        <v>201</v>
      </c>
      <c r="D880" s="21">
        <f>(60.19+1.5*3+2.75*0.9+(1.6+2.75+3.65+3)*0.75)*10.764</f>
        <v>811.7670599999999</v>
      </c>
      <c r="E880" s="21">
        <f>3*1.5*10.764</f>
        <v>48.437999999999995</v>
      </c>
      <c r="F880" s="21">
        <f>D880*1.5+E880/10</f>
        <v>1222.4943899999998</v>
      </c>
      <c r="G880" s="138"/>
      <c r="H880" s="139"/>
    </row>
    <row r="881" spans="1:8" s="2" customFormat="1" ht="15.6" customHeight="1" x14ac:dyDescent="0.25">
      <c r="A881" s="144" t="s">
        <v>175</v>
      </c>
      <c r="B881" s="145"/>
      <c r="C881" s="145"/>
      <c r="D881" s="145"/>
      <c r="E881" s="145"/>
      <c r="F881" s="145"/>
      <c r="G881" s="145"/>
      <c r="H881" s="146"/>
    </row>
    <row r="882" spans="1:8" s="2" customFormat="1" x14ac:dyDescent="0.25">
      <c r="A882" s="133">
        <v>1</v>
      </c>
      <c r="B882" s="133"/>
      <c r="C882" s="140" t="s">
        <v>176</v>
      </c>
      <c r="D882" s="141"/>
      <c r="E882" s="141"/>
      <c r="F882" s="142"/>
      <c r="G882" s="134" t="str">
        <f>A881</f>
        <v>8th Floor(Part Refuge Area)</v>
      </c>
      <c r="H882" s="135"/>
    </row>
    <row r="883" spans="1:8" s="2" customFormat="1" x14ac:dyDescent="0.25">
      <c r="A883" s="133">
        <v>2</v>
      </c>
      <c r="B883" s="133"/>
      <c r="C883" s="21" t="s">
        <v>183</v>
      </c>
      <c r="D883" s="26">
        <f>(43.27+1.5*3+0.9*2.75+(2.75+1.6+3)*0.75)*10.764</f>
        <v>600.17373000000009</v>
      </c>
      <c r="E883" s="21">
        <f>(3.19*5.03-1.2*0.9+3*1.5)*10.764</f>
        <v>209.52879479999996</v>
      </c>
      <c r="F883" s="21">
        <f>D883*1.5+E883/2</f>
        <v>1005.0249924000002</v>
      </c>
      <c r="G883" s="136"/>
      <c r="H883" s="137"/>
    </row>
    <row r="884" spans="1:8" s="2" customFormat="1" ht="15.6" customHeight="1" x14ac:dyDescent="0.25">
      <c r="A884" s="133">
        <v>3</v>
      </c>
      <c r="B884" s="133"/>
      <c r="C884" s="21" t="s">
        <v>201</v>
      </c>
      <c r="D884" s="26">
        <f>(62.71+1.5*3+(3+2.75+3.65+1.6)*0.75)*10.764</f>
        <v>812.25144</v>
      </c>
      <c r="E884" s="26">
        <f>3*1.5*10.764</f>
        <v>48.437999999999995</v>
      </c>
      <c r="F884" s="21">
        <f>D884*1.5+E884/5</f>
        <v>1228.06476</v>
      </c>
      <c r="G884" s="136"/>
      <c r="H884" s="137"/>
    </row>
    <row r="885" spans="1:8" s="2" customFormat="1" ht="15.6" customHeight="1" x14ac:dyDescent="0.25">
      <c r="A885" s="133">
        <v>4</v>
      </c>
      <c r="B885" s="133"/>
      <c r="C885" s="21" t="s">
        <v>201</v>
      </c>
      <c r="D885" s="26">
        <f>(60.8+1.45*3+2.75*0.9+(1.6+2.75+3.65+3)*0.75)*10.764</f>
        <v>816.71849999999984</v>
      </c>
      <c r="E885" s="26">
        <f>3*1.5*10.764</f>
        <v>48.437999999999995</v>
      </c>
      <c r="F885" s="21">
        <f>D885*1.5+E885/10</f>
        <v>1229.9215499999998</v>
      </c>
      <c r="G885" s="138"/>
      <c r="H885" s="139"/>
    </row>
    <row r="886" spans="1:8" s="2" customFormat="1" x14ac:dyDescent="0.25">
      <c r="A886" s="144" t="s">
        <v>213</v>
      </c>
      <c r="B886" s="145"/>
      <c r="C886" s="145"/>
      <c r="D886" s="145"/>
      <c r="E886" s="145"/>
      <c r="F886" s="145"/>
      <c r="G886" s="145"/>
      <c r="H886" s="146"/>
    </row>
    <row r="887" spans="1:8" s="2" customFormat="1" x14ac:dyDescent="0.25">
      <c r="A887" s="133">
        <v>1</v>
      </c>
      <c r="B887" s="133"/>
      <c r="C887" s="21" t="s">
        <v>183</v>
      </c>
      <c r="D887" s="21">
        <f>(44.05+0.9*2.75+1.5*3+(2.75+3+1.6)*0.75)*10.764</f>
        <v>608.56964999999991</v>
      </c>
      <c r="E887" s="21">
        <f>3*1.5*10.764</f>
        <v>48.437999999999995</v>
      </c>
      <c r="F887" s="21">
        <f>D887*1.5+E887/3</f>
        <v>929.00047499999982</v>
      </c>
      <c r="G887" s="134" t="str">
        <f>A886</f>
        <v>9th Floor</v>
      </c>
      <c r="H887" s="135"/>
    </row>
    <row r="888" spans="1:8" s="2" customFormat="1" x14ac:dyDescent="0.25">
      <c r="A888" s="133">
        <v>2</v>
      </c>
      <c r="B888" s="133"/>
      <c r="C888" s="21" t="s">
        <v>183</v>
      </c>
      <c r="D888" s="21">
        <f>(44.05+1.5*3+(2.75+1.6+3)*0.75)*10.764</f>
        <v>581.92874999999992</v>
      </c>
      <c r="E888" s="21">
        <f>3*1.5*10.764</f>
        <v>48.437999999999995</v>
      </c>
      <c r="F888" s="21">
        <f>D888*1.5+E888/2</f>
        <v>897.11212499999988</v>
      </c>
      <c r="G888" s="136"/>
      <c r="H888" s="137"/>
    </row>
    <row r="889" spans="1:8" s="2" customFormat="1" ht="15.6" customHeight="1" x14ac:dyDescent="0.25">
      <c r="A889" s="133">
        <v>3</v>
      </c>
      <c r="B889" s="133"/>
      <c r="C889" s="21" t="s">
        <v>201</v>
      </c>
      <c r="D889" s="21">
        <f>(62.71+1.5*3+(2.75+3.65+3+1.6)*0.75)*10.764</f>
        <v>812.25144</v>
      </c>
      <c r="E889" s="21">
        <f>3*1.5*10.764</f>
        <v>48.437999999999995</v>
      </c>
      <c r="F889" s="21">
        <f>D889*1.5+E889/5</f>
        <v>1228.06476</v>
      </c>
      <c r="G889" s="136"/>
      <c r="H889" s="137"/>
    </row>
    <row r="890" spans="1:8" s="2" customFormat="1" ht="15.6" customHeight="1" x14ac:dyDescent="0.25">
      <c r="A890" s="133">
        <v>4</v>
      </c>
      <c r="B890" s="133"/>
      <c r="C890" s="21" t="s">
        <v>201</v>
      </c>
      <c r="D890" s="21">
        <f>(60.19+1.5*3+2.75*0.9+(1.6+3+2.75+3.65)*0.75)*10.764</f>
        <v>811.7670599999999</v>
      </c>
      <c r="E890" s="21">
        <f>3*1.5*10.764</f>
        <v>48.437999999999995</v>
      </c>
      <c r="F890" s="21">
        <f>D890*1.5+E890/10</f>
        <v>1222.4943899999998</v>
      </c>
      <c r="G890" s="138"/>
      <c r="H890" s="139"/>
    </row>
    <row r="891" spans="1:8" s="2" customFormat="1" ht="15.75" customHeight="1" x14ac:dyDescent="0.25">
      <c r="A891" s="144" t="s">
        <v>177</v>
      </c>
      <c r="B891" s="145"/>
      <c r="C891" s="145"/>
      <c r="D891" s="145"/>
      <c r="E891" s="145"/>
      <c r="F891" s="145"/>
      <c r="G891" s="145"/>
      <c r="H891" s="146"/>
    </row>
    <row r="892" spans="1:8" s="2" customFormat="1" x14ac:dyDescent="0.25">
      <c r="A892" s="133">
        <v>1</v>
      </c>
      <c r="B892" s="133"/>
      <c r="C892" s="21" t="s">
        <v>201</v>
      </c>
      <c r="D892" s="21">
        <f>(60.47+1.45*3+1*2.75+(2.75+3+3.65+1.6)*0.75)*10.764</f>
        <v>816.1264799999999</v>
      </c>
      <c r="E892" s="21">
        <f>3*1.5*10.764</f>
        <v>48.437999999999995</v>
      </c>
      <c r="F892" s="21">
        <f>D892*1.5+E892/3</f>
        <v>1240.3357199999998</v>
      </c>
      <c r="G892" s="134" t="str">
        <f>A891</f>
        <v>13th Floor(Part Refuge Area)</v>
      </c>
      <c r="H892" s="135"/>
    </row>
    <row r="893" spans="1:8" s="2" customFormat="1" x14ac:dyDescent="0.25">
      <c r="A893" s="133">
        <v>2</v>
      </c>
      <c r="B893" s="133"/>
      <c r="C893" s="21" t="s">
        <v>201</v>
      </c>
      <c r="D893" s="21">
        <f>(60.44+1.45*3+1*2.75+(2.75+3.65+3+1.6)*0.75)*10.764</f>
        <v>815.80355999999983</v>
      </c>
      <c r="E893" s="21">
        <f>3*1.5*10.764</f>
        <v>48.437999999999995</v>
      </c>
      <c r="F893" s="21">
        <f>D893*1.5+E893/2</f>
        <v>1247.9243399999998</v>
      </c>
      <c r="G893" s="136"/>
      <c r="H893" s="137"/>
    </row>
    <row r="894" spans="1:8" s="2" customFormat="1" ht="15.6" customHeight="1" x14ac:dyDescent="0.25">
      <c r="A894" s="133">
        <v>3</v>
      </c>
      <c r="B894" s="133"/>
      <c r="C894" s="21" t="s">
        <v>201</v>
      </c>
      <c r="D894" s="21">
        <f>(56.21+1.5*3+(3+2.75+3.65)*0.75)*10.764</f>
        <v>729.36864000000003</v>
      </c>
      <c r="E894" s="21">
        <f>3*1.5*10.764</f>
        <v>48.437999999999995</v>
      </c>
      <c r="F894" s="21">
        <f>D894*1.5+E894/5</f>
        <v>1103.74056</v>
      </c>
      <c r="G894" s="136"/>
      <c r="H894" s="137"/>
    </row>
    <row r="895" spans="1:8" s="2" customFormat="1" ht="15.6" customHeight="1" x14ac:dyDescent="0.25">
      <c r="A895" s="133">
        <v>4</v>
      </c>
      <c r="B895" s="133"/>
      <c r="C895" s="21" t="s">
        <v>201</v>
      </c>
      <c r="D895" s="21">
        <f>(60.34+1.45*3+2.75*0.9+(1.6+2.75+3.65+3)*0.75)*10.764</f>
        <v>811.7670599999999</v>
      </c>
      <c r="E895" s="21">
        <f>3*1.5*10.764</f>
        <v>48.437999999999995</v>
      </c>
      <c r="F895" s="21">
        <f>D895*1.5+E895/10</f>
        <v>1222.4943899999998</v>
      </c>
      <c r="G895" s="138"/>
      <c r="H895" s="139"/>
    </row>
    <row r="896" spans="1:8" s="2" customFormat="1" x14ac:dyDescent="0.25">
      <c r="A896" s="144" t="s">
        <v>250</v>
      </c>
      <c r="B896" s="145"/>
      <c r="C896" s="145"/>
      <c r="D896" s="145"/>
      <c r="E896" s="145"/>
      <c r="F896" s="145"/>
      <c r="G896" s="145"/>
      <c r="H896" s="146"/>
    </row>
    <row r="897" spans="1:8" s="2" customFormat="1" x14ac:dyDescent="0.25">
      <c r="A897" s="133">
        <v>1</v>
      </c>
      <c r="B897" s="133"/>
      <c r="C897" s="21" t="s">
        <v>183</v>
      </c>
      <c r="D897" s="26">
        <f>(44.18+0.9*2.75+1.5*3+(2.75+3+1.6)*0.75)*10.764</f>
        <v>609.96897000000001</v>
      </c>
      <c r="E897" s="21">
        <f>(4.17*5.03-1.2*0.9+3*1.5)*10.764</f>
        <v>262.5888564</v>
      </c>
      <c r="F897" s="21">
        <f>D897*1.5+E897/3</f>
        <v>1002.4830738000001</v>
      </c>
      <c r="G897" s="134" t="str">
        <f>A896</f>
        <v>14th Floor</v>
      </c>
      <c r="H897" s="135"/>
    </row>
    <row r="898" spans="1:8" s="2" customFormat="1" x14ac:dyDescent="0.25">
      <c r="A898" s="133">
        <v>2</v>
      </c>
      <c r="B898" s="133"/>
      <c r="C898" s="21" t="s">
        <v>183</v>
      </c>
      <c r="D898" s="26">
        <f>(46.67+1.5*3+(2.75+1.6+3)*0.75)*10.764</f>
        <v>610.13043000000005</v>
      </c>
      <c r="E898" s="21">
        <f>(3.19*5.03-1.2*0.9+3*1.5)*10.764</f>
        <v>209.52879479999996</v>
      </c>
      <c r="F898" s="21">
        <f>D898*1.5+E898/2</f>
        <v>1019.9600424</v>
      </c>
      <c r="G898" s="136"/>
      <c r="H898" s="137"/>
    </row>
    <row r="899" spans="1:8" s="2" customFormat="1" ht="15.6" customHeight="1" x14ac:dyDescent="0.25">
      <c r="A899" s="133">
        <v>3</v>
      </c>
      <c r="B899" s="133"/>
      <c r="C899" s="21" t="s">
        <v>201</v>
      </c>
      <c r="D899" s="26">
        <f>(62.71+1.5*3+(3+2.75+3.65+1.6)*0.75)*10.764</f>
        <v>812.25144</v>
      </c>
      <c r="E899" s="26">
        <f>3*1.5*10.764</f>
        <v>48.437999999999995</v>
      </c>
      <c r="F899" s="21">
        <f>D899*1.5+E899/5</f>
        <v>1228.06476</v>
      </c>
      <c r="G899" s="136"/>
      <c r="H899" s="137"/>
    </row>
    <row r="900" spans="1:8" s="2" customFormat="1" ht="15.6" customHeight="1" x14ac:dyDescent="0.25">
      <c r="A900" s="133">
        <v>4</v>
      </c>
      <c r="B900" s="133"/>
      <c r="C900" s="21" t="s">
        <v>201</v>
      </c>
      <c r="D900" s="26">
        <f>(60.19+1.5*3+2.75*0.9+(1.6+2.75+3.65+3)*0.75)*10.764</f>
        <v>811.7670599999999</v>
      </c>
      <c r="E900" s="26">
        <f>3*1.5*10.764</f>
        <v>48.437999999999995</v>
      </c>
      <c r="F900" s="21">
        <f>D900*1.5+E900/10</f>
        <v>1222.4943899999998</v>
      </c>
      <c r="G900" s="138"/>
      <c r="H900" s="139"/>
    </row>
    <row r="901" spans="1:8" s="2" customFormat="1" ht="15.75" customHeight="1" x14ac:dyDescent="0.25">
      <c r="A901" s="144" t="s">
        <v>178</v>
      </c>
      <c r="B901" s="145"/>
      <c r="C901" s="145"/>
      <c r="D901" s="145"/>
      <c r="E901" s="145"/>
      <c r="F901" s="145"/>
      <c r="G901" s="145"/>
      <c r="H901" s="146"/>
    </row>
    <row r="902" spans="1:8" s="2" customFormat="1" x14ac:dyDescent="0.25">
      <c r="A902" s="144" t="s">
        <v>180</v>
      </c>
      <c r="B902" s="145"/>
      <c r="C902" s="145"/>
      <c r="D902" s="145"/>
      <c r="E902" s="145"/>
      <c r="F902" s="145"/>
      <c r="G902" s="145"/>
      <c r="H902" s="146"/>
    </row>
    <row r="903" spans="1:8" s="2" customFormat="1" ht="15.75" customHeight="1" x14ac:dyDescent="0.25">
      <c r="A903" s="195" t="s">
        <v>179</v>
      </c>
      <c r="B903" s="195"/>
      <c r="C903" s="195"/>
      <c r="D903" s="195"/>
      <c r="E903" s="195"/>
      <c r="F903" s="195"/>
      <c r="G903" s="195"/>
      <c r="H903" s="195"/>
    </row>
    <row r="904" spans="1:8" s="2" customFormat="1" ht="15.75" customHeight="1" x14ac:dyDescent="0.25">
      <c r="A904" s="195" t="s">
        <v>181</v>
      </c>
      <c r="B904" s="195"/>
      <c r="C904" s="195"/>
      <c r="D904" s="195"/>
      <c r="E904" s="195"/>
      <c r="F904" s="195"/>
      <c r="G904" s="195"/>
      <c r="H904" s="195"/>
    </row>
    <row r="905" spans="1:8" s="2" customFormat="1" x14ac:dyDescent="0.25">
      <c r="A905" s="133">
        <v>1</v>
      </c>
      <c r="B905" s="133"/>
      <c r="C905" s="21" t="s">
        <v>183</v>
      </c>
      <c r="D905" s="21">
        <f>(43.72+(2+2.77+2.05)*0.75+1.4*2.8)*10.764</f>
        <v>567.85482000000002</v>
      </c>
      <c r="E905" s="21">
        <f>3.02*1.5*10.764</f>
        <v>48.760919999999999</v>
      </c>
      <c r="F905" s="21">
        <f>D905*1.5+E905</f>
        <v>900.54314999999997</v>
      </c>
      <c r="G905" s="133" t="str">
        <f>A904</f>
        <v>1st, 3rd, 5th, 7th, 9th &amp; 11th Floor</v>
      </c>
      <c r="H905" s="133"/>
    </row>
    <row r="906" spans="1:8" s="2" customFormat="1" x14ac:dyDescent="0.25">
      <c r="A906" s="133">
        <v>2</v>
      </c>
      <c r="B906" s="133"/>
      <c r="C906" s="21" t="s">
        <v>183</v>
      </c>
      <c r="D906" s="21">
        <f>(44.18+(2+2.77+2.05)*0.75+1.5*2.8)*10.764</f>
        <v>575.82018000000005</v>
      </c>
      <c r="E906" s="21">
        <f>3.02*1.5*10.764</f>
        <v>48.760919999999999</v>
      </c>
      <c r="F906" s="21">
        <f>D906*1.5+E906</f>
        <v>912.49118999999996</v>
      </c>
      <c r="G906" s="133"/>
      <c r="H906" s="133"/>
    </row>
    <row r="907" spans="1:8" s="2" customFormat="1" x14ac:dyDescent="0.25">
      <c r="A907" s="133">
        <v>3</v>
      </c>
      <c r="B907" s="133"/>
      <c r="C907" s="21" t="s">
        <v>183</v>
      </c>
      <c r="D907" s="21">
        <f>(43.43+(2+2.77+2.05)*0.75+1.5*2.8)*10.764</f>
        <v>567.74718000000007</v>
      </c>
      <c r="E907" s="21">
        <f>3.02*1.5*10.764</f>
        <v>48.760919999999999</v>
      </c>
      <c r="F907" s="21">
        <f>D907*1.5+E907</f>
        <v>900.38169000000016</v>
      </c>
      <c r="G907" s="133"/>
      <c r="H907" s="133"/>
    </row>
    <row r="908" spans="1:8" s="2" customFormat="1" x14ac:dyDescent="0.25">
      <c r="A908" s="133">
        <v>4</v>
      </c>
      <c r="B908" s="133"/>
      <c r="C908" s="21" t="s">
        <v>183</v>
      </c>
      <c r="D908" s="21">
        <f>(43.87+(2+2.77+2.05)*0.75+1.35*2.8)*10.764</f>
        <v>567.96245999999996</v>
      </c>
      <c r="E908" s="21">
        <f>3.02*1.5*10.764</f>
        <v>48.760919999999999</v>
      </c>
      <c r="F908" s="21">
        <f>D908*1.5+E908</f>
        <v>900.70461</v>
      </c>
      <c r="G908" s="133"/>
      <c r="H908" s="133"/>
    </row>
    <row r="909" spans="1:8" s="27" customFormat="1" ht="15.75" customHeight="1" x14ac:dyDescent="0.25">
      <c r="A909" s="195" t="s">
        <v>184</v>
      </c>
      <c r="B909" s="195"/>
      <c r="C909" s="195"/>
      <c r="D909" s="195"/>
      <c r="E909" s="195"/>
      <c r="F909" s="195"/>
      <c r="G909" s="195"/>
      <c r="H909" s="195"/>
    </row>
    <row r="910" spans="1:8" s="2" customFormat="1" x14ac:dyDescent="0.25">
      <c r="A910" s="133">
        <v>1</v>
      </c>
      <c r="B910" s="133"/>
      <c r="C910" s="21" t="s">
        <v>183</v>
      </c>
      <c r="D910" s="21">
        <f>(43.72+(2+2.77+2.82)*0.75+1.4*2.8)*10.764</f>
        <v>574.07102999999995</v>
      </c>
      <c r="E910" s="21">
        <f>2.25*1.5*10.764</f>
        <v>36.328499999999998</v>
      </c>
      <c r="F910" s="21">
        <f>D910*1.5+E910</f>
        <v>897.43504499999983</v>
      </c>
      <c r="G910" s="134" t="str">
        <f>A909</f>
        <v>2nd, 4th, 6th, 10th, 12th &amp; 14th Floor</v>
      </c>
      <c r="H910" s="135"/>
    </row>
    <row r="911" spans="1:8" s="2" customFormat="1" x14ac:dyDescent="0.25">
      <c r="A911" s="133">
        <v>2</v>
      </c>
      <c r="B911" s="133"/>
      <c r="C911" s="21" t="s">
        <v>183</v>
      </c>
      <c r="D911" s="21">
        <f>(44.18+(2+2.77+2.82)*0.75+1.5*2.8)*10.764</f>
        <v>582.03638999999998</v>
      </c>
      <c r="E911" s="21">
        <f>2.25*1.5*10.764</f>
        <v>36.328499999999998</v>
      </c>
      <c r="F911" s="21">
        <f>D911*1.5+E911</f>
        <v>909.38308499999994</v>
      </c>
      <c r="G911" s="136"/>
      <c r="H911" s="137"/>
    </row>
    <row r="912" spans="1:8" s="2" customFormat="1" x14ac:dyDescent="0.25">
      <c r="A912" s="133">
        <v>3</v>
      </c>
      <c r="B912" s="133"/>
      <c r="C912" s="21" t="s">
        <v>183</v>
      </c>
      <c r="D912" s="21">
        <f>(43.43+(2+2.77+2.82)*0.75+1.5*2.8)*10.764</f>
        <v>573.96339</v>
      </c>
      <c r="E912" s="21">
        <f>2.25*1.5*10.764</f>
        <v>36.328499999999998</v>
      </c>
      <c r="F912" s="21">
        <f>D912*1.5+E912</f>
        <v>897.27358500000003</v>
      </c>
      <c r="G912" s="136"/>
      <c r="H912" s="137"/>
    </row>
    <row r="913" spans="1:8" s="2" customFormat="1" x14ac:dyDescent="0.25">
      <c r="A913" s="133">
        <v>4</v>
      </c>
      <c r="B913" s="133"/>
      <c r="C913" s="21" t="s">
        <v>183</v>
      </c>
      <c r="D913" s="21">
        <f>(43.87+(2+2.77+2.82)*0.75+1.35*2.8)*10.764</f>
        <v>574.17867000000001</v>
      </c>
      <c r="E913" s="21">
        <f>2.25*1.5*10.764</f>
        <v>36.328499999999998</v>
      </c>
      <c r="F913" s="21">
        <f>D913*1.5+E913</f>
        <v>897.59650499999998</v>
      </c>
      <c r="G913" s="138"/>
      <c r="H913" s="139"/>
    </row>
    <row r="914" spans="1:8" s="27" customFormat="1" ht="15.75" customHeight="1" x14ac:dyDescent="0.25">
      <c r="A914" s="144" t="s">
        <v>175</v>
      </c>
      <c r="B914" s="145"/>
      <c r="C914" s="145"/>
      <c r="D914" s="145"/>
      <c r="E914" s="145"/>
      <c r="F914" s="145"/>
      <c r="G914" s="145"/>
      <c r="H914" s="146"/>
    </row>
    <row r="915" spans="1:8" s="2" customFormat="1" x14ac:dyDescent="0.25">
      <c r="A915" s="133">
        <v>1</v>
      </c>
      <c r="B915" s="133"/>
      <c r="C915" s="140" t="s">
        <v>176</v>
      </c>
      <c r="D915" s="141"/>
      <c r="E915" s="141"/>
      <c r="F915" s="142"/>
      <c r="G915" s="134" t="str">
        <f>A914</f>
        <v>8th Floor(Part Refuge Area)</v>
      </c>
      <c r="H915" s="135"/>
    </row>
    <row r="916" spans="1:8" s="2" customFormat="1" x14ac:dyDescent="0.25">
      <c r="A916" s="133">
        <v>2</v>
      </c>
      <c r="B916" s="133"/>
      <c r="C916" s="21" t="s">
        <v>183</v>
      </c>
      <c r="D916" s="21">
        <f>(44.18+(2+2.77+2.82)*0.75+1.5*2.8)*10.764</f>
        <v>582.03638999999998</v>
      </c>
      <c r="E916" s="21">
        <f>2.25*1.5*10.764</f>
        <v>36.328499999999998</v>
      </c>
      <c r="F916" s="21">
        <f>D916*1.5+E916</f>
        <v>909.38308499999994</v>
      </c>
      <c r="G916" s="136"/>
      <c r="H916" s="137"/>
    </row>
    <row r="917" spans="1:8" s="2" customFormat="1" x14ac:dyDescent="0.25">
      <c r="A917" s="133">
        <v>3</v>
      </c>
      <c r="B917" s="133"/>
      <c r="C917" s="21" t="s">
        <v>183</v>
      </c>
      <c r="D917" s="21">
        <f>(43.43+(2+2.77+2.82)*0.75+1.5*2.8)*10.764</f>
        <v>573.96339</v>
      </c>
      <c r="E917" s="21">
        <f>2.25*1.5*10.764</f>
        <v>36.328499999999998</v>
      </c>
      <c r="F917" s="21">
        <f>D917*1.5+E917</f>
        <v>897.27358500000003</v>
      </c>
      <c r="G917" s="136"/>
      <c r="H917" s="137"/>
    </row>
    <row r="918" spans="1:8" s="2" customFormat="1" x14ac:dyDescent="0.25">
      <c r="A918" s="133">
        <v>4</v>
      </c>
      <c r="B918" s="133"/>
      <c r="C918" s="21" t="s">
        <v>183</v>
      </c>
      <c r="D918" s="21">
        <f>(43.87+(2+2.77+2.82)*0.75+1.35*2.8)*10.764</f>
        <v>574.17867000000001</v>
      </c>
      <c r="E918" s="21">
        <f>2.25*1.5*10.764</f>
        <v>36.328499999999998</v>
      </c>
      <c r="F918" s="21">
        <f>D918*1.5+E918</f>
        <v>897.59650499999998</v>
      </c>
      <c r="G918" s="138"/>
      <c r="H918" s="139"/>
    </row>
    <row r="919" spans="1:8" s="2" customFormat="1" ht="15.75" customHeight="1" x14ac:dyDescent="0.25">
      <c r="A919" s="144" t="s">
        <v>187</v>
      </c>
      <c r="B919" s="145"/>
      <c r="C919" s="145"/>
      <c r="D919" s="145"/>
      <c r="E919" s="145"/>
      <c r="F919" s="145"/>
      <c r="G919" s="145"/>
      <c r="H919" s="146"/>
    </row>
    <row r="920" spans="1:8" s="2" customFormat="1" x14ac:dyDescent="0.25">
      <c r="A920" s="133">
        <v>1</v>
      </c>
      <c r="B920" s="133"/>
      <c r="C920" s="21" t="s">
        <v>183</v>
      </c>
      <c r="D920" s="21">
        <f>(43.72+(2+2.77+2.05)*0.75+1.4*2.8)*10.764</f>
        <v>567.85482000000002</v>
      </c>
      <c r="E920" s="21">
        <f>3.02*1.5*10.764</f>
        <v>48.760919999999999</v>
      </c>
      <c r="F920" s="21">
        <f>D920*1.5+E920</f>
        <v>900.54314999999997</v>
      </c>
      <c r="G920" s="134" t="str">
        <f>A919</f>
        <v>13th Floor</v>
      </c>
      <c r="H920" s="135"/>
    </row>
    <row r="921" spans="1:8" s="2" customFormat="1" x14ac:dyDescent="0.25">
      <c r="A921" s="133">
        <v>2</v>
      </c>
      <c r="B921" s="133"/>
      <c r="C921" s="21" t="s">
        <v>183</v>
      </c>
      <c r="D921" s="21">
        <f>(44.18+(2+2.77+2.05)*0.75+1.5*2.8)*10.764</f>
        <v>575.82018000000005</v>
      </c>
      <c r="E921" s="21">
        <f>3.02*1.5*10.764</f>
        <v>48.760919999999999</v>
      </c>
      <c r="F921" s="21">
        <f>D921*1.5+E921</f>
        <v>912.49118999999996</v>
      </c>
      <c r="G921" s="136"/>
      <c r="H921" s="137"/>
    </row>
    <row r="922" spans="1:8" s="2" customFormat="1" x14ac:dyDescent="0.25">
      <c r="A922" s="133">
        <v>3</v>
      </c>
      <c r="B922" s="133"/>
      <c r="C922" s="21" t="s">
        <v>183</v>
      </c>
      <c r="D922" s="21">
        <f>(43.43+(2+2.77+2.05)*0.75+1.5*2.8)*10.764</f>
        <v>567.74718000000007</v>
      </c>
      <c r="E922" s="21">
        <f>3.02*1.5*10.764</f>
        <v>48.760919999999999</v>
      </c>
      <c r="F922" s="21">
        <f>D922*1.5+E922</f>
        <v>900.38169000000016</v>
      </c>
      <c r="G922" s="136"/>
      <c r="H922" s="137"/>
    </row>
    <row r="923" spans="1:8" s="2" customFormat="1" x14ac:dyDescent="0.25">
      <c r="A923" s="133">
        <v>4</v>
      </c>
      <c r="B923" s="133"/>
      <c r="C923" s="21" t="s">
        <v>183</v>
      </c>
      <c r="D923" s="21">
        <f>(43.87+(2+2.77+2.05)*0.75+1.35*2.8)*10.764</f>
        <v>567.96245999999996</v>
      </c>
      <c r="E923" s="21">
        <f>3.02*1.5*10.764</f>
        <v>48.760919999999999</v>
      </c>
      <c r="F923" s="21">
        <f>D923*1.5+E923</f>
        <v>900.70461</v>
      </c>
      <c r="G923" s="138"/>
      <c r="H923" s="139"/>
    </row>
    <row r="924" spans="1:8" s="2" customFormat="1" x14ac:dyDescent="0.25">
      <c r="A924" s="144" t="s">
        <v>185</v>
      </c>
      <c r="B924" s="145"/>
      <c r="C924" s="145"/>
      <c r="D924" s="145"/>
      <c r="E924" s="145"/>
      <c r="F924" s="145"/>
      <c r="G924" s="145"/>
      <c r="H924" s="146"/>
    </row>
    <row r="925" spans="1:8" s="2" customFormat="1" ht="15.75" customHeight="1" x14ac:dyDescent="0.25">
      <c r="A925" s="144" t="s">
        <v>179</v>
      </c>
      <c r="B925" s="145"/>
      <c r="C925" s="145"/>
      <c r="D925" s="145"/>
      <c r="E925" s="145"/>
      <c r="F925" s="145"/>
      <c r="G925" s="145"/>
      <c r="H925" s="146"/>
    </row>
    <row r="926" spans="1:8" s="2" customFormat="1" ht="15.75" customHeight="1" x14ac:dyDescent="0.25">
      <c r="A926" s="144" t="s">
        <v>181</v>
      </c>
      <c r="B926" s="145"/>
      <c r="C926" s="145"/>
      <c r="D926" s="145"/>
      <c r="E926" s="145"/>
      <c r="F926" s="145"/>
      <c r="G926" s="145"/>
      <c r="H926" s="146"/>
    </row>
    <row r="927" spans="1:8" s="2" customFormat="1" x14ac:dyDescent="0.25">
      <c r="A927" s="133">
        <v>1</v>
      </c>
      <c r="B927" s="133"/>
      <c r="C927" s="21" t="s">
        <v>183</v>
      </c>
      <c r="D927" s="21">
        <f>(44.18+(2+2.77+2.05)*0.75+1.4*2.8)*10.764</f>
        <v>572.80625999999995</v>
      </c>
      <c r="E927" s="21">
        <f>3.02*1.5*10.764</f>
        <v>48.760919999999999</v>
      </c>
      <c r="F927" s="21">
        <f>D927*1.5+E927</f>
        <v>907.97030999999993</v>
      </c>
      <c r="G927" s="134" t="str">
        <f>A926</f>
        <v>1st, 3rd, 5th, 7th, 9th &amp; 11th Floor</v>
      </c>
      <c r="H927" s="135"/>
    </row>
    <row r="928" spans="1:8" s="2" customFormat="1" x14ac:dyDescent="0.25">
      <c r="A928" s="133">
        <v>2</v>
      </c>
      <c r="B928" s="133"/>
      <c r="C928" s="21" t="s">
        <v>183</v>
      </c>
      <c r="D928" s="21">
        <f>(44.18+(2+2.77+2.05)*0.75+1.4*2.8)*10.764</f>
        <v>572.80625999999995</v>
      </c>
      <c r="E928" s="21">
        <f>3.02*1.5*10.764</f>
        <v>48.760919999999999</v>
      </c>
      <c r="F928" s="21">
        <f>D928*1.5+E928</f>
        <v>907.97030999999993</v>
      </c>
      <c r="G928" s="136"/>
      <c r="H928" s="137"/>
    </row>
    <row r="929" spans="1:8" s="2" customFormat="1" x14ac:dyDescent="0.25">
      <c r="A929" s="133">
        <v>3</v>
      </c>
      <c r="B929" s="133"/>
      <c r="C929" s="21" t="s">
        <v>183</v>
      </c>
      <c r="D929" s="21">
        <f>(44.18+(2+2.77+2.05)*0.75+1.4*2.8)*10.764</f>
        <v>572.80625999999995</v>
      </c>
      <c r="E929" s="21">
        <f>3.02*1.5*10.764</f>
        <v>48.760919999999999</v>
      </c>
      <c r="F929" s="21">
        <f>D929*1.5+E929</f>
        <v>907.97030999999993</v>
      </c>
      <c r="G929" s="136"/>
      <c r="H929" s="137"/>
    </row>
    <row r="930" spans="1:8" s="2" customFormat="1" x14ac:dyDescent="0.25">
      <c r="A930" s="133">
        <v>4</v>
      </c>
      <c r="B930" s="133"/>
      <c r="C930" s="21" t="s">
        <v>183</v>
      </c>
      <c r="D930" s="21">
        <f>(43.39+(2+2.77+2.05)*0.75+1.35*2.8)*10.764</f>
        <v>562.79574000000002</v>
      </c>
      <c r="E930" s="21">
        <f>3.02*1.5*10.764</f>
        <v>48.760919999999999</v>
      </c>
      <c r="F930" s="21">
        <f>D930*1.5+E930</f>
        <v>892.95452999999998</v>
      </c>
      <c r="G930" s="138"/>
      <c r="H930" s="139"/>
    </row>
    <row r="931" spans="1:8" s="27" customFormat="1" ht="15.75" customHeight="1" x14ac:dyDescent="0.25">
      <c r="A931" s="144" t="s">
        <v>184</v>
      </c>
      <c r="B931" s="145"/>
      <c r="C931" s="145"/>
      <c r="D931" s="145"/>
      <c r="E931" s="145"/>
      <c r="F931" s="145"/>
      <c r="G931" s="145"/>
      <c r="H931" s="146"/>
    </row>
    <row r="932" spans="1:8" s="2" customFormat="1" x14ac:dyDescent="0.25">
      <c r="A932" s="133">
        <v>1</v>
      </c>
      <c r="B932" s="133"/>
      <c r="C932" s="21" t="s">
        <v>183</v>
      </c>
      <c r="D932" s="21">
        <f>(44.18+(2+2.77+2.82)*0.75+1.4*2.8)*10.764</f>
        <v>579.02247</v>
      </c>
      <c r="E932" s="21">
        <f>2.25*1.5*10.764</f>
        <v>36.328499999999998</v>
      </c>
      <c r="F932" s="21">
        <f>D932*1.5+E932</f>
        <v>904.86220500000002</v>
      </c>
      <c r="G932" s="134" t="str">
        <f>A931</f>
        <v>2nd, 4th, 6th, 10th, 12th &amp; 14th Floor</v>
      </c>
      <c r="H932" s="135"/>
    </row>
    <row r="933" spans="1:8" s="2" customFormat="1" x14ac:dyDescent="0.25">
      <c r="A933" s="133">
        <v>2</v>
      </c>
      <c r="B933" s="133"/>
      <c r="C933" s="21" t="s">
        <v>183</v>
      </c>
      <c r="D933" s="21">
        <f>(44.18+(2+2.77+2.82)*0.75+1.4*2.8)*10.764</f>
        <v>579.02247</v>
      </c>
      <c r="E933" s="21">
        <f>2.25*1.5*10.764</f>
        <v>36.328499999999998</v>
      </c>
      <c r="F933" s="21">
        <f>D933*1.5+E933</f>
        <v>904.86220500000002</v>
      </c>
      <c r="G933" s="136"/>
      <c r="H933" s="137"/>
    </row>
    <row r="934" spans="1:8" s="2" customFormat="1" x14ac:dyDescent="0.25">
      <c r="A934" s="133">
        <v>3</v>
      </c>
      <c r="B934" s="133"/>
      <c r="C934" s="21" t="s">
        <v>183</v>
      </c>
      <c r="D934" s="21">
        <f>(44.18+(2+2.77+2.82)*0.75+1.4*2.8)*10.764</f>
        <v>579.02247</v>
      </c>
      <c r="E934" s="21">
        <f>2.25*1.5*10.764</f>
        <v>36.328499999999998</v>
      </c>
      <c r="F934" s="21">
        <f>D934*1.5+E934</f>
        <v>904.86220500000002</v>
      </c>
      <c r="G934" s="136"/>
      <c r="H934" s="137"/>
    </row>
    <row r="935" spans="1:8" s="2" customFormat="1" x14ac:dyDescent="0.25">
      <c r="A935" s="133">
        <v>4</v>
      </c>
      <c r="B935" s="133"/>
      <c r="C935" s="21" t="s">
        <v>183</v>
      </c>
      <c r="D935" s="21">
        <f>(43.39+(2+2.77+2.82)*0.75+1.35*2.8)*10.764</f>
        <v>569.01194999999996</v>
      </c>
      <c r="E935" s="21">
        <f>2.25*1.5*10.764</f>
        <v>36.328499999999998</v>
      </c>
      <c r="F935" s="21">
        <f>D935*1.5+E935</f>
        <v>889.84642499999984</v>
      </c>
      <c r="G935" s="138"/>
      <c r="H935" s="139"/>
    </row>
    <row r="936" spans="1:8" s="27" customFormat="1" ht="15.75" customHeight="1" x14ac:dyDescent="0.25">
      <c r="A936" s="144" t="s">
        <v>175</v>
      </c>
      <c r="B936" s="145"/>
      <c r="C936" s="145"/>
      <c r="D936" s="145"/>
      <c r="E936" s="145"/>
      <c r="F936" s="145"/>
      <c r="G936" s="145"/>
      <c r="H936" s="146"/>
    </row>
    <row r="937" spans="1:8" s="2" customFormat="1" x14ac:dyDescent="0.25">
      <c r="A937" s="133">
        <v>1</v>
      </c>
      <c r="B937" s="133"/>
      <c r="C937" s="21" t="s">
        <v>183</v>
      </c>
      <c r="D937" s="21">
        <f>(44.18+(2+2.77+2.82)*0.75+1.4*2.8)*10.764</f>
        <v>579.02247</v>
      </c>
      <c r="E937" s="21">
        <f>2.25*1.5*10.764</f>
        <v>36.328499999999998</v>
      </c>
      <c r="F937" s="21">
        <f>D937*1.5+E937</f>
        <v>904.86220500000002</v>
      </c>
      <c r="G937" s="134" t="str">
        <f>A936</f>
        <v>8th Floor(Part Refuge Area)</v>
      </c>
      <c r="H937" s="135"/>
    </row>
    <row r="938" spans="1:8" s="2" customFormat="1" x14ac:dyDescent="0.25">
      <c r="A938" s="133">
        <v>2</v>
      </c>
      <c r="B938" s="133"/>
      <c r="C938" s="140" t="s">
        <v>176</v>
      </c>
      <c r="D938" s="141"/>
      <c r="E938" s="141"/>
      <c r="F938" s="142"/>
      <c r="G938" s="136"/>
      <c r="H938" s="137"/>
    </row>
    <row r="939" spans="1:8" s="2" customFormat="1" x14ac:dyDescent="0.25">
      <c r="A939" s="133">
        <v>3</v>
      </c>
      <c r="B939" s="133"/>
      <c r="C939" s="21" t="s">
        <v>183</v>
      </c>
      <c r="D939" s="21">
        <f>(44.18+(2+2.77+2.82)*0.75+1.4*2.8)*10.764</f>
        <v>579.02247</v>
      </c>
      <c r="E939" s="21">
        <f>2.25*1.5*10.764</f>
        <v>36.328499999999998</v>
      </c>
      <c r="F939" s="21">
        <f>D939*1.5+E939</f>
        <v>904.86220500000002</v>
      </c>
      <c r="G939" s="136"/>
      <c r="H939" s="137"/>
    </row>
    <row r="940" spans="1:8" s="2" customFormat="1" x14ac:dyDescent="0.25">
      <c r="A940" s="133">
        <v>4</v>
      </c>
      <c r="B940" s="133"/>
      <c r="C940" s="21" t="s">
        <v>183</v>
      </c>
      <c r="D940" s="21">
        <f>(43.39+(2+2.77+2.82)*0.75+1.35*2.8)*10.764</f>
        <v>569.01194999999996</v>
      </c>
      <c r="E940" s="21">
        <f>2.25*1.5*10.764</f>
        <v>36.328499999999998</v>
      </c>
      <c r="F940" s="21">
        <f>D940*1.5+E940</f>
        <v>889.84642499999984</v>
      </c>
      <c r="G940" s="138"/>
      <c r="H940" s="139"/>
    </row>
    <row r="941" spans="1:8" s="2" customFormat="1" ht="15.75" customHeight="1" x14ac:dyDescent="0.25">
      <c r="A941" s="144" t="s">
        <v>177</v>
      </c>
      <c r="B941" s="145"/>
      <c r="C941" s="145"/>
      <c r="D941" s="145"/>
      <c r="E941" s="145"/>
      <c r="F941" s="145"/>
      <c r="G941" s="145"/>
      <c r="H941" s="146"/>
    </row>
    <row r="942" spans="1:8" s="2" customFormat="1" x14ac:dyDescent="0.25">
      <c r="A942" s="133">
        <v>1</v>
      </c>
      <c r="B942" s="133"/>
      <c r="C942" s="21" t="s">
        <v>183</v>
      </c>
      <c r="D942" s="21">
        <f>(44.18+(2+2.77+2.05)*0.75+1.4*2.8)*10.764</f>
        <v>572.80625999999995</v>
      </c>
      <c r="E942" s="21">
        <f>3.02*1.5*10.764</f>
        <v>48.760919999999999</v>
      </c>
      <c r="F942" s="21">
        <f>D942*1.5+E942</f>
        <v>907.97030999999993</v>
      </c>
      <c r="G942" s="134" t="str">
        <f>A941</f>
        <v>13th Floor(Part Refuge Area)</v>
      </c>
      <c r="H942" s="135"/>
    </row>
    <row r="943" spans="1:8" s="2" customFormat="1" x14ac:dyDescent="0.25">
      <c r="A943" s="133">
        <v>2</v>
      </c>
      <c r="B943" s="133"/>
      <c r="C943" s="21" t="s">
        <v>183</v>
      </c>
      <c r="D943" s="21">
        <f>(44.18+(2+2.77+2.05)*0.75+1.4*2.8)*10.764</f>
        <v>572.80625999999995</v>
      </c>
      <c r="E943" s="21">
        <f>3.02*1.5*10.764</f>
        <v>48.760919999999999</v>
      </c>
      <c r="F943" s="21">
        <f>D943*1.5+E943</f>
        <v>907.97030999999993</v>
      </c>
      <c r="G943" s="136"/>
      <c r="H943" s="137"/>
    </row>
    <row r="944" spans="1:8" s="2" customFormat="1" x14ac:dyDescent="0.25">
      <c r="A944" s="133">
        <v>3</v>
      </c>
      <c r="B944" s="133"/>
      <c r="C944" s="21" t="s">
        <v>183</v>
      </c>
      <c r="D944" s="21">
        <f>(44.18+(2+2.77+2.05)*0.75+1.4*2.8)*10.764</f>
        <v>572.80625999999995</v>
      </c>
      <c r="E944" s="21">
        <f>3.02*1.5*10.764</f>
        <v>48.760919999999999</v>
      </c>
      <c r="F944" s="21">
        <f>D944*1.5+E944</f>
        <v>907.97030999999993</v>
      </c>
      <c r="G944" s="136"/>
      <c r="H944" s="137"/>
    </row>
    <row r="945" spans="1:8" s="2" customFormat="1" x14ac:dyDescent="0.25">
      <c r="A945" s="133">
        <v>4</v>
      </c>
      <c r="B945" s="133"/>
      <c r="C945" s="21" t="s">
        <v>183</v>
      </c>
      <c r="D945" s="21">
        <f>(43.39+(2+2.77+2.05)*0.75+1.35*2.8)*10.764</f>
        <v>562.79574000000002</v>
      </c>
      <c r="E945" s="21">
        <f>3.02*1.5*10.764</f>
        <v>48.760919999999999</v>
      </c>
      <c r="F945" s="21">
        <f>D945*1.5+E945</f>
        <v>892.95452999999998</v>
      </c>
      <c r="G945" s="138"/>
      <c r="H945" s="139"/>
    </row>
    <row r="946" spans="1:8" s="2" customFormat="1" ht="15.75" customHeight="1" x14ac:dyDescent="0.25">
      <c r="A946" s="195" t="s">
        <v>194</v>
      </c>
      <c r="B946" s="195"/>
      <c r="C946" s="195"/>
      <c r="D946" s="195"/>
      <c r="E946" s="195"/>
      <c r="F946" s="195"/>
      <c r="G946" s="195"/>
      <c r="H946" s="195"/>
    </row>
    <row r="947" spans="1:8" s="2" customFormat="1" x14ac:dyDescent="0.25">
      <c r="A947" s="195" t="s">
        <v>195</v>
      </c>
      <c r="B947" s="195"/>
      <c r="C947" s="195"/>
      <c r="D947" s="195"/>
      <c r="E947" s="195"/>
      <c r="F947" s="195"/>
      <c r="G947" s="195"/>
      <c r="H947" s="195"/>
    </row>
    <row r="948" spans="1:8" s="2" customFormat="1" ht="15.75" customHeight="1" x14ac:dyDescent="0.25">
      <c r="A948" s="195" t="s">
        <v>179</v>
      </c>
      <c r="B948" s="195"/>
      <c r="C948" s="195"/>
      <c r="D948" s="195"/>
      <c r="E948" s="195"/>
      <c r="F948" s="195"/>
      <c r="G948" s="195"/>
      <c r="H948" s="195"/>
    </row>
    <row r="949" spans="1:8" s="2" customFormat="1" ht="15.75" customHeight="1" x14ac:dyDescent="0.25">
      <c r="A949" s="195" t="s">
        <v>230</v>
      </c>
      <c r="B949" s="195"/>
      <c r="C949" s="195"/>
      <c r="D949" s="195"/>
      <c r="E949" s="195"/>
      <c r="F949" s="195"/>
      <c r="G949" s="195"/>
      <c r="H949" s="195"/>
    </row>
    <row r="950" spans="1:8" s="2" customFormat="1" x14ac:dyDescent="0.25">
      <c r="A950" s="133">
        <v>1</v>
      </c>
      <c r="B950" s="133"/>
      <c r="C950" s="21" t="s">
        <v>168</v>
      </c>
      <c r="D950" s="21">
        <f>(28.64+1*3+(3+2)*0.75)*10.764</f>
        <v>380.93795999999998</v>
      </c>
      <c r="E950" s="21">
        <f>2.5*1.5*10.764</f>
        <v>40.364999999999995</v>
      </c>
      <c r="F950" s="21">
        <f t="shared" ref="F950:F955" si="41">D950*1.5+E950</f>
        <v>611.77193999999997</v>
      </c>
      <c r="G950" s="133" t="str">
        <f>A949</f>
        <v>1st, 3rd, 5th, 7th &amp; 9th Floor</v>
      </c>
      <c r="H950" s="133"/>
    </row>
    <row r="951" spans="1:8" s="2" customFormat="1" x14ac:dyDescent="0.25">
      <c r="A951" s="133">
        <v>2</v>
      </c>
      <c r="B951" s="133"/>
      <c r="C951" s="21" t="s">
        <v>168</v>
      </c>
      <c r="D951" s="21">
        <f>(28.64+1*3+(3+2)*0.75)*10.764</f>
        <v>380.93795999999998</v>
      </c>
      <c r="E951" s="21">
        <f>2.3*1.5*10.764</f>
        <v>37.135799999999996</v>
      </c>
      <c r="F951" s="21">
        <f t="shared" si="41"/>
        <v>608.54273999999998</v>
      </c>
      <c r="G951" s="133"/>
      <c r="H951" s="133"/>
    </row>
    <row r="952" spans="1:8" s="2" customFormat="1" x14ac:dyDescent="0.25">
      <c r="A952" s="133">
        <v>3</v>
      </c>
      <c r="B952" s="133"/>
      <c r="C952" s="21" t="s">
        <v>168</v>
      </c>
      <c r="D952" s="21">
        <f>(28.64+1*3+(3+2)*0.75)*10.764</f>
        <v>380.93795999999998</v>
      </c>
      <c r="E952" s="21">
        <f>2.3*1.5*10.764</f>
        <v>37.135799999999996</v>
      </c>
      <c r="F952" s="21">
        <f t="shared" si="41"/>
        <v>608.54273999999998</v>
      </c>
      <c r="G952" s="133"/>
      <c r="H952" s="133"/>
    </row>
    <row r="953" spans="1:8" s="2" customFormat="1" x14ac:dyDescent="0.25">
      <c r="A953" s="133">
        <v>4</v>
      </c>
      <c r="B953" s="133"/>
      <c r="C953" s="21" t="s">
        <v>168</v>
      </c>
      <c r="D953" s="21">
        <f>(28.34+1.1*3+(3+2)*0.75)*10.764</f>
        <v>380.93795999999998</v>
      </c>
      <c r="E953" s="21">
        <f>2.3*1.5*10.764</f>
        <v>37.135799999999996</v>
      </c>
      <c r="F953" s="21">
        <f t="shared" si="41"/>
        <v>608.54273999999998</v>
      </c>
      <c r="G953" s="133"/>
      <c r="H953" s="133"/>
    </row>
    <row r="954" spans="1:8" s="2" customFormat="1" x14ac:dyDescent="0.25">
      <c r="A954" s="133">
        <v>5</v>
      </c>
      <c r="B954" s="133"/>
      <c r="C954" s="21" t="s">
        <v>168</v>
      </c>
      <c r="D954" s="21">
        <f>(28.94+0.9*3+(3+2)*0.75)*10.764</f>
        <v>380.93795999999998</v>
      </c>
      <c r="E954" s="21">
        <f>2.3*1.5*10.764</f>
        <v>37.135799999999996</v>
      </c>
      <c r="F954" s="21">
        <f t="shared" si="41"/>
        <v>608.54273999999998</v>
      </c>
      <c r="G954" s="133"/>
      <c r="H954" s="133"/>
    </row>
    <row r="955" spans="1:8" s="2" customFormat="1" x14ac:dyDescent="0.25">
      <c r="A955" s="133">
        <v>6</v>
      </c>
      <c r="B955" s="133"/>
      <c r="C955" s="21" t="s">
        <v>168</v>
      </c>
      <c r="D955" s="21">
        <f>(28.34+1.1*3+(3+2)*0.75)*10.764</f>
        <v>380.93795999999998</v>
      </c>
      <c r="E955" s="21">
        <f>2.5*1.5*10.764</f>
        <v>40.364999999999995</v>
      </c>
      <c r="F955" s="21">
        <f t="shared" si="41"/>
        <v>611.77193999999997</v>
      </c>
      <c r="G955" s="133"/>
      <c r="H955" s="133"/>
    </row>
    <row r="956" spans="1:8" s="2" customFormat="1" ht="15.6" customHeight="1" x14ac:dyDescent="0.25">
      <c r="A956" s="144" t="s">
        <v>229</v>
      </c>
      <c r="B956" s="145"/>
      <c r="C956" s="145"/>
      <c r="D956" s="145"/>
      <c r="E956" s="145"/>
      <c r="F956" s="145"/>
      <c r="G956" s="145"/>
      <c r="H956" s="146"/>
    </row>
    <row r="957" spans="1:8" s="2" customFormat="1" x14ac:dyDescent="0.25">
      <c r="A957" s="133">
        <v>1</v>
      </c>
      <c r="B957" s="133"/>
      <c r="C957" s="21" t="s">
        <v>168</v>
      </c>
      <c r="D957" s="21">
        <f>(28.64+1*3+(2.3+2)*0.75)*10.764</f>
        <v>375.28685999999999</v>
      </c>
      <c r="E957" s="21">
        <f t="shared" ref="E957:E962" si="42">3*1.5*10.764</f>
        <v>48.437999999999995</v>
      </c>
      <c r="F957" s="21">
        <f t="shared" ref="F957:F962" si="43">D957*1.5+E957</f>
        <v>611.36829</v>
      </c>
      <c r="G957" s="134" t="str">
        <f>A956</f>
        <v>2nd, 4th &amp; 6th Floor</v>
      </c>
      <c r="H957" s="135"/>
    </row>
    <row r="958" spans="1:8" s="2" customFormat="1" x14ac:dyDescent="0.25">
      <c r="A958" s="133">
        <v>2</v>
      </c>
      <c r="B958" s="133"/>
      <c r="C958" s="21" t="s">
        <v>168</v>
      </c>
      <c r="D958" s="21">
        <f>(28.64+1*3+(2.33+2)*0.75)*10.764</f>
        <v>375.52904999999998</v>
      </c>
      <c r="E958" s="21">
        <f t="shared" si="42"/>
        <v>48.437999999999995</v>
      </c>
      <c r="F958" s="21">
        <f t="shared" si="43"/>
        <v>611.73157499999991</v>
      </c>
      <c r="G958" s="136"/>
      <c r="H958" s="137"/>
    </row>
    <row r="959" spans="1:8" s="2" customFormat="1" x14ac:dyDescent="0.25">
      <c r="A959" s="133">
        <v>3</v>
      </c>
      <c r="B959" s="133"/>
      <c r="C959" s="21" t="s">
        <v>168</v>
      </c>
      <c r="D959" s="21">
        <f>(28.64+1*3+(2.33+2)*0.75)*10.764</f>
        <v>375.52904999999998</v>
      </c>
      <c r="E959" s="21">
        <f t="shared" si="42"/>
        <v>48.437999999999995</v>
      </c>
      <c r="F959" s="21">
        <f t="shared" si="43"/>
        <v>611.73157499999991</v>
      </c>
      <c r="G959" s="136"/>
      <c r="H959" s="137"/>
    </row>
    <row r="960" spans="1:8" s="2" customFormat="1" x14ac:dyDescent="0.25">
      <c r="A960" s="133">
        <v>4</v>
      </c>
      <c r="B960" s="133"/>
      <c r="C960" s="21" t="s">
        <v>168</v>
      </c>
      <c r="D960" s="21">
        <f>(28.34+1.1*3+(2.33+2)*0.75)*10.764</f>
        <v>375.52904999999998</v>
      </c>
      <c r="E960" s="21">
        <f t="shared" si="42"/>
        <v>48.437999999999995</v>
      </c>
      <c r="F960" s="21">
        <f t="shared" si="43"/>
        <v>611.73157499999991</v>
      </c>
      <c r="G960" s="136"/>
      <c r="H960" s="137"/>
    </row>
    <row r="961" spans="1:8" s="2" customFormat="1" x14ac:dyDescent="0.25">
      <c r="A961" s="133">
        <v>5</v>
      </c>
      <c r="B961" s="133"/>
      <c r="C961" s="21" t="s">
        <v>168</v>
      </c>
      <c r="D961" s="21">
        <f>(28.94+0.9*3+(2.3+2)*0.75)*10.764</f>
        <v>375.28685999999999</v>
      </c>
      <c r="E961" s="21">
        <f t="shared" si="42"/>
        <v>48.437999999999995</v>
      </c>
      <c r="F961" s="21">
        <f t="shared" si="43"/>
        <v>611.36829</v>
      </c>
      <c r="G961" s="136"/>
      <c r="H961" s="137"/>
    </row>
    <row r="962" spans="1:8" s="2" customFormat="1" x14ac:dyDescent="0.25">
      <c r="A962" s="133">
        <v>6</v>
      </c>
      <c r="B962" s="133"/>
      <c r="C962" s="21" t="s">
        <v>168</v>
      </c>
      <c r="D962" s="21">
        <f>(28.64+1*3+(2.33+2)*0.75)*10.764</f>
        <v>375.52904999999998</v>
      </c>
      <c r="E962" s="21">
        <f t="shared" si="42"/>
        <v>48.437999999999995</v>
      </c>
      <c r="F962" s="21">
        <f t="shared" si="43"/>
        <v>611.73157499999991</v>
      </c>
      <c r="G962" s="138"/>
      <c r="H962" s="139"/>
    </row>
    <row r="963" spans="1:8" s="2" customFormat="1" ht="15.6" customHeight="1" x14ac:dyDescent="0.25">
      <c r="A963" s="144" t="s">
        <v>175</v>
      </c>
      <c r="B963" s="145"/>
      <c r="C963" s="145"/>
      <c r="D963" s="145"/>
      <c r="E963" s="145"/>
      <c r="F963" s="145"/>
      <c r="G963" s="145"/>
      <c r="H963" s="146"/>
    </row>
    <row r="964" spans="1:8" s="2" customFormat="1" x14ac:dyDescent="0.25">
      <c r="A964" s="133">
        <v>1</v>
      </c>
      <c r="B964" s="133"/>
      <c r="C964" s="21" t="s">
        <v>168</v>
      </c>
      <c r="D964" s="21">
        <f>(28.64+1*3+(2.3+2)*0.75)*10.764</f>
        <v>375.28685999999999</v>
      </c>
      <c r="E964" s="21">
        <f>3*1.5*10.764</f>
        <v>48.437999999999995</v>
      </c>
      <c r="F964" s="21">
        <f>D964*1.5+E964</f>
        <v>611.36829</v>
      </c>
      <c r="G964" s="134" t="str">
        <f>A963</f>
        <v>8th Floor(Part Refuge Area)</v>
      </c>
      <c r="H964" s="135"/>
    </row>
    <row r="965" spans="1:8" s="2" customFormat="1" x14ac:dyDescent="0.25">
      <c r="A965" s="133">
        <v>2</v>
      </c>
      <c r="B965" s="133"/>
      <c r="C965" s="21" t="s">
        <v>168</v>
      </c>
      <c r="D965" s="21">
        <f>(28.64+1*3+(2.33+2)*0.75)*10.764</f>
        <v>375.52904999999998</v>
      </c>
      <c r="E965" s="21">
        <f>3*1.5*10.764</f>
        <v>48.437999999999995</v>
      </c>
      <c r="F965" s="21">
        <f>D965*1.5+E965</f>
        <v>611.73157499999991</v>
      </c>
      <c r="G965" s="136"/>
      <c r="H965" s="137"/>
    </row>
    <row r="966" spans="1:8" s="2" customFormat="1" x14ac:dyDescent="0.25">
      <c r="A966" s="133">
        <v>3</v>
      </c>
      <c r="B966" s="133"/>
      <c r="C966" s="21" t="s">
        <v>168</v>
      </c>
      <c r="D966" s="21">
        <f>(28.64+1*3+(2.33+2)*0.75)*10.764</f>
        <v>375.52904999999998</v>
      </c>
      <c r="E966" s="21">
        <f>3*1.5*10.764</f>
        <v>48.437999999999995</v>
      </c>
      <c r="F966" s="21">
        <f>D966*1.5+E966</f>
        <v>611.73157499999991</v>
      </c>
      <c r="G966" s="136"/>
      <c r="H966" s="137"/>
    </row>
    <row r="967" spans="1:8" s="2" customFormat="1" x14ac:dyDescent="0.25">
      <c r="A967" s="133">
        <v>4</v>
      </c>
      <c r="B967" s="133"/>
      <c r="C967" s="21" t="s">
        <v>168</v>
      </c>
      <c r="D967" s="21">
        <f>(28.34+1.1*3+(2.33+2)*0.75)*10.764</f>
        <v>375.52904999999998</v>
      </c>
      <c r="E967" s="21">
        <f>3*1.5*10.764</f>
        <v>48.437999999999995</v>
      </c>
      <c r="F967" s="21">
        <f>D967*1.5+E967</f>
        <v>611.73157499999991</v>
      </c>
      <c r="G967" s="136"/>
      <c r="H967" s="137"/>
    </row>
    <row r="968" spans="1:8" s="2" customFormat="1" x14ac:dyDescent="0.25">
      <c r="A968" s="133">
        <v>5</v>
      </c>
      <c r="B968" s="133"/>
      <c r="C968" s="21" t="s">
        <v>168</v>
      </c>
      <c r="D968" s="21">
        <f>(28.94+0.9*3+(2.3+2)*0.75)*10.764</f>
        <v>375.28685999999999</v>
      </c>
      <c r="E968" s="21">
        <f>3*1.5*10.764</f>
        <v>48.437999999999995</v>
      </c>
      <c r="F968" s="21">
        <f>D968*1.5+E968</f>
        <v>611.36829</v>
      </c>
      <c r="G968" s="136"/>
      <c r="H968" s="137"/>
    </row>
    <row r="969" spans="1:8" s="2" customFormat="1" x14ac:dyDescent="0.25">
      <c r="A969" s="133">
        <v>6</v>
      </c>
      <c r="B969" s="133"/>
      <c r="C969" s="140" t="s">
        <v>176</v>
      </c>
      <c r="D969" s="141"/>
      <c r="E969" s="141"/>
      <c r="F969" s="142"/>
      <c r="G969" s="138"/>
      <c r="H969" s="139"/>
    </row>
    <row r="970" spans="1:8" s="2" customFormat="1" ht="15.6" customHeight="1" x14ac:dyDescent="0.25">
      <c r="A970" s="205" t="s">
        <v>261</v>
      </c>
      <c r="B970" s="206"/>
      <c r="C970" s="206"/>
      <c r="D970" s="206"/>
      <c r="E970" s="206"/>
      <c r="F970" s="206"/>
      <c r="G970" s="206"/>
      <c r="H970" s="207"/>
    </row>
    <row r="971" spans="1:8" s="2" customFormat="1" x14ac:dyDescent="0.25">
      <c r="A971" s="133">
        <v>1</v>
      </c>
      <c r="B971" s="133"/>
      <c r="C971" s="21" t="s">
        <v>168</v>
      </c>
      <c r="D971" s="21">
        <f>(28.64+1*3+(2.3+2)*0.75)*10.764</f>
        <v>375.28685999999999</v>
      </c>
      <c r="E971" s="21">
        <f t="shared" ref="E971:E976" si="44">3*1.5*10.764</f>
        <v>48.437999999999995</v>
      </c>
      <c r="F971" s="21">
        <f t="shared" ref="F971:F976" si="45">D971*1.5+E971</f>
        <v>611.36829</v>
      </c>
      <c r="G971" s="134" t="str">
        <f>A970</f>
        <v>10th Floor</v>
      </c>
      <c r="H971" s="135"/>
    </row>
    <row r="972" spans="1:8" s="2" customFormat="1" x14ac:dyDescent="0.25">
      <c r="A972" s="133">
        <v>2</v>
      </c>
      <c r="B972" s="133"/>
      <c r="C972" s="21" t="s">
        <v>168</v>
      </c>
      <c r="D972" s="21">
        <f>(28.64+1*3+(2.33+2)*0.75)*10.764</f>
        <v>375.52904999999998</v>
      </c>
      <c r="E972" s="21">
        <f t="shared" si="44"/>
        <v>48.437999999999995</v>
      </c>
      <c r="F972" s="21">
        <f t="shared" si="45"/>
        <v>611.73157499999991</v>
      </c>
      <c r="G972" s="136"/>
      <c r="H972" s="137"/>
    </row>
    <row r="973" spans="1:8" s="2" customFormat="1" x14ac:dyDescent="0.25">
      <c r="A973" s="133">
        <v>3</v>
      </c>
      <c r="B973" s="133"/>
      <c r="C973" s="21" t="s">
        <v>168</v>
      </c>
      <c r="D973" s="21">
        <f>(28.64+1*3+(2.33+2)*0.75)*10.764</f>
        <v>375.52904999999998</v>
      </c>
      <c r="E973" s="21">
        <f t="shared" si="44"/>
        <v>48.437999999999995</v>
      </c>
      <c r="F973" s="21">
        <f t="shared" si="45"/>
        <v>611.73157499999991</v>
      </c>
      <c r="G973" s="136"/>
      <c r="H973" s="137"/>
    </row>
    <row r="974" spans="1:8" s="2" customFormat="1" x14ac:dyDescent="0.25">
      <c r="A974" s="133">
        <v>4</v>
      </c>
      <c r="B974" s="133"/>
      <c r="C974" s="21" t="s">
        <v>168</v>
      </c>
      <c r="D974" s="21">
        <f>(28.34+1.1*3+(2.33+2)*0.75)*10.764</f>
        <v>375.52904999999998</v>
      </c>
      <c r="E974" s="21">
        <f t="shared" si="44"/>
        <v>48.437999999999995</v>
      </c>
      <c r="F974" s="21">
        <f t="shared" si="45"/>
        <v>611.73157499999991</v>
      </c>
      <c r="G974" s="136"/>
      <c r="H974" s="137"/>
    </row>
    <row r="975" spans="1:8" s="2" customFormat="1" x14ac:dyDescent="0.25">
      <c r="A975" s="133">
        <v>5</v>
      </c>
      <c r="B975" s="133"/>
      <c r="C975" s="21" t="s">
        <v>168</v>
      </c>
      <c r="D975" s="21">
        <f>(28.94+0.9*3+(2.3+2)*0.75)*10.764</f>
        <v>375.28685999999999</v>
      </c>
      <c r="E975" s="21">
        <f t="shared" si="44"/>
        <v>48.437999999999995</v>
      </c>
      <c r="F975" s="21">
        <f t="shared" si="45"/>
        <v>611.36829</v>
      </c>
      <c r="G975" s="136"/>
      <c r="H975" s="137"/>
    </row>
    <row r="976" spans="1:8" s="2" customFormat="1" x14ac:dyDescent="0.25">
      <c r="A976" s="133">
        <v>6</v>
      </c>
      <c r="B976" s="133"/>
      <c r="C976" s="21" t="s">
        <v>168</v>
      </c>
      <c r="D976" s="21">
        <f>(28.64+1*3+(2.33+2)*0.75)*10.764</f>
        <v>375.52904999999998</v>
      </c>
      <c r="E976" s="21">
        <f t="shared" si="44"/>
        <v>48.437999999999995</v>
      </c>
      <c r="F976" s="21">
        <f t="shared" si="45"/>
        <v>611.73157499999991</v>
      </c>
      <c r="G976" s="138"/>
      <c r="H976" s="139"/>
    </row>
    <row r="977" spans="1:8" s="2" customFormat="1" x14ac:dyDescent="0.25">
      <c r="A977" s="205" t="s">
        <v>262</v>
      </c>
      <c r="B977" s="206"/>
      <c r="C977" s="206"/>
      <c r="D977" s="206"/>
      <c r="E977" s="206"/>
      <c r="F977" s="206"/>
      <c r="G977" s="206"/>
      <c r="H977" s="207"/>
    </row>
    <row r="978" spans="1:8" s="2" customFormat="1" x14ac:dyDescent="0.25">
      <c r="A978" s="133">
        <v>1</v>
      </c>
      <c r="B978" s="133"/>
      <c r="C978" s="21" t="s">
        <v>168</v>
      </c>
      <c r="D978" s="21">
        <f>(28.64+1*3+(3+2)*0.75)*10.764</f>
        <v>380.93795999999998</v>
      </c>
      <c r="E978" s="21">
        <f>2.5*1.5*10.764</f>
        <v>40.364999999999995</v>
      </c>
      <c r="F978" s="21">
        <f t="shared" ref="F978:F983" si="46">D978*1.5+E978</f>
        <v>611.77193999999997</v>
      </c>
      <c r="G978" s="134" t="str">
        <f>A977</f>
        <v>11th Floor</v>
      </c>
      <c r="H978" s="135"/>
    </row>
    <row r="979" spans="1:8" s="2" customFormat="1" x14ac:dyDescent="0.25">
      <c r="A979" s="133">
        <v>2</v>
      </c>
      <c r="B979" s="133"/>
      <c r="C979" s="21" t="s">
        <v>168</v>
      </c>
      <c r="D979" s="21">
        <f>(28.64+1*3+(3+2)*0.75)*10.764</f>
        <v>380.93795999999998</v>
      </c>
      <c r="E979" s="21">
        <f>2.3*1.5*10.764</f>
        <v>37.135799999999996</v>
      </c>
      <c r="F979" s="21">
        <f t="shared" si="46"/>
        <v>608.54273999999998</v>
      </c>
      <c r="G979" s="136"/>
      <c r="H979" s="137"/>
    </row>
    <row r="980" spans="1:8" s="2" customFormat="1" x14ac:dyDescent="0.25">
      <c r="A980" s="133">
        <v>3</v>
      </c>
      <c r="B980" s="133"/>
      <c r="C980" s="21" t="s">
        <v>168</v>
      </c>
      <c r="D980" s="21">
        <f>(28.64+1*3+(3+2)*0.75)*10.764</f>
        <v>380.93795999999998</v>
      </c>
      <c r="E980" s="21">
        <f>2.3*1.5*10.764</f>
        <v>37.135799999999996</v>
      </c>
      <c r="F980" s="21">
        <f t="shared" si="46"/>
        <v>608.54273999999998</v>
      </c>
      <c r="G980" s="136"/>
      <c r="H980" s="137"/>
    </row>
    <row r="981" spans="1:8" s="2" customFormat="1" x14ac:dyDescent="0.25">
      <c r="A981" s="133">
        <v>4</v>
      </c>
      <c r="B981" s="133"/>
      <c r="C981" s="21" t="s">
        <v>168</v>
      </c>
      <c r="D981" s="21">
        <f>(28.34+1.1*3+(3+2)*0.75)*10.764</f>
        <v>380.93795999999998</v>
      </c>
      <c r="E981" s="21">
        <f>2.3*1.5*10.764</f>
        <v>37.135799999999996</v>
      </c>
      <c r="F981" s="21">
        <f t="shared" si="46"/>
        <v>608.54273999999998</v>
      </c>
      <c r="G981" s="136"/>
      <c r="H981" s="137"/>
    </row>
    <row r="982" spans="1:8" s="2" customFormat="1" x14ac:dyDescent="0.25">
      <c r="A982" s="133">
        <v>5</v>
      </c>
      <c r="B982" s="133"/>
      <c r="C982" s="21" t="s">
        <v>168</v>
      </c>
      <c r="D982" s="21">
        <f>(28.94+0.9*3+(3+2)*0.75)*10.764</f>
        <v>380.93795999999998</v>
      </c>
      <c r="E982" s="21">
        <f>2.3*1.5*10.764</f>
        <v>37.135799999999996</v>
      </c>
      <c r="F982" s="21">
        <f t="shared" si="46"/>
        <v>608.54273999999998</v>
      </c>
      <c r="G982" s="136"/>
      <c r="H982" s="137"/>
    </row>
    <row r="983" spans="1:8" s="2" customFormat="1" x14ac:dyDescent="0.25">
      <c r="A983" s="133">
        <v>6</v>
      </c>
      <c r="B983" s="133"/>
      <c r="C983" s="21" t="s">
        <v>168</v>
      </c>
      <c r="D983" s="21">
        <f>(28.34+1.1*3+(3+2)*0.75)*10.764</f>
        <v>380.93795999999998</v>
      </c>
      <c r="E983" s="21">
        <f>2.5*1.5*10.764</f>
        <v>40.364999999999995</v>
      </c>
      <c r="F983" s="21">
        <f t="shared" si="46"/>
        <v>611.77193999999997</v>
      </c>
      <c r="G983" s="138"/>
      <c r="H983" s="139"/>
    </row>
    <row r="984" spans="1:8" s="2" customFormat="1" ht="15.6" customHeight="1" x14ac:dyDescent="0.25">
      <c r="A984" s="144" t="s">
        <v>246</v>
      </c>
      <c r="B984" s="145"/>
      <c r="C984" s="145"/>
      <c r="D984" s="145"/>
      <c r="E984" s="145"/>
      <c r="F984" s="145"/>
      <c r="G984" s="145"/>
      <c r="H984" s="146"/>
    </row>
    <row r="985" spans="1:8" s="2" customFormat="1" x14ac:dyDescent="0.25">
      <c r="A985" s="133">
        <v>1</v>
      </c>
      <c r="B985" s="133"/>
      <c r="C985" s="21" t="s">
        <v>168</v>
      </c>
      <c r="D985" s="21">
        <f>(28.64+1*3+(2.3+2)*0.75)*10.764</f>
        <v>375.28685999999999</v>
      </c>
      <c r="E985" s="21">
        <f t="shared" ref="E985:E990" si="47">3*1.5*10.764</f>
        <v>48.437999999999995</v>
      </c>
      <c r="F985" s="21">
        <f t="shared" ref="F985:F990" si="48">D985*1.5+E985</f>
        <v>611.36829</v>
      </c>
      <c r="G985" s="134" t="str">
        <f>A984</f>
        <v>12th Floor</v>
      </c>
      <c r="H985" s="135"/>
    </row>
    <row r="986" spans="1:8" s="2" customFormat="1" x14ac:dyDescent="0.25">
      <c r="A986" s="133">
        <v>2</v>
      </c>
      <c r="B986" s="133"/>
      <c r="C986" s="21" t="s">
        <v>168</v>
      </c>
      <c r="D986" s="21">
        <f>(28.64+1*3+(2.33+2)*0.75)*10.764</f>
        <v>375.52904999999998</v>
      </c>
      <c r="E986" s="21">
        <f t="shared" si="47"/>
        <v>48.437999999999995</v>
      </c>
      <c r="F986" s="21">
        <f t="shared" si="48"/>
        <v>611.73157499999991</v>
      </c>
      <c r="G986" s="136"/>
      <c r="H986" s="137"/>
    </row>
    <row r="987" spans="1:8" s="2" customFormat="1" x14ac:dyDescent="0.25">
      <c r="A987" s="133">
        <v>3</v>
      </c>
      <c r="B987" s="133"/>
      <c r="C987" s="21" t="s">
        <v>168</v>
      </c>
      <c r="D987" s="21">
        <f>(28.64+1*3+(2.33+2)*0.75)*10.764</f>
        <v>375.52904999999998</v>
      </c>
      <c r="E987" s="21">
        <f t="shared" si="47"/>
        <v>48.437999999999995</v>
      </c>
      <c r="F987" s="21">
        <f t="shared" si="48"/>
        <v>611.73157499999991</v>
      </c>
      <c r="G987" s="136"/>
      <c r="H987" s="137"/>
    </row>
    <row r="988" spans="1:8" s="2" customFormat="1" x14ac:dyDescent="0.25">
      <c r="A988" s="133">
        <v>4</v>
      </c>
      <c r="B988" s="133"/>
      <c r="C988" s="21" t="s">
        <v>168</v>
      </c>
      <c r="D988" s="21">
        <f>(28.34+1.1*3+(2.33+2)*0.75)*10.764</f>
        <v>375.52904999999998</v>
      </c>
      <c r="E988" s="21">
        <f t="shared" si="47"/>
        <v>48.437999999999995</v>
      </c>
      <c r="F988" s="21">
        <f t="shared" si="48"/>
        <v>611.73157499999991</v>
      </c>
      <c r="G988" s="136"/>
      <c r="H988" s="137"/>
    </row>
    <row r="989" spans="1:8" s="2" customFormat="1" x14ac:dyDescent="0.25">
      <c r="A989" s="133">
        <v>5</v>
      </c>
      <c r="B989" s="133"/>
      <c r="C989" s="21" t="s">
        <v>168</v>
      </c>
      <c r="D989" s="21">
        <f>(28.94+0.9*3+(2.3+2)*0.75)*10.764</f>
        <v>375.28685999999999</v>
      </c>
      <c r="E989" s="21">
        <f t="shared" si="47"/>
        <v>48.437999999999995</v>
      </c>
      <c r="F989" s="21">
        <f t="shared" si="48"/>
        <v>611.36829</v>
      </c>
      <c r="G989" s="136"/>
      <c r="H989" s="137"/>
    </row>
    <row r="990" spans="1:8" s="2" customFormat="1" x14ac:dyDescent="0.25">
      <c r="A990" s="133">
        <v>6</v>
      </c>
      <c r="B990" s="133"/>
      <c r="C990" s="21" t="s">
        <v>168</v>
      </c>
      <c r="D990" s="21">
        <f>(28.64+1*3+(2.33+2)*0.75)*10.764</f>
        <v>375.52904999999998</v>
      </c>
      <c r="E990" s="21">
        <f t="shared" si="47"/>
        <v>48.437999999999995</v>
      </c>
      <c r="F990" s="21">
        <f t="shared" si="48"/>
        <v>611.73157499999991</v>
      </c>
      <c r="G990" s="138"/>
      <c r="H990" s="139"/>
    </row>
    <row r="991" spans="1:8" s="2" customFormat="1" ht="15.6" customHeight="1" x14ac:dyDescent="0.25">
      <c r="A991" s="144" t="s">
        <v>250</v>
      </c>
      <c r="B991" s="145"/>
      <c r="C991" s="145"/>
      <c r="D991" s="145"/>
      <c r="E991" s="145"/>
      <c r="F991" s="145"/>
      <c r="G991" s="145"/>
      <c r="H991" s="146"/>
    </row>
    <row r="992" spans="1:8" s="2" customFormat="1" x14ac:dyDescent="0.25">
      <c r="A992" s="133">
        <v>1</v>
      </c>
      <c r="B992" s="133"/>
      <c r="C992" s="21" t="s">
        <v>168</v>
      </c>
      <c r="D992" s="21">
        <f>(28.64+1*3+(2.3+2)*0.75)*10.764</f>
        <v>375.28685999999999</v>
      </c>
      <c r="E992" s="21">
        <f t="shared" ref="E992:E997" si="49">3*1.5*10.764</f>
        <v>48.437999999999995</v>
      </c>
      <c r="F992" s="21">
        <f t="shared" ref="F992:F997" si="50">D992*1.5+E992</f>
        <v>611.36829</v>
      </c>
      <c r="G992" s="134" t="str">
        <f>A991</f>
        <v>14th Floor</v>
      </c>
      <c r="H992" s="135"/>
    </row>
    <row r="993" spans="1:8" s="2" customFormat="1" x14ac:dyDescent="0.25">
      <c r="A993" s="133">
        <v>2</v>
      </c>
      <c r="B993" s="133"/>
      <c r="C993" s="21" t="s">
        <v>168</v>
      </c>
      <c r="D993" s="21">
        <f>(28.64+1*3+(2.33+2)*0.75)*10.764</f>
        <v>375.52904999999998</v>
      </c>
      <c r="E993" s="21">
        <f t="shared" si="49"/>
        <v>48.437999999999995</v>
      </c>
      <c r="F993" s="21">
        <f t="shared" si="50"/>
        <v>611.73157499999991</v>
      </c>
      <c r="G993" s="136"/>
      <c r="H993" s="137"/>
    </row>
    <row r="994" spans="1:8" s="2" customFormat="1" x14ac:dyDescent="0.25">
      <c r="A994" s="133">
        <v>3</v>
      </c>
      <c r="B994" s="133"/>
      <c r="C994" s="21" t="s">
        <v>168</v>
      </c>
      <c r="D994" s="21">
        <f>(28.64+1*3+(2.33+2)*0.75)*10.764</f>
        <v>375.52904999999998</v>
      </c>
      <c r="E994" s="21">
        <f t="shared" si="49"/>
        <v>48.437999999999995</v>
      </c>
      <c r="F994" s="21">
        <f t="shared" si="50"/>
        <v>611.73157499999991</v>
      </c>
      <c r="G994" s="136"/>
      <c r="H994" s="137"/>
    </row>
    <row r="995" spans="1:8" s="2" customFormat="1" x14ac:dyDescent="0.25">
      <c r="A995" s="133">
        <v>4</v>
      </c>
      <c r="B995" s="133"/>
      <c r="C995" s="21" t="s">
        <v>168</v>
      </c>
      <c r="D995" s="21">
        <f>(28.34+1.1*3+(2.33+2)*0.75)*10.764</f>
        <v>375.52904999999998</v>
      </c>
      <c r="E995" s="21">
        <f t="shared" si="49"/>
        <v>48.437999999999995</v>
      </c>
      <c r="F995" s="21">
        <f t="shared" si="50"/>
        <v>611.73157499999991</v>
      </c>
      <c r="G995" s="136"/>
      <c r="H995" s="137"/>
    </row>
    <row r="996" spans="1:8" s="2" customFormat="1" x14ac:dyDescent="0.25">
      <c r="A996" s="133">
        <v>5</v>
      </c>
      <c r="B996" s="133"/>
      <c r="C996" s="21" t="s">
        <v>168</v>
      </c>
      <c r="D996" s="21">
        <f>(28.94+0.9*3+(2.3+2)*0.75)*10.764</f>
        <v>375.28685999999999</v>
      </c>
      <c r="E996" s="21">
        <f t="shared" si="49"/>
        <v>48.437999999999995</v>
      </c>
      <c r="F996" s="21">
        <f t="shared" si="50"/>
        <v>611.36829</v>
      </c>
      <c r="G996" s="136"/>
      <c r="H996" s="137"/>
    </row>
    <row r="997" spans="1:8" s="2" customFormat="1" x14ac:dyDescent="0.25">
      <c r="A997" s="133">
        <v>6</v>
      </c>
      <c r="B997" s="133"/>
      <c r="C997" s="21" t="s">
        <v>168</v>
      </c>
      <c r="D997" s="21">
        <f>(28.64+1*3+(2.33+2)*0.75)*10.764</f>
        <v>375.52904999999998</v>
      </c>
      <c r="E997" s="21">
        <f t="shared" si="49"/>
        <v>48.437999999999995</v>
      </c>
      <c r="F997" s="21">
        <f t="shared" si="50"/>
        <v>611.73157499999991</v>
      </c>
      <c r="G997" s="138"/>
      <c r="H997" s="139"/>
    </row>
    <row r="998" spans="1:8" s="2" customFormat="1" x14ac:dyDescent="0.25">
      <c r="A998" s="144" t="s">
        <v>187</v>
      </c>
      <c r="B998" s="145"/>
      <c r="C998" s="145"/>
      <c r="D998" s="145"/>
      <c r="E998" s="145"/>
      <c r="F998" s="145"/>
      <c r="G998" s="145"/>
      <c r="H998" s="146"/>
    </row>
    <row r="999" spans="1:8" s="2" customFormat="1" x14ac:dyDescent="0.25">
      <c r="A999" s="133">
        <v>1</v>
      </c>
      <c r="B999" s="133"/>
      <c r="C999" s="21" t="s">
        <v>168</v>
      </c>
      <c r="D999" s="21">
        <f>(28.64+1*3+(3+2)*0.75)*10.764</f>
        <v>380.93795999999998</v>
      </c>
      <c r="E999" s="21">
        <f>2.5*1.5*10.764</f>
        <v>40.364999999999995</v>
      </c>
      <c r="F999" s="21">
        <f t="shared" ref="F999:F1003" si="51">D999*1.5+E999</f>
        <v>611.77193999999997</v>
      </c>
      <c r="G999" s="134" t="str">
        <f>A998</f>
        <v>13th Floor</v>
      </c>
      <c r="H999" s="135"/>
    </row>
    <row r="1000" spans="1:8" s="2" customFormat="1" x14ac:dyDescent="0.25">
      <c r="A1000" s="133">
        <v>2</v>
      </c>
      <c r="B1000" s="133"/>
      <c r="C1000" s="21" t="s">
        <v>168</v>
      </c>
      <c r="D1000" s="21">
        <f>(28.64+1*3+(3+2)*0.75)*10.764</f>
        <v>380.93795999999998</v>
      </c>
      <c r="E1000" s="21">
        <f>2.3*1.5*10.764</f>
        <v>37.135799999999996</v>
      </c>
      <c r="F1000" s="21">
        <f t="shared" si="51"/>
        <v>608.54273999999998</v>
      </c>
      <c r="G1000" s="136"/>
      <c r="H1000" s="137"/>
    </row>
    <row r="1001" spans="1:8" s="2" customFormat="1" x14ac:dyDescent="0.25">
      <c r="A1001" s="133">
        <v>3</v>
      </c>
      <c r="B1001" s="133"/>
      <c r="C1001" s="21" t="s">
        <v>168</v>
      </c>
      <c r="D1001" s="21">
        <f>(28.64+1*3+(3+2)*0.75)*10.764</f>
        <v>380.93795999999998</v>
      </c>
      <c r="E1001" s="21">
        <f>2.3*1.5*10.764</f>
        <v>37.135799999999996</v>
      </c>
      <c r="F1001" s="21">
        <f t="shared" si="51"/>
        <v>608.54273999999998</v>
      </c>
      <c r="G1001" s="136"/>
      <c r="H1001" s="137"/>
    </row>
    <row r="1002" spans="1:8" s="2" customFormat="1" x14ac:dyDescent="0.25">
      <c r="A1002" s="133">
        <v>4</v>
      </c>
      <c r="B1002" s="133"/>
      <c r="C1002" s="21" t="s">
        <v>168</v>
      </c>
      <c r="D1002" s="21">
        <f>(28.34+1.1*3+(3+2)*0.75)*10.764</f>
        <v>380.93795999999998</v>
      </c>
      <c r="E1002" s="21">
        <f>2.3*1.5*10.764</f>
        <v>37.135799999999996</v>
      </c>
      <c r="F1002" s="21">
        <f t="shared" si="51"/>
        <v>608.54273999999998</v>
      </c>
      <c r="G1002" s="136"/>
      <c r="H1002" s="137"/>
    </row>
    <row r="1003" spans="1:8" s="2" customFormat="1" x14ac:dyDescent="0.25">
      <c r="A1003" s="133">
        <v>5</v>
      </c>
      <c r="B1003" s="133"/>
      <c r="C1003" s="21" t="s">
        <v>168</v>
      </c>
      <c r="D1003" s="21">
        <f>(28.94+0.9*3+(3+2)*0.75)*10.764</f>
        <v>380.93795999999998</v>
      </c>
      <c r="E1003" s="21">
        <f>2.3*1.5*10.764</f>
        <v>37.135799999999996</v>
      </c>
      <c r="F1003" s="21">
        <f t="shared" si="51"/>
        <v>608.54273999999998</v>
      </c>
      <c r="G1003" s="136"/>
      <c r="H1003" s="137"/>
    </row>
    <row r="1004" spans="1:8" s="2" customFormat="1" x14ac:dyDescent="0.25">
      <c r="A1004" s="133">
        <v>6</v>
      </c>
      <c r="B1004" s="133"/>
      <c r="C1004" s="140" t="s">
        <v>176</v>
      </c>
      <c r="D1004" s="141"/>
      <c r="E1004" s="141"/>
      <c r="F1004" s="142"/>
      <c r="G1004" s="138"/>
      <c r="H1004" s="139"/>
    </row>
    <row r="1005" spans="1:8" s="2" customFormat="1" x14ac:dyDescent="0.25">
      <c r="A1005" s="144" t="s">
        <v>196</v>
      </c>
      <c r="B1005" s="145"/>
      <c r="C1005" s="145"/>
      <c r="D1005" s="145"/>
      <c r="E1005" s="145"/>
      <c r="F1005" s="145"/>
      <c r="G1005" s="145"/>
      <c r="H1005" s="146"/>
    </row>
    <row r="1006" spans="1:8" s="2" customFormat="1" ht="15.75" customHeight="1" x14ac:dyDescent="0.25">
      <c r="A1006" s="144" t="s">
        <v>179</v>
      </c>
      <c r="B1006" s="145"/>
      <c r="C1006" s="145"/>
      <c r="D1006" s="145"/>
      <c r="E1006" s="145"/>
      <c r="F1006" s="145"/>
      <c r="G1006" s="145"/>
      <c r="H1006" s="146"/>
    </row>
    <row r="1007" spans="1:8" s="2" customFormat="1" ht="15.75" customHeight="1" x14ac:dyDescent="0.25">
      <c r="A1007" s="144" t="s">
        <v>230</v>
      </c>
      <c r="B1007" s="145"/>
      <c r="C1007" s="145"/>
      <c r="D1007" s="145"/>
      <c r="E1007" s="145"/>
      <c r="F1007" s="145"/>
      <c r="G1007" s="145"/>
      <c r="H1007" s="146"/>
    </row>
    <row r="1008" spans="1:8" s="2" customFormat="1" x14ac:dyDescent="0.25">
      <c r="A1008" s="133">
        <v>1</v>
      </c>
      <c r="B1008" s="133"/>
      <c r="C1008" s="21" t="s">
        <v>168</v>
      </c>
      <c r="D1008" s="21">
        <f>(28.64+1*3+(3+2)*0.75)*10.764</f>
        <v>380.93795999999998</v>
      </c>
      <c r="E1008" s="21">
        <f>2.5*1.5*10.764</f>
        <v>40.364999999999995</v>
      </c>
      <c r="F1008" s="21">
        <f t="shared" ref="F1008:F1013" si="52">D1008*1.5+E1008</f>
        <v>611.77193999999997</v>
      </c>
      <c r="G1008" s="134" t="str">
        <f>A1007</f>
        <v>1st, 3rd, 5th, 7th &amp; 9th Floor</v>
      </c>
      <c r="H1008" s="135"/>
    </row>
    <row r="1009" spans="1:8" s="2" customFormat="1" x14ac:dyDescent="0.25">
      <c r="A1009" s="133">
        <v>2</v>
      </c>
      <c r="B1009" s="133"/>
      <c r="C1009" s="21" t="s">
        <v>168</v>
      </c>
      <c r="D1009" s="21">
        <f>(24.08+1.35*1.95+(2.75+1.95)*0.75)*10.764</f>
        <v>325.47644999999994</v>
      </c>
      <c r="E1009" s="21">
        <f>2*1.5*10.764</f>
        <v>32.292000000000002</v>
      </c>
      <c r="F1009" s="21">
        <f t="shared" si="52"/>
        <v>520.50667499999997</v>
      </c>
      <c r="G1009" s="136"/>
      <c r="H1009" s="137"/>
    </row>
    <row r="1010" spans="1:8" s="2" customFormat="1" x14ac:dyDescent="0.25">
      <c r="A1010" s="133">
        <v>3</v>
      </c>
      <c r="B1010" s="133"/>
      <c r="C1010" s="21" t="s">
        <v>168</v>
      </c>
      <c r="D1010" s="21">
        <f>(24.18+1.3*1.95+(2.75+1.95)*0.75)*10.764</f>
        <v>325.50335999999999</v>
      </c>
      <c r="E1010" s="21">
        <f>2*1.5*10.764</f>
        <v>32.292000000000002</v>
      </c>
      <c r="F1010" s="21">
        <f t="shared" si="52"/>
        <v>520.54704000000004</v>
      </c>
      <c r="G1010" s="136"/>
      <c r="H1010" s="137"/>
    </row>
    <row r="1011" spans="1:8" s="2" customFormat="1" x14ac:dyDescent="0.25">
      <c r="A1011" s="133">
        <v>4</v>
      </c>
      <c r="B1011" s="133"/>
      <c r="C1011" s="21" t="s">
        <v>168</v>
      </c>
      <c r="D1011" s="21">
        <f>(27.7+1*2.75+(2.75+2.05)*0.75)*10.764</f>
        <v>366.51419999999996</v>
      </c>
      <c r="E1011" s="21">
        <f>2.25*1.5*10.764</f>
        <v>36.328499999999998</v>
      </c>
      <c r="F1011" s="21">
        <f t="shared" si="52"/>
        <v>586.09979999999985</v>
      </c>
      <c r="G1011" s="136"/>
      <c r="H1011" s="137"/>
    </row>
    <row r="1012" spans="1:8" s="2" customFormat="1" x14ac:dyDescent="0.25">
      <c r="A1012" s="133">
        <v>5</v>
      </c>
      <c r="B1012" s="133"/>
      <c r="C1012" s="21" t="s">
        <v>168</v>
      </c>
      <c r="D1012" s="21">
        <f>(27.7+1*2.75+(2.75+2.05)*0.75)*10.764</f>
        <v>366.51419999999996</v>
      </c>
      <c r="E1012" s="21">
        <f>2.25*1.5*10.764</f>
        <v>36.328499999999998</v>
      </c>
      <c r="F1012" s="21">
        <f t="shared" si="52"/>
        <v>586.09979999999985</v>
      </c>
      <c r="G1012" s="136"/>
      <c r="H1012" s="137"/>
    </row>
    <row r="1013" spans="1:8" s="2" customFormat="1" x14ac:dyDescent="0.25">
      <c r="A1013" s="133">
        <v>6</v>
      </c>
      <c r="B1013" s="133"/>
      <c r="C1013" s="21" t="s">
        <v>168</v>
      </c>
      <c r="D1013" s="21">
        <f>(28.64+1*3+(3+2)*0.75)*10.764</f>
        <v>380.93795999999998</v>
      </c>
      <c r="E1013" s="21">
        <f>2.5*1.5*10.764</f>
        <v>40.364999999999995</v>
      </c>
      <c r="F1013" s="21">
        <f t="shared" si="52"/>
        <v>611.77193999999997</v>
      </c>
      <c r="G1013" s="138"/>
      <c r="H1013" s="139"/>
    </row>
    <row r="1014" spans="1:8" s="2" customFormat="1" ht="15.6" customHeight="1" x14ac:dyDescent="0.25">
      <c r="A1014" s="144" t="s">
        <v>229</v>
      </c>
      <c r="B1014" s="145"/>
      <c r="C1014" s="145"/>
      <c r="D1014" s="145"/>
      <c r="E1014" s="145"/>
      <c r="F1014" s="145"/>
      <c r="G1014" s="145"/>
      <c r="H1014" s="146"/>
    </row>
    <row r="1015" spans="1:8" s="2" customFormat="1" x14ac:dyDescent="0.25">
      <c r="A1015" s="133">
        <v>1</v>
      </c>
      <c r="B1015" s="133"/>
      <c r="C1015" s="21" t="s">
        <v>168</v>
      </c>
      <c r="D1015" s="21">
        <f>(28.64+1*3+(2.3+2)*0.75)*10.764</f>
        <v>375.28685999999999</v>
      </c>
      <c r="E1015" s="21">
        <f>3*1.5*10.764</f>
        <v>48.437999999999995</v>
      </c>
      <c r="F1015" s="21">
        <f t="shared" ref="F1015:F1020" si="53">D1015*1.5+E1015</f>
        <v>611.36829</v>
      </c>
      <c r="G1015" s="134" t="str">
        <f>A1014</f>
        <v>2nd, 4th &amp; 6th Floor</v>
      </c>
      <c r="H1015" s="135"/>
    </row>
    <row r="1016" spans="1:8" s="2" customFormat="1" x14ac:dyDescent="0.25">
      <c r="A1016" s="133">
        <v>2</v>
      </c>
      <c r="B1016" s="133"/>
      <c r="C1016" s="21" t="s">
        <v>168</v>
      </c>
      <c r="D1016" s="21">
        <f>(24.08+1.35*1.95+(2+1.95)*0.75)*10.764</f>
        <v>319.42169999999993</v>
      </c>
      <c r="E1016" s="21">
        <f>2.75*1.5*10.764</f>
        <v>44.401499999999999</v>
      </c>
      <c r="F1016" s="21">
        <f t="shared" si="53"/>
        <v>523.53404999999998</v>
      </c>
      <c r="G1016" s="136"/>
      <c r="H1016" s="137"/>
    </row>
    <row r="1017" spans="1:8" s="2" customFormat="1" x14ac:dyDescent="0.25">
      <c r="A1017" s="133">
        <v>3</v>
      </c>
      <c r="B1017" s="133"/>
      <c r="C1017" s="21" t="s">
        <v>168</v>
      </c>
      <c r="D1017" s="21">
        <f>(24.08+1.35*1.95+(2+1.95)*0.75)*10.764</f>
        <v>319.42169999999993</v>
      </c>
      <c r="E1017" s="21">
        <f>2.75*1.5*10.764</f>
        <v>44.401499999999999</v>
      </c>
      <c r="F1017" s="21">
        <f t="shared" si="53"/>
        <v>523.53404999999998</v>
      </c>
      <c r="G1017" s="136"/>
      <c r="H1017" s="137"/>
    </row>
    <row r="1018" spans="1:8" s="2" customFormat="1" x14ac:dyDescent="0.25">
      <c r="A1018" s="133">
        <v>4</v>
      </c>
      <c r="B1018" s="133"/>
      <c r="C1018" s="21" t="s">
        <v>168</v>
      </c>
      <c r="D1018" s="21">
        <f>(27.7+1*2.75+(2.25+2.05)*0.75)*10.764</f>
        <v>362.47769999999997</v>
      </c>
      <c r="E1018" s="21">
        <f>2.75*1.5*10.764</f>
        <v>44.401499999999999</v>
      </c>
      <c r="F1018" s="21">
        <f t="shared" si="53"/>
        <v>588.11805000000004</v>
      </c>
      <c r="G1018" s="136"/>
      <c r="H1018" s="137"/>
    </row>
    <row r="1019" spans="1:8" s="2" customFormat="1" x14ac:dyDescent="0.25">
      <c r="A1019" s="133">
        <v>5</v>
      </c>
      <c r="B1019" s="133"/>
      <c r="C1019" s="21" t="s">
        <v>168</v>
      </c>
      <c r="D1019" s="21">
        <f>(27.7+1*2.75+(2.25+2.05)*0.75)*10.764</f>
        <v>362.47769999999997</v>
      </c>
      <c r="E1019" s="21">
        <f>2.75*1.5*10.764</f>
        <v>44.401499999999999</v>
      </c>
      <c r="F1019" s="21">
        <f t="shared" si="53"/>
        <v>588.11805000000004</v>
      </c>
      <c r="G1019" s="136"/>
      <c r="H1019" s="137"/>
    </row>
    <row r="1020" spans="1:8" s="2" customFormat="1" x14ac:dyDescent="0.25">
      <c r="A1020" s="133">
        <v>6</v>
      </c>
      <c r="B1020" s="133"/>
      <c r="C1020" s="21" t="s">
        <v>168</v>
      </c>
      <c r="D1020" s="21">
        <f>(28.64+1*3+(2.3+2)*0.75)*10.764</f>
        <v>375.28685999999999</v>
      </c>
      <c r="E1020" s="21">
        <f>3*1.5*10.764</f>
        <v>48.437999999999995</v>
      </c>
      <c r="F1020" s="21">
        <f t="shared" si="53"/>
        <v>611.36829</v>
      </c>
      <c r="G1020" s="138"/>
      <c r="H1020" s="139"/>
    </row>
    <row r="1021" spans="1:8" s="2" customFormat="1" ht="15.6" customHeight="1" x14ac:dyDescent="0.25">
      <c r="A1021" s="144" t="s">
        <v>175</v>
      </c>
      <c r="B1021" s="145"/>
      <c r="C1021" s="145"/>
      <c r="D1021" s="145"/>
      <c r="E1021" s="145"/>
      <c r="F1021" s="145"/>
      <c r="G1021" s="145"/>
      <c r="H1021" s="146"/>
    </row>
    <row r="1022" spans="1:8" s="2" customFormat="1" x14ac:dyDescent="0.25">
      <c r="A1022" s="133">
        <v>1</v>
      </c>
      <c r="B1022" s="133"/>
      <c r="C1022" s="140" t="s">
        <v>176</v>
      </c>
      <c r="D1022" s="141"/>
      <c r="E1022" s="141"/>
      <c r="F1022" s="142"/>
      <c r="G1022" s="134" t="str">
        <f>A1021</f>
        <v>8th Floor(Part Refuge Area)</v>
      </c>
      <c r="H1022" s="135"/>
    </row>
    <row r="1023" spans="1:8" s="2" customFormat="1" x14ac:dyDescent="0.25">
      <c r="A1023" s="133">
        <v>2</v>
      </c>
      <c r="B1023" s="133"/>
      <c r="C1023" s="21" t="s">
        <v>168</v>
      </c>
      <c r="D1023" s="21">
        <f>(24.08+1.35*1.95+(2+1.95)*0.75)*10.764</f>
        <v>319.42169999999993</v>
      </c>
      <c r="E1023" s="21">
        <f>2.75*1.5*10.764</f>
        <v>44.401499999999999</v>
      </c>
      <c r="F1023" s="21">
        <f>D1023*1.5+E1023</f>
        <v>523.53404999999998</v>
      </c>
      <c r="G1023" s="136"/>
      <c r="H1023" s="137"/>
    </row>
    <row r="1024" spans="1:8" s="2" customFormat="1" x14ac:dyDescent="0.25">
      <c r="A1024" s="133">
        <v>3</v>
      </c>
      <c r="B1024" s="133"/>
      <c r="C1024" s="21" t="s">
        <v>168</v>
      </c>
      <c r="D1024" s="21">
        <f>(24.08+1.35*1.95+(2+1.95)*0.75)*10.764</f>
        <v>319.42169999999993</v>
      </c>
      <c r="E1024" s="21">
        <f>2.75*1.5*10.764</f>
        <v>44.401499999999999</v>
      </c>
      <c r="F1024" s="21">
        <f>D1024*1.5+E1024</f>
        <v>523.53404999999998</v>
      </c>
      <c r="G1024" s="136"/>
      <c r="H1024" s="137"/>
    </row>
    <row r="1025" spans="1:8" s="2" customFormat="1" x14ac:dyDescent="0.25">
      <c r="A1025" s="133">
        <v>4</v>
      </c>
      <c r="B1025" s="133"/>
      <c r="C1025" s="21" t="s">
        <v>168</v>
      </c>
      <c r="D1025" s="21">
        <f>(27.7+1*2.75+(2.25+2.05)*0.75)*10.764</f>
        <v>362.47769999999997</v>
      </c>
      <c r="E1025" s="21">
        <f>2.75*1.5*10.764</f>
        <v>44.401499999999999</v>
      </c>
      <c r="F1025" s="21">
        <f>D1025*1.5+E1025</f>
        <v>588.11805000000004</v>
      </c>
      <c r="G1025" s="136"/>
      <c r="H1025" s="137"/>
    </row>
    <row r="1026" spans="1:8" s="2" customFormat="1" x14ac:dyDescent="0.25">
      <c r="A1026" s="133">
        <v>5</v>
      </c>
      <c r="B1026" s="133"/>
      <c r="C1026" s="21" t="s">
        <v>168</v>
      </c>
      <c r="D1026" s="21">
        <f>(27.7+1*2.75+(2.25+2.05)*0.75)*10.764</f>
        <v>362.47769999999997</v>
      </c>
      <c r="E1026" s="21">
        <f>2.75*1.5*10.764</f>
        <v>44.401499999999999</v>
      </c>
      <c r="F1026" s="21">
        <f>D1026*1.5+E1026</f>
        <v>588.11805000000004</v>
      </c>
      <c r="G1026" s="136"/>
      <c r="H1026" s="137"/>
    </row>
    <row r="1027" spans="1:8" s="2" customFormat="1" x14ac:dyDescent="0.25">
      <c r="A1027" s="133">
        <v>6</v>
      </c>
      <c r="B1027" s="133"/>
      <c r="C1027" s="140" t="s">
        <v>176</v>
      </c>
      <c r="D1027" s="141"/>
      <c r="E1027" s="141"/>
      <c r="F1027" s="142"/>
      <c r="G1027" s="138"/>
      <c r="H1027" s="139"/>
    </row>
    <row r="1028" spans="1:8" s="2" customFormat="1" ht="15.6" customHeight="1" x14ac:dyDescent="0.25">
      <c r="A1028" s="144" t="s">
        <v>261</v>
      </c>
      <c r="B1028" s="145"/>
      <c r="C1028" s="145"/>
      <c r="D1028" s="145"/>
      <c r="E1028" s="145"/>
      <c r="F1028" s="145"/>
      <c r="G1028" s="145"/>
      <c r="H1028" s="146"/>
    </row>
    <row r="1029" spans="1:8" s="2" customFormat="1" x14ac:dyDescent="0.25">
      <c r="A1029" s="133">
        <v>1</v>
      </c>
      <c r="B1029" s="133"/>
      <c r="C1029" s="21" t="s">
        <v>168</v>
      </c>
      <c r="D1029" s="21">
        <f>(28.64+1*3+(2.3+2)*0.75)*10.764</f>
        <v>375.28685999999999</v>
      </c>
      <c r="E1029" s="21">
        <f>3*1.5*10.764</f>
        <v>48.437999999999995</v>
      </c>
      <c r="F1029" s="21">
        <f t="shared" ref="F1029:F1034" si="54">D1029*1.5+E1029</f>
        <v>611.36829</v>
      </c>
      <c r="G1029" s="134" t="str">
        <f>A1028</f>
        <v>10th Floor</v>
      </c>
      <c r="H1029" s="135"/>
    </row>
    <row r="1030" spans="1:8" s="2" customFormat="1" x14ac:dyDescent="0.25">
      <c r="A1030" s="133">
        <v>2</v>
      </c>
      <c r="B1030" s="133"/>
      <c r="C1030" s="21" t="s">
        <v>168</v>
      </c>
      <c r="D1030" s="21">
        <f>(24.08+1.35*1.95+(2+1.95)*0.75)*10.764</f>
        <v>319.42169999999993</v>
      </c>
      <c r="E1030" s="21">
        <f>2.75*1.5*10.764</f>
        <v>44.401499999999999</v>
      </c>
      <c r="F1030" s="21">
        <f t="shared" si="54"/>
        <v>523.53404999999998</v>
      </c>
      <c r="G1030" s="136"/>
      <c r="H1030" s="137"/>
    </row>
    <row r="1031" spans="1:8" s="2" customFormat="1" x14ac:dyDescent="0.25">
      <c r="A1031" s="133">
        <v>3</v>
      </c>
      <c r="B1031" s="133"/>
      <c r="C1031" s="21" t="s">
        <v>168</v>
      </c>
      <c r="D1031" s="21">
        <f>(24.08+1.35*1.95+(2+1.95)*0.75)*10.764</f>
        <v>319.42169999999993</v>
      </c>
      <c r="E1031" s="21">
        <f>2.75*1.5*10.764</f>
        <v>44.401499999999999</v>
      </c>
      <c r="F1031" s="21">
        <f t="shared" si="54"/>
        <v>523.53404999999998</v>
      </c>
      <c r="G1031" s="136"/>
      <c r="H1031" s="137"/>
    </row>
    <row r="1032" spans="1:8" s="2" customFormat="1" x14ac:dyDescent="0.25">
      <c r="A1032" s="133">
        <v>4</v>
      </c>
      <c r="B1032" s="133"/>
      <c r="C1032" s="21" t="s">
        <v>168</v>
      </c>
      <c r="D1032" s="21">
        <f>(27.7+1*2.75+(2.25+2.05)*0.75)*10.764</f>
        <v>362.47769999999997</v>
      </c>
      <c r="E1032" s="21">
        <f>2.75*1.5*10.764</f>
        <v>44.401499999999999</v>
      </c>
      <c r="F1032" s="21">
        <f t="shared" si="54"/>
        <v>588.11805000000004</v>
      </c>
      <c r="G1032" s="136"/>
      <c r="H1032" s="137"/>
    </row>
    <row r="1033" spans="1:8" s="2" customFormat="1" x14ac:dyDescent="0.25">
      <c r="A1033" s="133">
        <v>5</v>
      </c>
      <c r="B1033" s="133"/>
      <c r="C1033" s="21" t="s">
        <v>168</v>
      </c>
      <c r="D1033" s="21">
        <f>(27.7+1*2.75+(2.25+2.05)*0.75)*10.764</f>
        <v>362.47769999999997</v>
      </c>
      <c r="E1033" s="21">
        <f>2.75*1.5*10.764</f>
        <v>44.401499999999999</v>
      </c>
      <c r="F1033" s="21">
        <f t="shared" si="54"/>
        <v>588.11805000000004</v>
      </c>
      <c r="G1033" s="136"/>
      <c r="H1033" s="137"/>
    </row>
    <row r="1034" spans="1:8" s="2" customFormat="1" x14ac:dyDescent="0.25">
      <c r="A1034" s="133">
        <v>6</v>
      </c>
      <c r="B1034" s="133"/>
      <c r="C1034" s="21" t="s">
        <v>168</v>
      </c>
      <c r="D1034" s="21">
        <f>(28.64+1*3+(2.3+2)*0.75)*10.764</f>
        <v>375.28685999999999</v>
      </c>
      <c r="E1034" s="21">
        <f>3*1.5*10.764</f>
        <v>48.437999999999995</v>
      </c>
      <c r="F1034" s="21">
        <f t="shared" si="54"/>
        <v>611.36829</v>
      </c>
      <c r="G1034" s="138"/>
      <c r="H1034" s="139"/>
    </row>
    <row r="1035" spans="1:8" s="2" customFormat="1" x14ac:dyDescent="0.25">
      <c r="A1035" s="237" t="s">
        <v>262</v>
      </c>
      <c r="B1035" s="237"/>
      <c r="C1035" s="237"/>
      <c r="D1035" s="237"/>
      <c r="E1035" s="237"/>
      <c r="F1035" s="237"/>
      <c r="G1035" s="237"/>
      <c r="H1035" s="237"/>
    </row>
    <row r="1036" spans="1:8" s="2" customFormat="1" x14ac:dyDescent="0.25">
      <c r="A1036" s="133">
        <v>1</v>
      </c>
      <c r="B1036" s="133"/>
      <c r="C1036" s="21" t="s">
        <v>168</v>
      </c>
      <c r="D1036" s="21">
        <f>(28.64+1*3+(3+2)*0.75)*10.764</f>
        <v>380.93795999999998</v>
      </c>
      <c r="E1036" s="21">
        <f>2.5*1.5*10.764</f>
        <v>40.364999999999995</v>
      </c>
      <c r="F1036" s="21">
        <f t="shared" ref="F1036:F1041" si="55">D1036*1.5+E1036</f>
        <v>611.77193999999997</v>
      </c>
      <c r="G1036" s="133" t="str">
        <f>A1035</f>
        <v>11th Floor</v>
      </c>
      <c r="H1036" s="133"/>
    </row>
    <row r="1037" spans="1:8" s="2" customFormat="1" x14ac:dyDescent="0.25">
      <c r="A1037" s="133">
        <v>2</v>
      </c>
      <c r="B1037" s="133"/>
      <c r="C1037" s="21" t="s">
        <v>168</v>
      </c>
      <c r="D1037" s="21">
        <f>(24.08+1.35*1.95+(2.75+1.95)*0.75)*10.764</f>
        <v>325.47644999999994</v>
      </c>
      <c r="E1037" s="21">
        <f>2*1.5*10.764</f>
        <v>32.292000000000002</v>
      </c>
      <c r="F1037" s="21">
        <f t="shared" si="55"/>
        <v>520.50667499999997</v>
      </c>
      <c r="G1037" s="133"/>
      <c r="H1037" s="133"/>
    </row>
    <row r="1038" spans="1:8" s="2" customFormat="1" x14ac:dyDescent="0.25">
      <c r="A1038" s="133">
        <v>3</v>
      </c>
      <c r="B1038" s="133"/>
      <c r="C1038" s="21" t="s">
        <v>168</v>
      </c>
      <c r="D1038" s="21">
        <f>(24.18+1.3*1.95+(2.75+1.95)*0.75)*10.764</f>
        <v>325.50335999999999</v>
      </c>
      <c r="E1038" s="21">
        <f>2*1.5*10.764</f>
        <v>32.292000000000002</v>
      </c>
      <c r="F1038" s="21">
        <f t="shared" si="55"/>
        <v>520.54704000000004</v>
      </c>
      <c r="G1038" s="133"/>
      <c r="H1038" s="133"/>
    </row>
    <row r="1039" spans="1:8" s="2" customFormat="1" x14ac:dyDescent="0.25">
      <c r="A1039" s="133">
        <v>4</v>
      </c>
      <c r="B1039" s="133"/>
      <c r="C1039" s="21" t="s">
        <v>168</v>
      </c>
      <c r="D1039" s="21">
        <f>(27.7+1*2.75+(2.75+2.05)*0.75)*10.764</f>
        <v>366.51419999999996</v>
      </c>
      <c r="E1039" s="21">
        <f>2.25*1.5*10.764</f>
        <v>36.328499999999998</v>
      </c>
      <c r="F1039" s="21">
        <f t="shared" si="55"/>
        <v>586.09979999999985</v>
      </c>
      <c r="G1039" s="133"/>
      <c r="H1039" s="133"/>
    </row>
    <row r="1040" spans="1:8" s="2" customFormat="1" x14ac:dyDescent="0.25">
      <c r="A1040" s="133">
        <v>5</v>
      </c>
      <c r="B1040" s="133"/>
      <c r="C1040" s="21" t="s">
        <v>168</v>
      </c>
      <c r="D1040" s="21">
        <f>(27.7+1*2.75+(2.75+2.05)*0.75)*10.764</f>
        <v>366.51419999999996</v>
      </c>
      <c r="E1040" s="21">
        <f>2.25*1.5*10.764</f>
        <v>36.328499999999998</v>
      </c>
      <c r="F1040" s="21">
        <f t="shared" si="55"/>
        <v>586.09979999999985</v>
      </c>
      <c r="G1040" s="133"/>
      <c r="H1040" s="133"/>
    </row>
    <row r="1041" spans="1:8" s="2" customFormat="1" x14ac:dyDescent="0.25">
      <c r="A1041" s="133">
        <v>6</v>
      </c>
      <c r="B1041" s="133"/>
      <c r="C1041" s="21" t="s">
        <v>168</v>
      </c>
      <c r="D1041" s="21">
        <f>(28.64+1*3+(3+2)*0.75)*10.764</f>
        <v>380.93795999999998</v>
      </c>
      <c r="E1041" s="21">
        <f>2.5*1.5*10.764</f>
        <v>40.364999999999995</v>
      </c>
      <c r="F1041" s="21">
        <f t="shared" si="55"/>
        <v>611.77193999999997</v>
      </c>
      <c r="G1041" s="133"/>
      <c r="H1041" s="133"/>
    </row>
    <row r="1042" spans="1:8" s="2" customFormat="1" ht="15.6" customHeight="1" x14ac:dyDescent="0.25">
      <c r="A1042" s="195" t="s">
        <v>247</v>
      </c>
      <c r="B1042" s="195"/>
      <c r="C1042" s="195"/>
      <c r="D1042" s="195"/>
      <c r="E1042" s="195"/>
      <c r="F1042" s="195"/>
      <c r="G1042" s="195"/>
      <c r="H1042" s="195"/>
    </row>
    <row r="1043" spans="1:8" s="2" customFormat="1" x14ac:dyDescent="0.25">
      <c r="A1043" s="133">
        <v>1</v>
      </c>
      <c r="B1043" s="133"/>
      <c r="C1043" s="21" t="s">
        <v>168</v>
      </c>
      <c r="D1043" s="21">
        <f>(28.64+1*3+(2.3+2)*0.75)*10.764</f>
        <v>375.28685999999999</v>
      </c>
      <c r="E1043" s="21">
        <f>3*1.5*10.764</f>
        <v>48.437999999999995</v>
      </c>
      <c r="F1043" s="21">
        <f t="shared" ref="F1043:F1048" si="56">D1043*1.5+E1043</f>
        <v>611.36829</v>
      </c>
      <c r="G1043" s="133" t="str">
        <f>A1042</f>
        <v>12th &amp; 14th Floor</v>
      </c>
      <c r="H1043" s="133"/>
    </row>
    <row r="1044" spans="1:8" s="2" customFormat="1" x14ac:dyDescent="0.25">
      <c r="A1044" s="133">
        <v>2</v>
      </c>
      <c r="B1044" s="133"/>
      <c r="C1044" s="21" t="s">
        <v>168</v>
      </c>
      <c r="D1044" s="21">
        <f>(24.08+1.35*1.95+(2+1.95)*0.75)*10.764</f>
        <v>319.42169999999993</v>
      </c>
      <c r="E1044" s="21">
        <f>2.75*1.5*10.764</f>
        <v>44.401499999999999</v>
      </c>
      <c r="F1044" s="21">
        <f t="shared" si="56"/>
        <v>523.53404999999998</v>
      </c>
      <c r="G1044" s="133"/>
      <c r="H1044" s="133"/>
    </row>
    <row r="1045" spans="1:8" s="2" customFormat="1" x14ac:dyDescent="0.25">
      <c r="A1045" s="133">
        <v>3</v>
      </c>
      <c r="B1045" s="133"/>
      <c r="C1045" s="21" t="s">
        <v>168</v>
      </c>
      <c r="D1045" s="21">
        <f>(24.08+1.35*1.95+(2+1.95)*0.75)*10.764</f>
        <v>319.42169999999993</v>
      </c>
      <c r="E1045" s="21">
        <f>2.75*1.5*10.764</f>
        <v>44.401499999999999</v>
      </c>
      <c r="F1045" s="21">
        <f t="shared" si="56"/>
        <v>523.53404999999998</v>
      </c>
      <c r="G1045" s="133"/>
      <c r="H1045" s="133"/>
    </row>
    <row r="1046" spans="1:8" s="2" customFormat="1" x14ac:dyDescent="0.25">
      <c r="A1046" s="133">
        <v>4</v>
      </c>
      <c r="B1046" s="133"/>
      <c r="C1046" s="21" t="s">
        <v>168</v>
      </c>
      <c r="D1046" s="21">
        <f>(27.7+1*2.75+(2.25+2.05)*0.75)*10.764</f>
        <v>362.47769999999997</v>
      </c>
      <c r="E1046" s="21">
        <f>2.75*1.5*10.764</f>
        <v>44.401499999999999</v>
      </c>
      <c r="F1046" s="21">
        <f t="shared" si="56"/>
        <v>588.11805000000004</v>
      </c>
      <c r="G1046" s="133"/>
      <c r="H1046" s="133"/>
    </row>
    <row r="1047" spans="1:8" s="2" customFormat="1" x14ac:dyDescent="0.25">
      <c r="A1047" s="133">
        <v>5</v>
      </c>
      <c r="B1047" s="133"/>
      <c r="C1047" s="21" t="s">
        <v>168</v>
      </c>
      <c r="D1047" s="21">
        <f>(27.7+1*2.75+(2.25+2.05)*0.75)*10.764</f>
        <v>362.47769999999997</v>
      </c>
      <c r="E1047" s="21">
        <f>2.75*1.5*10.764</f>
        <v>44.401499999999999</v>
      </c>
      <c r="F1047" s="21">
        <f t="shared" si="56"/>
        <v>588.11805000000004</v>
      </c>
      <c r="G1047" s="133"/>
      <c r="H1047" s="133"/>
    </row>
    <row r="1048" spans="1:8" s="2" customFormat="1" x14ac:dyDescent="0.25">
      <c r="A1048" s="133">
        <v>6</v>
      </c>
      <c r="B1048" s="133"/>
      <c r="C1048" s="21" t="s">
        <v>168</v>
      </c>
      <c r="D1048" s="21">
        <f>(28.64+1*3+(2.3+2)*0.75)*10.764</f>
        <v>375.28685999999999</v>
      </c>
      <c r="E1048" s="21">
        <f>3*1.5*10.764</f>
        <v>48.437999999999995</v>
      </c>
      <c r="F1048" s="21">
        <f t="shared" si="56"/>
        <v>611.36829</v>
      </c>
      <c r="G1048" s="133"/>
      <c r="H1048" s="133"/>
    </row>
    <row r="1049" spans="1:8" s="2" customFormat="1" x14ac:dyDescent="0.25">
      <c r="A1049" s="144" t="s">
        <v>187</v>
      </c>
      <c r="B1049" s="145"/>
      <c r="C1049" s="145"/>
      <c r="D1049" s="145"/>
      <c r="E1049" s="145"/>
      <c r="F1049" s="145"/>
      <c r="G1049" s="145"/>
      <c r="H1049" s="146"/>
    </row>
    <row r="1050" spans="1:8" s="2" customFormat="1" x14ac:dyDescent="0.25">
      <c r="A1050" s="133">
        <v>1</v>
      </c>
      <c r="B1050" s="133"/>
      <c r="C1050" s="21" t="s">
        <v>168</v>
      </c>
      <c r="D1050" s="21">
        <f>(28.64+1*3+(3+2)*0.75)*10.764</f>
        <v>380.93795999999998</v>
      </c>
      <c r="E1050" s="21">
        <f>2.5*1.5*10.764</f>
        <v>40.364999999999995</v>
      </c>
      <c r="F1050" s="21">
        <f t="shared" ref="F1050:F1055" si="57">D1050*1.5+E1050</f>
        <v>611.77193999999997</v>
      </c>
      <c r="G1050" s="134" t="str">
        <f>A1049</f>
        <v>13th Floor</v>
      </c>
      <c r="H1050" s="135"/>
    </row>
    <row r="1051" spans="1:8" s="2" customFormat="1" x14ac:dyDescent="0.25">
      <c r="A1051" s="133">
        <v>2</v>
      </c>
      <c r="B1051" s="133"/>
      <c r="C1051" s="21" t="s">
        <v>168</v>
      </c>
      <c r="D1051" s="21">
        <f>(24.08+1.35*1.95+(2.75+1.95)*0.75)*10.764</f>
        <v>325.47644999999994</v>
      </c>
      <c r="E1051" s="21">
        <f>2*1.5*10.764</f>
        <v>32.292000000000002</v>
      </c>
      <c r="F1051" s="21">
        <f t="shared" si="57"/>
        <v>520.50667499999997</v>
      </c>
      <c r="G1051" s="136"/>
      <c r="H1051" s="137"/>
    </row>
    <row r="1052" spans="1:8" s="2" customFormat="1" x14ac:dyDescent="0.25">
      <c r="A1052" s="133">
        <v>3</v>
      </c>
      <c r="B1052" s="133"/>
      <c r="C1052" s="21" t="s">
        <v>168</v>
      </c>
      <c r="D1052" s="21">
        <f>(24.18+1.3*1.95+(2.75+1.95)*0.75)*10.764</f>
        <v>325.50335999999999</v>
      </c>
      <c r="E1052" s="21">
        <f>2*1.5*10.764</f>
        <v>32.292000000000002</v>
      </c>
      <c r="F1052" s="21">
        <f t="shared" si="57"/>
        <v>520.54704000000004</v>
      </c>
      <c r="G1052" s="136"/>
      <c r="H1052" s="137"/>
    </row>
    <row r="1053" spans="1:8" s="2" customFormat="1" x14ac:dyDescent="0.25">
      <c r="A1053" s="133">
        <v>4</v>
      </c>
      <c r="B1053" s="133"/>
      <c r="C1053" s="21" t="s">
        <v>168</v>
      </c>
      <c r="D1053" s="21">
        <f>(27.7+1*2.75+(2.75+2.05)*0.75)*10.764</f>
        <v>366.51419999999996</v>
      </c>
      <c r="E1053" s="21">
        <f>2.25*1.5*10.764</f>
        <v>36.328499999999998</v>
      </c>
      <c r="F1053" s="21">
        <f t="shared" si="57"/>
        <v>586.09979999999985</v>
      </c>
      <c r="G1053" s="136"/>
      <c r="H1053" s="137"/>
    </row>
    <row r="1054" spans="1:8" s="2" customFormat="1" x14ac:dyDescent="0.25">
      <c r="A1054" s="133">
        <v>5</v>
      </c>
      <c r="B1054" s="133"/>
      <c r="C1054" s="21" t="s">
        <v>168</v>
      </c>
      <c r="D1054" s="21">
        <f>(27.7+1*2.75+(2.75+2.05)*0.75)*10.764</f>
        <v>366.51419999999996</v>
      </c>
      <c r="E1054" s="21">
        <f>2.25*1.5*10.764</f>
        <v>36.328499999999998</v>
      </c>
      <c r="F1054" s="21">
        <f t="shared" si="57"/>
        <v>586.09979999999985</v>
      </c>
      <c r="G1054" s="136"/>
      <c r="H1054" s="137"/>
    </row>
    <row r="1055" spans="1:8" s="2" customFormat="1" x14ac:dyDescent="0.25">
      <c r="A1055" s="133">
        <v>6</v>
      </c>
      <c r="B1055" s="133"/>
      <c r="C1055" s="21" t="s">
        <v>168</v>
      </c>
      <c r="D1055" s="21">
        <f>(28.64+1*3+(3+2)*0.75)*10.764</f>
        <v>380.93795999999998</v>
      </c>
      <c r="E1055" s="21">
        <f>2.5*1.5*10.764</f>
        <v>40.364999999999995</v>
      </c>
      <c r="F1055" s="21">
        <f t="shared" si="57"/>
        <v>611.77193999999997</v>
      </c>
      <c r="G1055" s="138"/>
      <c r="H1055" s="139"/>
    </row>
    <row r="1056" spans="1:8" s="2" customFormat="1" x14ac:dyDescent="0.25">
      <c r="A1056" s="144" t="s">
        <v>197</v>
      </c>
      <c r="B1056" s="145"/>
      <c r="C1056" s="145"/>
      <c r="D1056" s="145"/>
      <c r="E1056" s="145"/>
      <c r="F1056" s="145"/>
      <c r="G1056" s="145"/>
      <c r="H1056" s="146"/>
    </row>
    <row r="1057" spans="1:9" s="2" customFormat="1" ht="15.75" customHeight="1" x14ac:dyDescent="0.25">
      <c r="A1057" s="144" t="s">
        <v>179</v>
      </c>
      <c r="B1057" s="145"/>
      <c r="C1057" s="145"/>
      <c r="D1057" s="145"/>
      <c r="E1057" s="145"/>
      <c r="F1057" s="145"/>
      <c r="G1057" s="145"/>
      <c r="H1057" s="146"/>
    </row>
    <row r="1058" spans="1:9" s="2" customFormat="1" ht="15.75" customHeight="1" x14ac:dyDescent="0.25">
      <c r="A1058" s="144" t="s">
        <v>230</v>
      </c>
      <c r="B1058" s="145"/>
      <c r="C1058" s="145"/>
      <c r="D1058" s="145"/>
      <c r="E1058" s="145"/>
      <c r="F1058" s="145"/>
      <c r="G1058" s="145"/>
      <c r="H1058" s="146"/>
    </row>
    <row r="1059" spans="1:9" s="2" customFormat="1" x14ac:dyDescent="0.25">
      <c r="A1059" s="133">
        <v>1</v>
      </c>
      <c r="B1059" s="133"/>
      <c r="C1059" s="21" t="s">
        <v>168</v>
      </c>
      <c r="D1059" s="21">
        <f>(28.64+1*3+(3+2)*0.75)*10.764</f>
        <v>380.93795999999998</v>
      </c>
      <c r="E1059" s="21">
        <f>2.5*1.5*10.764</f>
        <v>40.364999999999995</v>
      </c>
      <c r="F1059" s="21">
        <f t="shared" ref="F1059:F1064" si="58">D1059*1.5+E1059</f>
        <v>611.77193999999997</v>
      </c>
      <c r="G1059" s="134" t="str">
        <f>A1058</f>
        <v>1st, 3rd, 5th, 7th &amp; 9th Floor</v>
      </c>
      <c r="H1059" s="135"/>
    </row>
    <row r="1060" spans="1:9" s="2" customFormat="1" x14ac:dyDescent="0.25">
      <c r="A1060" s="133">
        <v>2</v>
      </c>
      <c r="B1060" s="133"/>
      <c r="C1060" s="21" t="s">
        <v>168</v>
      </c>
      <c r="D1060" s="21">
        <f>(24.18+1.3*1.95+(2.75+1.95)*0.75)*10.764</f>
        <v>325.50335999999999</v>
      </c>
      <c r="E1060" s="21">
        <f>2*1.5*10.764</f>
        <v>32.292000000000002</v>
      </c>
      <c r="F1060" s="21">
        <f t="shared" si="58"/>
        <v>520.54704000000004</v>
      </c>
      <c r="G1060" s="136"/>
      <c r="H1060" s="137"/>
      <c r="I1060" s="2">
        <f>3013500/F1060</f>
        <v>5789.1021722071455</v>
      </c>
    </row>
    <row r="1061" spans="1:9" s="2" customFormat="1" x14ac:dyDescent="0.25">
      <c r="A1061" s="133">
        <v>3</v>
      </c>
      <c r="B1061" s="133"/>
      <c r="C1061" s="21" t="s">
        <v>168</v>
      </c>
      <c r="D1061" s="21">
        <f>(24.49+1.35*1.95+(2.75+1.95)*0.75)*10.764</f>
        <v>329.88968999999997</v>
      </c>
      <c r="E1061" s="21">
        <f>2*1.5*10.764</f>
        <v>32.292000000000002</v>
      </c>
      <c r="F1061" s="21">
        <f t="shared" si="58"/>
        <v>527.12653499999999</v>
      </c>
      <c r="G1061" s="136"/>
      <c r="H1061" s="137"/>
    </row>
    <row r="1062" spans="1:9" s="2" customFormat="1" x14ac:dyDescent="0.25">
      <c r="A1062" s="133">
        <v>4</v>
      </c>
      <c r="B1062" s="133"/>
      <c r="C1062" s="21" t="s">
        <v>168</v>
      </c>
      <c r="D1062" s="21">
        <f>(27.7+1*2.75+(2.75+2.05)*0.75)*10.764</f>
        <v>366.51419999999996</v>
      </c>
      <c r="E1062" s="21">
        <f>2.25*1.5*10.764</f>
        <v>36.328499999999998</v>
      </c>
      <c r="F1062" s="21">
        <f t="shared" si="58"/>
        <v>586.09979999999985</v>
      </c>
      <c r="G1062" s="136"/>
      <c r="H1062" s="137"/>
    </row>
    <row r="1063" spans="1:9" s="2" customFormat="1" x14ac:dyDescent="0.25">
      <c r="A1063" s="133">
        <v>5</v>
      </c>
      <c r="B1063" s="133"/>
      <c r="C1063" s="21" t="s">
        <v>168</v>
      </c>
      <c r="D1063" s="21">
        <f>(27.7+1*2.75+(2.75+2.05)*0.75)*10.764</f>
        <v>366.51419999999996</v>
      </c>
      <c r="E1063" s="21">
        <f>2.25*1.5*10.764</f>
        <v>36.328499999999998</v>
      </c>
      <c r="F1063" s="21">
        <f t="shared" si="58"/>
        <v>586.09979999999985</v>
      </c>
      <c r="G1063" s="136"/>
      <c r="H1063" s="137"/>
    </row>
    <row r="1064" spans="1:9" s="2" customFormat="1" x14ac:dyDescent="0.25">
      <c r="A1064" s="133">
        <v>6</v>
      </c>
      <c r="B1064" s="133"/>
      <c r="C1064" s="21" t="s">
        <v>168</v>
      </c>
      <c r="D1064" s="21">
        <f>(28.79+0.95*3+(3+2)*0.75)*10.764</f>
        <v>380.93795999999998</v>
      </c>
      <c r="E1064" s="21">
        <f>2.5*1.5*10.764</f>
        <v>40.364999999999995</v>
      </c>
      <c r="F1064" s="21">
        <f t="shared" si="58"/>
        <v>611.77193999999997</v>
      </c>
      <c r="G1064" s="138"/>
      <c r="H1064" s="139"/>
    </row>
    <row r="1065" spans="1:9" s="2" customFormat="1" ht="15.6" customHeight="1" x14ac:dyDescent="0.25">
      <c r="A1065" s="144" t="s">
        <v>229</v>
      </c>
      <c r="B1065" s="145"/>
      <c r="C1065" s="145"/>
      <c r="D1065" s="145"/>
      <c r="E1065" s="145"/>
      <c r="F1065" s="145"/>
      <c r="G1065" s="145"/>
      <c r="H1065" s="146"/>
    </row>
    <row r="1066" spans="1:9" s="2" customFormat="1" x14ac:dyDescent="0.25">
      <c r="A1066" s="133">
        <v>1</v>
      </c>
      <c r="B1066" s="133"/>
      <c r="C1066" s="21" t="s">
        <v>168</v>
      </c>
      <c r="D1066" s="21">
        <f>(28.64+1*3+(2.3+2)*0.75)*10.764</f>
        <v>375.28685999999999</v>
      </c>
      <c r="E1066" s="21">
        <f>3*1.5*10.764</f>
        <v>48.437999999999995</v>
      </c>
      <c r="F1066" s="21">
        <f t="shared" ref="F1066:F1071" si="59">D1066*1.5+E1066</f>
        <v>611.36829</v>
      </c>
      <c r="G1066" s="134" t="str">
        <f>A1065</f>
        <v>2nd, 4th &amp; 6th Floor</v>
      </c>
      <c r="H1066" s="135"/>
    </row>
    <row r="1067" spans="1:9" s="2" customFormat="1" x14ac:dyDescent="0.25">
      <c r="A1067" s="133">
        <v>2</v>
      </c>
      <c r="B1067" s="133"/>
      <c r="C1067" s="21" t="s">
        <v>168</v>
      </c>
      <c r="D1067" s="21">
        <f>(24.18+1.3*1.95+(2+1.95)*0.75)*10.764</f>
        <v>319.44860999999997</v>
      </c>
      <c r="E1067" s="21">
        <f>2.75*1.5*10.764</f>
        <v>44.401499999999999</v>
      </c>
      <c r="F1067" s="21">
        <f t="shared" si="59"/>
        <v>523.57441500000004</v>
      </c>
      <c r="G1067" s="136"/>
      <c r="H1067" s="137"/>
    </row>
    <row r="1068" spans="1:9" s="2" customFormat="1" x14ac:dyDescent="0.25">
      <c r="A1068" s="133">
        <v>3</v>
      </c>
      <c r="B1068" s="133"/>
      <c r="C1068" s="21" t="s">
        <v>168</v>
      </c>
      <c r="D1068" s="21">
        <f>(24.18+1.3*1.95+(2+1.95)*0.75)*10.764</f>
        <v>319.44860999999997</v>
      </c>
      <c r="E1068" s="21">
        <f>2.75*1.5*10.764</f>
        <v>44.401499999999999</v>
      </c>
      <c r="F1068" s="21">
        <f t="shared" si="59"/>
        <v>523.57441500000004</v>
      </c>
      <c r="G1068" s="136"/>
      <c r="H1068" s="137"/>
    </row>
    <row r="1069" spans="1:9" s="2" customFormat="1" x14ac:dyDescent="0.25">
      <c r="A1069" s="133">
        <v>4</v>
      </c>
      <c r="B1069" s="133"/>
      <c r="C1069" s="21" t="s">
        <v>168</v>
      </c>
      <c r="D1069" s="21">
        <f>(27.7+1*2.75+(2.25+2.05)*0.75)*10.764</f>
        <v>362.47769999999997</v>
      </c>
      <c r="E1069" s="21">
        <f>2.75*1.5*10.764</f>
        <v>44.401499999999999</v>
      </c>
      <c r="F1069" s="21">
        <f t="shared" si="59"/>
        <v>588.11805000000004</v>
      </c>
      <c r="G1069" s="136"/>
      <c r="H1069" s="137"/>
    </row>
    <row r="1070" spans="1:9" s="2" customFormat="1" x14ac:dyDescent="0.25">
      <c r="A1070" s="133">
        <v>5</v>
      </c>
      <c r="B1070" s="133"/>
      <c r="C1070" s="21" t="s">
        <v>168</v>
      </c>
      <c r="D1070" s="21">
        <f>(27.7+1*2.75+(2.25+2.05)*0.75)*10.764</f>
        <v>362.47769999999997</v>
      </c>
      <c r="E1070" s="21">
        <f>2.75*1.5*10.764</f>
        <v>44.401499999999999</v>
      </c>
      <c r="F1070" s="21">
        <f t="shared" si="59"/>
        <v>588.11805000000004</v>
      </c>
      <c r="G1070" s="136"/>
      <c r="H1070" s="137"/>
    </row>
    <row r="1071" spans="1:9" s="2" customFormat="1" x14ac:dyDescent="0.25">
      <c r="A1071" s="133">
        <v>6</v>
      </c>
      <c r="B1071" s="133"/>
      <c r="C1071" s="21" t="s">
        <v>168</v>
      </c>
      <c r="D1071" s="21">
        <f>(28.79+0.95*3+(2.3+2)*0.75)*10.764</f>
        <v>375.28685999999999</v>
      </c>
      <c r="E1071" s="21">
        <f>3*1.5*10.764</f>
        <v>48.437999999999995</v>
      </c>
      <c r="F1071" s="21">
        <f t="shared" si="59"/>
        <v>611.36829</v>
      </c>
      <c r="G1071" s="138"/>
      <c r="H1071" s="139"/>
    </row>
    <row r="1072" spans="1:9" s="2" customFormat="1" ht="15.6" customHeight="1" x14ac:dyDescent="0.25">
      <c r="A1072" s="144" t="s">
        <v>175</v>
      </c>
      <c r="B1072" s="145"/>
      <c r="C1072" s="145"/>
      <c r="D1072" s="145"/>
      <c r="E1072" s="145"/>
      <c r="F1072" s="145"/>
      <c r="G1072" s="145"/>
      <c r="H1072" s="146"/>
    </row>
    <row r="1073" spans="1:8" s="2" customFormat="1" x14ac:dyDescent="0.25">
      <c r="A1073" s="133">
        <v>1</v>
      </c>
      <c r="B1073" s="133"/>
      <c r="C1073" s="140" t="s">
        <v>176</v>
      </c>
      <c r="D1073" s="141"/>
      <c r="E1073" s="141"/>
      <c r="F1073" s="142"/>
      <c r="G1073" s="134" t="str">
        <f>A1072</f>
        <v>8th Floor(Part Refuge Area)</v>
      </c>
      <c r="H1073" s="135"/>
    </row>
    <row r="1074" spans="1:8" s="2" customFormat="1" x14ac:dyDescent="0.25">
      <c r="A1074" s="133">
        <v>2</v>
      </c>
      <c r="B1074" s="133"/>
      <c r="C1074" s="21" t="s">
        <v>168</v>
      </c>
      <c r="D1074" s="21">
        <f>(24.18+1.3*1.95+(2+1.95)*0.75)*10.764</f>
        <v>319.44860999999997</v>
      </c>
      <c r="E1074" s="21">
        <f>2.75*1.5*10.764</f>
        <v>44.401499999999999</v>
      </c>
      <c r="F1074" s="21">
        <f>D1074*1.5+E1074</f>
        <v>523.57441500000004</v>
      </c>
      <c r="G1074" s="136"/>
      <c r="H1074" s="137"/>
    </row>
    <row r="1075" spans="1:8" s="2" customFormat="1" x14ac:dyDescent="0.25">
      <c r="A1075" s="133">
        <v>3</v>
      </c>
      <c r="B1075" s="133"/>
      <c r="C1075" s="21" t="s">
        <v>168</v>
      </c>
      <c r="D1075" s="21">
        <f>(24.18+1.3*1.95+(2+1.95)*0.75)*10.764</f>
        <v>319.44860999999997</v>
      </c>
      <c r="E1075" s="21">
        <f>2.75*1.5*10.764</f>
        <v>44.401499999999999</v>
      </c>
      <c r="F1075" s="21">
        <f>D1075*1.5+E1075</f>
        <v>523.57441500000004</v>
      </c>
      <c r="G1075" s="136"/>
      <c r="H1075" s="137"/>
    </row>
    <row r="1076" spans="1:8" s="2" customFormat="1" x14ac:dyDescent="0.25">
      <c r="A1076" s="133">
        <v>4</v>
      </c>
      <c r="B1076" s="133"/>
      <c r="C1076" s="21" t="s">
        <v>168</v>
      </c>
      <c r="D1076" s="21">
        <f>(27.7+1*2.75+(2.25+2.05)*0.75)*10.764</f>
        <v>362.47769999999997</v>
      </c>
      <c r="E1076" s="21">
        <f>2.75*1.5*10.764</f>
        <v>44.401499999999999</v>
      </c>
      <c r="F1076" s="21">
        <f>D1076*1.5+E1076</f>
        <v>588.11805000000004</v>
      </c>
      <c r="G1076" s="136"/>
      <c r="H1076" s="137"/>
    </row>
    <row r="1077" spans="1:8" s="2" customFormat="1" x14ac:dyDescent="0.25">
      <c r="A1077" s="133">
        <v>5</v>
      </c>
      <c r="B1077" s="133"/>
      <c r="C1077" s="21" t="s">
        <v>168</v>
      </c>
      <c r="D1077" s="21">
        <f>(27.7+1*2.75+(2.25+2.05)*0.75)*10.764</f>
        <v>362.47769999999997</v>
      </c>
      <c r="E1077" s="21">
        <f>2.75*1.5*10.764</f>
        <v>44.401499999999999</v>
      </c>
      <c r="F1077" s="21">
        <f>D1077*1.5+E1077</f>
        <v>588.11805000000004</v>
      </c>
      <c r="G1077" s="136"/>
      <c r="H1077" s="137"/>
    </row>
    <row r="1078" spans="1:8" s="2" customFormat="1" x14ac:dyDescent="0.25">
      <c r="A1078" s="133">
        <v>6</v>
      </c>
      <c r="B1078" s="133"/>
      <c r="C1078" s="21" t="s">
        <v>168</v>
      </c>
      <c r="D1078" s="21">
        <f>(28.79+0.95*3+(2.3+2)*0.75)*10.764</f>
        <v>375.28685999999999</v>
      </c>
      <c r="E1078" s="21">
        <f>3*1.5*10.764</f>
        <v>48.437999999999995</v>
      </c>
      <c r="F1078" s="21">
        <f>D1078*1.5+E1078</f>
        <v>611.36829</v>
      </c>
      <c r="G1078" s="138"/>
      <c r="H1078" s="139"/>
    </row>
    <row r="1079" spans="1:8" s="2" customFormat="1" ht="15.6" customHeight="1" x14ac:dyDescent="0.25">
      <c r="A1079" s="144" t="s">
        <v>261</v>
      </c>
      <c r="B1079" s="145"/>
      <c r="C1079" s="145"/>
      <c r="D1079" s="145"/>
      <c r="E1079" s="145"/>
      <c r="F1079" s="145"/>
      <c r="G1079" s="145"/>
      <c r="H1079" s="146"/>
    </row>
    <row r="1080" spans="1:8" s="2" customFormat="1" x14ac:dyDescent="0.25">
      <c r="A1080" s="133">
        <v>1</v>
      </c>
      <c r="B1080" s="133"/>
      <c r="C1080" s="21" t="s">
        <v>168</v>
      </c>
      <c r="D1080" s="21">
        <f>(28.64+1*3+(2.3+2)*0.75)*10.764</f>
        <v>375.28685999999999</v>
      </c>
      <c r="E1080" s="21">
        <f>3*1.5*10.764</f>
        <v>48.437999999999995</v>
      </c>
      <c r="F1080" s="21">
        <f t="shared" ref="F1080:F1085" si="60">D1080*1.5+E1080</f>
        <v>611.36829</v>
      </c>
      <c r="G1080" s="134" t="str">
        <f>A1079</f>
        <v>10th Floor</v>
      </c>
      <c r="H1080" s="135"/>
    </row>
    <row r="1081" spans="1:8" s="2" customFormat="1" x14ac:dyDescent="0.25">
      <c r="A1081" s="133">
        <v>2</v>
      </c>
      <c r="B1081" s="133"/>
      <c r="C1081" s="21" t="s">
        <v>168</v>
      </c>
      <c r="D1081" s="21">
        <f>(24.18+1.3*1.95+(2+1.95)*0.75)*10.764</f>
        <v>319.44860999999997</v>
      </c>
      <c r="E1081" s="21">
        <f>2.75*1.5*10.764</f>
        <v>44.401499999999999</v>
      </c>
      <c r="F1081" s="21">
        <f t="shared" si="60"/>
        <v>523.57441500000004</v>
      </c>
      <c r="G1081" s="136"/>
      <c r="H1081" s="137"/>
    </row>
    <row r="1082" spans="1:8" s="2" customFormat="1" x14ac:dyDescent="0.25">
      <c r="A1082" s="133">
        <v>3</v>
      </c>
      <c r="B1082" s="133"/>
      <c r="C1082" s="21" t="s">
        <v>168</v>
      </c>
      <c r="D1082" s="21">
        <f>(24.18+1.3*1.95+(2+1.95)*0.75)*10.764</f>
        <v>319.44860999999997</v>
      </c>
      <c r="E1082" s="21">
        <f>2.75*1.5*10.764</f>
        <v>44.401499999999999</v>
      </c>
      <c r="F1082" s="21">
        <f t="shared" si="60"/>
        <v>523.57441500000004</v>
      </c>
      <c r="G1082" s="136"/>
      <c r="H1082" s="137"/>
    </row>
    <row r="1083" spans="1:8" s="2" customFormat="1" x14ac:dyDescent="0.25">
      <c r="A1083" s="133">
        <v>4</v>
      </c>
      <c r="B1083" s="133"/>
      <c r="C1083" s="21" t="s">
        <v>168</v>
      </c>
      <c r="D1083" s="21">
        <f>(27.7+1*2.75+(2.25+2.05)*0.75)*10.764</f>
        <v>362.47769999999997</v>
      </c>
      <c r="E1083" s="21">
        <f>2.75*1.5*10.764</f>
        <v>44.401499999999999</v>
      </c>
      <c r="F1083" s="21">
        <f t="shared" si="60"/>
        <v>588.11805000000004</v>
      </c>
      <c r="G1083" s="136"/>
      <c r="H1083" s="137"/>
    </row>
    <row r="1084" spans="1:8" s="2" customFormat="1" x14ac:dyDescent="0.25">
      <c r="A1084" s="133">
        <v>5</v>
      </c>
      <c r="B1084" s="133"/>
      <c r="C1084" s="21" t="s">
        <v>168</v>
      </c>
      <c r="D1084" s="21">
        <f>(27.7+1*2.75+(2.25+2.05)*0.75)*10.764</f>
        <v>362.47769999999997</v>
      </c>
      <c r="E1084" s="21">
        <f>2.75*1.5*10.764</f>
        <v>44.401499999999999</v>
      </c>
      <c r="F1084" s="21">
        <f t="shared" si="60"/>
        <v>588.11805000000004</v>
      </c>
      <c r="G1084" s="136"/>
      <c r="H1084" s="137"/>
    </row>
    <row r="1085" spans="1:8" s="2" customFormat="1" x14ac:dyDescent="0.25">
      <c r="A1085" s="133">
        <v>6</v>
      </c>
      <c r="B1085" s="133"/>
      <c r="C1085" s="21" t="s">
        <v>168</v>
      </c>
      <c r="D1085" s="21">
        <f>(28.79+0.95*3+(2.3+2)*0.75)*10.764</f>
        <v>375.28685999999999</v>
      </c>
      <c r="E1085" s="21">
        <f>3*1.5*10.764</f>
        <v>48.437999999999995</v>
      </c>
      <c r="F1085" s="21">
        <f t="shared" si="60"/>
        <v>611.36829</v>
      </c>
      <c r="G1085" s="138"/>
      <c r="H1085" s="139"/>
    </row>
    <row r="1086" spans="1:8" s="2" customFormat="1" x14ac:dyDescent="0.25">
      <c r="A1086" s="237" t="s">
        <v>262</v>
      </c>
      <c r="B1086" s="237"/>
      <c r="C1086" s="237"/>
      <c r="D1086" s="237"/>
      <c r="E1086" s="237"/>
      <c r="F1086" s="237"/>
      <c r="G1086" s="237"/>
      <c r="H1086" s="237"/>
    </row>
    <row r="1087" spans="1:8" s="2" customFormat="1" x14ac:dyDescent="0.25">
      <c r="A1087" s="133">
        <v>1</v>
      </c>
      <c r="B1087" s="133"/>
      <c r="C1087" s="21" t="s">
        <v>168</v>
      </c>
      <c r="D1087" s="21">
        <f>(28.64+1*3+(3+2)*0.75)*10.764</f>
        <v>380.93795999999998</v>
      </c>
      <c r="E1087" s="21">
        <f>2.5*1.5*10.764</f>
        <v>40.364999999999995</v>
      </c>
      <c r="F1087" s="21">
        <f t="shared" ref="F1087:F1092" si="61">D1087*1.5+E1087</f>
        <v>611.77193999999997</v>
      </c>
      <c r="G1087" s="133" t="str">
        <f>A1086</f>
        <v>11th Floor</v>
      </c>
      <c r="H1087" s="133"/>
    </row>
    <row r="1088" spans="1:8" s="2" customFormat="1" x14ac:dyDescent="0.25">
      <c r="A1088" s="133">
        <v>2</v>
      </c>
      <c r="B1088" s="133"/>
      <c r="C1088" s="21" t="s">
        <v>168</v>
      </c>
      <c r="D1088" s="21">
        <f>(24.18+1.3*1.95+(2.75+1.95)*0.75)*10.764</f>
        <v>325.50335999999999</v>
      </c>
      <c r="E1088" s="21">
        <f>2*1.5*10.764</f>
        <v>32.292000000000002</v>
      </c>
      <c r="F1088" s="21">
        <f t="shared" si="61"/>
        <v>520.54704000000004</v>
      </c>
      <c r="G1088" s="133"/>
      <c r="H1088" s="133"/>
    </row>
    <row r="1089" spans="1:8" s="2" customFormat="1" x14ac:dyDescent="0.25">
      <c r="A1089" s="133">
        <v>3</v>
      </c>
      <c r="B1089" s="133"/>
      <c r="C1089" s="21" t="s">
        <v>168</v>
      </c>
      <c r="D1089" s="21">
        <f>(24.49+1.35*1.95+(2.75+1.95)*0.75)*10.764</f>
        <v>329.88968999999997</v>
      </c>
      <c r="E1089" s="21">
        <f>2*1.5*10.764</f>
        <v>32.292000000000002</v>
      </c>
      <c r="F1089" s="21">
        <f t="shared" si="61"/>
        <v>527.12653499999999</v>
      </c>
      <c r="G1089" s="133"/>
      <c r="H1089" s="133"/>
    </row>
    <row r="1090" spans="1:8" s="2" customFormat="1" x14ac:dyDescent="0.25">
      <c r="A1090" s="133">
        <v>4</v>
      </c>
      <c r="B1090" s="133"/>
      <c r="C1090" s="21" t="s">
        <v>168</v>
      </c>
      <c r="D1090" s="21">
        <f>(27.7+1*2.75+(2.75+2.05)*0.75)*10.764</f>
        <v>366.51419999999996</v>
      </c>
      <c r="E1090" s="21">
        <f>2.25*1.5*10.764</f>
        <v>36.328499999999998</v>
      </c>
      <c r="F1090" s="21">
        <f t="shared" si="61"/>
        <v>586.09979999999985</v>
      </c>
      <c r="G1090" s="133"/>
      <c r="H1090" s="133"/>
    </row>
    <row r="1091" spans="1:8" s="2" customFormat="1" x14ac:dyDescent="0.25">
      <c r="A1091" s="133">
        <v>5</v>
      </c>
      <c r="B1091" s="133"/>
      <c r="C1091" s="21" t="s">
        <v>168</v>
      </c>
      <c r="D1091" s="21">
        <f>(27.7+1*2.75+(2.75+2.05)*0.75)*10.764</f>
        <v>366.51419999999996</v>
      </c>
      <c r="E1091" s="21">
        <f>2.25*1.5*10.764</f>
        <v>36.328499999999998</v>
      </c>
      <c r="F1091" s="21">
        <f t="shared" si="61"/>
        <v>586.09979999999985</v>
      </c>
      <c r="G1091" s="133"/>
      <c r="H1091" s="133"/>
    </row>
    <row r="1092" spans="1:8" s="2" customFormat="1" x14ac:dyDescent="0.25">
      <c r="A1092" s="133">
        <v>6</v>
      </c>
      <c r="B1092" s="133"/>
      <c r="C1092" s="21" t="s">
        <v>168</v>
      </c>
      <c r="D1092" s="21">
        <f>(28.79+0.95*3+(3+2)*0.75)*10.764</f>
        <v>380.93795999999998</v>
      </c>
      <c r="E1092" s="21">
        <f>2.5*1.5*10.764</f>
        <v>40.364999999999995</v>
      </c>
      <c r="F1092" s="21">
        <f t="shared" si="61"/>
        <v>611.77193999999997</v>
      </c>
      <c r="G1092" s="133"/>
      <c r="H1092" s="133"/>
    </row>
    <row r="1093" spans="1:8" s="2" customFormat="1" ht="15.6" customHeight="1" x14ac:dyDescent="0.25">
      <c r="A1093" s="144" t="s">
        <v>247</v>
      </c>
      <c r="B1093" s="145"/>
      <c r="C1093" s="145"/>
      <c r="D1093" s="145"/>
      <c r="E1093" s="145"/>
      <c r="F1093" s="145"/>
      <c r="G1093" s="145"/>
      <c r="H1093" s="146"/>
    </row>
    <row r="1094" spans="1:8" s="2" customFormat="1" x14ac:dyDescent="0.25">
      <c r="A1094" s="133">
        <v>1</v>
      </c>
      <c r="B1094" s="133"/>
      <c r="C1094" s="21" t="s">
        <v>168</v>
      </c>
      <c r="D1094" s="21">
        <f>(28.64+1*3+(2.3+2)*0.75)*10.764</f>
        <v>375.28685999999999</v>
      </c>
      <c r="E1094" s="21">
        <f>3*1.5*10.764</f>
        <v>48.437999999999995</v>
      </c>
      <c r="F1094" s="21">
        <f t="shared" ref="F1094:F1099" si="62">D1094*1.5+E1094</f>
        <v>611.36829</v>
      </c>
      <c r="G1094" s="134" t="str">
        <f>A1093</f>
        <v>12th &amp; 14th Floor</v>
      </c>
      <c r="H1094" s="135"/>
    </row>
    <row r="1095" spans="1:8" s="2" customFormat="1" x14ac:dyDescent="0.25">
      <c r="A1095" s="133">
        <v>2</v>
      </c>
      <c r="B1095" s="133"/>
      <c r="C1095" s="21" t="s">
        <v>168</v>
      </c>
      <c r="D1095" s="21">
        <f>(24.18+1.3*1.95+(2+1.95)*0.75)*10.764</f>
        <v>319.44860999999997</v>
      </c>
      <c r="E1095" s="21">
        <f>2.75*1.5*10.764</f>
        <v>44.401499999999999</v>
      </c>
      <c r="F1095" s="21">
        <f t="shared" si="62"/>
        <v>523.57441500000004</v>
      </c>
      <c r="G1095" s="136"/>
      <c r="H1095" s="137"/>
    </row>
    <row r="1096" spans="1:8" s="2" customFormat="1" x14ac:dyDescent="0.25">
      <c r="A1096" s="133">
        <v>3</v>
      </c>
      <c r="B1096" s="133"/>
      <c r="C1096" s="21" t="s">
        <v>168</v>
      </c>
      <c r="D1096" s="21">
        <f>(24.18+1.3*1.95+(2+1.95)*0.75)*10.764</f>
        <v>319.44860999999997</v>
      </c>
      <c r="E1096" s="21">
        <f>2.75*1.5*10.764</f>
        <v>44.401499999999999</v>
      </c>
      <c r="F1096" s="21">
        <f t="shared" si="62"/>
        <v>523.57441500000004</v>
      </c>
      <c r="G1096" s="136"/>
      <c r="H1096" s="137"/>
    </row>
    <row r="1097" spans="1:8" s="2" customFormat="1" x14ac:dyDescent="0.25">
      <c r="A1097" s="133">
        <v>4</v>
      </c>
      <c r="B1097" s="133"/>
      <c r="C1097" s="21" t="s">
        <v>168</v>
      </c>
      <c r="D1097" s="21">
        <f>(27.7+1*2.75+(2.25+2.05)*0.75)*10.764</f>
        <v>362.47769999999997</v>
      </c>
      <c r="E1097" s="21">
        <f>2.75*1.5*10.764</f>
        <v>44.401499999999999</v>
      </c>
      <c r="F1097" s="21">
        <f t="shared" si="62"/>
        <v>588.11805000000004</v>
      </c>
      <c r="G1097" s="136"/>
      <c r="H1097" s="137"/>
    </row>
    <row r="1098" spans="1:8" s="2" customFormat="1" x14ac:dyDescent="0.25">
      <c r="A1098" s="133">
        <v>5</v>
      </c>
      <c r="B1098" s="133"/>
      <c r="C1098" s="21" t="s">
        <v>168</v>
      </c>
      <c r="D1098" s="21">
        <f>(27.7+1*2.75+(2.25+2.05)*0.75)*10.764</f>
        <v>362.47769999999997</v>
      </c>
      <c r="E1098" s="21">
        <f>2.75*1.5*10.764</f>
        <v>44.401499999999999</v>
      </c>
      <c r="F1098" s="21">
        <f t="shared" si="62"/>
        <v>588.11805000000004</v>
      </c>
      <c r="G1098" s="136"/>
      <c r="H1098" s="137"/>
    </row>
    <row r="1099" spans="1:8" s="2" customFormat="1" x14ac:dyDescent="0.25">
      <c r="A1099" s="133">
        <v>6</v>
      </c>
      <c r="B1099" s="133"/>
      <c r="C1099" s="21" t="s">
        <v>168</v>
      </c>
      <c r="D1099" s="21">
        <f>(28.79+0.95*3+(2.3+2)*0.75)*10.764</f>
        <v>375.28685999999999</v>
      </c>
      <c r="E1099" s="21">
        <f>3*1.5*10.764</f>
        <v>48.437999999999995</v>
      </c>
      <c r="F1099" s="21">
        <f t="shared" si="62"/>
        <v>611.36829</v>
      </c>
      <c r="G1099" s="138"/>
      <c r="H1099" s="139"/>
    </row>
    <row r="1100" spans="1:8" s="2" customFormat="1" x14ac:dyDescent="0.25">
      <c r="A1100" s="144" t="s">
        <v>187</v>
      </c>
      <c r="B1100" s="145"/>
      <c r="C1100" s="145"/>
      <c r="D1100" s="145"/>
      <c r="E1100" s="145"/>
      <c r="F1100" s="145"/>
      <c r="G1100" s="145"/>
      <c r="H1100" s="146"/>
    </row>
    <row r="1101" spans="1:8" s="2" customFormat="1" x14ac:dyDescent="0.25">
      <c r="A1101" s="133">
        <v>1</v>
      </c>
      <c r="B1101" s="133"/>
      <c r="C1101" s="140" t="s">
        <v>176</v>
      </c>
      <c r="D1101" s="141"/>
      <c r="E1101" s="141"/>
      <c r="F1101" s="142"/>
      <c r="G1101" s="134" t="str">
        <f>A1100</f>
        <v>13th Floor</v>
      </c>
      <c r="H1101" s="135"/>
    </row>
    <row r="1102" spans="1:8" s="2" customFormat="1" x14ac:dyDescent="0.25">
      <c r="A1102" s="133">
        <v>2</v>
      </c>
      <c r="B1102" s="133"/>
      <c r="C1102" s="21" t="s">
        <v>168</v>
      </c>
      <c r="D1102" s="21">
        <f>(24.18+1.3*1.95+(2.75+1.95)*0.75)*10.764</f>
        <v>325.50335999999999</v>
      </c>
      <c r="E1102" s="21">
        <f>2*1.5*10.764</f>
        <v>32.292000000000002</v>
      </c>
      <c r="F1102" s="21">
        <f t="shared" ref="F1102:F1106" si="63">D1102*1.5+E1102</f>
        <v>520.54704000000004</v>
      </c>
      <c r="G1102" s="136"/>
      <c r="H1102" s="137"/>
    </row>
    <row r="1103" spans="1:8" s="2" customFormat="1" x14ac:dyDescent="0.25">
      <c r="A1103" s="133">
        <v>3</v>
      </c>
      <c r="B1103" s="133"/>
      <c r="C1103" s="21" t="s">
        <v>168</v>
      </c>
      <c r="D1103" s="21">
        <f>(24.49+1.35*1.95+(2.75+1.95)*0.75)*10.764</f>
        <v>329.88968999999997</v>
      </c>
      <c r="E1103" s="21">
        <f>2*1.5*10.764</f>
        <v>32.292000000000002</v>
      </c>
      <c r="F1103" s="21">
        <f t="shared" si="63"/>
        <v>527.12653499999999</v>
      </c>
      <c r="G1103" s="136"/>
      <c r="H1103" s="137"/>
    </row>
    <row r="1104" spans="1:8" s="2" customFormat="1" x14ac:dyDescent="0.25">
      <c r="A1104" s="133">
        <v>4</v>
      </c>
      <c r="B1104" s="133"/>
      <c r="C1104" s="21" t="s">
        <v>168</v>
      </c>
      <c r="D1104" s="21">
        <f>(27.7+1*2.75+(2.75+2.05)*0.75)*10.764</f>
        <v>366.51419999999996</v>
      </c>
      <c r="E1104" s="21">
        <f>2.25*1.5*10.764</f>
        <v>36.328499999999998</v>
      </c>
      <c r="F1104" s="21">
        <f t="shared" si="63"/>
        <v>586.09979999999985</v>
      </c>
      <c r="G1104" s="136"/>
      <c r="H1104" s="137"/>
    </row>
    <row r="1105" spans="1:9" s="2" customFormat="1" x14ac:dyDescent="0.25">
      <c r="A1105" s="133">
        <v>5</v>
      </c>
      <c r="B1105" s="133"/>
      <c r="C1105" s="21" t="s">
        <v>168</v>
      </c>
      <c r="D1105" s="21">
        <f>(27.7+1*2.75+(2.75+2.05)*0.75)*10.764</f>
        <v>366.51419999999996</v>
      </c>
      <c r="E1105" s="21">
        <f>2.25*1.5*10.764</f>
        <v>36.328499999999998</v>
      </c>
      <c r="F1105" s="21">
        <f t="shared" si="63"/>
        <v>586.09979999999985</v>
      </c>
      <c r="G1105" s="136"/>
      <c r="H1105" s="137"/>
    </row>
    <row r="1106" spans="1:9" s="2" customFormat="1" x14ac:dyDescent="0.25">
      <c r="A1106" s="133">
        <v>6</v>
      </c>
      <c r="B1106" s="133"/>
      <c r="C1106" s="21" t="s">
        <v>168</v>
      </c>
      <c r="D1106" s="21">
        <f>(28.79+0.95*3+(3+2)*0.75)*10.764</f>
        <v>380.93795999999998</v>
      </c>
      <c r="E1106" s="21">
        <f>2.5*1.5*10.764</f>
        <v>40.364999999999995</v>
      </c>
      <c r="F1106" s="21">
        <f t="shared" si="63"/>
        <v>611.77193999999997</v>
      </c>
      <c r="G1106" s="138"/>
      <c r="H1106" s="139"/>
    </row>
    <row r="1107" spans="1:9" s="2" customFormat="1" x14ac:dyDescent="0.25">
      <c r="A1107" s="144" t="s">
        <v>190</v>
      </c>
      <c r="B1107" s="145"/>
      <c r="C1107" s="145"/>
      <c r="D1107" s="145"/>
      <c r="E1107" s="145"/>
      <c r="F1107" s="145"/>
      <c r="G1107" s="145"/>
      <c r="H1107" s="146"/>
    </row>
    <row r="1108" spans="1:9" s="2" customFormat="1" ht="15.75" customHeight="1" x14ac:dyDescent="0.25">
      <c r="A1108" s="144" t="s">
        <v>179</v>
      </c>
      <c r="B1108" s="145"/>
      <c r="C1108" s="145"/>
      <c r="D1108" s="145"/>
      <c r="E1108" s="145"/>
      <c r="F1108" s="145"/>
      <c r="G1108" s="145"/>
      <c r="H1108" s="146"/>
    </row>
    <row r="1109" spans="1:9" s="2" customFormat="1" ht="15.75" customHeight="1" x14ac:dyDescent="0.25">
      <c r="A1109" s="144" t="s">
        <v>181</v>
      </c>
      <c r="B1109" s="145"/>
      <c r="C1109" s="145"/>
      <c r="D1109" s="145"/>
      <c r="E1109" s="145"/>
      <c r="F1109" s="145"/>
      <c r="G1109" s="145"/>
      <c r="H1109" s="146"/>
    </row>
    <row r="1110" spans="1:9" s="2" customFormat="1" x14ac:dyDescent="0.25">
      <c r="A1110" s="133">
        <v>1</v>
      </c>
      <c r="B1110" s="133"/>
      <c r="C1110" s="21" t="s">
        <v>168</v>
      </c>
      <c r="D1110" s="21">
        <f>(28.52+(2+3)*0.75+1.05*3)*10.764</f>
        <v>381.26087999999993</v>
      </c>
      <c r="E1110" s="21">
        <f>2.25*1.5*10.764</f>
        <v>36.328499999999998</v>
      </c>
      <c r="F1110" s="21">
        <f>D1110*1.5+E1110</f>
        <v>608.21981999999991</v>
      </c>
      <c r="G1110" s="134" t="str">
        <f>A1109</f>
        <v>1st, 3rd, 5th, 7th, 9th &amp; 11th Floor</v>
      </c>
      <c r="H1110" s="135"/>
      <c r="I1110" s="2">
        <f>4.49*0.5</f>
        <v>2.2450000000000001</v>
      </c>
    </row>
    <row r="1111" spans="1:9" s="2" customFormat="1" x14ac:dyDescent="0.25">
      <c r="A1111" s="133">
        <v>2</v>
      </c>
      <c r="B1111" s="133"/>
      <c r="C1111" s="21" t="s">
        <v>168</v>
      </c>
      <c r="D1111" s="21">
        <f>(28.67+(2+3)*0.75+1*3)*10.764</f>
        <v>381.26087999999999</v>
      </c>
      <c r="E1111" s="21">
        <f>2.25*1.5*10.764</f>
        <v>36.328499999999998</v>
      </c>
      <c r="F1111" s="21">
        <f>D1111*1.5+E1111</f>
        <v>608.21981999999991</v>
      </c>
      <c r="G1111" s="136"/>
      <c r="H1111" s="137"/>
    </row>
    <row r="1112" spans="1:9" s="2" customFormat="1" x14ac:dyDescent="0.25">
      <c r="A1112" s="133">
        <v>3</v>
      </c>
      <c r="B1112" s="133"/>
      <c r="C1112" s="21" t="s">
        <v>168</v>
      </c>
      <c r="D1112" s="21">
        <f>(28.29+(2+3)*0.75+1.1*3)*10.764</f>
        <v>380.39975999999996</v>
      </c>
      <c r="E1112" s="21">
        <f>2.25*1.5*10.764</f>
        <v>36.328499999999998</v>
      </c>
      <c r="F1112" s="21">
        <f>D1112*1.5+E1112</f>
        <v>606.92813999999987</v>
      </c>
      <c r="G1112" s="136"/>
      <c r="H1112" s="137"/>
    </row>
    <row r="1113" spans="1:9" s="2" customFormat="1" x14ac:dyDescent="0.25">
      <c r="A1113" s="133">
        <v>4</v>
      </c>
      <c r="B1113" s="133"/>
      <c r="C1113" s="21" t="s">
        <v>168</v>
      </c>
      <c r="D1113" s="21">
        <f>(28.29+(2+3)*0.75+1.1*3)*10.764</f>
        <v>380.39975999999996</v>
      </c>
      <c r="E1113" s="21">
        <f>2.25*1.5*10.764</f>
        <v>36.328499999999998</v>
      </c>
      <c r="F1113" s="21">
        <f>D1113*1.5+E1113</f>
        <v>606.92813999999987</v>
      </c>
      <c r="G1113" s="138"/>
      <c r="H1113" s="139"/>
    </row>
    <row r="1114" spans="1:9" s="2" customFormat="1" ht="15.75" customHeight="1" x14ac:dyDescent="0.25">
      <c r="A1114" s="144" t="s">
        <v>184</v>
      </c>
      <c r="B1114" s="145"/>
      <c r="C1114" s="145"/>
      <c r="D1114" s="145"/>
      <c r="E1114" s="145"/>
      <c r="F1114" s="145"/>
      <c r="G1114" s="145"/>
      <c r="H1114" s="146"/>
    </row>
    <row r="1115" spans="1:9" s="2" customFormat="1" x14ac:dyDescent="0.25">
      <c r="A1115" s="133">
        <v>1</v>
      </c>
      <c r="B1115" s="133"/>
      <c r="C1115" s="21" t="s">
        <v>168</v>
      </c>
      <c r="D1115" s="21">
        <f>(28.52+(2+2.25)*0.75+1.05*3)*10.764</f>
        <v>375.20612999999997</v>
      </c>
      <c r="E1115" s="21">
        <f>3*1.5*10.764</f>
        <v>48.437999999999995</v>
      </c>
      <c r="F1115" s="21">
        <f>D1115*1.5+E1115</f>
        <v>611.24719499999992</v>
      </c>
      <c r="G1115" s="134" t="str">
        <f>A1114</f>
        <v>2nd, 4th, 6th, 10th, 12th &amp; 14th Floor</v>
      </c>
      <c r="H1115" s="135"/>
    </row>
    <row r="1116" spans="1:9" s="2" customFormat="1" x14ac:dyDescent="0.25">
      <c r="A1116" s="133">
        <v>2</v>
      </c>
      <c r="B1116" s="133"/>
      <c r="C1116" s="21" t="s">
        <v>168</v>
      </c>
      <c r="D1116" s="21">
        <f>(28.67+(2+2.25)*0.75+1*3)*10.764</f>
        <v>375.20612999999997</v>
      </c>
      <c r="E1116" s="21">
        <f>3*1.5*10.764</f>
        <v>48.437999999999995</v>
      </c>
      <c r="F1116" s="21">
        <f>D1116*1.5+E1116</f>
        <v>611.24719499999992</v>
      </c>
      <c r="G1116" s="136"/>
      <c r="H1116" s="137"/>
    </row>
    <row r="1117" spans="1:9" s="2" customFormat="1" x14ac:dyDescent="0.25">
      <c r="A1117" s="133">
        <v>3</v>
      </c>
      <c r="B1117" s="133"/>
      <c r="C1117" s="21" t="s">
        <v>168</v>
      </c>
      <c r="D1117" s="21">
        <f>(28.29+(2+2.25)*0.75+1.1*3)*10.764</f>
        <v>374.34500999999995</v>
      </c>
      <c r="E1117" s="21">
        <f>3*1.5*10.764</f>
        <v>48.437999999999995</v>
      </c>
      <c r="F1117" s="21">
        <f>D1117*1.5+E1117</f>
        <v>609.95551499999988</v>
      </c>
      <c r="G1117" s="136"/>
      <c r="H1117" s="137"/>
    </row>
    <row r="1118" spans="1:9" s="2" customFormat="1" x14ac:dyDescent="0.25">
      <c r="A1118" s="133">
        <v>4</v>
      </c>
      <c r="B1118" s="133"/>
      <c r="C1118" s="21" t="s">
        <v>168</v>
      </c>
      <c r="D1118" s="21">
        <f>(28.29+(2+2.25)*0.75+1.1*3)*10.764</f>
        <v>374.34500999999995</v>
      </c>
      <c r="E1118" s="21">
        <f>3*1.5*10.764</f>
        <v>48.437999999999995</v>
      </c>
      <c r="F1118" s="21">
        <f>D1118*1.5+E1118</f>
        <v>609.95551499999988</v>
      </c>
      <c r="G1118" s="138"/>
      <c r="H1118" s="139"/>
    </row>
    <row r="1119" spans="1:9" s="2" customFormat="1" ht="15.75" customHeight="1" x14ac:dyDescent="0.25">
      <c r="A1119" s="144" t="s">
        <v>175</v>
      </c>
      <c r="B1119" s="145"/>
      <c r="C1119" s="145"/>
      <c r="D1119" s="145"/>
      <c r="E1119" s="145"/>
      <c r="F1119" s="145"/>
      <c r="G1119" s="145"/>
      <c r="H1119" s="146"/>
    </row>
    <row r="1120" spans="1:9" s="2" customFormat="1" x14ac:dyDescent="0.25">
      <c r="A1120" s="133">
        <v>1</v>
      </c>
      <c r="B1120" s="133"/>
      <c r="C1120" s="21" t="s">
        <v>168</v>
      </c>
      <c r="D1120" s="21">
        <f>(28.52+(2+2.25)*0.75+1.05*3)*10.764</f>
        <v>375.20612999999997</v>
      </c>
      <c r="E1120" s="21">
        <f>3*1.5*10.764</f>
        <v>48.437999999999995</v>
      </c>
      <c r="F1120" s="21">
        <f>D1120*1.5+E1120</f>
        <v>611.24719499999992</v>
      </c>
      <c r="G1120" s="134" t="str">
        <f>A1119</f>
        <v>8th Floor(Part Refuge Area)</v>
      </c>
      <c r="H1120" s="135"/>
    </row>
    <row r="1121" spans="1:8" s="2" customFormat="1" x14ac:dyDescent="0.25">
      <c r="A1121" s="133">
        <v>2</v>
      </c>
      <c r="B1121" s="133"/>
      <c r="C1121" s="140" t="s">
        <v>176</v>
      </c>
      <c r="D1121" s="141"/>
      <c r="E1121" s="141"/>
      <c r="F1121" s="142"/>
      <c r="G1121" s="136"/>
      <c r="H1121" s="137"/>
    </row>
    <row r="1122" spans="1:8" s="2" customFormat="1" x14ac:dyDescent="0.25">
      <c r="A1122" s="133">
        <v>3</v>
      </c>
      <c r="B1122" s="133"/>
      <c r="C1122" s="21" t="s">
        <v>168</v>
      </c>
      <c r="D1122" s="21">
        <f>(28.29+(2+2.25)*0.75+1.1*3)*10.764</f>
        <v>374.34500999999995</v>
      </c>
      <c r="E1122" s="21">
        <f>3*1.5*10.764</f>
        <v>48.437999999999995</v>
      </c>
      <c r="F1122" s="21">
        <f>D1122*1.5+E1122</f>
        <v>609.95551499999988</v>
      </c>
      <c r="G1122" s="136"/>
      <c r="H1122" s="137"/>
    </row>
    <row r="1123" spans="1:8" s="2" customFormat="1" x14ac:dyDescent="0.25">
      <c r="A1123" s="133">
        <v>4</v>
      </c>
      <c r="B1123" s="133"/>
      <c r="C1123" s="21" t="s">
        <v>168</v>
      </c>
      <c r="D1123" s="21">
        <f>(28.29+(2+2.25)*0.75+1.1*3)*10.764</f>
        <v>374.34500999999995</v>
      </c>
      <c r="E1123" s="21">
        <f>3*1.5*10.764</f>
        <v>48.437999999999995</v>
      </c>
      <c r="F1123" s="21">
        <f>D1123*1.5+E1123</f>
        <v>609.95551499999988</v>
      </c>
      <c r="G1123" s="138"/>
      <c r="H1123" s="139"/>
    </row>
    <row r="1124" spans="1:8" s="2" customFormat="1" ht="15.75" customHeight="1" x14ac:dyDescent="0.25">
      <c r="A1124" s="195" t="s">
        <v>177</v>
      </c>
      <c r="B1124" s="195"/>
      <c r="C1124" s="195"/>
      <c r="D1124" s="195"/>
      <c r="E1124" s="195"/>
      <c r="F1124" s="195"/>
      <c r="G1124" s="195"/>
      <c r="H1124" s="195"/>
    </row>
    <row r="1125" spans="1:8" s="2" customFormat="1" x14ac:dyDescent="0.25">
      <c r="A1125" s="133">
        <v>1</v>
      </c>
      <c r="B1125" s="133"/>
      <c r="C1125" s="21" t="s">
        <v>168</v>
      </c>
      <c r="D1125" s="21">
        <f>(28.52+(2+3)*0.75+1.05*3)*10.764</f>
        <v>381.26087999999993</v>
      </c>
      <c r="E1125" s="21">
        <f>2.25*1.5*10.764</f>
        <v>36.328499999999998</v>
      </c>
      <c r="F1125" s="21">
        <f>D1125*1.5+E1125</f>
        <v>608.21981999999991</v>
      </c>
      <c r="G1125" s="133" t="str">
        <f>A1124</f>
        <v>13th Floor(Part Refuge Area)</v>
      </c>
      <c r="H1125" s="133"/>
    </row>
    <row r="1126" spans="1:8" s="2" customFormat="1" x14ac:dyDescent="0.25">
      <c r="A1126" s="133">
        <v>2</v>
      </c>
      <c r="B1126" s="133"/>
      <c r="C1126" s="133" t="s">
        <v>176</v>
      </c>
      <c r="D1126" s="133"/>
      <c r="E1126" s="133"/>
      <c r="F1126" s="133"/>
      <c r="G1126" s="133"/>
      <c r="H1126" s="133"/>
    </row>
    <row r="1127" spans="1:8" s="2" customFormat="1" x14ac:dyDescent="0.25">
      <c r="A1127" s="133">
        <v>3</v>
      </c>
      <c r="B1127" s="133"/>
      <c r="C1127" s="21" t="s">
        <v>168</v>
      </c>
      <c r="D1127" s="21">
        <f>(28.29+(2+3)*0.75+1.1*3)*10.764</f>
        <v>380.39975999999996</v>
      </c>
      <c r="E1127" s="21">
        <f>2.25*1.5*10.764</f>
        <v>36.328499999999998</v>
      </c>
      <c r="F1127" s="21">
        <f>D1127*1.5+E1127</f>
        <v>606.92813999999987</v>
      </c>
      <c r="G1127" s="133"/>
      <c r="H1127" s="133"/>
    </row>
    <row r="1128" spans="1:8" s="2" customFormat="1" x14ac:dyDescent="0.25">
      <c r="A1128" s="133">
        <v>4</v>
      </c>
      <c r="B1128" s="133"/>
      <c r="C1128" s="21" t="s">
        <v>168</v>
      </c>
      <c r="D1128" s="21">
        <f>(28.29+(2+3)*0.75+1.1*3)*10.764</f>
        <v>380.39975999999996</v>
      </c>
      <c r="E1128" s="21">
        <f>2.25*1.5*10.764</f>
        <v>36.328499999999998</v>
      </c>
      <c r="F1128" s="21">
        <f>D1128*1.5+E1128</f>
        <v>606.92813999999987</v>
      </c>
      <c r="G1128" s="133"/>
      <c r="H1128" s="133"/>
    </row>
    <row r="1129" spans="1:8" s="1" customFormat="1" x14ac:dyDescent="0.25">
      <c r="A1129" s="285" t="s">
        <v>80</v>
      </c>
      <c r="B1129" s="285"/>
      <c r="C1129" s="285"/>
      <c r="D1129" s="285"/>
      <c r="E1129" s="285"/>
      <c r="F1129" s="285"/>
      <c r="G1129" s="285"/>
      <c r="H1129" s="285"/>
    </row>
    <row r="1130" spans="1:8" s="10" customFormat="1" ht="48" customHeight="1" x14ac:dyDescent="0.25">
      <c r="A1130" s="80" t="s">
        <v>350</v>
      </c>
      <c r="B1130" s="143" t="s">
        <v>351</v>
      </c>
      <c r="C1130" s="143"/>
      <c r="D1130" s="143"/>
      <c r="E1130" s="143"/>
      <c r="F1130" s="143"/>
      <c r="G1130" s="143"/>
      <c r="H1130" s="143"/>
    </row>
    <row r="1131" spans="1:8" s="10" customFormat="1" ht="31.9" customHeight="1" x14ac:dyDescent="0.25">
      <c r="A1131" s="76" t="s">
        <v>350</v>
      </c>
      <c r="B1131" s="143" t="s">
        <v>387</v>
      </c>
      <c r="C1131" s="143"/>
      <c r="D1131" s="143"/>
      <c r="E1131" s="143" t="s">
        <v>388</v>
      </c>
      <c r="F1131" s="143"/>
      <c r="G1131" s="143"/>
      <c r="H1131" s="143"/>
    </row>
    <row r="1132" spans="1:8" s="10" customFormat="1" ht="34.5" hidden="1" customHeight="1" x14ac:dyDescent="0.25">
      <c r="A1132" s="76" t="s">
        <v>350</v>
      </c>
      <c r="B1132" s="306" t="s">
        <v>383</v>
      </c>
      <c r="C1132" s="306"/>
      <c r="D1132" s="306"/>
      <c r="E1132" s="306" t="s">
        <v>384</v>
      </c>
      <c r="F1132" s="306"/>
      <c r="G1132" s="306"/>
      <c r="H1132" s="306"/>
    </row>
    <row r="1133" spans="1:8" s="10" customFormat="1" x14ac:dyDescent="0.25">
      <c r="A1133" s="76" t="s">
        <v>350</v>
      </c>
      <c r="B1133" s="122" t="s">
        <v>352</v>
      </c>
      <c r="C1133" s="123"/>
      <c r="D1133" s="123"/>
      <c r="E1133" s="123"/>
      <c r="F1133" s="123"/>
      <c r="G1133" s="123"/>
      <c r="H1133" s="124"/>
    </row>
    <row r="1134" spans="1:8" s="10" customFormat="1" x14ac:dyDescent="0.25">
      <c r="A1134" s="76" t="s">
        <v>350</v>
      </c>
      <c r="B1134" s="122" t="s">
        <v>353</v>
      </c>
      <c r="C1134" s="123"/>
      <c r="D1134" s="123"/>
      <c r="E1134" s="123"/>
      <c r="F1134" s="123"/>
      <c r="G1134" s="123"/>
      <c r="H1134" s="124"/>
    </row>
    <row r="1135" spans="1:8" s="10" customFormat="1" x14ac:dyDescent="0.25">
      <c r="A1135" s="76" t="s">
        <v>350</v>
      </c>
      <c r="B1135" s="122" t="s">
        <v>354</v>
      </c>
      <c r="C1135" s="123"/>
      <c r="D1135" s="123"/>
      <c r="E1135" s="123"/>
      <c r="F1135" s="123"/>
      <c r="G1135" s="123"/>
      <c r="H1135" s="124"/>
    </row>
    <row r="1136" spans="1:8" s="10" customFormat="1" x14ac:dyDescent="0.25">
      <c r="A1136" s="76" t="s">
        <v>350</v>
      </c>
      <c r="B1136" s="122" t="s">
        <v>355</v>
      </c>
      <c r="C1136" s="123"/>
      <c r="D1136" s="123"/>
      <c r="E1136" s="123"/>
      <c r="F1136" s="123"/>
      <c r="G1136" s="123"/>
      <c r="H1136" s="124"/>
    </row>
    <row r="1137" spans="1:15" s="10" customFormat="1" x14ac:dyDescent="0.25">
      <c r="A1137" s="76" t="s">
        <v>350</v>
      </c>
      <c r="B1137" s="122" t="s">
        <v>356</v>
      </c>
      <c r="C1137" s="123"/>
      <c r="D1137" s="123"/>
      <c r="E1137" s="123"/>
      <c r="F1137" s="123"/>
      <c r="G1137" s="123"/>
      <c r="H1137" s="124"/>
    </row>
    <row r="1138" spans="1:15" s="10" customFormat="1" hidden="1" x14ac:dyDescent="0.25">
      <c r="A1138" s="76" t="s">
        <v>350</v>
      </c>
      <c r="B1138" s="122" t="s">
        <v>357</v>
      </c>
      <c r="C1138" s="123"/>
      <c r="D1138" s="123"/>
      <c r="E1138" s="123"/>
      <c r="F1138" s="123"/>
      <c r="G1138" s="123"/>
      <c r="H1138" s="124"/>
    </row>
    <row r="1139" spans="1:15" s="10" customFormat="1" ht="15.75" customHeight="1" x14ac:dyDescent="0.25">
      <c r="A1139" s="125" t="s">
        <v>350</v>
      </c>
      <c r="B1139" s="128" t="s">
        <v>358</v>
      </c>
      <c r="C1139" s="129"/>
      <c r="D1139" s="129"/>
      <c r="E1139" s="129"/>
      <c r="F1139" s="129"/>
      <c r="G1139" s="129"/>
      <c r="H1139" s="130"/>
      <c r="I1139" s="300"/>
      <c r="J1139" s="301"/>
      <c r="K1139" s="301"/>
      <c r="L1139" s="301"/>
      <c r="M1139" s="301"/>
      <c r="N1139" s="301"/>
      <c r="O1139" s="301"/>
    </row>
    <row r="1140" spans="1:15" s="10" customFormat="1" x14ac:dyDescent="0.25">
      <c r="A1140" s="126"/>
      <c r="B1140" s="131" t="s">
        <v>359</v>
      </c>
      <c r="C1140" s="131"/>
      <c r="D1140" s="131"/>
      <c r="E1140" s="131"/>
      <c r="F1140" s="132">
        <v>44886</v>
      </c>
      <c r="G1140" s="131"/>
      <c r="H1140" s="131"/>
      <c r="I1140" s="302"/>
      <c r="J1140" s="303"/>
      <c r="K1140" s="303"/>
      <c r="L1140" s="303"/>
      <c r="M1140" s="303"/>
      <c r="N1140" s="303"/>
      <c r="O1140" s="303"/>
    </row>
    <row r="1141" spans="1:15" s="10" customFormat="1" x14ac:dyDescent="0.25">
      <c r="A1141" s="126"/>
      <c r="B1141" s="131" t="s">
        <v>360</v>
      </c>
      <c r="C1141" s="131"/>
      <c r="D1141" s="131"/>
      <c r="E1141" s="131"/>
      <c r="F1141" s="132">
        <v>44954</v>
      </c>
      <c r="G1141" s="131"/>
      <c r="H1141" s="131"/>
      <c r="I1141" s="302"/>
      <c r="J1141" s="303"/>
      <c r="K1141" s="303"/>
      <c r="L1141" s="303"/>
      <c r="M1141" s="303"/>
      <c r="N1141" s="303"/>
      <c r="O1141" s="303"/>
    </row>
    <row r="1142" spans="1:15" s="10" customFormat="1" x14ac:dyDescent="0.25">
      <c r="A1142" s="126"/>
      <c r="B1142" s="131" t="s">
        <v>361</v>
      </c>
      <c r="C1142" s="131"/>
      <c r="D1142" s="131"/>
      <c r="E1142" s="131"/>
      <c r="F1142" s="132">
        <v>45208</v>
      </c>
      <c r="G1142" s="131"/>
      <c r="H1142" s="131"/>
      <c r="I1142" s="302"/>
      <c r="J1142" s="303"/>
      <c r="K1142" s="303"/>
      <c r="L1142" s="303"/>
      <c r="M1142" s="303"/>
      <c r="N1142" s="303"/>
      <c r="O1142" s="303"/>
    </row>
    <row r="1143" spans="1:15" s="10" customFormat="1" x14ac:dyDescent="0.25">
      <c r="A1143" s="127"/>
      <c r="B1143" s="131" t="s">
        <v>362</v>
      </c>
      <c r="C1143" s="131"/>
      <c r="D1143" s="131"/>
      <c r="E1143" s="131"/>
      <c r="F1143" s="132">
        <v>45373</v>
      </c>
      <c r="G1143" s="131"/>
      <c r="H1143" s="131"/>
      <c r="I1143" s="302"/>
      <c r="J1143" s="303"/>
      <c r="K1143" s="303"/>
      <c r="L1143" s="303"/>
      <c r="M1143" s="303"/>
      <c r="N1143" s="303"/>
      <c r="O1143" s="303"/>
    </row>
    <row r="1144" spans="1:15" s="10" customFormat="1" x14ac:dyDescent="0.25">
      <c r="A1144" s="76" t="s">
        <v>350</v>
      </c>
      <c r="B1144" s="122" t="s">
        <v>367</v>
      </c>
      <c r="C1144" s="123"/>
      <c r="D1144" s="123"/>
      <c r="E1144" s="123"/>
      <c r="F1144" s="123"/>
      <c r="G1144" s="123"/>
      <c r="H1144" s="124"/>
      <c r="I1144" s="302"/>
      <c r="J1144" s="303"/>
      <c r="K1144" s="303"/>
      <c r="L1144" s="303"/>
      <c r="M1144" s="303"/>
      <c r="N1144" s="303"/>
      <c r="O1144" s="303"/>
    </row>
    <row r="1145" spans="1:15" s="10" customFormat="1" ht="111" customHeight="1" x14ac:dyDescent="0.25">
      <c r="A1145" s="76" t="s">
        <v>350</v>
      </c>
      <c r="B1145" s="122" t="s">
        <v>385</v>
      </c>
      <c r="C1145" s="123"/>
      <c r="D1145" s="123"/>
      <c r="E1145" s="123"/>
      <c r="F1145" s="123"/>
      <c r="G1145" s="123"/>
      <c r="H1145" s="124"/>
      <c r="I1145" s="304" t="s">
        <v>386</v>
      </c>
      <c r="J1145" s="305"/>
      <c r="K1145" s="305"/>
      <c r="L1145" s="305"/>
      <c r="M1145" s="305"/>
      <c r="N1145" s="305"/>
    </row>
    <row r="1146" spans="1:15" s="10" customFormat="1" ht="32.25" customHeight="1" x14ac:dyDescent="0.25">
      <c r="A1146" s="76" t="s">
        <v>350</v>
      </c>
      <c r="B1146" s="122" t="s">
        <v>389</v>
      </c>
      <c r="C1146" s="123"/>
      <c r="D1146" s="123"/>
      <c r="E1146" s="123"/>
      <c r="F1146" s="123"/>
      <c r="G1146" s="123"/>
      <c r="H1146" s="124"/>
      <c r="I1146" s="307"/>
      <c r="J1146" s="308"/>
      <c r="K1146" s="308"/>
      <c r="L1146" s="308"/>
      <c r="M1146" s="308"/>
      <c r="N1146" s="308"/>
    </row>
    <row r="1147" spans="1:15" x14ac:dyDescent="0.25">
      <c r="A1147" s="286" t="s">
        <v>71</v>
      </c>
      <c r="B1147" s="287"/>
      <c r="C1147" s="287"/>
      <c r="D1147" s="287"/>
      <c r="E1147" s="287"/>
      <c r="F1147" s="287"/>
      <c r="G1147" s="287"/>
      <c r="H1147" s="288"/>
    </row>
    <row r="1148" spans="1:15" ht="16.5" customHeight="1" x14ac:dyDescent="0.25">
      <c r="A1148" s="216" t="s">
        <v>72</v>
      </c>
      <c r="B1148" s="217"/>
      <c r="C1148" s="217"/>
      <c r="D1148" s="217"/>
      <c r="E1148" s="217"/>
      <c r="F1148" s="217"/>
      <c r="G1148" s="217"/>
      <c r="H1148" s="218"/>
    </row>
    <row r="1149" spans="1:15" s="75" customFormat="1" ht="15.75" customHeight="1" x14ac:dyDescent="0.25">
      <c r="A1149" s="282" t="s">
        <v>73</v>
      </c>
      <c r="B1149" s="283"/>
      <c r="C1149" s="283"/>
      <c r="D1149" s="283"/>
      <c r="E1149" s="283"/>
      <c r="F1149" s="283"/>
      <c r="G1149" s="283"/>
      <c r="H1149" s="284"/>
    </row>
    <row r="1150" spans="1:15" s="75" customFormat="1" x14ac:dyDescent="0.25">
      <c r="A1150" s="196" t="s">
        <v>74</v>
      </c>
      <c r="B1150" s="197"/>
      <c r="C1150" s="197"/>
      <c r="D1150" s="197"/>
      <c r="E1150" s="197"/>
      <c r="F1150" s="197"/>
      <c r="G1150" s="197"/>
      <c r="H1150" s="198"/>
    </row>
    <row r="1151" spans="1:15" s="75" customFormat="1" x14ac:dyDescent="0.25">
      <c r="A1151" s="196" t="s">
        <v>75</v>
      </c>
      <c r="B1151" s="197"/>
      <c r="C1151" s="197"/>
      <c r="D1151" s="197"/>
      <c r="E1151" s="197"/>
      <c r="F1151" s="197"/>
      <c r="G1151" s="197"/>
      <c r="H1151" s="198"/>
    </row>
    <row r="1152" spans="1:15" s="75" customFormat="1" x14ac:dyDescent="0.25">
      <c r="A1152" s="196" t="s">
        <v>76</v>
      </c>
      <c r="B1152" s="197"/>
      <c r="C1152" s="197"/>
      <c r="D1152" s="197"/>
      <c r="E1152" s="197"/>
      <c r="F1152" s="197"/>
      <c r="G1152" s="197"/>
      <c r="H1152" s="198"/>
    </row>
    <row r="1153" spans="1:8" s="75" customFormat="1" ht="35.25" customHeight="1" x14ac:dyDescent="0.25">
      <c r="A1153" s="196" t="s">
        <v>77</v>
      </c>
      <c r="B1153" s="197"/>
      <c r="C1153" s="197"/>
      <c r="D1153" s="197"/>
      <c r="E1153" s="197"/>
      <c r="F1153" s="197"/>
      <c r="G1153" s="197"/>
      <c r="H1153" s="198"/>
    </row>
    <row r="1154" spans="1:8" x14ac:dyDescent="0.25">
      <c r="A1154" s="279" t="s">
        <v>112</v>
      </c>
      <c r="B1154" s="279"/>
      <c r="C1154" s="279" t="s">
        <v>377</v>
      </c>
      <c r="D1154" s="279"/>
      <c r="E1154" s="279" t="s">
        <v>147</v>
      </c>
      <c r="F1154" s="279"/>
      <c r="G1154" s="279" t="s">
        <v>376</v>
      </c>
      <c r="H1154" s="279"/>
    </row>
    <row r="1155" spans="1:8" ht="15.75" customHeight="1" x14ac:dyDescent="0.25">
      <c r="A1155" s="271" t="s">
        <v>114</v>
      </c>
      <c r="B1155" s="272"/>
      <c r="C1155" s="272"/>
      <c r="D1155" s="272"/>
      <c r="E1155" s="272"/>
      <c r="F1155" s="272"/>
      <c r="G1155" s="272"/>
      <c r="H1155" s="175"/>
    </row>
    <row r="1156" spans="1:8" x14ac:dyDescent="0.25">
      <c r="A1156" s="273"/>
      <c r="B1156" s="274"/>
      <c r="C1156" s="274"/>
      <c r="D1156" s="274"/>
      <c r="E1156" s="274"/>
      <c r="F1156" s="274"/>
      <c r="G1156" s="274"/>
      <c r="H1156" s="275"/>
    </row>
    <row r="1157" spans="1:8" x14ac:dyDescent="0.25">
      <c r="A1157" s="273"/>
      <c r="B1157" s="274"/>
      <c r="C1157" s="274"/>
      <c r="D1157" s="274"/>
      <c r="E1157" s="274"/>
      <c r="F1157" s="274"/>
      <c r="G1157" s="274"/>
      <c r="H1157" s="275"/>
    </row>
    <row r="1158" spans="1:8" x14ac:dyDescent="0.25">
      <c r="A1158" s="276"/>
      <c r="B1158" s="277"/>
      <c r="C1158" s="277"/>
      <c r="D1158" s="277"/>
      <c r="E1158" s="277"/>
      <c r="F1158" s="277"/>
      <c r="G1158" s="277"/>
      <c r="H1158" s="278"/>
    </row>
    <row r="1159" spans="1:8" x14ac:dyDescent="0.25">
      <c r="A1159" s="16" t="s">
        <v>78</v>
      </c>
      <c r="B1159" s="17"/>
      <c r="C1159" s="17"/>
      <c r="D1159" s="16" t="str">
        <f>E8</f>
        <v>Navkar City Phase I &amp; Phase II</v>
      </c>
      <c r="F1159" s="17"/>
      <c r="G1159" s="17"/>
      <c r="H1159" s="17"/>
    </row>
    <row r="1160" spans="1:8" x14ac:dyDescent="0.25">
      <c r="A1160" s="17"/>
      <c r="B1160" s="17"/>
      <c r="C1160" s="17"/>
      <c r="D1160" s="17"/>
      <c r="E1160" s="17"/>
      <c r="F1160" s="17"/>
      <c r="G1160" s="17"/>
      <c r="H1160" s="17"/>
    </row>
    <row r="1161" spans="1:8" x14ac:dyDescent="0.25">
      <c r="A1161" s="17"/>
      <c r="B1161" s="17"/>
      <c r="C1161" s="17"/>
      <c r="D1161" s="17"/>
      <c r="E1161" s="17"/>
      <c r="F1161" s="17"/>
      <c r="G1161" s="17"/>
      <c r="H1161" s="17"/>
    </row>
    <row r="1162" spans="1:8" ht="15" customHeight="1" x14ac:dyDescent="0.25"/>
    <row r="1182" spans="9:9" x14ac:dyDescent="0.25">
      <c r="I1182"/>
    </row>
    <row r="1202" spans="1:8" x14ac:dyDescent="0.25">
      <c r="A1202" s="16" t="s">
        <v>78</v>
      </c>
      <c r="B1202" s="17"/>
      <c r="C1202" s="17"/>
      <c r="D1202" s="16" t="str">
        <f>E8</f>
        <v>Navkar City Phase I &amp; Phase II</v>
      </c>
      <c r="F1202" s="17"/>
      <c r="G1202" s="17"/>
      <c r="H1202" s="17"/>
    </row>
    <row r="1203" spans="1:8" x14ac:dyDescent="0.25">
      <c r="A1203" s="17"/>
      <c r="B1203" s="17"/>
      <c r="C1203" s="17"/>
      <c r="D1203" s="17"/>
      <c r="E1203" s="17"/>
      <c r="F1203" s="17"/>
      <c r="G1203" s="17"/>
      <c r="H1203" s="17"/>
    </row>
    <row r="1204" spans="1:8" x14ac:dyDescent="0.25">
      <c r="A1204" s="17"/>
      <c r="B1204" s="17"/>
      <c r="C1204" s="17"/>
      <c r="D1204" s="17"/>
      <c r="E1204" s="17"/>
      <c r="F1204" s="17"/>
      <c r="G1204" s="17"/>
      <c r="H1204" s="17"/>
    </row>
    <row r="1205" spans="1:8" ht="15" customHeight="1" x14ac:dyDescent="0.25"/>
    <row r="1233" spans="1:1" hidden="1" x14ac:dyDescent="0.25"/>
    <row r="1234" spans="1:1" hidden="1" x14ac:dyDescent="0.25"/>
    <row r="1235" spans="1:1" hidden="1" x14ac:dyDescent="0.25"/>
    <row r="1236" spans="1:1" hidden="1" x14ac:dyDescent="0.25"/>
    <row r="1237" spans="1:1" hidden="1" x14ac:dyDescent="0.25"/>
    <row r="1238" spans="1:1" hidden="1" x14ac:dyDescent="0.25"/>
    <row r="1239" spans="1:1" hidden="1" x14ac:dyDescent="0.25"/>
    <row r="1240" spans="1:1" hidden="1" x14ac:dyDescent="0.25"/>
    <row r="1241" spans="1:1" hidden="1" x14ac:dyDescent="0.25"/>
    <row r="1242" spans="1:1" hidden="1" x14ac:dyDescent="0.25"/>
    <row r="1245" spans="1:1" x14ac:dyDescent="0.25">
      <c r="A1245" s="19" t="s">
        <v>329</v>
      </c>
    </row>
    <row r="1289" spans="1:1" x14ac:dyDescent="0.25">
      <c r="A1289" s="19" t="s">
        <v>79</v>
      </c>
    </row>
  </sheetData>
  <mergeCells count="1579">
    <mergeCell ref="I1139:O1144"/>
    <mergeCell ref="I1145:N1145"/>
    <mergeCell ref="B1146:H1146"/>
    <mergeCell ref="B1145:H1145"/>
    <mergeCell ref="B1132:D1132"/>
    <mergeCell ref="E1132:H1132"/>
    <mergeCell ref="A707:B707"/>
    <mergeCell ref="A708:B708"/>
    <mergeCell ref="A709:B709"/>
    <mergeCell ref="A710:B710"/>
    <mergeCell ref="A711:B711"/>
    <mergeCell ref="A712:B712"/>
    <mergeCell ref="A713:B713"/>
    <mergeCell ref="C713:F713"/>
    <mergeCell ref="A689:H689"/>
    <mergeCell ref="A701:B701"/>
    <mergeCell ref="A702:B702"/>
    <mergeCell ref="G706:H717"/>
    <mergeCell ref="A714:B714"/>
    <mergeCell ref="A692:H692"/>
    <mergeCell ref="A693:B693"/>
    <mergeCell ref="A694:B694"/>
    <mergeCell ref="A695:B695"/>
    <mergeCell ref="A696:B696"/>
    <mergeCell ref="A697:B697"/>
    <mergeCell ref="A698:B698"/>
    <mergeCell ref="A699:B699"/>
    <mergeCell ref="A700:B700"/>
    <mergeCell ref="A715:B715"/>
    <mergeCell ref="A716:B716"/>
    <mergeCell ref="A717:B717"/>
    <mergeCell ref="A718:H718"/>
    <mergeCell ref="A763:H763"/>
    <mergeCell ref="A764:B764"/>
    <mergeCell ref="A555:B555"/>
    <mergeCell ref="A556:B556"/>
    <mergeCell ref="A557:B557"/>
    <mergeCell ref="A558:B558"/>
    <mergeCell ref="A565:B565"/>
    <mergeCell ref="A529:B529"/>
    <mergeCell ref="A530:B530"/>
    <mergeCell ref="A531:B531"/>
    <mergeCell ref="A561:B561"/>
    <mergeCell ref="A536:B536"/>
    <mergeCell ref="A537:H537"/>
    <mergeCell ref="A538:B538"/>
    <mergeCell ref="A610:B610"/>
    <mergeCell ref="A611:B611"/>
    <mergeCell ref="A612:B612"/>
    <mergeCell ref="A613:B613"/>
    <mergeCell ref="A706:B706"/>
    <mergeCell ref="A582:B582"/>
    <mergeCell ref="A583:B583"/>
    <mergeCell ref="A587:B587"/>
    <mergeCell ref="G587:H595"/>
    <mergeCell ref="A588:B588"/>
    <mergeCell ref="G597:H601"/>
    <mergeCell ref="A564:H564"/>
    <mergeCell ref="A669:B669"/>
    <mergeCell ref="A670:B670"/>
    <mergeCell ref="A595:B595"/>
    <mergeCell ref="A596:H596"/>
    <mergeCell ref="A597:B597"/>
    <mergeCell ref="A598:B598"/>
    <mergeCell ref="A585:H585"/>
    <mergeCell ref="A589:B589"/>
    <mergeCell ref="G764:H774"/>
    <mergeCell ref="A765:B765"/>
    <mergeCell ref="A766:B766"/>
    <mergeCell ref="A767:B767"/>
    <mergeCell ref="A768:B768"/>
    <mergeCell ref="A769:B769"/>
    <mergeCell ref="A770:B770"/>
    <mergeCell ref="A771:B771"/>
    <mergeCell ref="A772:B772"/>
    <mergeCell ref="A773:B773"/>
    <mergeCell ref="A774:B774"/>
    <mergeCell ref="A719:H719"/>
    <mergeCell ref="A720:H720"/>
    <mergeCell ref="A728:B728"/>
    <mergeCell ref="A729:B729"/>
    <mergeCell ref="A730:B730"/>
    <mergeCell ref="A726:B726"/>
    <mergeCell ref="A727:B727"/>
    <mergeCell ref="A741:B741"/>
    <mergeCell ref="A742:B742"/>
    <mergeCell ref="A743:B743"/>
    <mergeCell ref="A744:B744"/>
    <mergeCell ref="A737:B737"/>
    <mergeCell ref="A759:B759"/>
    <mergeCell ref="A734:B734"/>
    <mergeCell ref="A735:B735"/>
    <mergeCell ref="G721:H735"/>
    <mergeCell ref="A751:H751"/>
    <mergeCell ref="A752:B752"/>
    <mergeCell ref="G752:H762"/>
    <mergeCell ref="A756:B756"/>
    <mergeCell ref="A757:B757"/>
    <mergeCell ref="G882:H885"/>
    <mergeCell ref="A883:B883"/>
    <mergeCell ref="A884:B884"/>
    <mergeCell ref="A885:B885"/>
    <mergeCell ref="C882:F882"/>
    <mergeCell ref="A901:H901"/>
    <mergeCell ref="A886:H886"/>
    <mergeCell ref="A887:B887"/>
    <mergeCell ref="G887:H890"/>
    <mergeCell ref="A888:B888"/>
    <mergeCell ref="A889:B889"/>
    <mergeCell ref="A890:B890"/>
    <mergeCell ref="A894:B894"/>
    <mergeCell ref="A852:B852"/>
    <mergeCell ref="A844:B844"/>
    <mergeCell ref="A745:B745"/>
    <mergeCell ref="A746:B746"/>
    <mergeCell ref="A747:B747"/>
    <mergeCell ref="A748:B748"/>
    <mergeCell ref="A749:B749"/>
    <mergeCell ref="A826:B826"/>
    <mergeCell ref="G737:H750"/>
    <mergeCell ref="A738:B738"/>
    <mergeCell ref="A739:B739"/>
    <mergeCell ref="A740:B740"/>
    <mergeCell ref="G776:H786"/>
    <mergeCell ref="A777:B777"/>
    <mergeCell ref="A778:B778"/>
    <mergeCell ref="A779:B779"/>
    <mergeCell ref="A780:B780"/>
    <mergeCell ref="A781:B781"/>
    <mergeCell ref="A782:B782"/>
    <mergeCell ref="A554:B554"/>
    <mergeCell ref="G548:H551"/>
    <mergeCell ref="A525:H525"/>
    <mergeCell ref="A690:H690"/>
    <mergeCell ref="A705:H705"/>
    <mergeCell ref="A691:H691"/>
    <mergeCell ref="A703:B703"/>
    <mergeCell ref="A704:B704"/>
    <mergeCell ref="G693:H704"/>
    <mergeCell ref="A542:H542"/>
    <mergeCell ref="A526:H526"/>
    <mergeCell ref="A527:H527"/>
    <mergeCell ref="G528:H531"/>
    <mergeCell ref="A868:B868"/>
    <mergeCell ref="A907:B907"/>
    <mergeCell ref="A908:B908"/>
    <mergeCell ref="G862:H865"/>
    <mergeCell ref="A870:B870"/>
    <mergeCell ref="A864:B864"/>
    <mergeCell ref="A853:B853"/>
    <mergeCell ref="A880:B880"/>
    <mergeCell ref="A867:B867"/>
    <mergeCell ref="A871:H871"/>
    <mergeCell ref="A872:B872"/>
    <mergeCell ref="G857:H860"/>
    <mergeCell ref="A858:B858"/>
    <mergeCell ref="A859:B859"/>
    <mergeCell ref="A873:B873"/>
    <mergeCell ref="A861:H861"/>
    <mergeCell ref="A905:B905"/>
    <mergeCell ref="A906:B906"/>
    <mergeCell ref="A882:B882"/>
    <mergeCell ref="A783:B783"/>
    <mergeCell ref="A784:B784"/>
    <mergeCell ref="A785:B785"/>
    <mergeCell ref="A786:B786"/>
    <mergeCell ref="A775:H775"/>
    <mergeCell ref="A776:B776"/>
    <mergeCell ref="C782:F782"/>
    <mergeCell ref="A753:B753"/>
    <mergeCell ref="A755:B755"/>
    <mergeCell ref="A462:B462"/>
    <mergeCell ref="A465:B465"/>
    <mergeCell ref="A479:B479"/>
    <mergeCell ref="A760:B760"/>
    <mergeCell ref="A761:B761"/>
    <mergeCell ref="A762:B762"/>
    <mergeCell ref="A750:B750"/>
    <mergeCell ref="A754:B754"/>
    <mergeCell ref="A736:H736"/>
    <mergeCell ref="A721:B721"/>
    <mergeCell ref="G469:H472"/>
    <mergeCell ref="A563:B563"/>
    <mergeCell ref="G554:H563"/>
    <mergeCell ref="A572:B572"/>
    <mergeCell ref="A489:B489"/>
    <mergeCell ref="A591:B591"/>
    <mergeCell ref="A476:B476"/>
    <mergeCell ref="A504:B504"/>
    <mergeCell ref="C486:F486"/>
    <mergeCell ref="A498:H498"/>
    <mergeCell ref="A499:H499"/>
    <mergeCell ref="A500:H500"/>
    <mergeCell ref="G501:H504"/>
    <mergeCell ref="A820:B820"/>
    <mergeCell ref="A821:B821"/>
    <mergeCell ref="C821:F821"/>
    <mergeCell ref="A822:B822"/>
    <mergeCell ref="A823:B823"/>
    <mergeCell ref="A824:B824"/>
    <mergeCell ref="A825:B825"/>
    <mergeCell ref="A722:B722"/>
    <mergeCell ref="A723:B723"/>
    <mergeCell ref="A724:B724"/>
    <mergeCell ref="A521:B521"/>
    <mergeCell ref="A522:B522"/>
    <mergeCell ref="A523:B523"/>
    <mergeCell ref="A524:B524"/>
    <mergeCell ref="A543:B543"/>
    <mergeCell ref="A731:B731"/>
    <mergeCell ref="A732:B732"/>
    <mergeCell ref="A551:B551"/>
    <mergeCell ref="A679:B679"/>
    <mergeCell ref="A592:B592"/>
    <mergeCell ref="A535:B535"/>
    <mergeCell ref="A553:H553"/>
    <mergeCell ref="A678:B678"/>
    <mergeCell ref="A643:B643"/>
    <mergeCell ref="A644:B644"/>
    <mergeCell ref="A645:B645"/>
    <mergeCell ref="A647:B647"/>
    <mergeCell ref="G636:H647"/>
    <mergeCell ref="A646:B646"/>
    <mergeCell ref="G565:H570"/>
    <mergeCell ref="A552:H552"/>
    <mergeCell ref="A562:B562"/>
    <mergeCell ref="A344:H344"/>
    <mergeCell ref="A407:B407"/>
    <mergeCell ref="A408:B408"/>
    <mergeCell ref="A409:B409"/>
    <mergeCell ref="A395:B395"/>
    <mergeCell ref="A452:H452"/>
    <mergeCell ref="A459:H459"/>
    <mergeCell ref="A460:B460"/>
    <mergeCell ref="A374:H374"/>
    <mergeCell ref="A379:H379"/>
    <mergeCell ref="A380:B380"/>
    <mergeCell ref="A381:B381"/>
    <mergeCell ref="A363:B363"/>
    <mergeCell ref="A364:H364"/>
    <mergeCell ref="A373:B373"/>
    <mergeCell ref="A448:B448"/>
    <mergeCell ref="G360:H363"/>
    <mergeCell ref="G375:H378"/>
    <mergeCell ref="G380:H383"/>
    <mergeCell ref="A354:H354"/>
    <mergeCell ref="C347:F348"/>
    <mergeCell ref="A349:H349"/>
    <mergeCell ref="A371:B371"/>
    <mergeCell ref="G442:H445"/>
    <mergeCell ref="G447:H450"/>
    <mergeCell ref="A454:B454"/>
    <mergeCell ref="A455:B455"/>
    <mergeCell ref="A434:B434"/>
    <mergeCell ref="A431:H431"/>
    <mergeCell ref="G432:H435"/>
    <mergeCell ref="A417:B417"/>
    <mergeCell ref="A418:B418"/>
    <mergeCell ref="A406:H406"/>
    <mergeCell ref="A384:H384"/>
    <mergeCell ref="A385:B385"/>
    <mergeCell ref="A424:B424"/>
    <mergeCell ref="A467:B467"/>
    <mergeCell ref="A480:B480"/>
    <mergeCell ref="A481:B481"/>
    <mergeCell ref="A468:H468"/>
    <mergeCell ref="A469:B469"/>
    <mergeCell ref="A466:B466"/>
    <mergeCell ref="A447:B447"/>
    <mergeCell ref="A386:B386"/>
    <mergeCell ref="A383:B383"/>
    <mergeCell ref="A367:B367"/>
    <mergeCell ref="A368:B368"/>
    <mergeCell ref="A396:B396"/>
    <mergeCell ref="A397:B397"/>
    <mergeCell ref="G385:H388"/>
    <mergeCell ref="A399:H399"/>
    <mergeCell ref="G390:H393"/>
    <mergeCell ref="A419:B419"/>
    <mergeCell ref="A420:B420"/>
    <mergeCell ref="A436:H436"/>
    <mergeCell ref="A422:B422"/>
    <mergeCell ref="A423:B423"/>
    <mergeCell ref="A388:B388"/>
    <mergeCell ref="A449:B449"/>
    <mergeCell ref="A450:B450"/>
    <mergeCell ref="A437:B437"/>
    <mergeCell ref="A446:H446"/>
    <mergeCell ref="A392:B392"/>
    <mergeCell ref="G366:H373"/>
    <mergeCell ref="A519:B519"/>
    <mergeCell ref="A533:B533"/>
    <mergeCell ref="A593:B593"/>
    <mergeCell ref="G603:H607"/>
    <mergeCell ref="A482:B482"/>
    <mergeCell ref="A487:B487"/>
    <mergeCell ref="A474:B474"/>
    <mergeCell ref="A298:H298"/>
    <mergeCell ref="A1108:H1108"/>
    <mergeCell ref="A1109:H1109"/>
    <mergeCell ref="A1110:B1110"/>
    <mergeCell ref="G1110:H1113"/>
    <mergeCell ref="A1111:B1111"/>
    <mergeCell ref="A1112:B1112"/>
    <mergeCell ref="A1113:B1113"/>
    <mergeCell ref="A458:B458"/>
    <mergeCell ref="G484:H487"/>
    <mergeCell ref="A863:B863"/>
    <mergeCell ref="A477:B477"/>
    <mergeCell ref="A949:H949"/>
    <mergeCell ref="A947:H947"/>
    <mergeCell ref="A950:B950"/>
    <mergeCell ref="A951:B951"/>
    <mergeCell ref="A952:B952"/>
    <mergeCell ref="A953:B953"/>
    <mergeCell ref="A954:B954"/>
    <mergeCell ref="A509:B509"/>
    <mergeCell ref="A946:H946"/>
    <mergeCell ref="A948:H948"/>
    <mergeCell ref="G511:H514"/>
    <mergeCell ref="A353:B353"/>
    <mergeCell ref="A405:H405"/>
    <mergeCell ref="G262:H262"/>
    <mergeCell ref="A259:B259"/>
    <mergeCell ref="C259:D259"/>
    <mergeCell ref="E259:F259"/>
    <mergeCell ref="G259:H259"/>
    <mergeCell ref="A260:B260"/>
    <mergeCell ref="C260:D260"/>
    <mergeCell ref="A322:B322"/>
    <mergeCell ref="A285:B285"/>
    <mergeCell ref="A286:B286"/>
    <mergeCell ref="A287:B287"/>
    <mergeCell ref="A267:B267"/>
    <mergeCell ref="A311:B311"/>
    <mergeCell ref="A312:B312"/>
    <mergeCell ref="A308:H308"/>
    <mergeCell ref="A271:B271"/>
    <mergeCell ref="C272:D272"/>
    <mergeCell ref="E272:F272"/>
    <mergeCell ref="E263:F263"/>
    <mergeCell ref="C275:D275"/>
    <mergeCell ref="E275:F275"/>
    <mergeCell ref="G275:H275"/>
    <mergeCell ref="C270:D270"/>
    <mergeCell ref="G270:H270"/>
    <mergeCell ref="C271:D271"/>
    <mergeCell ref="E271:F271"/>
    <mergeCell ref="A315:B315"/>
    <mergeCell ref="A319:B319"/>
    <mergeCell ref="C277:D277"/>
    <mergeCell ref="E277:F277"/>
    <mergeCell ref="G277:H277"/>
    <mergeCell ref="A283:H283"/>
    <mergeCell ref="A284:H284"/>
    <mergeCell ref="A293:H293"/>
    <mergeCell ref="G271:H271"/>
    <mergeCell ref="G272:H272"/>
    <mergeCell ref="A281:H281"/>
    <mergeCell ref="A236:A237"/>
    <mergeCell ref="A250:H250"/>
    <mergeCell ref="A282:H282"/>
    <mergeCell ref="A264:B264"/>
    <mergeCell ref="C264:D264"/>
    <mergeCell ref="E264:F264"/>
    <mergeCell ref="G264:H264"/>
    <mergeCell ref="C253:D253"/>
    <mergeCell ref="A262:B262"/>
    <mergeCell ref="C262:D262"/>
    <mergeCell ref="E262:F262"/>
    <mergeCell ref="G285:H292"/>
    <mergeCell ref="A252:A254"/>
    <mergeCell ref="E270:F270"/>
    <mergeCell ref="G244:H244"/>
    <mergeCell ref="A245:B245"/>
    <mergeCell ref="C245:D245"/>
    <mergeCell ref="E245:F245"/>
    <mergeCell ref="G245:H245"/>
    <mergeCell ref="A241:B241"/>
    <mergeCell ref="A291:B291"/>
    <mergeCell ref="A292:B292"/>
    <mergeCell ref="G241:H241"/>
    <mergeCell ref="A247:H247"/>
    <mergeCell ref="G246:H246"/>
    <mergeCell ref="C248:D248"/>
    <mergeCell ref="E248:F248"/>
    <mergeCell ref="A343:H343"/>
    <mergeCell ref="A299:B299"/>
    <mergeCell ref="A300:B300"/>
    <mergeCell ref="A305:B305"/>
    <mergeCell ref="A306:B306"/>
    <mergeCell ref="A307:B307"/>
    <mergeCell ref="A333:H333"/>
    <mergeCell ref="A327:B327"/>
    <mergeCell ref="A295:B295"/>
    <mergeCell ref="A314:B314"/>
    <mergeCell ref="A336:B336"/>
    <mergeCell ref="A337:B337"/>
    <mergeCell ref="G339:H342"/>
    <mergeCell ref="A303:H303"/>
    <mergeCell ref="A318:H318"/>
    <mergeCell ref="A297:B297"/>
    <mergeCell ref="G299:H302"/>
    <mergeCell ref="G294:H297"/>
    <mergeCell ref="A294:B294"/>
    <mergeCell ref="A309:B309"/>
    <mergeCell ref="A310:B310"/>
    <mergeCell ref="A304:B304"/>
    <mergeCell ref="G309:H312"/>
    <mergeCell ref="A321:B321"/>
    <mergeCell ref="A313:H313"/>
    <mergeCell ref="A296:B296"/>
    <mergeCell ref="A328:B328"/>
    <mergeCell ref="A316:B316"/>
    <mergeCell ref="A317:B317"/>
    <mergeCell ref="A339:B339"/>
    <mergeCell ref="A340:B340"/>
    <mergeCell ref="A341:B341"/>
    <mergeCell ref="G54:H54"/>
    <mergeCell ref="A42:D42"/>
    <mergeCell ref="A43:D43"/>
    <mergeCell ref="A44:D44"/>
    <mergeCell ref="E41:H41"/>
    <mergeCell ref="A69:C69"/>
    <mergeCell ref="A228:E228"/>
    <mergeCell ref="F228:H228"/>
    <mergeCell ref="A246:B246"/>
    <mergeCell ref="G232:H232"/>
    <mergeCell ref="A222:E222"/>
    <mergeCell ref="A219:E219"/>
    <mergeCell ref="F219:H219"/>
    <mergeCell ref="A223:E223"/>
    <mergeCell ref="F223:H223"/>
    <mergeCell ref="A226:E226"/>
    <mergeCell ref="F226:H226"/>
    <mergeCell ref="A227:E227"/>
    <mergeCell ref="F227:H227"/>
    <mergeCell ref="A233:A235"/>
    <mergeCell ref="A224:E224"/>
    <mergeCell ref="F224:H224"/>
    <mergeCell ref="A225:E225"/>
    <mergeCell ref="F225:H225"/>
    <mergeCell ref="C246:D246"/>
    <mergeCell ref="E246:F246"/>
    <mergeCell ref="A244:B244"/>
    <mergeCell ref="C244:D244"/>
    <mergeCell ref="C49:H49"/>
    <mergeCell ref="E42:H42"/>
    <mergeCell ref="C241:D241"/>
    <mergeCell ref="E241:F241"/>
    <mergeCell ref="A1155:H1158"/>
    <mergeCell ref="A1154:B1154"/>
    <mergeCell ref="E1154:F1154"/>
    <mergeCell ref="C1154:D1154"/>
    <mergeCell ref="G1154:H1154"/>
    <mergeCell ref="A231:H231"/>
    <mergeCell ref="A229:E229"/>
    <mergeCell ref="F229:H229"/>
    <mergeCell ref="A230:E230"/>
    <mergeCell ref="F230:H230"/>
    <mergeCell ref="A280:B280"/>
    <mergeCell ref="A404:H404"/>
    <mergeCell ref="A277:B277"/>
    <mergeCell ref="A411:B411"/>
    <mergeCell ref="A412:B412"/>
    <mergeCell ref="A278:H278"/>
    <mergeCell ref="A251:B251"/>
    <mergeCell ref="G280:H280"/>
    <mergeCell ref="A1149:H1149"/>
    <mergeCell ref="A1150:H1150"/>
    <mergeCell ref="A1115:B1115"/>
    <mergeCell ref="G1115:H1118"/>
    <mergeCell ref="A1116:B1116"/>
    <mergeCell ref="A369:B369"/>
    <mergeCell ref="A1152:H1152"/>
    <mergeCell ref="A1153:H1153"/>
    <mergeCell ref="C440:F440"/>
    <mergeCell ref="A1129:H1129"/>
    <mergeCell ref="A1147:H1147"/>
    <mergeCell ref="A1148:H1148"/>
    <mergeCell ref="A372:B372"/>
    <mergeCell ref="E244:F244"/>
    <mergeCell ref="C14:H14"/>
    <mergeCell ref="C15:H15"/>
    <mergeCell ref="A17:B17"/>
    <mergeCell ref="C17:D17"/>
    <mergeCell ref="E17:F17"/>
    <mergeCell ref="A10:D10"/>
    <mergeCell ref="E10:H10"/>
    <mergeCell ref="G17:H17"/>
    <mergeCell ref="B13:H13"/>
    <mergeCell ref="A53:B53"/>
    <mergeCell ref="C53:E53"/>
    <mergeCell ref="G53:H53"/>
    <mergeCell ref="A54:B54"/>
    <mergeCell ref="C54:E54"/>
    <mergeCell ref="G50:H50"/>
    <mergeCell ref="C50:E50"/>
    <mergeCell ref="G46:H46"/>
    <mergeCell ref="G47:H47"/>
    <mergeCell ref="A47:B47"/>
    <mergeCell ref="G48:H48"/>
    <mergeCell ref="A50:B51"/>
    <mergeCell ref="C51:H51"/>
    <mergeCell ref="A52:H52"/>
    <mergeCell ref="A45:H45"/>
    <mergeCell ref="C47:E47"/>
    <mergeCell ref="C48:E48"/>
    <mergeCell ref="A46:B46"/>
    <mergeCell ref="C46:E46"/>
    <mergeCell ref="C30:E30"/>
    <mergeCell ref="E39:H39"/>
    <mergeCell ref="A39:D39"/>
    <mergeCell ref="F34:H34"/>
    <mergeCell ref="E28:H28"/>
    <mergeCell ref="A35:H35"/>
    <mergeCell ref="A34:B34"/>
    <mergeCell ref="A29:D29"/>
    <mergeCell ref="A27:D27"/>
    <mergeCell ref="E29:H29"/>
    <mergeCell ref="A38:H38"/>
    <mergeCell ref="A1:H1"/>
    <mergeCell ref="A2:H2"/>
    <mergeCell ref="A3:D3"/>
    <mergeCell ref="E3:H3"/>
    <mergeCell ref="A4:D4"/>
    <mergeCell ref="A8:D8"/>
    <mergeCell ref="E8:H8"/>
    <mergeCell ref="A9:D9"/>
    <mergeCell ref="E9:H9"/>
    <mergeCell ref="E4:H4"/>
    <mergeCell ref="E20:H21"/>
    <mergeCell ref="A22:D22"/>
    <mergeCell ref="E22:H22"/>
    <mergeCell ref="A11:D11"/>
    <mergeCell ref="E11:H11"/>
    <mergeCell ref="A5:D5"/>
    <mergeCell ref="E5:H5"/>
    <mergeCell ref="A6:D6"/>
    <mergeCell ref="E6:H6"/>
    <mergeCell ref="A7:D7"/>
    <mergeCell ref="E7:H7"/>
    <mergeCell ref="A15:B15"/>
    <mergeCell ref="A12:D12"/>
    <mergeCell ref="E12:H12"/>
    <mergeCell ref="A14:B14"/>
    <mergeCell ref="G355:H358"/>
    <mergeCell ref="A382:B382"/>
    <mergeCell ref="A413:H413"/>
    <mergeCell ref="G407:H412"/>
    <mergeCell ref="G414:H420"/>
    <mergeCell ref="A410:B410"/>
    <mergeCell ref="A352:B352"/>
    <mergeCell ref="E27:H27"/>
    <mergeCell ref="A40:D40"/>
    <mergeCell ref="E40:H40"/>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A28:D28"/>
    <mergeCell ref="F30:H30"/>
    <mergeCell ref="A31:B31"/>
    <mergeCell ref="C31:E31"/>
    <mergeCell ref="A32:B32"/>
    <mergeCell ref="A30:B30"/>
    <mergeCell ref="A33:B33"/>
    <mergeCell ref="C33:E33"/>
    <mergeCell ref="C34:E34"/>
    <mergeCell ref="F31:H31"/>
    <mergeCell ref="A338:H338"/>
    <mergeCell ref="A329:B329"/>
    <mergeCell ref="A330:B330"/>
    <mergeCell ref="C355:F355"/>
    <mergeCell ref="A359:H359"/>
    <mergeCell ref="G345:H348"/>
    <mergeCell ref="G350:H353"/>
    <mergeCell ref="G304:H307"/>
    <mergeCell ref="D69:H69"/>
    <mergeCell ref="C32:E32"/>
    <mergeCell ref="A41:D41"/>
    <mergeCell ref="A351:B351"/>
    <mergeCell ref="A67:C67"/>
    <mergeCell ref="A68:C68"/>
    <mergeCell ref="D67:H67"/>
    <mergeCell ref="D68:H68"/>
    <mergeCell ref="A55:B56"/>
    <mergeCell ref="C55:E55"/>
    <mergeCell ref="A62:H62"/>
    <mergeCell ref="F33:H33"/>
    <mergeCell ref="F32:H32"/>
    <mergeCell ref="D66:H66"/>
    <mergeCell ref="E44:H44"/>
    <mergeCell ref="E43:H43"/>
    <mergeCell ref="A36:B36"/>
    <mergeCell ref="A48:B49"/>
    <mergeCell ref="D65:H65"/>
    <mergeCell ref="A65:C65"/>
    <mergeCell ref="A66:C66"/>
    <mergeCell ref="A64:C64"/>
    <mergeCell ref="D64:H64"/>
    <mergeCell ref="D63:H63"/>
    <mergeCell ref="A334:B334"/>
    <mergeCell ref="A584:B584"/>
    <mergeCell ref="A604:B604"/>
    <mergeCell ref="A539:B539"/>
    <mergeCell ref="A540:B540"/>
    <mergeCell ref="G506:H509"/>
    <mergeCell ref="A507:B507"/>
    <mergeCell ref="A508:B508"/>
    <mergeCell ref="C545:F545"/>
    <mergeCell ref="C540:F540"/>
    <mergeCell ref="G533:H536"/>
    <mergeCell ref="A534:B534"/>
    <mergeCell ref="G543:H546"/>
    <mergeCell ref="A571:H571"/>
    <mergeCell ref="G572:H577"/>
    <mergeCell ref="A335:B335"/>
    <mergeCell ref="A332:B332"/>
    <mergeCell ref="A342:B342"/>
    <mergeCell ref="A365:H365"/>
    <mergeCell ref="A362:B362"/>
    <mergeCell ref="A414:B414"/>
    <mergeCell ref="A599:B599"/>
    <mergeCell ref="A505:H505"/>
    <mergeCell ref="G538:H541"/>
    <mergeCell ref="A514:B514"/>
    <mergeCell ref="A515:H515"/>
    <mergeCell ref="A516:B516"/>
    <mergeCell ref="G516:H519"/>
    <mergeCell ref="C518:F518"/>
    <mergeCell ref="A510:H510"/>
    <mergeCell ref="A511:B511"/>
    <mergeCell ref="A575:B575"/>
    <mergeCell ref="A249:B249"/>
    <mergeCell ref="A839:H839"/>
    <mergeCell ref="A835:B835"/>
    <mergeCell ref="A836:B836"/>
    <mergeCell ref="A837:B837"/>
    <mergeCell ref="A838:B838"/>
    <mergeCell ref="C513:F513"/>
    <mergeCell ref="A512:B512"/>
    <mergeCell ref="A544:B544"/>
    <mergeCell ref="A834:B834"/>
    <mergeCell ref="A579:B579"/>
    <mergeCell ref="A608:H608"/>
    <mergeCell ref="A609:B609"/>
    <mergeCell ref="A586:H586"/>
    <mergeCell ref="A520:H520"/>
    <mergeCell ref="G521:H524"/>
    <mergeCell ref="A547:H547"/>
    <mergeCell ref="A569:B569"/>
    <mergeCell ref="A570:B570"/>
    <mergeCell ref="G830:H838"/>
    <mergeCell ref="A828:H828"/>
    <mergeCell ref="A829:H829"/>
    <mergeCell ref="A733:B733"/>
    <mergeCell ref="A758:B758"/>
    <mergeCell ref="A830:B830"/>
    <mergeCell ref="A831:B831"/>
    <mergeCell ref="A832:B832"/>
    <mergeCell ref="A833:B833"/>
    <mergeCell ref="A725:B725"/>
    <mergeCell ref="A942:B942"/>
    <mergeCell ref="G942:H945"/>
    <mergeCell ref="A943:B943"/>
    <mergeCell ref="A944:B944"/>
    <mergeCell ref="A945:B945"/>
    <mergeCell ref="A936:H936"/>
    <mergeCell ref="A937:B937"/>
    <mergeCell ref="G937:H940"/>
    <mergeCell ref="A938:B938"/>
    <mergeCell ref="A840:B840"/>
    <mergeCell ref="A875:B875"/>
    <mergeCell ref="A876:H876"/>
    <mergeCell ref="A877:B877"/>
    <mergeCell ref="G877:H880"/>
    <mergeCell ref="A878:B878"/>
    <mergeCell ref="A879:B879"/>
    <mergeCell ref="A874:B874"/>
    <mergeCell ref="A865:B865"/>
    <mergeCell ref="A856:H856"/>
    <mergeCell ref="A857:B857"/>
    <mergeCell ref="A845:B845"/>
    <mergeCell ref="A846:B846"/>
    <mergeCell ref="A851:H851"/>
    <mergeCell ref="G852:H855"/>
    <mergeCell ref="A841:B841"/>
    <mergeCell ref="A842:B842"/>
    <mergeCell ref="A843:B843"/>
    <mergeCell ref="A978:B978"/>
    <mergeCell ref="A979:B979"/>
    <mergeCell ref="A980:B980"/>
    <mergeCell ref="A981:B981"/>
    <mergeCell ref="A982:B982"/>
    <mergeCell ref="A983:B983"/>
    <mergeCell ref="A985:B985"/>
    <mergeCell ref="A986:B986"/>
    <mergeCell ref="A984:H984"/>
    <mergeCell ref="A994:B994"/>
    <mergeCell ref="G872:H875"/>
    <mergeCell ref="A862:B862"/>
    <mergeCell ref="A866:H866"/>
    <mergeCell ref="G867:H870"/>
    <mergeCell ref="A847:B847"/>
    <mergeCell ref="A848:B848"/>
    <mergeCell ref="A869:B869"/>
    <mergeCell ref="A850:B850"/>
    <mergeCell ref="A854:B854"/>
    <mergeCell ref="A855:B855"/>
    <mergeCell ref="G950:H955"/>
    <mergeCell ref="A860:B860"/>
    <mergeCell ref="A849:B849"/>
    <mergeCell ref="G840:H850"/>
    <mergeCell ref="A903:H903"/>
    <mergeCell ref="A915:B915"/>
    <mergeCell ref="G915:H918"/>
    <mergeCell ref="A916:B916"/>
    <mergeCell ref="A918:B918"/>
    <mergeCell ref="C915:F915"/>
    <mergeCell ref="A904:H904"/>
    <mergeCell ref="G932:H935"/>
    <mergeCell ref="A933:B933"/>
    <mergeCell ref="A934:B934"/>
    <mergeCell ref="A935:B935"/>
    <mergeCell ref="C938:F938"/>
    <mergeCell ref="A909:H909"/>
    <mergeCell ref="A910:B910"/>
    <mergeCell ref="G910:H913"/>
    <mergeCell ref="A911:B911"/>
    <mergeCell ref="A912:B912"/>
    <mergeCell ref="A913:B913"/>
    <mergeCell ref="A931:H931"/>
    <mergeCell ref="A932:B932"/>
    <mergeCell ref="A928:B928"/>
    <mergeCell ref="A929:B929"/>
    <mergeCell ref="A930:B930"/>
    <mergeCell ref="A927:B927"/>
    <mergeCell ref="A914:H914"/>
    <mergeCell ref="G927:H930"/>
    <mergeCell ref="A895:B895"/>
    <mergeCell ref="A891:H891"/>
    <mergeCell ref="A892:B892"/>
    <mergeCell ref="G892:H895"/>
    <mergeCell ref="A893:B893"/>
    <mergeCell ref="G897:H900"/>
    <mergeCell ref="A898:B898"/>
    <mergeCell ref="A899:B899"/>
    <mergeCell ref="A900:B900"/>
    <mergeCell ref="A897:B897"/>
    <mergeCell ref="G905:H908"/>
    <mergeCell ref="A1100:H1100"/>
    <mergeCell ref="A1087:B1087"/>
    <mergeCell ref="A1088:B1088"/>
    <mergeCell ref="A1089:B1089"/>
    <mergeCell ref="A1090:B1090"/>
    <mergeCell ref="A1091:B1091"/>
    <mergeCell ref="A924:H924"/>
    <mergeCell ref="A925:H925"/>
    <mergeCell ref="A921:B921"/>
    <mergeCell ref="A922:B922"/>
    <mergeCell ref="A923:B923"/>
    <mergeCell ref="A926:H926"/>
    <mergeCell ref="A919:H919"/>
    <mergeCell ref="A920:B920"/>
    <mergeCell ref="G920:H923"/>
    <mergeCell ref="A955:B955"/>
    <mergeCell ref="A939:B939"/>
    <mergeCell ref="A940:B940"/>
    <mergeCell ref="A917:B917"/>
    <mergeCell ref="A1061:B1061"/>
    <mergeCell ref="A1062:B1062"/>
    <mergeCell ref="A1125:B1125"/>
    <mergeCell ref="G1125:H1128"/>
    <mergeCell ref="A1126:B1126"/>
    <mergeCell ref="A1127:B1127"/>
    <mergeCell ref="A1128:B1128"/>
    <mergeCell ref="C1126:F1126"/>
    <mergeCell ref="A1120:B1120"/>
    <mergeCell ref="G1120:H1123"/>
    <mergeCell ref="A1121:B1121"/>
    <mergeCell ref="A1122:B1122"/>
    <mergeCell ref="A1123:B1123"/>
    <mergeCell ref="A1114:H1114"/>
    <mergeCell ref="C1121:F1121"/>
    <mergeCell ref="A1118:B1118"/>
    <mergeCell ref="A1119:H1119"/>
    <mergeCell ref="A1117:B1117"/>
    <mergeCell ref="A1086:H1086"/>
    <mergeCell ref="G1087:H1092"/>
    <mergeCell ref="A1101:B1101"/>
    <mergeCell ref="A1056:H1056"/>
    <mergeCell ref="A1034:B1034"/>
    <mergeCell ref="A1035:H1035"/>
    <mergeCell ref="G1036:H1041"/>
    <mergeCell ref="C1022:F1022"/>
    <mergeCell ref="C1027:F1027"/>
    <mergeCell ref="A1022:B1022"/>
    <mergeCell ref="G1022:H1027"/>
    <mergeCell ref="A941:H941"/>
    <mergeCell ref="C1073:F1073"/>
    <mergeCell ref="A1065:H1065"/>
    <mergeCell ref="A1066:B1066"/>
    <mergeCell ref="G1066:H1071"/>
    <mergeCell ref="A1070:B1070"/>
    <mergeCell ref="G985:H990"/>
    <mergeCell ref="A958:B958"/>
    <mergeCell ref="A959:B959"/>
    <mergeCell ref="A987:B987"/>
    <mergeCell ref="A988:B988"/>
    <mergeCell ref="A989:B989"/>
    <mergeCell ref="A1073:B1073"/>
    <mergeCell ref="A974:B974"/>
    <mergeCell ref="A1031:B1031"/>
    <mergeCell ref="A1013:B1013"/>
    <mergeCell ref="A1021:H1021"/>
    <mergeCell ref="A1046:B1046"/>
    <mergeCell ref="A1054:B1054"/>
    <mergeCell ref="A972:B972"/>
    <mergeCell ref="A973:B973"/>
    <mergeCell ref="A1043:B1043"/>
    <mergeCell ref="G1043:H1048"/>
    <mergeCell ref="A1044:B1044"/>
    <mergeCell ref="A1045:B1045"/>
    <mergeCell ref="A1010:B1010"/>
    <mergeCell ref="G1101:H1106"/>
    <mergeCell ref="A1102:B1102"/>
    <mergeCell ref="A1103:B1103"/>
    <mergeCell ref="A1104:B1104"/>
    <mergeCell ref="A1105:B1105"/>
    <mergeCell ref="A1106:B1106"/>
    <mergeCell ref="C1101:F1101"/>
    <mergeCell ref="A1093:H1093"/>
    <mergeCell ref="A1094:B1094"/>
    <mergeCell ref="G1094:H1099"/>
    <mergeCell ref="A1095:B1095"/>
    <mergeCell ref="A1096:B1096"/>
    <mergeCell ref="A1097:B1097"/>
    <mergeCell ref="A992:B992"/>
    <mergeCell ref="A998:H998"/>
    <mergeCell ref="A1017:B1017"/>
    <mergeCell ref="A1007:H1007"/>
    <mergeCell ref="A1082:B1082"/>
    <mergeCell ref="A1085:B1085"/>
    <mergeCell ref="A1083:B1083"/>
    <mergeCell ref="G1073:H1078"/>
    <mergeCell ref="A1069:B1069"/>
    <mergeCell ref="A1063:B1063"/>
    <mergeCell ref="A1064:B1064"/>
    <mergeCell ref="A1025:B1025"/>
    <mergeCell ref="A957:B957"/>
    <mergeCell ref="A960:B960"/>
    <mergeCell ref="A961:B961"/>
    <mergeCell ref="A962:B962"/>
    <mergeCell ref="A1018:B1018"/>
    <mergeCell ref="A1019:B1019"/>
    <mergeCell ref="A1020:B1020"/>
    <mergeCell ref="G971:H976"/>
    <mergeCell ref="A975:B975"/>
    <mergeCell ref="A977:H977"/>
    <mergeCell ref="G978:H983"/>
    <mergeCell ref="A1047:B1047"/>
    <mergeCell ref="A1048:B1048"/>
    <mergeCell ref="A963:H963"/>
    <mergeCell ref="A1028:H1028"/>
    <mergeCell ref="G1029:H1034"/>
    <mergeCell ref="A1033:B1033"/>
    <mergeCell ref="A990:B990"/>
    <mergeCell ref="G999:H1004"/>
    <mergeCell ref="A1001:B1001"/>
    <mergeCell ref="A1002:B1002"/>
    <mergeCell ref="A1003:B1003"/>
    <mergeCell ref="A995:B995"/>
    <mergeCell ref="A996:B996"/>
    <mergeCell ref="A997:B997"/>
    <mergeCell ref="A1006:H1006"/>
    <mergeCell ref="A1000:B1000"/>
    <mergeCell ref="A1015:B1015"/>
    <mergeCell ref="A1011:B1011"/>
    <mergeCell ref="A1012:B1012"/>
    <mergeCell ref="A1023:B1023"/>
    <mergeCell ref="A1030:B1030"/>
    <mergeCell ref="C249:D249"/>
    <mergeCell ref="E273:F273"/>
    <mergeCell ref="G273:H273"/>
    <mergeCell ref="C274:D274"/>
    <mergeCell ref="A255:B255"/>
    <mergeCell ref="A272:B272"/>
    <mergeCell ref="A256:B256"/>
    <mergeCell ref="A257:B257"/>
    <mergeCell ref="A258:B258"/>
    <mergeCell ref="A276:B276"/>
    <mergeCell ref="A273:A275"/>
    <mergeCell ref="A270:B270"/>
    <mergeCell ref="A268:H268"/>
    <mergeCell ref="A269:B269"/>
    <mergeCell ref="E274:F274"/>
    <mergeCell ref="C609:F609"/>
    <mergeCell ref="A600:B600"/>
    <mergeCell ref="A601:B601"/>
    <mergeCell ref="A566:B566"/>
    <mergeCell ref="A567:B567"/>
    <mergeCell ref="A370:B370"/>
    <mergeCell ref="A574:B574"/>
    <mergeCell ref="A577:B577"/>
    <mergeCell ref="A607:B607"/>
    <mergeCell ref="A355:B355"/>
    <mergeCell ref="A356:B356"/>
    <mergeCell ref="A357:B357"/>
    <mergeCell ref="A358:B358"/>
    <mergeCell ref="A360:B360"/>
    <mergeCell ref="A361:B361"/>
    <mergeCell ref="A279:H279"/>
    <mergeCell ref="G400:H403"/>
    <mergeCell ref="G248:H248"/>
    <mergeCell ref="C276:D276"/>
    <mergeCell ref="E276:F276"/>
    <mergeCell ref="G276:H276"/>
    <mergeCell ref="C269:D269"/>
    <mergeCell ref="E269:F269"/>
    <mergeCell ref="G263:H263"/>
    <mergeCell ref="G252:H252"/>
    <mergeCell ref="E261:F261"/>
    <mergeCell ref="G261:H261"/>
    <mergeCell ref="A263:B263"/>
    <mergeCell ref="C263:D263"/>
    <mergeCell ref="G274:H274"/>
    <mergeCell ref="G269:H269"/>
    <mergeCell ref="E249:F249"/>
    <mergeCell ref="A1098:B1098"/>
    <mergeCell ref="A1099:B1099"/>
    <mergeCell ref="A1050:B1050"/>
    <mergeCell ref="G1050:H1055"/>
    <mergeCell ref="A1051:B1051"/>
    <mergeCell ref="A1052:B1052"/>
    <mergeCell ref="A1053:B1053"/>
    <mergeCell ref="A1079:H1079"/>
    <mergeCell ref="G1080:H1085"/>
    <mergeCell ref="A1084:B1084"/>
    <mergeCell ref="A1067:B1067"/>
    <mergeCell ref="A1092:B1092"/>
    <mergeCell ref="A1057:H1057"/>
    <mergeCell ref="A1058:H1058"/>
    <mergeCell ref="A1059:B1059"/>
    <mergeCell ref="A1071:B1071"/>
    <mergeCell ref="A1081:B1081"/>
    <mergeCell ref="A1004:B1004"/>
    <mergeCell ref="C1004:F1004"/>
    <mergeCell ref="G992:H997"/>
    <mergeCell ref="G1059:H1064"/>
    <mergeCell ref="A1060:B1060"/>
    <mergeCell ref="A1080:B1080"/>
    <mergeCell ref="A976:B976"/>
    <mergeCell ref="A1075:B1075"/>
    <mergeCell ref="A1076:B1076"/>
    <mergeCell ref="A1077:B1077"/>
    <mergeCell ref="A1078:B1078"/>
    <mergeCell ref="A1068:B1068"/>
    <mergeCell ref="G1015:H1020"/>
    <mergeCell ref="A1016:B1016"/>
    <mergeCell ref="A1041:B1041"/>
    <mergeCell ref="A1032:B1032"/>
    <mergeCell ref="A999:B999"/>
    <mergeCell ref="A1036:B1036"/>
    <mergeCell ref="A1037:B1037"/>
    <mergeCell ref="A1038:B1038"/>
    <mergeCell ref="A1039:B1039"/>
    <mergeCell ref="A1040:B1040"/>
    <mergeCell ref="A1008:B1008"/>
    <mergeCell ref="G1008:H1013"/>
    <mergeCell ref="A1009:B1009"/>
    <mergeCell ref="A993:B993"/>
    <mergeCell ref="A1024:B1024"/>
    <mergeCell ref="A1055:B1055"/>
    <mergeCell ref="A1042:H1042"/>
    <mergeCell ref="A1014:H1014"/>
    <mergeCell ref="A1026:B1026"/>
    <mergeCell ref="A1027:B1027"/>
    <mergeCell ref="A288:B288"/>
    <mergeCell ref="A1074:B1074"/>
    <mergeCell ref="A1029:B1029"/>
    <mergeCell ref="A967:B967"/>
    <mergeCell ref="A968:B968"/>
    <mergeCell ref="A969:B969"/>
    <mergeCell ref="A1005:H1005"/>
    <mergeCell ref="G964:H969"/>
    <mergeCell ref="G957:H962"/>
    <mergeCell ref="A965:B965"/>
    <mergeCell ref="A966:B966"/>
    <mergeCell ref="A971:B971"/>
    <mergeCell ref="A964:B964"/>
    <mergeCell ref="A289:B289"/>
    <mergeCell ref="A290:B290"/>
    <mergeCell ref="A970:H970"/>
    <mergeCell ref="C969:F969"/>
    <mergeCell ref="A576:B576"/>
    <mergeCell ref="A377:B377"/>
    <mergeCell ref="A378:B378"/>
    <mergeCell ref="A486:B486"/>
    <mergeCell ref="A490:B490"/>
    <mergeCell ref="A497:B497"/>
    <mergeCell ref="A495:B495"/>
    <mergeCell ref="A496:B496"/>
    <mergeCell ref="G489:H492"/>
    <mergeCell ref="A451:H451"/>
    <mergeCell ref="A475:B475"/>
    <mergeCell ref="A478:H478"/>
    <mergeCell ref="C491:F491"/>
    <mergeCell ref="A471:B471"/>
    <mergeCell ref="A472:B472"/>
    <mergeCell ref="F222:H222"/>
    <mergeCell ref="F221:H221"/>
    <mergeCell ref="A221:E221"/>
    <mergeCell ref="A217:B217"/>
    <mergeCell ref="C217:H217"/>
    <mergeCell ref="A232:B232"/>
    <mergeCell ref="A238:A239"/>
    <mergeCell ref="A248:B248"/>
    <mergeCell ref="C232:D232"/>
    <mergeCell ref="E232:F232"/>
    <mergeCell ref="A494:B494"/>
    <mergeCell ref="A491:B491"/>
    <mergeCell ref="E256:F256"/>
    <mergeCell ref="C267:D267"/>
    <mergeCell ref="E267:F267"/>
    <mergeCell ref="G267:H267"/>
    <mergeCell ref="C254:D254"/>
    <mergeCell ref="E254:F254"/>
    <mergeCell ref="G254:H254"/>
    <mergeCell ref="C255:D255"/>
    <mergeCell ref="E255:F255"/>
    <mergeCell ref="C251:D251"/>
    <mergeCell ref="E251:F251"/>
    <mergeCell ref="G249:H249"/>
    <mergeCell ref="C243:D243"/>
    <mergeCell ref="E243:F243"/>
    <mergeCell ref="G243:H243"/>
    <mergeCell ref="A261:B261"/>
    <mergeCell ref="C261:D261"/>
    <mergeCell ref="C257:D257"/>
    <mergeCell ref="E257:F257"/>
    <mergeCell ref="G257:H257"/>
    <mergeCell ref="I220:O220"/>
    <mergeCell ref="I218:O218"/>
    <mergeCell ref="C71:H71"/>
    <mergeCell ref="A73:B73"/>
    <mergeCell ref="C73:H73"/>
    <mergeCell ref="E190:F190"/>
    <mergeCell ref="G190:H190"/>
    <mergeCell ref="E191:F200"/>
    <mergeCell ref="G191:H200"/>
    <mergeCell ref="A193:B193"/>
    <mergeCell ref="A194:B194"/>
    <mergeCell ref="A195:B195"/>
    <mergeCell ref="A196:B196"/>
    <mergeCell ref="A197:B197"/>
    <mergeCell ref="A198:B198"/>
    <mergeCell ref="A199:B199"/>
    <mergeCell ref="A200:B200"/>
    <mergeCell ref="F220:H220"/>
    <mergeCell ref="A220:E220"/>
    <mergeCell ref="A218:H218"/>
    <mergeCell ref="A216:H216"/>
    <mergeCell ref="A190:B190"/>
    <mergeCell ref="A191:B191"/>
    <mergeCell ref="A192:B192"/>
    <mergeCell ref="A74:B75"/>
    <mergeCell ref="C74:D75"/>
    <mergeCell ref="A215:H215"/>
    <mergeCell ref="E74:F75"/>
    <mergeCell ref="G74:H75"/>
    <mergeCell ref="A71:B71"/>
    <mergeCell ref="C94:H94"/>
    <mergeCell ref="A120:B120"/>
    <mergeCell ref="A453:B453"/>
    <mergeCell ref="A470:B470"/>
    <mergeCell ref="G474:H477"/>
    <mergeCell ref="G479:H482"/>
    <mergeCell ref="A463:B463"/>
    <mergeCell ref="A464:B464"/>
    <mergeCell ref="A461:B461"/>
    <mergeCell ref="G453:H458"/>
    <mergeCell ref="A517:B517"/>
    <mergeCell ref="A518:B518"/>
    <mergeCell ref="A456:B456"/>
    <mergeCell ref="A457:B457"/>
    <mergeCell ref="A513:B513"/>
    <mergeCell ref="A492:B492"/>
    <mergeCell ref="A493:H493"/>
    <mergeCell ref="A473:H473"/>
    <mergeCell ref="A501:B501"/>
    <mergeCell ref="A503:B503"/>
    <mergeCell ref="A376:B376"/>
    <mergeCell ref="A483:H483"/>
    <mergeCell ref="C258:D258"/>
    <mergeCell ref="E258:F258"/>
    <mergeCell ref="G258:H258"/>
    <mergeCell ref="G251:H251"/>
    <mergeCell ref="C252:D252"/>
    <mergeCell ref="E252:F252"/>
    <mergeCell ref="E253:F253"/>
    <mergeCell ref="G253:H253"/>
    <mergeCell ref="G256:H256"/>
    <mergeCell ref="C256:D256"/>
    <mergeCell ref="E260:F260"/>
    <mergeCell ref="G260:H260"/>
    <mergeCell ref="G255:H255"/>
    <mergeCell ref="A442:B442"/>
    <mergeCell ref="C266:D266"/>
    <mergeCell ref="A443:B443"/>
    <mergeCell ref="C273:D273"/>
    <mergeCell ref="A444:B444"/>
    <mergeCell ref="A445:B445"/>
    <mergeCell ref="A432:B432"/>
    <mergeCell ref="G460:H467"/>
    <mergeCell ref="A421:H421"/>
    <mergeCell ref="G422:H425"/>
    <mergeCell ref="A426:H426"/>
    <mergeCell ref="G427:H430"/>
    <mergeCell ref="A324:H324"/>
    <mergeCell ref="A301:B301"/>
    <mergeCell ref="A302:B302"/>
    <mergeCell ref="A393:B393"/>
    <mergeCell ref="A266:B266"/>
    <mergeCell ref="A350:B350"/>
    <mergeCell ref="A573:B573"/>
    <mergeCell ref="A433:B433"/>
    <mergeCell ref="A438:B438"/>
    <mergeCell ref="A439:B439"/>
    <mergeCell ref="A440:B440"/>
    <mergeCell ref="A429:B429"/>
    <mergeCell ref="A430:B430"/>
    <mergeCell ref="A415:B415"/>
    <mergeCell ref="A416:B416"/>
    <mergeCell ref="A435:B435"/>
    <mergeCell ref="A425:B425"/>
    <mergeCell ref="A427:B427"/>
    <mergeCell ref="A441:H441"/>
    <mergeCell ref="A428:B428"/>
    <mergeCell ref="G437:H440"/>
    <mergeCell ref="A375:B375"/>
    <mergeCell ref="A560:B560"/>
    <mergeCell ref="A389:H389"/>
    <mergeCell ref="A390:B390"/>
    <mergeCell ref="A391:B391"/>
    <mergeCell ref="A387:B387"/>
    <mergeCell ref="A398:B398"/>
    <mergeCell ref="A400:B400"/>
    <mergeCell ref="A401:B401"/>
    <mergeCell ref="A402:B402"/>
    <mergeCell ref="A403:B403"/>
    <mergeCell ref="G395:H398"/>
    <mergeCell ref="A484:B484"/>
    <mergeCell ref="A485:B485"/>
    <mergeCell ref="A502:B502"/>
    <mergeCell ref="A488:H488"/>
    <mergeCell ref="A590:B590"/>
    <mergeCell ref="A578:H578"/>
    <mergeCell ref="G579:H584"/>
    <mergeCell ref="A580:B580"/>
    <mergeCell ref="A581:B581"/>
    <mergeCell ref="A616:H616"/>
    <mergeCell ref="A617:B617"/>
    <mergeCell ref="G617:H624"/>
    <mergeCell ref="A618:B618"/>
    <mergeCell ref="A619:B619"/>
    <mergeCell ref="A620:B620"/>
    <mergeCell ref="A605:B605"/>
    <mergeCell ref="A606:B606"/>
    <mergeCell ref="A625:H625"/>
    <mergeCell ref="A621:B621"/>
    <mergeCell ref="A623:B623"/>
    <mergeCell ref="A622:B622"/>
    <mergeCell ref="A594:B594"/>
    <mergeCell ref="G123:H123"/>
    <mergeCell ref="A624:B624"/>
    <mergeCell ref="A602:H602"/>
    <mergeCell ref="A603:B603"/>
    <mergeCell ref="A614:H614"/>
    <mergeCell ref="A615:H615"/>
    <mergeCell ref="A631:B631"/>
    <mergeCell ref="A632:B632"/>
    <mergeCell ref="A633:B633"/>
    <mergeCell ref="C628:F628"/>
    <mergeCell ref="G609:H613"/>
    <mergeCell ref="A641:B641"/>
    <mergeCell ref="A642:B642"/>
    <mergeCell ref="A648:H648"/>
    <mergeCell ref="E234:F234"/>
    <mergeCell ref="G234:H234"/>
    <mergeCell ref="A668:B668"/>
    <mergeCell ref="E266:F266"/>
    <mergeCell ref="G266:H266"/>
    <mergeCell ref="A331:B331"/>
    <mergeCell ref="A325:B325"/>
    <mergeCell ref="A326:B326"/>
    <mergeCell ref="G325:H332"/>
    <mergeCell ref="G314:H317"/>
    <mergeCell ref="G319:H322"/>
    <mergeCell ref="G334:H337"/>
    <mergeCell ref="A366:B366"/>
    <mergeCell ref="A320:B320"/>
    <mergeCell ref="A532:H532"/>
    <mergeCell ref="A528:B528"/>
    <mergeCell ref="A323:H323"/>
    <mergeCell ref="G494:H497"/>
    <mergeCell ref="A675:B675"/>
    <mergeCell ref="A676:B676"/>
    <mergeCell ref="A677:B677"/>
    <mergeCell ref="A568:B568"/>
    <mergeCell ref="A541:B541"/>
    <mergeCell ref="A545:B545"/>
    <mergeCell ref="A546:B546"/>
    <mergeCell ref="A548:B548"/>
    <mergeCell ref="A549:B549"/>
    <mergeCell ref="A550:B550"/>
    <mergeCell ref="A626:B626"/>
    <mergeCell ref="G626:H633"/>
    <mergeCell ref="A627:B627"/>
    <mergeCell ref="A628:B628"/>
    <mergeCell ref="A666:B666"/>
    <mergeCell ref="A667:B667"/>
    <mergeCell ref="C120:H120"/>
    <mergeCell ref="A242:B242"/>
    <mergeCell ref="C242:D242"/>
    <mergeCell ref="A671:H671"/>
    <mergeCell ref="G649:H661"/>
    <mergeCell ref="A650:B650"/>
    <mergeCell ref="A651:B651"/>
    <mergeCell ref="A652:B652"/>
    <mergeCell ref="A653:B653"/>
    <mergeCell ref="A654:B654"/>
    <mergeCell ref="A655:B655"/>
    <mergeCell ref="A656:B656"/>
    <mergeCell ref="A657:B657"/>
    <mergeCell ref="A122:B122"/>
    <mergeCell ref="A123:B123"/>
    <mergeCell ref="E123:F123"/>
    <mergeCell ref="A154:B154"/>
    <mergeCell ref="A162:B162"/>
    <mergeCell ref="C162:H162"/>
    <mergeCell ref="C164:H164"/>
    <mergeCell ref="A165:B165"/>
    <mergeCell ref="E165:F165"/>
    <mergeCell ref="G165:H165"/>
    <mergeCell ref="A166:B166"/>
    <mergeCell ref="E166:F175"/>
    <mergeCell ref="G166:H175"/>
    <mergeCell ref="A167:B167"/>
    <mergeCell ref="A168:B168"/>
    <mergeCell ref="A169:B169"/>
    <mergeCell ref="A170:B170"/>
    <mergeCell ref="A171:B171"/>
    <mergeCell ref="A172:B172"/>
    <mergeCell ref="A173:B173"/>
    <mergeCell ref="A174:B174"/>
    <mergeCell ref="A1151:H1151"/>
    <mergeCell ref="A1124:H1124"/>
    <mergeCell ref="A1107:H1107"/>
    <mergeCell ref="A1072:H1072"/>
    <mergeCell ref="A1049:H1049"/>
    <mergeCell ref="A991:H991"/>
    <mergeCell ref="A956:H956"/>
    <mergeCell ref="A902:H902"/>
    <mergeCell ref="A896:H896"/>
    <mergeCell ref="A881:H881"/>
    <mergeCell ref="A827:H827"/>
    <mergeCell ref="A394:H394"/>
    <mergeCell ref="A680:H680"/>
    <mergeCell ref="A649:B649"/>
    <mergeCell ref="A681:B681"/>
    <mergeCell ref="G681:H688"/>
    <mergeCell ref="A682:B682"/>
    <mergeCell ref="A683:B683"/>
    <mergeCell ref="A684:B684"/>
    <mergeCell ref="A809:H809"/>
    <mergeCell ref="A810:B810"/>
    <mergeCell ref="G810:H817"/>
    <mergeCell ref="A811:B811"/>
    <mergeCell ref="A812:B812"/>
    <mergeCell ref="A813:B813"/>
    <mergeCell ref="A634:H634"/>
    <mergeCell ref="A662:H662"/>
    <mergeCell ref="A663:B663"/>
    <mergeCell ref="G663:H670"/>
    <mergeCell ref="A664:B664"/>
    <mergeCell ref="A665:B665"/>
    <mergeCell ref="A685:B685"/>
    <mergeCell ref="A815:B815"/>
    <mergeCell ref="A816:B816"/>
    <mergeCell ref="A817:B817"/>
    <mergeCell ref="A635:H635"/>
    <mergeCell ref="A636:B636"/>
    <mergeCell ref="A637:B637"/>
    <mergeCell ref="A85:B85"/>
    <mergeCell ref="A86:B86"/>
    <mergeCell ref="A87:B87"/>
    <mergeCell ref="C122:H122"/>
    <mergeCell ref="A155:B155"/>
    <mergeCell ref="A175:B175"/>
    <mergeCell ref="A124:B124"/>
    <mergeCell ref="E124:F133"/>
    <mergeCell ref="G124:H133"/>
    <mergeCell ref="A125:B125"/>
    <mergeCell ref="A126:B126"/>
    <mergeCell ref="A129:B129"/>
    <mergeCell ref="A130:B130"/>
    <mergeCell ref="A131:B131"/>
    <mergeCell ref="A156:B156"/>
    <mergeCell ref="A157:B157"/>
    <mergeCell ref="A158:B158"/>
    <mergeCell ref="A159:B159"/>
    <mergeCell ref="A160:B160"/>
    <mergeCell ref="A161:B161"/>
    <mergeCell ref="A148:B148"/>
    <mergeCell ref="C148:H148"/>
    <mergeCell ref="A150:B150"/>
    <mergeCell ref="C150:H150"/>
    <mergeCell ref="A151:B151"/>
    <mergeCell ref="C235:D235"/>
    <mergeCell ref="A819:B819"/>
    <mergeCell ref="G819:H826"/>
    <mergeCell ref="A109:B109"/>
    <mergeCell ref="E109:F109"/>
    <mergeCell ref="G109:H109"/>
    <mergeCell ref="A110:B110"/>
    <mergeCell ref="E110:F119"/>
    <mergeCell ref="G110:H119"/>
    <mergeCell ref="A111:B111"/>
    <mergeCell ref="A112:B112"/>
    <mergeCell ref="A113:B113"/>
    <mergeCell ref="A114:B114"/>
    <mergeCell ref="A115:B115"/>
    <mergeCell ref="A116:B116"/>
    <mergeCell ref="A117:B117"/>
    <mergeCell ref="A240:B240"/>
    <mergeCell ref="C240:D240"/>
    <mergeCell ref="E240:F240"/>
    <mergeCell ref="G240:H240"/>
    <mergeCell ref="A133:B133"/>
    <mergeCell ref="A806:B806"/>
    <mergeCell ref="A265:B265"/>
    <mergeCell ref="C265:D265"/>
    <mergeCell ref="E265:F265"/>
    <mergeCell ref="G265:H265"/>
    <mergeCell ref="A118:B118"/>
    <mergeCell ref="A119:B119"/>
    <mergeCell ref="A132:B132"/>
    <mergeCell ref="A164:B164"/>
    <mergeCell ref="A127:B127"/>
    <mergeCell ref="A128:B128"/>
    <mergeCell ref="A814:B814"/>
    <mergeCell ref="A81:B81"/>
    <mergeCell ref="E81:F81"/>
    <mergeCell ref="G81:H81"/>
    <mergeCell ref="A82:B82"/>
    <mergeCell ref="E82:F91"/>
    <mergeCell ref="G82:H91"/>
    <mergeCell ref="E95:F95"/>
    <mergeCell ref="G95:H95"/>
    <mergeCell ref="A96:B96"/>
    <mergeCell ref="E96:F105"/>
    <mergeCell ref="G96:H105"/>
    <mergeCell ref="A97:B97"/>
    <mergeCell ref="A98:B98"/>
    <mergeCell ref="A99:B99"/>
    <mergeCell ref="A100:B100"/>
    <mergeCell ref="A101:B101"/>
    <mergeCell ref="A102:B102"/>
    <mergeCell ref="A103:B103"/>
    <mergeCell ref="K47:M47"/>
    <mergeCell ref="A787:H787"/>
    <mergeCell ref="A788:H788"/>
    <mergeCell ref="A789:H789"/>
    <mergeCell ref="A790:B790"/>
    <mergeCell ref="G790:H797"/>
    <mergeCell ref="A791:B791"/>
    <mergeCell ref="A792:B792"/>
    <mergeCell ref="A793:B793"/>
    <mergeCell ref="A794:B794"/>
    <mergeCell ref="A795:B795"/>
    <mergeCell ref="A796:B796"/>
    <mergeCell ref="A797:B797"/>
    <mergeCell ref="A79:B80"/>
    <mergeCell ref="C79:D80"/>
    <mergeCell ref="E79:F80"/>
    <mergeCell ref="G79:H80"/>
    <mergeCell ref="G55:H55"/>
    <mergeCell ref="C56:H56"/>
    <mergeCell ref="A88:B88"/>
    <mergeCell ref="A89:B89"/>
    <mergeCell ref="A90:B90"/>
    <mergeCell ref="A91:B91"/>
    <mergeCell ref="A78:B78"/>
    <mergeCell ref="A70:C70"/>
    <mergeCell ref="C233:D233"/>
    <mergeCell ref="E233:F233"/>
    <mergeCell ref="A104:B104"/>
    <mergeCell ref="A105:B105"/>
    <mergeCell ref="A95:B95"/>
    <mergeCell ref="A83:B83"/>
    <mergeCell ref="A84:B84"/>
    <mergeCell ref="A152:B152"/>
    <mergeCell ref="E152:F161"/>
    <mergeCell ref="G152:H161"/>
    <mergeCell ref="A153:B153"/>
    <mergeCell ref="E236:F236"/>
    <mergeCell ref="A186:B186"/>
    <mergeCell ref="A187:B187"/>
    <mergeCell ref="A188:B188"/>
    <mergeCell ref="A189:B189"/>
    <mergeCell ref="A661:B661"/>
    <mergeCell ref="A658:B658"/>
    <mergeCell ref="A659:B659"/>
    <mergeCell ref="A640:B640"/>
    <mergeCell ref="G233:H233"/>
    <mergeCell ref="C234:D234"/>
    <mergeCell ref="E237:F237"/>
    <mergeCell ref="G237:H237"/>
    <mergeCell ref="C238:D238"/>
    <mergeCell ref="E238:F238"/>
    <mergeCell ref="G238:H238"/>
    <mergeCell ref="C239:D239"/>
    <mergeCell ref="G204:H204"/>
    <mergeCell ref="A205:B205"/>
    <mergeCell ref="E205:F214"/>
    <mergeCell ref="G205:H214"/>
    <mergeCell ref="A206:B206"/>
    <mergeCell ref="E235:F235"/>
    <mergeCell ref="G235:H235"/>
    <mergeCell ref="C236:D236"/>
    <mergeCell ref="E242:F242"/>
    <mergeCell ref="G242:H242"/>
    <mergeCell ref="A243:B243"/>
    <mergeCell ref="C36:H36"/>
    <mergeCell ref="A57:H57"/>
    <mergeCell ref="A58:B58"/>
    <mergeCell ref="C58:E58"/>
    <mergeCell ref="G58:H58"/>
    <mergeCell ref="A59:B59"/>
    <mergeCell ref="C59:E59"/>
    <mergeCell ref="G59:H59"/>
    <mergeCell ref="A60:B61"/>
    <mergeCell ref="C60:E60"/>
    <mergeCell ref="G60:H60"/>
    <mergeCell ref="C61:H61"/>
    <mergeCell ref="A134:B134"/>
    <mergeCell ref="C134:H134"/>
    <mergeCell ref="A136:B136"/>
    <mergeCell ref="C136:H136"/>
    <mergeCell ref="E151:F151"/>
    <mergeCell ref="G151:H151"/>
    <mergeCell ref="A37:B37"/>
    <mergeCell ref="C37:H37"/>
    <mergeCell ref="A106:B106"/>
    <mergeCell ref="C106:H106"/>
    <mergeCell ref="A108:B108"/>
    <mergeCell ref="C108:H108"/>
    <mergeCell ref="A92:B92"/>
    <mergeCell ref="C92:H92"/>
    <mergeCell ref="A94:B94"/>
    <mergeCell ref="D70:H70"/>
    <mergeCell ref="A63:C63"/>
    <mergeCell ref="A76:B76"/>
    <mergeCell ref="C76:H76"/>
    <mergeCell ref="C78:H78"/>
    <mergeCell ref="A207:B207"/>
    <mergeCell ref="A208:B208"/>
    <mergeCell ref="A209:B209"/>
    <mergeCell ref="A210:B210"/>
    <mergeCell ref="A211:B211"/>
    <mergeCell ref="A212:B212"/>
    <mergeCell ref="A213:B213"/>
    <mergeCell ref="A214:B214"/>
    <mergeCell ref="A203:B203"/>
    <mergeCell ref="C203:H203"/>
    <mergeCell ref="A204:B204"/>
    <mergeCell ref="E204:F204"/>
    <mergeCell ref="A798:H798"/>
    <mergeCell ref="G236:H236"/>
    <mergeCell ref="C237:D237"/>
    <mergeCell ref="A638:B638"/>
    <mergeCell ref="A639:B639"/>
    <mergeCell ref="A660:B660"/>
    <mergeCell ref="E239:F239"/>
    <mergeCell ref="G239:H239"/>
    <mergeCell ref="A686:B686"/>
    <mergeCell ref="A687:B687"/>
    <mergeCell ref="A688:B688"/>
    <mergeCell ref="C688:F688"/>
    <mergeCell ref="A629:B629"/>
    <mergeCell ref="A630:B630"/>
    <mergeCell ref="A559:B559"/>
    <mergeCell ref="A506:B506"/>
    <mergeCell ref="A672:B672"/>
    <mergeCell ref="G672:H679"/>
    <mergeCell ref="A673:B673"/>
    <mergeCell ref="A674:B674"/>
    <mergeCell ref="B1144:H1144"/>
    <mergeCell ref="A1139:A1143"/>
    <mergeCell ref="B1135:H1135"/>
    <mergeCell ref="B1136:H1136"/>
    <mergeCell ref="B1137:H1137"/>
    <mergeCell ref="B1138:H1138"/>
    <mergeCell ref="B1139:H1139"/>
    <mergeCell ref="B1140:E1140"/>
    <mergeCell ref="F1140:H1140"/>
    <mergeCell ref="B1141:E1141"/>
    <mergeCell ref="F1141:H1141"/>
    <mergeCell ref="B1142:E1142"/>
    <mergeCell ref="F1142:H1142"/>
    <mergeCell ref="B1143:E1143"/>
    <mergeCell ref="F1143:H1143"/>
    <mergeCell ref="A799:B799"/>
    <mergeCell ref="G799:H806"/>
    <mergeCell ref="A800:B800"/>
    <mergeCell ref="A801:B801"/>
    <mergeCell ref="C801:F801"/>
    <mergeCell ref="A802:B802"/>
    <mergeCell ref="A803:B803"/>
    <mergeCell ref="A804:B804"/>
    <mergeCell ref="A805:B805"/>
    <mergeCell ref="B1131:D1131"/>
    <mergeCell ref="E1131:H1131"/>
    <mergeCell ref="B1130:H1130"/>
    <mergeCell ref="B1133:H1133"/>
    <mergeCell ref="B1134:H1134"/>
    <mergeCell ref="A807:H807"/>
    <mergeCell ref="A808:H808"/>
    <mergeCell ref="A818:H818"/>
    <mergeCell ref="A137:B137"/>
    <mergeCell ref="E137:F137"/>
    <mergeCell ref="G137:H137"/>
    <mergeCell ref="A138:B138"/>
    <mergeCell ref="E138:F147"/>
    <mergeCell ref="G138:H147"/>
    <mergeCell ref="A139:B139"/>
    <mergeCell ref="A140:B140"/>
    <mergeCell ref="A141:B141"/>
    <mergeCell ref="A142:B142"/>
    <mergeCell ref="A143:B143"/>
    <mergeCell ref="A144:B144"/>
    <mergeCell ref="A145:B145"/>
    <mergeCell ref="A146:B146"/>
    <mergeCell ref="A147:B147"/>
    <mergeCell ref="A201:B201"/>
    <mergeCell ref="C201:H201"/>
    <mergeCell ref="A176:B176"/>
    <mergeCell ref="C176:H176"/>
    <mergeCell ref="A178:B178"/>
    <mergeCell ref="C178:H178"/>
    <mergeCell ref="A179:B179"/>
    <mergeCell ref="E179:F179"/>
    <mergeCell ref="G179:H179"/>
    <mergeCell ref="A180:B180"/>
    <mergeCell ref="E180:F189"/>
    <mergeCell ref="G180:H189"/>
    <mergeCell ref="A181:B181"/>
    <mergeCell ref="A182:B182"/>
    <mergeCell ref="A183:B183"/>
    <mergeCell ref="A184:B184"/>
    <mergeCell ref="A185:B185"/>
  </mergeCells>
  <hyperlinks>
    <hyperlink ref="C37" r:id="rId1"/>
  </hyperlinks>
  <printOptions horizontalCentered="1"/>
  <pageMargins left="0.39370078740157483" right="0.39370078740157483" top="0.78740157480314965" bottom="0.78740157480314965" header="0.19685039370078741" footer="0.19685039370078741"/>
  <pageSetup paperSize="9" scale="92" fitToHeight="0" orientation="portrait" r:id="rId2"/>
  <headerFooter>
    <oddHeader>&amp;C&amp;G</oddHeader>
    <oddFooter>&amp;L&amp;"Times New Roman,Bold"&amp;12Ref No: &amp;F&amp;C&amp;G&amp;R&amp;"Times New Roman,Bold"&amp;12                                                           &amp;P</oddFooter>
  </headerFooter>
  <rowBreaks count="10" manualBreakCount="10">
    <brk id="49" max="7" man="1"/>
    <brk id="70" max="7" man="1"/>
    <brk id="119" max="7" man="1"/>
    <brk id="161" max="7" man="1"/>
    <brk id="217" max="7" man="1"/>
    <brk id="1128" max="7" man="1"/>
    <brk id="1158" max="16383" man="1"/>
    <brk id="1201" max="16383" man="1"/>
    <brk id="1244" max="16383" man="1"/>
    <brk id="128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37" workbookViewId="0">
      <selection activeCell="H6" sqref="H6"/>
    </sheetView>
  </sheetViews>
  <sheetFormatPr defaultColWidth="8.7109375" defaultRowHeight="15" x14ac:dyDescent="0.25"/>
  <cols>
    <col min="1" max="1" width="8.7109375" style="37"/>
    <col min="2" max="2" width="22.28515625" style="37" customWidth="1"/>
    <col min="3" max="3" width="37" style="37" customWidth="1"/>
    <col min="4" max="5" width="11.42578125" style="37" customWidth="1"/>
    <col min="6" max="6" width="14" style="37" customWidth="1"/>
    <col min="7" max="7" width="20" style="37" customWidth="1"/>
    <col min="8" max="8" width="16.42578125" style="37" customWidth="1"/>
    <col min="9" max="16384" width="8.7109375" style="37"/>
  </cols>
  <sheetData>
    <row r="1" spans="1:9" ht="15" customHeight="1" x14ac:dyDescent="0.25"/>
    <row r="2" spans="1:9" ht="15" customHeight="1" x14ac:dyDescent="0.25">
      <c r="A2" s="38"/>
      <c r="B2" s="38"/>
      <c r="C2" s="38"/>
      <c r="D2" s="38"/>
      <c r="E2" s="38"/>
      <c r="F2" s="38"/>
      <c r="G2" s="38"/>
      <c r="H2" s="38"/>
    </row>
    <row r="3" spans="1:9" x14ac:dyDescent="0.25">
      <c r="A3" s="38"/>
      <c r="B3" s="297" t="s">
        <v>235</v>
      </c>
      <c r="C3" s="297"/>
      <c r="D3" s="297"/>
      <c r="E3" s="297"/>
      <c r="F3" s="297"/>
      <c r="G3" s="297"/>
      <c r="H3" s="297"/>
    </row>
    <row r="4" spans="1:9" x14ac:dyDescent="0.25">
      <c r="A4" s="38"/>
      <c r="B4" s="39" t="s">
        <v>236</v>
      </c>
      <c r="C4" s="39" t="s">
        <v>237</v>
      </c>
      <c r="D4" s="39" t="s">
        <v>82</v>
      </c>
      <c r="E4" s="39" t="s">
        <v>238</v>
      </c>
      <c r="F4" s="39" t="s">
        <v>239</v>
      </c>
      <c r="G4" s="39" t="s">
        <v>240</v>
      </c>
      <c r="H4" s="39" t="s">
        <v>241</v>
      </c>
    </row>
    <row r="5" spans="1:9" ht="15" customHeight="1" x14ac:dyDescent="0.25">
      <c r="A5" s="38"/>
      <c r="B5" s="40" t="s">
        <v>243</v>
      </c>
      <c r="C5" s="41" t="s">
        <v>150</v>
      </c>
      <c r="D5" s="40" t="s">
        <v>168</v>
      </c>
      <c r="E5" s="40">
        <v>0</v>
      </c>
      <c r="F5" s="42">
        <v>625</v>
      </c>
      <c r="G5" s="42">
        <f>H5/F5</f>
        <v>4480</v>
      </c>
      <c r="H5" s="43">
        <v>2800000</v>
      </c>
    </row>
    <row r="6" spans="1:9" x14ac:dyDescent="0.25">
      <c r="A6" s="38"/>
      <c r="B6" s="40" t="s">
        <v>242</v>
      </c>
      <c r="C6" s="41" t="s">
        <v>150</v>
      </c>
      <c r="D6" s="40" t="s">
        <v>168</v>
      </c>
      <c r="E6" s="40">
        <v>0</v>
      </c>
      <c r="F6" s="42">
        <v>515</v>
      </c>
      <c r="G6" s="42">
        <f t="shared" ref="G6" si="0">H6/F6</f>
        <v>5825.2427184466023</v>
      </c>
      <c r="H6" s="43">
        <v>3000000</v>
      </c>
    </row>
    <row r="7" spans="1:9" ht="15" customHeight="1" x14ac:dyDescent="0.25">
      <c r="A7" s="38"/>
      <c r="B7" s="44" t="s">
        <v>244</v>
      </c>
      <c r="C7" s="40"/>
      <c r="D7" s="40"/>
      <c r="E7" s="40"/>
      <c r="F7" s="40"/>
      <c r="G7" s="45">
        <f>AVERAGE(G5:G6)</f>
        <v>5152.6213592233016</v>
      </c>
      <c r="H7" s="40"/>
    </row>
    <row r="8" spans="1:9" ht="15" customHeight="1" x14ac:dyDescent="0.25">
      <c r="B8" s="44" t="s">
        <v>245</v>
      </c>
      <c r="C8" s="40"/>
      <c r="D8" s="40"/>
      <c r="E8" s="40"/>
      <c r="F8" s="46"/>
      <c r="G8" s="44">
        <v>5100</v>
      </c>
      <c r="H8" s="44"/>
      <c r="I8" s="47"/>
    </row>
    <row r="9" spans="1:9" ht="15" customHeight="1" x14ac:dyDescent="0.25"/>
    <row r="10" spans="1:9" ht="15" customHeight="1" x14ac:dyDescent="0.25"/>
    <row r="11" spans="1:9" ht="15" customHeight="1" x14ac:dyDescent="0.2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72"/>
  <sheetViews>
    <sheetView workbookViewId="0">
      <selection activeCell="D67" sqref="D67"/>
    </sheetView>
  </sheetViews>
  <sheetFormatPr defaultRowHeight="15" x14ac:dyDescent="0.25"/>
  <cols>
    <col min="1" max="1" width="7.5703125" bestFit="1" customWidth="1"/>
    <col min="2" max="2" width="9.7109375" bestFit="1" customWidth="1"/>
    <col min="3" max="3" width="4.7109375" bestFit="1" customWidth="1"/>
    <col min="4" max="4" width="10.7109375" bestFit="1" customWidth="1"/>
    <col min="5" max="5" width="7.7109375" bestFit="1" customWidth="1"/>
    <col min="6" max="6" width="7.28515625" bestFit="1" customWidth="1"/>
    <col min="7" max="7" width="4.7109375" bestFit="1" customWidth="1"/>
    <col min="8" max="8" width="8.7109375" bestFit="1" customWidth="1"/>
    <col min="9" max="9" width="6.7109375" bestFit="1" customWidth="1"/>
    <col min="10" max="10" width="4.7109375" bestFit="1" customWidth="1"/>
    <col min="11" max="11" width="8.7109375" bestFit="1" customWidth="1"/>
    <col min="12" max="12" width="5.7109375" bestFit="1" customWidth="1"/>
    <col min="14" max="14" width="7.5703125" bestFit="1" customWidth="1"/>
    <col min="15" max="15" width="9.7109375" bestFit="1" customWidth="1"/>
    <col min="16" max="16" width="4.7109375" bestFit="1" customWidth="1"/>
    <col min="17" max="17" width="10.7109375" bestFit="1" customWidth="1"/>
    <col min="18" max="18" width="7.7109375" bestFit="1" customWidth="1"/>
    <col min="19" max="19" width="7.28515625" bestFit="1" customWidth="1"/>
    <col min="20" max="20" width="4.7109375" bestFit="1" customWidth="1"/>
    <col min="21" max="21" width="8.7109375" bestFit="1" customWidth="1"/>
    <col min="22" max="22" width="6.7109375" bestFit="1" customWidth="1"/>
    <col min="23" max="23" width="4.7109375" bestFit="1" customWidth="1"/>
    <col min="24" max="24" width="8.7109375" bestFit="1" customWidth="1"/>
    <col min="25" max="25" width="5.7109375" bestFit="1" customWidth="1"/>
  </cols>
  <sheetData>
    <row r="2" spans="1:25" x14ac:dyDescent="0.25">
      <c r="B2" s="3" t="s">
        <v>81</v>
      </c>
      <c r="C2" s="299" t="s">
        <v>170</v>
      </c>
      <c r="D2" s="299"/>
      <c r="O2" s="3" t="s">
        <v>81</v>
      </c>
      <c r="P2" s="299" t="s">
        <v>172</v>
      </c>
      <c r="Q2" s="299"/>
    </row>
    <row r="3" spans="1:25" x14ac:dyDescent="0.25">
      <c r="D3" s="4"/>
      <c r="E3" s="4"/>
      <c r="F3" s="4"/>
      <c r="G3" s="4"/>
      <c r="H3" s="4"/>
      <c r="I3" s="4"/>
      <c r="Q3" s="4"/>
      <c r="R3" s="4"/>
      <c r="S3" s="4"/>
      <c r="T3" s="4"/>
      <c r="U3" s="4"/>
      <c r="V3" s="4"/>
    </row>
    <row r="4" spans="1:25" x14ac:dyDescent="0.25">
      <c r="A4" s="3" t="s">
        <v>82</v>
      </c>
      <c r="B4" s="5" t="s">
        <v>83</v>
      </c>
      <c r="C4" s="298" t="s">
        <v>84</v>
      </c>
      <c r="D4" s="298"/>
      <c r="E4" s="298"/>
      <c r="F4" s="6"/>
      <c r="G4" s="298" t="s">
        <v>85</v>
      </c>
      <c r="H4" s="298"/>
      <c r="I4" s="298"/>
      <c r="J4" s="298" t="s">
        <v>86</v>
      </c>
      <c r="K4" s="298"/>
      <c r="L4" s="298"/>
      <c r="N4" s="3" t="s">
        <v>82</v>
      </c>
      <c r="O4" s="5" t="s">
        <v>83</v>
      </c>
      <c r="P4" s="298" t="s">
        <v>84</v>
      </c>
      <c r="Q4" s="298"/>
      <c r="R4" s="298"/>
      <c r="S4" s="6"/>
      <c r="T4" s="298" t="s">
        <v>85</v>
      </c>
      <c r="U4" s="298"/>
      <c r="V4" s="298"/>
      <c r="W4" s="298" t="s">
        <v>86</v>
      </c>
      <c r="X4" s="298"/>
      <c r="Y4" s="298"/>
    </row>
    <row r="5" spans="1:25" x14ac:dyDescent="0.25">
      <c r="A5" s="3" t="s">
        <v>171</v>
      </c>
      <c r="B5" s="5"/>
      <c r="C5" s="5" t="s">
        <v>87</v>
      </c>
      <c r="D5" s="5" t="s">
        <v>88</v>
      </c>
      <c r="E5" s="5" t="s">
        <v>62</v>
      </c>
      <c r="F5" s="5"/>
      <c r="G5" s="5" t="s">
        <v>87</v>
      </c>
      <c r="H5" s="5" t="s">
        <v>88</v>
      </c>
      <c r="I5" s="5" t="s">
        <v>62</v>
      </c>
      <c r="J5" s="5" t="s">
        <v>87</v>
      </c>
      <c r="K5" s="5" t="s">
        <v>88</v>
      </c>
      <c r="L5" s="5" t="s">
        <v>62</v>
      </c>
      <c r="N5" s="3" t="s">
        <v>171</v>
      </c>
      <c r="O5" s="5"/>
      <c r="P5" s="5" t="s">
        <v>87</v>
      </c>
      <c r="Q5" s="5" t="s">
        <v>88</v>
      </c>
      <c r="R5" s="5" t="s">
        <v>62</v>
      </c>
      <c r="S5" s="5"/>
      <c r="T5" s="5" t="s">
        <v>87</v>
      </c>
      <c r="U5" s="5" t="s">
        <v>88</v>
      </c>
      <c r="V5" s="5" t="s">
        <v>62</v>
      </c>
      <c r="W5" s="5" t="s">
        <v>87</v>
      </c>
      <c r="X5" s="5" t="s">
        <v>88</v>
      </c>
      <c r="Y5" s="5" t="s">
        <v>62</v>
      </c>
    </row>
    <row r="6" spans="1:25" x14ac:dyDescent="0.25">
      <c r="B6" s="7" t="s">
        <v>89</v>
      </c>
      <c r="C6" s="7">
        <v>4.2</v>
      </c>
      <c r="D6" s="7">
        <v>3</v>
      </c>
      <c r="E6" s="7">
        <f>C6*D6</f>
        <v>12.600000000000001</v>
      </c>
      <c r="F6" s="7" t="s">
        <v>90</v>
      </c>
      <c r="G6" s="7">
        <v>2.13</v>
      </c>
      <c r="H6" s="7">
        <v>0.75</v>
      </c>
      <c r="I6" s="7">
        <f>G6*H6</f>
        <v>1.5974999999999999</v>
      </c>
      <c r="J6" s="7">
        <v>2.87</v>
      </c>
      <c r="K6" s="7">
        <v>1.5</v>
      </c>
      <c r="L6" s="7">
        <f>J6*K6</f>
        <v>4.3049999999999997</v>
      </c>
      <c r="O6" s="7" t="s">
        <v>89</v>
      </c>
      <c r="P6" s="7">
        <v>4.2</v>
      </c>
      <c r="Q6" s="7">
        <v>3</v>
      </c>
      <c r="R6" s="7">
        <f>P6*Q6</f>
        <v>12.600000000000001</v>
      </c>
      <c r="S6" s="7" t="s">
        <v>90</v>
      </c>
      <c r="T6" s="7">
        <v>2.87</v>
      </c>
      <c r="U6" s="7">
        <v>0.75</v>
      </c>
      <c r="V6" s="7">
        <f>T6*U6</f>
        <v>2.1524999999999999</v>
      </c>
      <c r="W6" s="7">
        <v>2.13</v>
      </c>
      <c r="X6" s="7">
        <v>1.5</v>
      </c>
      <c r="Y6" s="7">
        <f>W6*X6</f>
        <v>3.1949999999999998</v>
      </c>
    </row>
    <row r="7" spans="1:25" x14ac:dyDescent="0.25">
      <c r="B7" s="7"/>
      <c r="C7" s="7"/>
      <c r="D7" s="7"/>
      <c r="E7" s="7">
        <f t="shared" ref="E7:E33" si="0">C7*D7</f>
        <v>0</v>
      </c>
      <c r="F7" s="7" t="s">
        <v>91</v>
      </c>
      <c r="G7" s="7">
        <v>2.2999999999999998</v>
      </c>
      <c r="H7" s="7">
        <v>0.75</v>
      </c>
      <c r="I7" s="7">
        <f t="shared" ref="I7:I29" si="1">G7*H7</f>
        <v>1.7249999999999999</v>
      </c>
      <c r="J7" s="7"/>
      <c r="K7" s="7"/>
      <c r="L7" s="7">
        <f t="shared" ref="L7:L29" si="2">J7*K7</f>
        <v>0</v>
      </c>
      <c r="O7" s="7"/>
      <c r="P7" s="7"/>
      <c r="Q7" s="7"/>
      <c r="R7" s="7">
        <f t="shared" ref="R7:R33" si="3">P7*Q7</f>
        <v>0</v>
      </c>
      <c r="S7" s="7" t="s">
        <v>91</v>
      </c>
      <c r="T7" s="7">
        <v>2.2999999999999998</v>
      </c>
      <c r="U7" s="7">
        <v>0.75</v>
      </c>
      <c r="V7" s="7">
        <f t="shared" ref="V7:V29" si="4">T7*U7</f>
        <v>1.7249999999999999</v>
      </c>
      <c r="W7" s="7"/>
      <c r="X7" s="7"/>
      <c r="Y7" s="7">
        <f t="shared" ref="Y7:Y29" si="5">W7*X7</f>
        <v>0</v>
      </c>
    </row>
    <row r="8" spans="1:25" x14ac:dyDescent="0.25">
      <c r="B8" s="7"/>
      <c r="C8" s="7"/>
      <c r="D8" s="7"/>
      <c r="E8" s="7">
        <f t="shared" si="0"/>
        <v>0</v>
      </c>
      <c r="F8" s="7" t="s">
        <v>173</v>
      </c>
      <c r="G8" s="7">
        <v>1.25</v>
      </c>
      <c r="H8" s="7">
        <v>2.1</v>
      </c>
      <c r="I8" s="7">
        <f t="shared" si="1"/>
        <v>2.625</v>
      </c>
      <c r="J8" s="7"/>
      <c r="K8" s="7"/>
      <c r="L8" s="7">
        <f t="shared" si="2"/>
        <v>0</v>
      </c>
      <c r="O8" s="7"/>
      <c r="P8" s="7"/>
      <c r="Q8" s="7"/>
      <c r="R8" s="7">
        <f t="shared" si="3"/>
        <v>0</v>
      </c>
      <c r="S8" s="7" t="s">
        <v>173</v>
      </c>
      <c r="T8" s="7">
        <v>1.25</v>
      </c>
      <c r="U8" s="7">
        <v>2.1</v>
      </c>
      <c r="V8" s="7">
        <f t="shared" si="4"/>
        <v>2.625</v>
      </c>
      <c r="W8" s="7"/>
      <c r="X8" s="7"/>
      <c r="Y8" s="7">
        <f t="shared" si="5"/>
        <v>0</v>
      </c>
    </row>
    <row r="9" spans="1:25" x14ac:dyDescent="0.25">
      <c r="B9" s="7" t="s">
        <v>92</v>
      </c>
      <c r="C9" s="7">
        <v>2.1</v>
      </c>
      <c r="D9" s="7">
        <v>1.2</v>
      </c>
      <c r="E9" s="7">
        <f t="shared" si="0"/>
        <v>2.52</v>
      </c>
      <c r="F9" s="7" t="s">
        <v>90</v>
      </c>
      <c r="G9" s="7"/>
      <c r="H9" s="7"/>
      <c r="I9" s="7">
        <f t="shared" si="1"/>
        <v>0</v>
      </c>
      <c r="J9" s="7"/>
      <c r="K9" s="7"/>
      <c r="L9" s="7">
        <f t="shared" si="2"/>
        <v>0</v>
      </c>
      <c r="O9" s="7" t="s">
        <v>92</v>
      </c>
      <c r="P9" s="7">
        <v>2.1</v>
      </c>
      <c r="Q9" s="7">
        <v>1.2</v>
      </c>
      <c r="R9" s="7">
        <f t="shared" si="3"/>
        <v>2.52</v>
      </c>
      <c r="S9" s="7" t="s">
        <v>90</v>
      </c>
      <c r="T9" s="7"/>
      <c r="U9" s="7"/>
      <c r="V9" s="7">
        <f t="shared" si="4"/>
        <v>0</v>
      </c>
      <c r="W9" s="7"/>
      <c r="X9" s="7"/>
      <c r="Y9" s="7">
        <f t="shared" si="5"/>
        <v>0</v>
      </c>
    </row>
    <row r="10" spans="1:25" x14ac:dyDescent="0.25">
      <c r="B10" s="7"/>
      <c r="C10" s="7"/>
      <c r="D10" s="7"/>
      <c r="E10" s="7">
        <f t="shared" si="0"/>
        <v>0</v>
      </c>
      <c r="F10" s="7" t="s">
        <v>91</v>
      </c>
      <c r="G10" s="7"/>
      <c r="H10" s="7"/>
      <c r="I10" s="7">
        <f t="shared" si="1"/>
        <v>0</v>
      </c>
      <c r="J10" s="7"/>
      <c r="K10" s="7"/>
      <c r="L10" s="7">
        <f t="shared" si="2"/>
        <v>0</v>
      </c>
      <c r="O10" s="7"/>
      <c r="P10" s="7"/>
      <c r="Q10" s="7"/>
      <c r="R10" s="7">
        <f t="shared" si="3"/>
        <v>0</v>
      </c>
      <c r="S10" s="7" t="s">
        <v>91</v>
      </c>
      <c r="T10" s="7"/>
      <c r="U10" s="7"/>
      <c r="V10" s="7">
        <f t="shared" si="4"/>
        <v>0</v>
      </c>
      <c r="W10" s="7"/>
      <c r="X10" s="7"/>
      <c r="Y10" s="7">
        <f t="shared" si="5"/>
        <v>0</v>
      </c>
    </row>
    <row r="11" spans="1:25" x14ac:dyDescent="0.25">
      <c r="B11" s="7"/>
      <c r="C11" s="7"/>
      <c r="D11" s="7"/>
      <c r="E11" s="7">
        <f t="shared" si="0"/>
        <v>0</v>
      </c>
      <c r="F11" s="7"/>
      <c r="G11" s="7"/>
      <c r="H11" s="7"/>
      <c r="I11" s="7">
        <f t="shared" si="1"/>
        <v>0</v>
      </c>
      <c r="J11" s="7"/>
      <c r="K11" s="7"/>
      <c r="L11" s="7">
        <f t="shared" si="2"/>
        <v>0</v>
      </c>
      <c r="O11" s="7"/>
      <c r="P11" s="7"/>
      <c r="Q11" s="7"/>
      <c r="R11" s="7">
        <f t="shared" si="3"/>
        <v>0</v>
      </c>
      <c r="S11" s="7"/>
      <c r="T11" s="7"/>
      <c r="U11" s="7"/>
      <c r="V11" s="7">
        <f t="shared" si="4"/>
        <v>0</v>
      </c>
      <c r="W11" s="7"/>
      <c r="X11" s="7"/>
      <c r="Y11" s="7">
        <f t="shared" si="5"/>
        <v>0</v>
      </c>
    </row>
    <row r="12" spans="1:25" x14ac:dyDescent="0.25">
      <c r="B12" s="7"/>
      <c r="C12" s="7"/>
      <c r="D12" s="7"/>
      <c r="E12" s="7">
        <f t="shared" si="0"/>
        <v>0</v>
      </c>
      <c r="F12" s="7"/>
      <c r="G12" s="7"/>
      <c r="H12" s="7"/>
      <c r="I12" s="7">
        <f t="shared" si="1"/>
        <v>0</v>
      </c>
      <c r="J12" s="7"/>
      <c r="K12" s="7"/>
      <c r="L12" s="7">
        <f t="shared" si="2"/>
        <v>0</v>
      </c>
      <c r="O12" s="7"/>
      <c r="P12" s="7"/>
      <c r="Q12" s="7"/>
      <c r="R12" s="7">
        <f t="shared" si="3"/>
        <v>0</v>
      </c>
      <c r="S12" s="7"/>
      <c r="T12" s="7"/>
      <c r="U12" s="7"/>
      <c r="V12" s="7">
        <f t="shared" si="4"/>
        <v>0</v>
      </c>
      <c r="W12" s="7"/>
      <c r="X12" s="7"/>
      <c r="Y12" s="7">
        <f t="shared" si="5"/>
        <v>0</v>
      </c>
    </row>
    <row r="13" spans="1:25" x14ac:dyDescent="0.25">
      <c r="B13" s="7" t="s">
        <v>93</v>
      </c>
      <c r="C13" s="7">
        <v>2.75</v>
      </c>
      <c r="D13" s="7">
        <v>3</v>
      </c>
      <c r="E13" s="7">
        <f t="shared" si="0"/>
        <v>8.25</v>
      </c>
      <c r="F13" s="7" t="s">
        <v>90</v>
      </c>
      <c r="G13" s="7"/>
      <c r="H13" s="7"/>
      <c r="I13" s="7">
        <f t="shared" si="1"/>
        <v>0</v>
      </c>
      <c r="J13" s="7"/>
      <c r="K13" s="7"/>
      <c r="L13" s="7">
        <f t="shared" si="2"/>
        <v>0</v>
      </c>
      <c r="O13" s="7" t="s">
        <v>93</v>
      </c>
      <c r="P13" s="7">
        <v>2.75</v>
      </c>
      <c r="Q13" s="7">
        <v>3</v>
      </c>
      <c r="R13" s="7">
        <f t="shared" si="3"/>
        <v>8.25</v>
      </c>
      <c r="S13" s="7" t="s">
        <v>90</v>
      </c>
      <c r="T13" s="7"/>
      <c r="U13" s="7"/>
      <c r="V13" s="7">
        <f t="shared" si="4"/>
        <v>0</v>
      </c>
      <c r="W13" s="7"/>
      <c r="X13" s="7"/>
      <c r="Y13" s="7">
        <f t="shared" si="5"/>
        <v>0</v>
      </c>
    </row>
    <row r="14" spans="1:25" x14ac:dyDescent="0.25">
      <c r="B14" s="7"/>
      <c r="C14" s="7"/>
      <c r="D14" s="7"/>
      <c r="E14" s="7">
        <f t="shared" si="0"/>
        <v>0</v>
      </c>
      <c r="F14" s="7" t="s">
        <v>91</v>
      </c>
      <c r="G14" s="7"/>
      <c r="H14" s="7"/>
      <c r="I14" s="7">
        <f t="shared" si="1"/>
        <v>0</v>
      </c>
      <c r="J14" s="7"/>
      <c r="K14" s="7"/>
      <c r="L14" s="7">
        <f t="shared" si="2"/>
        <v>0</v>
      </c>
      <c r="O14" s="7"/>
      <c r="P14" s="7"/>
      <c r="Q14" s="7"/>
      <c r="R14" s="7">
        <f t="shared" si="3"/>
        <v>0</v>
      </c>
      <c r="S14" s="7" t="s">
        <v>91</v>
      </c>
      <c r="T14" s="7"/>
      <c r="U14" s="7"/>
      <c r="V14" s="7">
        <f t="shared" si="4"/>
        <v>0</v>
      </c>
      <c r="W14" s="7"/>
      <c r="X14" s="7"/>
      <c r="Y14" s="7">
        <f t="shared" si="5"/>
        <v>0</v>
      </c>
    </row>
    <row r="15" spans="1:25" x14ac:dyDescent="0.25">
      <c r="B15" s="7"/>
      <c r="C15" s="7"/>
      <c r="D15" s="7"/>
      <c r="E15" s="7">
        <f t="shared" si="0"/>
        <v>0</v>
      </c>
      <c r="F15" s="7"/>
      <c r="G15" s="7"/>
      <c r="H15" s="7"/>
      <c r="I15" s="7">
        <f t="shared" si="1"/>
        <v>0</v>
      </c>
      <c r="J15" s="7"/>
      <c r="K15" s="7"/>
      <c r="L15" s="7">
        <f t="shared" si="2"/>
        <v>0</v>
      </c>
      <c r="O15" s="7"/>
      <c r="P15" s="7"/>
      <c r="Q15" s="7"/>
      <c r="R15" s="7">
        <f t="shared" si="3"/>
        <v>0</v>
      </c>
      <c r="S15" s="7"/>
      <c r="T15" s="7"/>
      <c r="U15" s="7"/>
      <c r="V15" s="7">
        <f t="shared" si="4"/>
        <v>0</v>
      </c>
      <c r="W15" s="7"/>
      <c r="X15" s="7"/>
      <c r="Y15" s="7">
        <f t="shared" si="5"/>
        <v>0</v>
      </c>
    </row>
    <row r="16" spans="1:25" x14ac:dyDescent="0.25">
      <c r="B16" s="7"/>
      <c r="C16" s="7"/>
      <c r="D16" s="7"/>
      <c r="E16" s="7">
        <f t="shared" si="0"/>
        <v>0</v>
      </c>
      <c r="F16" s="7"/>
      <c r="G16" s="7"/>
      <c r="H16" s="7"/>
      <c r="I16" s="7">
        <f t="shared" si="1"/>
        <v>0</v>
      </c>
      <c r="J16" s="7"/>
      <c r="K16" s="7"/>
      <c r="L16" s="7">
        <f t="shared" si="2"/>
        <v>0</v>
      </c>
      <c r="O16" s="7"/>
      <c r="P16" s="7"/>
      <c r="Q16" s="7"/>
      <c r="R16" s="7">
        <f t="shared" si="3"/>
        <v>0</v>
      </c>
      <c r="S16" s="7"/>
      <c r="T16" s="7"/>
      <c r="U16" s="7"/>
      <c r="V16" s="7">
        <f t="shared" si="4"/>
        <v>0</v>
      </c>
      <c r="W16" s="7"/>
      <c r="X16" s="7"/>
      <c r="Y16" s="7">
        <f t="shared" si="5"/>
        <v>0</v>
      </c>
    </row>
    <row r="17" spans="2:25" x14ac:dyDescent="0.25">
      <c r="B17" s="7" t="s">
        <v>94</v>
      </c>
      <c r="C17" s="7"/>
      <c r="D17" s="7"/>
      <c r="E17" s="7">
        <f t="shared" si="0"/>
        <v>0</v>
      </c>
      <c r="F17" s="7" t="s">
        <v>90</v>
      </c>
      <c r="G17" s="7"/>
      <c r="H17" s="7"/>
      <c r="I17" s="7">
        <f t="shared" si="1"/>
        <v>0</v>
      </c>
      <c r="J17" s="7"/>
      <c r="K17" s="7"/>
      <c r="L17" s="7">
        <f t="shared" si="2"/>
        <v>0</v>
      </c>
      <c r="O17" s="7" t="s">
        <v>94</v>
      </c>
      <c r="P17" s="7"/>
      <c r="Q17" s="7"/>
      <c r="R17" s="7">
        <f t="shared" si="3"/>
        <v>0</v>
      </c>
      <c r="S17" s="7" t="s">
        <v>90</v>
      </c>
      <c r="T17" s="7"/>
      <c r="U17" s="7"/>
      <c r="V17" s="7">
        <f t="shared" si="4"/>
        <v>0</v>
      </c>
      <c r="W17" s="7"/>
      <c r="X17" s="7"/>
      <c r="Y17" s="7">
        <f t="shared" si="5"/>
        <v>0</v>
      </c>
    </row>
    <row r="18" spans="2:25" x14ac:dyDescent="0.25">
      <c r="B18" s="7"/>
      <c r="C18" s="7"/>
      <c r="D18" s="7"/>
      <c r="E18" s="7">
        <f t="shared" si="0"/>
        <v>0</v>
      </c>
      <c r="F18" s="7" t="s">
        <v>91</v>
      </c>
      <c r="G18" s="7"/>
      <c r="H18" s="7"/>
      <c r="I18" s="7">
        <f t="shared" si="1"/>
        <v>0</v>
      </c>
      <c r="J18" s="7"/>
      <c r="K18" s="7"/>
      <c r="L18" s="7">
        <f t="shared" si="2"/>
        <v>0</v>
      </c>
      <c r="O18" s="7"/>
      <c r="P18" s="7"/>
      <c r="Q18" s="7"/>
      <c r="R18" s="7">
        <f t="shared" si="3"/>
        <v>0</v>
      </c>
      <c r="S18" s="7" t="s">
        <v>91</v>
      </c>
      <c r="T18" s="7"/>
      <c r="U18" s="7"/>
      <c r="V18" s="7">
        <f t="shared" si="4"/>
        <v>0</v>
      </c>
      <c r="W18" s="7"/>
      <c r="X18" s="7"/>
      <c r="Y18" s="7">
        <f t="shared" si="5"/>
        <v>0</v>
      </c>
    </row>
    <row r="19" spans="2:25" x14ac:dyDescent="0.25">
      <c r="B19" s="7"/>
      <c r="C19" s="7"/>
      <c r="D19" s="7"/>
      <c r="E19" s="7">
        <f t="shared" si="0"/>
        <v>0</v>
      </c>
      <c r="F19" s="7"/>
      <c r="G19" s="7"/>
      <c r="H19" s="7"/>
      <c r="I19" s="7">
        <f t="shared" si="1"/>
        <v>0</v>
      </c>
      <c r="J19" s="7"/>
      <c r="K19" s="7"/>
      <c r="L19" s="7">
        <f t="shared" si="2"/>
        <v>0</v>
      </c>
      <c r="O19" s="7"/>
      <c r="P19" s="7"/>
      <c r="Q19" s="7"/>
      <c r="R19" s="7">
        <f t="shared" si="3"/>
        <v>0</v>
      </c>
      <c r="S19" s="7"/>
      <c r="T19" s="7"/>
      <c r="U19" s="7"/>
      <c r="V19" s="7">
        <f t="shared" si="4"/>
        <v>0</v>
      </c>
      <c r="W19" s="7"/>
      <c r="X19" s="7"/>
      <c r="Y19" s="7">
        <f t="shared" si="5"/>
        <v>0</v>
      </c>
    </row>
    <row r="20" spans="2:25" x14ac:dyDescent="0.25">
      <c r="B20" s="7" t="s">
        <v>94</v>
      </c>
      <c r="C20" s="7"/>
      <c r="D20" s="7"/>
      <c r="E20" s="7">
        <f t="shared" si="0"/>
        <v>0</v>
      </c>
      <c r="F20" s="7" t="s">
        <v>90</v>
      </c>
      <c r="G20" s="7"/>
      <c r="H20" s="7"/>
      <c r="I20" s="7">
        <f t="shared" si="1"/>
        <v>0</v>
      </c>
      <c r="J20" s="7"/>
      <c r="K20" s="7"/>
      <c r="L20" s="7">
        <f t="shared" si="2"/>
        <v>0</v>
      </c>
      <c r="O20" s="7" t="s">
        <v>94</v>
      </c>
      <c r="P20" s="7"/>
      <c r="Q20" s="7"/>
      <c r="R20" s="7">
        <f t="shared" si="3"/>
        <v>0</v>
      </c>
      <c r="S20" s="7" t="s">
        <v>90</v>
      </c>
      <c r="T20" s="7"/>
      <c r="U20" s="7"/>
      <c r="V20" s="7">
        <f t="shared" si="4"/>
        <v>0</v>
      </c>
      <c r="W20" s="7"/>
      <c r="X20" s="7"/>
      <c r="Y20" s="7">
        <f t="shared" si="5"/>
        <v>0</v>
      </c>
    </row>
    <row r="21" spans="2:25" x14ac:dyDescent="0.25">
      <c r="B21" s="7"/>
      <c r="C21" s="7"/>
      <c r="D21" s="7"/>
      <c r="E21" s="7">
        <f t="shared" si="0"/>
        <v>0</v>
      </c>
      <c r="F21" s="7" t="s">
        <v>91</v>
      </c>
      <c r="G21" s="7"/>
      <c r="H21" s="7"/>
      <c r="I21" s="7">
        <f t="shared" si="1"/>
        <v>0</v>
      </c>
      <c r="J21" s="7"/>
      <c r="K21" s="7"/>
      <c r="L21" s="7">
        <f t="shared" si="2"/>
        <v>0</v>
      </c>
      <c r="O21" s="7"/>
      <c r="P21" s="7"/>
      <c r="Q21" s="7"/>
      <c r="R21" s="7">
        <f t="shared" si="3"/>
        <v>0</v>
      </c>
      <c r="S21" s="7" t="s">
        <v>91</v>
      </c>
      <c r="T21" s="7"/>
      <c r="U21" s="7"/>
      <c r="V21" s="7">
        <f t="shared" si="4"/>
        <v>0</v>
      </c>
      <c r="W21" s="7"/>
      <c r="X21" s="7"/>
      <c r="Y21" s="7">
        <f t="shared" si="5"/>
        <v>0</v>
      </c>
    </row>
    <row r="22" spans="2:25" x14ac:dyDescent="0.25">
      <c r="B22" s="7"/>
      <c r="C22" s="7"/>
      <c r="D22" s="7"/>
      <c r="E22" s="7">
        <f t="shared" si="0"/>
        <v>0</v>
      </c>
      <c r="F22" s="7"/>
      <c r="G22" s="7"/>
      <c r="H22" s="7"/>
      <c r="I22" s="7">
        <f t="shared" si="1"/>
        <v>0</v>
      </c>
      <c r="J22" s="7"/>
      <c r="K22" s="7"/>
      <c r="L22" s="7">
        <f t="shared" si="2"/>
        <v>0</v>
      </c>
      <c r="O22" s="7"/>
      <c r="P22" s="7"/>
      <c r="Q22" s="7"/>
      <c r="R22" s="7">
        <f t="shared" si="3"/>
        <v>0</v>
      </c>
      <c r="S22" s="7"/>
      <c r="T22" s="7"/>
      <c r="U22" s="7"/>
      <c r="V22" s="7">
        <f t="shared" si="4"/>
        <v>0</v>
      </c>
      <c r="W22" s="7"/>
      <c r="X22" s="7"/>
      <c r="Y22" s="7">
        <f t="shared" si="5"/>
        <v>0</v>
      </c>
    </row>
    <row r="23" spans="2:25" x14ac:dyDescent="0.25">
      <c r="B23" s="7" t="s">
        <v>95</v>
      </c>
      <c r="C23" s="7">
        <v>0.9</v>
      </c>
      <c r="D23" s="7">
        <v>1.2</v>
      </c>
      <c r="E23" s="7">
        <f t="shared" si="0"/>
        <v>1.08</v>
      </c>
      <c r="F23" s="7" t="s">
        <v>96</v>
      </c>
      <c r="G23" s="7"/>
      <c r="H23" s="7"/>
      <c r="I23" s="7">
        <f t="shared" si="1"/>
        <v>0</v>
      </c>
      <c r="J23" s="7"/>
      <c r="K23" s="7"/>
      <c r="L23" s="7">
        <f t="shared" si="2"/>
        <v>0</v>
      </c>
      <c r="O23" s="7" t="s">
        <v>95</v>
      </c>
      <c r="P23" s="7">
        <v>0.9</v>
      </c>
      <c r="Q23" s="7">
        <v>1.2</v>
      </c>
      <c r="R23" s="7">
        <f t="shared" si="3"/>
        <v>1.08</v>
      </c>
      <c r="S23" s="7" t="s">
        <v>96</v>
      </c>
      <c r="T23" s="7"/>
      <c r="U23" s="7"/>
      <c r="V23" s="7">
        <f t="shared" si="4"/>
        <v>0</v>
      </c>
      <c r="W23" s="7"/>
      <c r="X23" s="7"/>
      <c r="Y23" s="7">
        <f t="shared" si="5"/>
        <v>0</v>
      </c>
    </row>
    <row r="24" spans="2:25" x14ac:dyDescent="0.25">
      <c r="B24" s="7" t="s">
        <v>97</v>
      </c>
      <c r="C24" s="7">
        <v>1.2</v>
      </c>
      <c r="D24" s="7">
        <v>1.25</v>
      </c>
      <c r="E24" s="7">
        <f t="shared" si="0"/>
        <v>1.5</v>
      </c>
      <c r="F24" s="7" t="s">
        <v>96</v>
      </c>
      <c r="G24" s="7"/>
      <c r="H24" s="7"/>
      <c r="I24" s="7">
        <f t="shared" si="1"/>
        <v>0</v>
      </c>
      <c r="J24" s="7"/>
      <c r="K24" s="7"/>
      <c r="L24" s="7">
        <f t="shared" si="2"/>
        <v>0</v>
      </c>
      <c r="O24" s="7" t="s">
        <v>97</v>
      </c>
      <c r="P24" s="7">
        <v>1.2</v>
      </c>
      <c r="Q24" s="7">
        <v>1.25</v>
      </c>
      <c r="R24" s="7">
        <f t="shared" si="3"/>
        <v>1.5</v>
      </c>
      <c r="S24" s="7" t="s">
        <v>96</v>
      </c>
      <c r="T24" s="7"/>
      <c r="U24" s="7"/>
      <c r="V24" s="7">
        <f t="shared" si="4"/>
        <v>0</v>
      </c>
      <c r="W24" s="7"/>
      <c r="X24" s="7"/>
      <c r="Y24" s="7">
        <f t="shared" si="5"/>
        <v>0</v>
      </c>
    </row>
    <row r="25" spans="2:25" x14ac:dyDescent="0.25">
      <c r="B25" s="7" t="s">
        <v>98</v>
      </c>
      <c r="C25" s="7"/>
      <c r="D25" s="7"/>
      <c r="E25" s="7">
        <f t="shared" si="0"/>
        <v>0</v>
      </c>
      <c r="F25" s="7" t="s">
        <v>96</v>
      </c>
      <c r="G25" s="7"/>
      <c r="H25" s="7"/>
      <c r="I25" s="7">
        <f t="shared" si="1"/>
        <v>0</v>
      </c>
      <c r="J25" s="7"/>
      <c r="K25" s="7"/>
      <c r="L25" s="7">
        <f t="shared" si="2"/>
        <v>0</v>
      </c>
      <c r="O25" s="7" t="s">
        <v>98</v>
      </c>
      <c r="P25" s="7"/>
      <c r="Q25" s="7"/>
      <c r="R25" s="7">
        <f t="shared" si="3"/>
        <v>0</v>
      </c>
      <c r="S25" s="7" t="s">
        <v>96</v>
      </c>
      <c r="T25" s="7"/>
      <c r="U25" s="7"/>
      <c r="V25" s="7">
        <f t="shared" si="4"/>
        <v>0</v>
      </c>
      <c r="W25" s="7"/>
      <c r="X25" s="7"/>
      <c r="Y25" s="7">
        <f t="shared" si="5"/>
        <v>0</v>
      </c>
    </row>
    <row r="26" spans="2:25" x14ac:dyDescent="0.25">
      <c r="B26" s="7"/>
      <c r="C26" s="7"/>
      <c r="D26" s="7"/>
      <c r="E26" s="7">
        <f t="shared" si="0"/>
        <v>0</v>
      </c>
      <c r="F26" s="7"/>
      <c r="G26" s="7"/>
      <c r="H26" s="7"/>
      <c r="I26" s="7">
        <f t="shared" si="1"/>
        <v>0</v>
      </c>
      <c r="J26" s="7"/>
      <c r="K26" s="7"/>
      <c r="L26" s="7">
        <f t="shared" si="2"/>
        <v>0</v>
      </c>
      <c r="O26" s="7"/>
      <c r="P26" s="7"/>
      <c r="Q26" s="7"/>
      <c r="R26" s="7">
        <f t="shared" si="3"/>
        <v>0</v>
      </c>
      <c r="S26" s="7"/>
      <c r="T26" s="7"/>
      <c r="U26" s="7"/>
      <c r="V26" s="7">
        <f t="shared" si="4"/>
        <v>0</v>
      </c>
      <c r="W26" s="7"/>
      <c r="X26" s="7"/>
      <c r="Y26" s="7">
        <f t="shared" si="5"/>
        <v>0</v>
      </c>
    </row>
    <row r="27" spans="2:25" x14ac:dyDescent="0.25">
      <c r="B27" s="7" t="s">
        <v>99</v>
      </c>
      <c r="C27" s="7">
        <v>1.43</v>
      </c>
      <c r="D27" s="7">
        <v>0.9</v>
      </c>
      <c r="E27" s="7">
        <f t="shared" si="0"/>
        <v>1.2869999999999999</v>
      </c>
      <c r="F27" s="7"/>
      <c r="G27" s="7"/>
      <c r="H27" s="7"/>
      <c r="I27" s="7">
        <f t="shared" si="1"/>
        <v>0</v>
      </c>
      <c r="J27" s="7"/>
      <c r="K27" s="7"/>
      <c r="L27" s="7">
        <f t="shared" si="2"/>
        <v>0</v>
      </c>
      <c r="O27" s="7" t="s">
        <v>99</v>
      </c>
      <c r="P27" s="7">
        <v>1.43</v>
      </c>
      <c r="Q27" s="7">
        <v>0.9</v>
      </c>
      <c r="R27" s="7">
        <f t="shared" si="3"/>
        <v>1.2869999999999999</v>
      </c>
      <c r="S27" s="7"/>
      <c r="T27" s="7"/>
      <c r="U27" s="7"/>
      <c r="V27" s="7">
        <f t="shared" si="4"/>
        <v>0</v>
      </c>
      <c r="W27" s="7"/>
      <c r="X27" s="7"/>
      <c r="Y27" s="7">
        <f t="shared" si="5"/>
        <v>0</v>
      </c>
    </row>
    <row r="28" spans="2:25" x14ac:dyDescent="0.25">
      <c r="B28" s="7" t="s">
        <v>100</v>
      </c>
      <c r="C28" s="7"/>
      <c r="D28" s="7"/>
      <c r="E28" s="7">
        <f t="shared" si="0"/>
        <v>0</v>
      </c>
      <c r="F28" s="7"/>
      <c r="G28" s="7"/>
      <c r="H28" s="7"/>
      <c r="I28" s="7">
        <f t="shared" si="1"/>
        <v>0</v>
      </c>
      <c r="J28" s="7"/>
      <c r="K28" s="7"/>
      <c r="L28" s="7">
        <f t="shared" si="2"/>
        <v>0</v>
      </c>
      <c r="O28" s="7" t="s">
        <v>100</v>
      </c>
      <c r="P28" s="7"/>
      <c r="Q28" s="7"/>
      <c r="R28" s="7">
        <f t="shared" si="3"/>
        <v>0</v>
      </c>
      <c r="S28" s="7"/>
      <c r="T28" s="7"/>
      <c r="U28" s="7"/>
      <c r="V28" s="7">
        <f t="shared" si="4"/>
        <v>0</v>
      </c>
      <c r="W28" s="7"/>
      <c r="X28" s="7"/>
      <c r="Y28" s="7">
        <f t="shared" si="5"/>
        <v>0</v>
      </c>
    </row>
    <row r="29" spans="2:25" x14ac:dyDescent="0.25">
      <c r="B29" s="7" t="s">
        <v>101</v>
      </c>
      <c r="C29" s="7"/>
      <c r="D29" s="7"/>
      <c r="E29" s="7">
        <f t="shared" si="0"/>
        <v>0</v>
      </c>
      <c r="F29" s="7"/>
      <c r="G29" s="7"/>
      <c r="H29" s="7"/>
      <c r="I29" s="7">
        <f t="shared" si="1"/>
        <v>0</v>
      </c>
      <c r="J29" s="7"/>
      <c r="K29" s="7"/>
      <c r="L29" s="7">
        <f t="shared" si="2"/>
        <v>0</v>
      </c>
      <c r="O29" s="7" t="s">
        <v>101</v>
      </c>
      <c r="P29" s="7"/>
      <c r="Q29" s="7"/>
      <c r="R29" s="7">
        <f t="shared" si="3"/>
        <v>0</v>
      </c>
      <c r="S29" s="7"/>
      <c r="T29" s="7"/>
      <c r="U29" s="7"/>
      <c r="V29" s="7">
        <f t="shared" si="4"/>
        <v>0</v>
      </c>
      <c r="W29" s="7"/>
      <c r="X29" s="7"/>
      <c r="Y29" s="7">
        <f t="shared" si="5"/>
        <v>0</v>
      </c>
    </row>
    <row r="30" spans="2:25" x14ac:dyDescent="0.25">
      <c r="B30" s="7" t="s">
        <v>102</v>
      </c>
      <c r="C30" s="7"/>
      <c r="D30" s="7"/>
      <c r="E30" s="7">
        <f t="shared" si="0"/>
        <v>0</v>
      </c>
      <c r="F30" s="7"/>
      <c r="G30" s="7"/>
      <c r="H30" s="7"/>
      <c r="I30" s="7">
        <f>G30*H30</f>
        <v>0</v>
      </c>
      <c r="J30" s="7"/>
      <c r="K30" s="7"/>
      <c r="L30" s="7">
        <f>J30*K30</f>
        <v>0</v>
      </c>
      <c r="O30" s="7" t="s">
        <v>102</v>
      </c>
      <c r="P30" s="7"/>
      <c r="Q30" s="7"/>
      <c r="R30" s="7">
        <f t="shared" si="3"/>
        <v>0</v>
      </c>
      <c r="S30" s="7"/>
      <c r="T30" s="7"/>
      <c r="U30" s="7"/>
      <c r="V30" s="7">
        <f>T30*U30</f>
        <v>0</v>
      </c>
      <c r="W30" s="7"/>
      <c r="X30" s="7"/>
      <c r="Y30" s="7">
        <f>W30*X30</f>
        <v>0</v>
      </c>
    </row>
    <row r="31" spans="2:25" x14ac:dyDescent="0.25">
      <c r="B31" s="7"/>
      <c r="C31" s="7"/>
      <c r="D31" s="7"/>
      <c r="E31" s="7">
        <f t="shared" si="0"/>
        <v>0</v>
      </c>
      <c r="F31" s="7"/>
      <c r="G31" s="7"/>
      <c r="H31" s="7"/>
      <c r="I31" s="7">
        <f>G31*H31</f>
        <v>0</v>
      </c>
      <c r="J31" s="7"/>
      <c r="K31" s="7"/>
      <c r="L31" s="7">
        <f>J31*K31</f>
        <v>0</v>
      </c>
      <c r="O31" s="7"/>
      <c r="P31" s="7"/>
      <c r="Q31" s="7"/>
      <c r="R31" s="7">
        <f t="shared" si="3"/>
        <v>0</v>
      </c>
      <c r="S31" s="7"/>
      <c r="T31" s="7"/>
      <c r="U31" s="7"/>
      <c r="V31" s="7">
        <f>T31*U31</f>
        <v>0</v>
      </c>
      <c r="W31" s="7"/>
      <c r="X31" s="7"/>
      <c r="Y31" s="7">
        <f>W31*X31</f>
        <v>0</v>
      </c>
    </row>
    <row r="32" spans="2:25" x14ac:dyDescent="0.25">
      <c r="B32" s="7"/>
      <c r="C32" s="7"/>
      <c r="D32" s="7"/>
      <c r="E32" s="7">
        <f t="shared" si="0"/>
        <v>0</v>
      </c>
      <c r="F32" s="7"/>
      <c r="G32" s="7"/>
      <c r="H32" s="7"/>
      <c r="I32" s="7">
        <f>G32*H32</f>
        <v>0</v>
      </c>
      <c r="J32" s="7"/>
      <c r="K32" s="7"/>
      <c r="L32" s="7">
        <f>J32*K32</f>
        <v>0</v>
      </c>
      <c r="O32" s="7"/>
      <c r="P32" s="7"/>
      <c r="Q32" s="7"/>
      <c r="R32" s="7">
        <f t="shared" si="3"/>
        <v>0</v>
      </c>
      <c r="S32" s="7"/>
      <c r="T32" s="7"/>
      <c r="U32" s="7"/>
      <c r="V32" s="7">
        <f>T32*U32</f>
        <v>0</v>
      </c>
      <c r="W32" s="7"/>
      <c r="X32" s="7"/>
      <c r="Y32" s="7">
        <f>W32*X32</f>
        <v>0</v>
      </c>
    </row>
    <row r="33" spans="1:25" x14ac:dyDescent="0.25">
      <c r="B33" s="7"/>
      <c r="C33" s="7"/>
      <c r="D33" s="7"/>
      <c r="E33" s="7">
        <f t="shared" si="0"/>
        <v>0</v>
      </c>
      <c r="F33" s="7"/>
      <c r="G33" s="7"/>
      <c r="H33" s="7"/>
      <c r="I33" s="7">
        <f>G33*H33</f>
        <v>0</v>
      </c>
      <c r="J33" s="7"/>
      <c r="K33" s="7"/>
      <c r="L33" s="7">
        <f>J33*K33</f>
        <v>0</v>
      </c>
      <c r="O33" s="7"/>
      <c r="P33" s="7"/>
      <c r="Q33" s="7"/>
      <c r="R33" s="7">
        <f t="shared" si="3"/>
        <v>0</v>
      </c>
      <c r="S33" s="7"/>
      <c r="T33" s="7"/>
      <c r="U33" s="7"/>
      <c r="V33" s="7">
        <f>T33*U33</f>
        <v>0</v>
      </c>
      <c r="W33" s="7"/>
      <c r="X33" s="7"/>
      <c r="Y33" s="7">
        <f>W33*X33</f>
        <v>0</v>
      </c>
    </row>
    <row r="34" spans="1:25" x14ac:dyDescent="0.25">
      <c r="B34" s="7" t="s">
        <v>63</v>
      </c>
      <c r="C34" s="7"/>
      <c r="D34" s="7">
        <f>E34*10.764</f>
        <v>293.17906800000003</v>
      </c>
      <c r="E34" s="7">
        <f>SUM(E6:E33)</f>
        <v>27.237000000000002</v>
      </c>
      <c r="F34" s="7"/>
      <c r="G34" s="7"/>
      <c r="H34" s="7">
        <f>I34*10.764</f>
        <v>64.018889999999999</v>
      </c>
      <c r="I34" s="7">
        <f>SUM(I6:I33)</f>
        <v>5.9474999999999998</v>
      </c>
      <c r="J34" s="7"/>
      <c r="K34" s="7">
        <f>L34*10.764</f>
        <v>46.339019999999991</v>
      </c>
      <c r="L34" s="7">
        <f>SUM(L6:L33)</f>
        <v>4.3049999999999997</v>
      </c>
      <c r="O34" s="7" t="s">
        <v>63</v>
      </c>
      <c r="P34" s="7"/>
      <c r="Q34" s="7">
        <f>R34*10.764</f>
        <v>293.17906800000003</v>
      </c>
      <c r="R34" s="7">
        <f>SUM(R6:R33)</f>
        <v>27.237000000000002</v>
      </c>
      <c r="S34" s="7"/>
      <c r="T34" s="7"/>
      <c r="U34" s="7">
        <f>V34*10.764</f>
        <v>69.992909999999995</v>
      </c>
      <c r="V34" s="7">
        <f>SUM(V6:V33)</f>
        <v>6.5024999999999995</v>
      </c>
      <c r="W34" s="7"/>
      <c r="X34" s="7">
        <f>Y34*10.764</f>
        <v>34.390979999999999</v>
      </c>
      <c r="Y34" s="7">
        <f>SUM(Y6:Y33)</f>
        <v>3.1949999999999998</v>
      </c>
    </row>
    <row r="36" spans="1:25" x14ac:dyDescent="0.25">
      <c r="D36">
        <f>D34+H34</f>
        <v>357.19795800000003</v>
      </c>
      <c r="E36">
        <f>E34+I34</f>
        <v>33.1845</v>
      </c>
      <c r="Q36">
        <f>Q34+U34</f>
        <v>363.17197800000002</v>
      </c>
      <c r="R36">
        <f>R34+V34</f>
        <v>33.7395</v>
      </c>
    </row>
    <row r="38" spans="1:25" x14ac:dyDescent="0.25">
      <c r="B38" s="3" t="s">
        <v>81</v>
      </c>
      <c r="C38" s="299" t="s">
        <v>182</v>
      </c>
      <c r="D38" s="299"/>
    </row>
    <row r="39" spans="1:25" x14ac:dyDescent="0.25">
      <c r="D39" s="4"/>
      <c r="E39" s="4"/>
      <c r="F39" s="4"/>
      <c r="G39" s="4"/>
      <c r="H39" s="4"/>
      <c r="I39" s="4"/>
    </row>
    <row r="40" spans="1:25" x14ac:dyDescent="0.25">
      <c r="A40" s="3" t="s">
        <v>82</v>
      </c>
      <c r="B40" s="5" t="s">
        <v>83</v>
      </c>
      <c r="C40" s="298" t="s">
        <v>84</v>
      </c>
      <c r="D40" s="298"/>
      <c r="E40" s="298"/>
      <c r="F40" s="6"/>
      <c r="G40" s="298" t="s">
        <v>85</v>
      </c>
      <c r="H40" s="298"/>
      <c r="I40" s="298"/>
      <c r="J40" s="298" t="s">
        <v>86</v>
      </c>
      <c r="K40" s="298"/>
      <c r="L40" s="298"/>
    </row>
    <row r="41" spans="1:25" x14ac:dyDescent="0.25">
      <c r="A41" s="3" t="s">
        <v>171</v>
      </c>
      <c r="B41" s="5"/>
      <c r="C41" s="5" t="s">
        <v>87</v>
      </c>
      <c r="D41" s="5" t="s">
        <v>88</v>
      </c>
      <c r="E41" s="5" t="s">
        <v>62</v>
      </c>
      <c r="F41" s="5"/>
      <c r="G41" s="5" t="s">
        <v>87</v>
      </c>
      <c r="H41" s="5" t="s">
        <v>88</v>
      </c>
      <c r="I41" s="5" t="s">
        <v>62</v>
      </c>
      <c r="J41" s="5" t="s">
        <v>87</v>
      </c>
      <c r="K41" s="5" t="s">
        <v>88</v>
      </c>
      <c r="L41" s="5" t="s">
        <v>62</v>
      </c>
    </row>
    <row r="42" spans="1:25" x14ac:dyDescent="0.25">
      <c r="B42" s="7" t="s">
        <v>89</v>
      </c>
      <c r="C42" s="7">
        <v>4.5</v>
      </c>
      <c r="D42" s="7">
        <v>3</v>
      </c>
      <c r="E42" s="7">
        <f>C42*D42</f>
        <v>13.5</v>
      </c>
      <c r="F42" s="7" t="s">
        <v>90</v>
      </c>
      <c r="G42" s="7">
        <v>2</v>
      </c>
      <c r="H42" s="7">
        <v>0.75</v>
      </c>
      <c r="I42" s="7">
        <f>G42*H42</f>
        <v>1.5</v>
      </c>
      <c r="J42" s="7">
        <v>3</v>
      </c>
      <c r="K42" s="7">
        <v>1.5</v>
      </c>
      <c r="L42" s="7">
        <f>J42*K42</f>
        <v>4.5</v>
      </c>
    </row>
    <row r="43" spans="1:25" x14ac:dyDescent="0.25">
      <c r="B43" s="7"/>
      <c r="C43" s="7"/>
      <c r="D43" s="7"/>
      <c r="E43" s="7">
        <f t="shared" ref="E43:E69" si="6">C43*D43</f>
        <v>0</v>
      </c>
      <c r="F43" s="7" t="s">
        <v>91</v>
      </c>
      <c r="G43" s="7">
        <v>2.77</v>
      </c>
      <c r="H43" s="7">
        <v>0.75</v>
      </c>
      <c r="I43" s="7">
        <f t="shared" ref="I43:I65" si="7">G43*H43</f>
        <v>2.0775000000000001</v>
      </c>
      <c r="J43" s="7"/>
      <c r="K43" s="7"/>
      <c r="L43" s="7">
        <f t="shared" ref="L43:L65" si="8">J43*K43</f>
        <v>0</v>
      </c>
    </row>
    <row r="44" spans="1:25" x14ac:dyDescent="0.25">
      <c r="B44" s="7"/>
      <c r="C44" s="7"/>
      <c r="D44" s="7"/>
      <c r="E44" s="7">
        <f t="shared" si="6"/>
        <v>0</v>
      </c>
      <c r="F44" s="7" t="s">
        <v>173</v>
      </c>
      <c r="G44" s="7">
        <v>1.35</v>
      </c>
      <c r="H44" s="7">
        <v>1.35</v>
      </c>
      <c r="I44" s="7">
        <f t="shared" si="7"/>
        <v>1.8225000000000002</v>
      </c>
      <c r="J44" s="7"/>
      <c r="K44" s="7"/>
      <c r="L44" s="7">
        <f t="shared" si="8"/>
        <v>0</v>
      </c>
    </row>
    <row r="45" spans="1:25" x14ac:dyDescent="0.25">
      <c r="B45" s="7" t="s">
        <v>92</v>
      </c>
      <c r="C45" s="7">
        <v>2</v>
      </c>
      <c r="D45" s="7">
        <v>3</v>
      </c>
      <c r="E45" s="7">
        <f t="shared" si="6"/>
        <v>6</v>
      </c>
      <c r="F45" s="7" t="s">
        <v>173</v>
      </c>
      <c r="G45" s="7">
        <v>0.9</v>
      </c>
      <c r="H45" s="7">
        <v>0.85</v>
      </c>
      <c r="I45" s="7">
        <f t="shared" si="7"/>
        <v>0.76500000000000001</v>
      </c>
      <c r="J45" s="7"/>
      <c r="K45" s="7"/>
      <c r="L45" s="7">
        <f t="shared" si="8"/>
        <v>0</v>
      </c>
    </row>
    <row r="46" spans="1:25" x14ac:dyDescent="0.25">
      <c r="B46" s="7"/>
      <c r="C46" s="7"/>
      <c r="D46" s="7"/>
      <c r="E46" s="7">
        <f t="shared" si="6"/>
        <v>0</v>
      </c>
      <c r="F46" s="7" t="s">
        <v>91</v>
      </c>
      <c r="G46" s="7">
        <v>2.0499999999999998</v>
      </c>
      <c r="H46" s="7">
        <v>0.75</v>
      </c>
      <c r="I46" s="7">
        <f t="shared" si="7"/>
        <v>1.5374999999999999</v>
      </c>
      <c r="J46" s="7"/>
      <c r="K46" s="7"/>
      <c r="L46" s="7">
        <f t="shared" si="8"/>
        <v>0</v>
      </c>
    </row>
    <row r="47" spans="1:25" x14ac:dyDescent="0.25">
      <c r="B47" s="7"/>
      <c r="C47" s="7"/>
      <c r="D47" s="7"/>
      <c r="E47" s="7">
        <f t="shared" si="6"/>
        <v>0</v>
      </c>
      <c r="F47" s="7"/>
      <c r="G47" s="7"/>
      <c r="H47" s="7"/>
      <c r="I47" s="7">
        <f t="shared" si="7"/>
        <v>0</v>
      </c>
      <c r="J47" s="7"/>
      <c r="K47" s="7"/>
      <c r="L47" s="7">
        <f t="shared" si="8"/>
        <v>0</v>
      </c>
    </row>
    <row r="48" spans="1:25" x14ac:dyDescent="0.25">
      <c r="B48" s="7"/>
      <c r="C48" s="7"/>
      <c r="D48" s="7"/>
      <c r="E48" s="7">
        <f t="shared" si="6"/>
        <v>0</v>
      </c>
      <c r="F48" s="7"/>
      <c r="G48" s="7"/>
      <c r="H48" s="7"/>
      <c r="I48" s="7">
        <f t="shared" si="7"/>
        <v>0</v>
      </c>
      <c r="J48" s="7"/>
      <c r="K48" s="7"/>
      <c r="L48" s="7">
        <f t="shared" si="8"/>
        <v>0</v>
      </c>
    </row>
    <row r="49" spans="2:12" x14ac:dyDescent="0.25">
      <c r="B49" s="7" t="s">
        <v>93</v>
      </c>
      <c r="C49" s="7">
        <v>2.77</v>
      </c>
      <c r="D49" s="7">
        <v>2.17</v>
      </c>
      <c r="E49" s="7">
        <f t="shared" si="6"/>
        <v>6.0108999999999995</v>
      </c>
      <c r="F49" s="7" t="s">
        <v>90</v>
      </c>
      <c r="G49" s="7"/>
      <c r="H49" s="7"/>
      <c r="I49" s="7">
        <f t="shared" si="7"/>
        <v>0</v>
      </c>
      <c r="J49" s="7"/>
      <c r="K49" s="7"/>
      <c r="L49" s="7">
        <f t="shared" si="8"/>
        <v>0</v>
      </c>
    </row>
    <row r="50" spans="2:12" x14ac:dyDescent="0.25">
      <c r="B50" s="7"/>
      <c r="C50" s="7">
        <v>1.77</v>
      </c>
      <c r="D50" s="7">
        <v>0.85</v>
      </c>
      <c r="E50" s="7">
        <f t="shared" si="6"/>
        <v>1.5044999999999999</v>
      </c>
      <c r="F50" s="7" t="s">
        <v>91</v>
      </c>
      <c r="G50" s="7"/>
      <c r="H50" s="7"/>
      <c r="I50" s="7">
        <f t="shared" si="7"/>
        <v>0</v>
      </c>
      <c r="J50" s="7"/>
      <c r="K50" s="7"/>
      <c r="L50" s="7">
        <f t="shared" si="8"/>
        <v>0</v>
      </c>
    </row>
    <row r="51" spans="2:12" x14ac:dyDescent="0.25">
      <c r="B51" s="7"/>
      <c r="C51" s="7"/>
      <c r="D51" s="7"/>
      <c r="E51" s="7">
        <f t="shared" si="6"/>
        <v>0</v>
      </c>
      <c r="F51" s="7"/>
      <c r="G51" s="7"/>
      <c r="H51" s="7"/>
      <c r="I51" s="7">
        <f t="shared" si="7"/>
        <v>0</v>
      </c>
      <c r="J51" s="7"/>
      <c r="K51" s="7"/>
      <c r="L51" s="7">
        <f t="shared" si="8"/>
        <v>0</v>
      </c>
    </row>
    <row r="52" spans="2:12" x14ac:dyDescent="0.25">
      <c r="B52" s="7"/>
      <c r="C52" s="7"/>
      <c r="D52" s="7"/>
      <c r="E52" s="7">
        <f t="shared" si="6"/>
        <v>0</v>
      </c>
      <c r="F52" s="7"/>
      <c r="G52" s="7"/>
      <c r="H52" s="7"/>
      <c r="I52" s="7">
        <f t="shared" si="7"/>
        <v>0</v>
      </c>
      <c r="J52" s="7"/>
      <c r="K52" s="7"/>
      <c r="L52" s="7">
        <f t="shared" si="8"/>
        <v>0</v>
      </c>
    </row>
    <row r="53" spans="2:12" x14ac:dyDescent="0.25">
      <c r="B53" s="7" t="s">
        <v>94</v>
      </c>
      <c r="C53" s="7">
        <v>3</v>
      </c>
      <c r="D53" s="7">
        <v>3</v>
      </c>
      <c r="E53" s="7">
        <f t="shared" si="6"/>
        <v>9</v>
      </c>
      <c r="F53" s="7" t="s">
        <v>90</v>
      </c>
      <c r="G53" s="7"/>
      <c r="H53" s="7"/>
      <c r="I53" s="7">
        <f t="shared" si="7"/>
        <v>0</v>
      </c>
      <c r="J53" s="7"/>
      <c r="K53" s="7"/>
      <c r="L53" s="7">
        <f t="shared" si="8"/>
        <v>0</v>
      </c>
    </row>
    <row r="54" spans="2:12" x14ac:dyDescent="0.25">
      <c r="B54" s="7"/>
      <c r="C54" s="7"/>
      <c r="D54" s="7"/>
      <c r="E54" s="7">
        <f t="shared" si="6"/>
        <v>0</v>
      </c>
      <c r="F54" s="7" t="s">
        <v>91</v>
      </c>
      <c r="G54" s="7"/>
      <c r="H54" s="7"/>
      <c r="I54" s="7">
        <f t="shared" si="7"/>
        <v>0</v>
      </c>
      <c r="J54" s="7"/>
      <c r="K54" s="7"/>
      <c r="L54" s="7">
        <f t="shared" si="8"/>
        <v>0</v>
      </c>
    </row>
    <row r="55" spans="2:12" x14ac:dyDescent="0.25">
      <c r="B55" s="7"/>
      <c r="C55" s="7"/>
      <c r="D55" s="7"/>
      <c r="E55" s="7">
        <f t="shared" si="6"/>
        <v>0</v>
      </c>
      <c r="F55" s="7"/>
      <c r="G55" s="7"/>
      <c r="H55" s="7"/>
      <c r="I55" s="7">
        <f t="shared" si="7"/>
        <v>0</v>
      </c>
      <c r="J55" s="7"/>
      <c r="K55" s="7"/>
      <c r="L55" s="7">
        <f t="shared" si="8"/>
        <v>0</v>
      </c>
    </row>
    <row r="56" spans="2:12" x14ac:dyDescent="0.25">
      <c r="B56" s="7" t="s">
        <v>94</v>
      </c>
      <c r="C56" s="7"/>
      <c r="D56" s="7"/>
      <c r="E56" s="7">
        <f t="shared" si="6"/>
        <v>0</v>
      </c>
      <c r="F56" s="7" t="s">
        <v>90</v>
      </c>
      <c r="G56" s="7"/>
      <c r="H56" s="7"/>
      <c r="I56" s="7">
        <f t="shared" si="7"/>
        <v>0</v>
      </c>
      <c r="J56" s="7"/>
      <c r="K56" s="7"/>
      <c r="L56" s="7">
        <f t="shared" si="8"/>
        <v>0</v>
      </c>
    </row>
    <row r="57" spans="2:12" x14ac:dyDescent="0.25">
      <c r="B57" s="7"/>
      <c r="C57" s="7"/>
      <c r="D57" s="7"/>
      <c r="E57" s="7">
        <f t="shared" si="6"/>
        <v>0</v>
      </c>
      <c r="F57" s="7" t="s">
        <v>91</v>
      </c>
      <c r="G57" s="7"/>
      <c r="H57" s="7"/>
      <c r="I57" s="7">
        <f t="shared" si="7"/>
        <v>0</v>
      </c>
      <c r="J57" s="7"/>
      <c r="K57" s="7"/>
      <c r="L57" s="7">
        <f t="shared" si="8"/>
        <v>0</v>
      </c>
    </row>
    <row r="58" spans="2:12" x14ac:dyDescent="0.25">
      <c r="B58" s="7"/>
      <c r="C58" s="7"/>
      <c r="D58" s="7"/>
      <c r="E58" s="7">
        <f t="shared" si="6"/>
        <v>0</v>
      </c>
      <c r="F58" s="7"/>
      <c r="G58" s="7"/>
      <c r="H58" s="7"/>
      <c r="I58" s="7">
        <f t="shared" si="7"/>
        <v>0</v>
      </c>
      <c r="J58" s="7"/>
      <c r="K58" s="7"/>
      <c r="L58" s="7">
        <f t="shared" si="8"/>
        <v>0</v>
      </c>
    </row>
    <row r="59" spans="2:12" x14ac:dyDescent="0.25">
      <c r="B59" s="7" t="s">
        <v>95</v>
      </c>
      <c r="C59" s="7">
        <v>1.0900000000000001</v>
      </c>
      <c r="D59" s="7">
        <v>2</v>
      </c>
      <c r="E59" s="7">
        <f t="shared" si="6"/>
        <v>2.1800000000000002</v>
      </c>
      <c r="F59" s="7" t="s">
        <v>96</v>
      </c>
      <c r="G59" s="7"/>
      <c r="H59" s="7"/>
      <c r="I59" s="7">
        <f t="shared" si="7"/>
        <v>0</v>
      </c>
      <c r="J59" s="7"/>
      <c r="K59" s="7"/>
      <c r="L59" s="7">
        <f t="shared" si="8"/>
        <v>0</v>
      </c>
    </row>
    <row r="60" spans="2:12" x14ac:dyDescent="0.25">
      <c r="B60" s="7" t="s">
        <v>97</v>
      </c>
      <c r="C60" s="7">
        <v>1.2</v>
      </c>
      <c r="D60" s="7">
        <v>2</v>
      </c>
      <c r="E60" s="7">
        <f t="shared" si="6"/>
        <v>2.4</v>
      </c>
      <c r="F60" s="7" t="s">
        <v>96</v>
      </c>
      <c r="G60" s="7"/>
      <c r="H60" s="7"/>
      <c r="I60" s="7">
        <f t="shared" si="7"/>
        <v>0</v>
      </c>
      <c r="J60" s="7"/>
      <c r="K60" s="7"/>
      <c r="L60" s="7">
        <f t="shared" si="8"/>
        <v>0</v>
      </c>
    </row>
    <row r="61" spans="2:12" x14ac:dyDescent="0.25">
      <c r="B61" s="7" t="s">
        <v>98</v>
      </c>
      <c r="C61" s="7"/>
      <c r="D61" s="7"/>
      <c r="E61" s="7">
        <f t="shared" si="6"/>
        <v>0</v>
      </c>
      <c r="F61" s="7" t="s">
        <v>96</v>
      </c>
      <c r="G61" s="7"/>
      <c r="H61" s="7"/>
      <c r="I61" s="7">
        <f t="shared" si="7"/>
        <v>0</v>
      </c>
      <c r="J61" s="7"/>
      <c r="K61" s="7"/>
      <c r="L61" s="7">
        <f t="shared" si="8"/>
        <v>0</v>
      </c>
    </row>
    <row r="62" spans="2:12" x14ac:dyDescent="0.25">
      <c r="B62" s="7"/>
      <c r="C62" s="7"/>
      <c r="D62" s="7"/>
      <c r="E62" s="7">
        <f t="shared" si="6"/>
        <v>0</v>
      </c>
      <c r="F62" s="7"/>
      <c r="G62" s="7"/>
      <c r="H62" s="7"/>
      <c r="I62" s="7">
        <f t="shared" si="7"/>
        <v>0</v>
      </c>
      <c r="J62" s="7"/>
      <c r="K62" s="7"/>
      <c r="L62" s="7">
        <f t="shared" si="8"/>
        <v>0</v>
      </c>
    </row>
    <row r="63" spans="2:12" x14ac:dyDescent="0.25">
      <c r="B63" s="7" t="s">
        <v>99</v>
      </c>
      <c r="C63" s="7">
        <v>1.4</v>
      </c>
      <c r="D63" s="7">
        <v>0.9</v>
      </c>
      <c r="E63" s="7">
        <f t="shared" si="6"/>
        <v>1.26</v>
      </c>
      <c r="F63" s="7"/>
      <c r="G63" s="7"/>
      <c r="H63" s="7"/>
      <c r="I63" s="7">
        <f t="shared" si="7"/>
        <v>0</v>
      </c>
      <c r="J63" s="7"/>
      <c r="K63" s="7"/>
      <c r="L63" s="7">
        <f t="shared" si="8"/>
        <v>0</v>
      </c>
    </row>
    <row r="64" spans="2:12" x14ac:dyDescent="0.25">
      <c r="B64" s="7" t="s">
        <v>100</v>
      </c>
      <c r="C64" s="7">
        <v>1.07</v>
      </c>
      <c r="D64" s="7">
        <v>0.9</v>
      </c>
      <c r="E64" s="7">
        <f t="shared" si="6"/>
        <v>0.96300000000000008</v>
      </c>
      <c r="F64" s="7"/>
      <c r="G64" s="7"/>
      <c r="H64" s="7"/>
      <c r="I64" s="7">
        <f t="shared" si="7"/>
        <v>0</v>
      </c>
      <c r="J64" s="7"/>
      <c r="K64" s="7"/>
      <c r="L64" s="7">
        <f t="shared" si="8"/>
        <v>0</v>
      </c>
    </row>
    <row r="65" spans="2:12" x14ac:dyDescent="0.25">
      <c r="B65" s="7" t="s">
        <v>101</v>
      </c>
      <c r="C65" s="7">
        <v>0.9</v>
      </c>
      <c r="D65" s="7">
        <v>0.85</v>
      </c>
      <c r="E65" s="7">
        <f t="shared" si="6"/>
        <v>0.76500000000000001</v>
      </c>
      <c r="F65" s="7"/>
      <c r="G65" s="7"/>
      <c r="H65" s="7"/>
      <c r="I65" s="7">
        <f t="shared" si="7"/>
        <v>0</v>
      </c>
      <c r="J65" s="7"/>
      <c r="K65" s="7"/>
      <c r="L65" s="7">
        <f t="shared" si="8"/>
        <v>0</v>
      </c>
    </row>
    <row r="66" spans="2:12" x14ac:dyDescent="0.25">
      <c r="B66" s="7" t="s">
        <v>102</v>
      </c>
      <c r="C66" s="7">
        <v>1.35</v>
      </c>
      <c r="D66" s="7">
        <v>3</v>
      </c>
      <c r="E66" s="7">
        <f t="shared" si="6"/>
        <v>4.0500000000000007</v>
      </c>
      <c r="F66" s="7"/>
      <c r="G66" s="7"/>
      <c r="H66" s="7"/>
      <c r="I66" s="7">
        <f>G66*H66</f>
        <v>0</v>
      </c>
      <c r="J66" s="7"/>
      <c r="K66" s="7"/>
      <c r="L66" s="7">
        <f>J66*K66</f>
        <v>0</v>
      </c>
    </row>
    <row r="67" spans="2:12" x14ac:dyDescent="0.25">
      <c r="B67" s="7"/>
      <c r="C67" s="7"/>
      <c r="D67" s="7"/>
      <c r="E67" s="7">
        <f t="shared" si="6"/>
        <v>0</v>
      </c>
      <c r="F67" s="7"/>
      <c r="G67" s="7"/>
      <c r="H67" s="7"/>
      <c r="I67" s="7">
        <f>G67*H67</f>
        <v>0</v>
      </c>
      <c r="J67" s="7"/>
      <c r="K67" s="7"/>
      <c r="L67" s="7">
        <f>J67*K67</f>
        <v>0</v>
      </c>
    </row>
    <row r="68" spans="2:12" x14ac:dyDescent="0.25">
      <c r="B68" s="7"/>
      <c r="C68" s="7"/>
      <c r="D68" s="7"/>
      <c r="E68" s="7">
        <f t="shared" si="6"/>
        <v>0</v>
      </c>
      <c r="F68" s="7"/>
      <c r="G68" s="7"/>
      <c r="H68" s="7"/>
      <c r="I68" s="7">
        <f>G68*H68</f>
        <v>0</v>
      </c>
      <c r="J68" s="7"/>
      <c r="K68" s="7"/>
      <c r="L68" s="7">
        <f>J68*K68</f>
        <v>0</v>
      </c>
    </row>
    <row r="69" spans="2:12" x14ac:dyDescent="0.25">
      <c r="B69" s="7"/>
      <c r="C69" s="7"/>
      <c r="D69" s="7"/>
      <c r="E69" s="7">
        <f t="shared" si="6"/>
        <v>0</v>
      </c>
      <c r="F69" s="7"/>
      <c r="G69" s="7"/>
      <c r="H69" s="7"/>
      <c r="I69" s="7">
        <f>G69*H69</f>
        <v>0</v>
      </c>
      <c r="J69" s="7"/>
      <c r="K69" s="7"/>
      <c r="L69" s="7">
        <f>J69*K69</f>
        <v>0</v>
      </c>
    </row>
    <row r="70" spans="2:12" x14ac:dyDescent="0.25">
      <c r="B70" s="7" t="s">
        <v>63</v>
      </c>
      <c r="C70" s="7"/>
      <c r="D70" s="7">
        <f>E70*10.764</f>
        <v>512.72591759999989</v>
      </c>
      <c r="E70" s="7">
        <f>SUM(E42:E69)</f>
        <v>47.633399999999995</v>
      </c>
      <c r="F70" s="7"/>
      <c r="G70" s="7"/>
      <c r="H70" s="7">
        <f>I70*10.764</f>
        <v>82.90970999999999</v>
      </c>
      <c r="I70" s="7">
        <f>SUM(I42:I69)</f>
        <v>7.7024999999999997</v>
      </c>
      <c r="J70" s="7"/>
      <c r="K70" s="7">
        <f>L70*10.764</f>
        <v>48.437999999999995</v>
      </c>
      <c r="L70" s="7">
        <f>SUM(L42:L69)</f>
        <v>4.5</v>
      </c>
    </row>
    <row r="72" spans="2:12" x14ac:dyDescent="0.25">
      <c r="D72">
        <f>D70+H70</f>
        <v>595.63562759999991</v>
      </c>
      <c r="E72">
        <f>E70+I70</f>
        <v>55.335899999999995</v>
      </c>
    </row>
  </sheetData>
  <mergeCells count="12">
    <mergeCell ref="C2:D2"/>
    <mergeCell ref="C4:E4"/>
    <mergeCell ref="G4:I4"/>
    <mergeCell ref="J4:L4"/>
    <mergeCell ref="P2:Q2"/>
    <mergeCell ref="P4:R4"/>
    <mergeCell ref="T4:V4"/>
    <mergeCell ref="W4:Y4"/>
    <mergeCell ref="C38:D38"/>
    <mergeCell ref="C40:E40"/>
    <mergeCell ref="G40:I40"/>
    <mergeCell ref="J40:L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Flat detail</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2025-09-19T06:03:46Z</cp:lastPrinted>
  <dcterms:created xsi:type="dcterms:W3CDTF">2019-07-16T09:29:46Z</dcterms:created>
  <dcterms:modified xsi:type="dcterms:W3CDTF">2025-09-19T06:15:33Z</dcterms:modified>
</cp:coreProperties>
</file>